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9.xml" ContentType="application/vnd.openxmlformats-officedocument.drawing+xml"/>
  <Override PartName="/xl/comments15.xml" ContentType="application/vnd.openxmlformats-officedocument.spreadsheetml.comments+xml"/>
  <Override PartName="/xl/drawings/drawing10.xml" ContentType="application/vnd.openxmlformats-officedocument.drawing+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codeName="ThisWorkbook" hidePivotFieldList="1"/>
  <xr:revisionPtr revIDLastSave="0" documentId="13_ncr:1_{63B47517-7B99-4225-B8CF-EF1C1E35D8B4}" xr6:coauthVersionLast="47" xr6:coauthVersionMax="47" xr10:uidLastSave="{00000000-0000-0000-0000-000000000000}"/>
  <bookViews>
    <workbookView xWindow="-120" yWindow="-120" windowWidth="38640" windowHeight="21240" tabRatio="848" firstSheet="2" activeTab="4" xr2:uid="{00000000-000D-0000-FFFF-FFFF00000000}"/>
  </bookViews>
  <sheets>
    <sheet name="LOG" sheetId="294" r:id="rId1"/>
    <sheet name="TRA_BAL" sheetId="233" r:id="rId2"/>
    <sheet name="EnergyEffRoadTransport_ksa" sheetId="264" r:id="rId3"/>
    <sheet name="Commodities" sheetId="216" r:id="rId4"/>
    <sheet name="Processes" sheetId="231" r:id="rId5"/>
    <sheet name="TRA_Fuel" sheetId="232" r:id="rId6"/>
    <sheet name="Cars" sheetId="278" r:id="rId7"/>
    <sheet name="CarData" sheetId="279" r:id="rId8"/>
    <sheet name="CarMoreData" sheetId="280" r:id="rId9"/>
    <sheet name="Moto-Mopeds" sheetId="288" r:id="rId10"/>
    <sheet name="BIKE" sheetId="289" r:id="rId11"/>
    <sheet name="WALK" sheetId="290" r:id="rId12"/>
    <sheet name="Bicycle - Walk" sheetId="268" r:id="rId13"/>
    <sheet name="BUS" sheetId="291" r:id="rId14"/>
    <sheet name="BUS_data" sheetId="272" r:id="rId15"/>
    <sheet name="TRAIN" sheetId="292" r:id="rId16"/>
    <sheet name="STRAIN,METRO_Data" sheetId="277" r:id="rId17"/>
    <sheet name="TRAIN_Data" sheetId="275" r:id="rId18"/>
    <sheet name="Navi" sheetId="298" r:id="rId19"/>
    <sheet name="AVI" sheetId="250" r:id="rId20"/>
    <sheet name="Freight_Road_New" sheetId="299" r:id="rId21"/>
    <sheet name="Freight_Road_Old" sheetId="281" r:id="rId22"/>
    <sheet name="Freight_Rail" sheetId="282" r:id="rId23"/>
    <sheet name="Freight_NAVI-AVI" sheetId="260" r:id="rId24"/>
    <sheet name="SEA_Data" sheetId="296" r:id="rId25"/>
    <sheet name="PassangersFreightAir" sheetId="256" r:id="rId26"/>
    <sheet name="Dem" sheetId="221" r:id="rId27"/>
    <sheet name="Data" sheetId="251" r:id="rId28"/>
    <sheet name="Emis" sheetId="286" r:id="rId29"/>
    <sheet name="TransData" sheetId="293" r:id="rId30"/>
  </sheets>
  <externalReferences>
    <externalReference r:id="rId31"/>
    <externalReference r:id="rId32"/>
    <externalReference r:id="rId33"/>
    <externalReference r:id="rId34"/>
    <externalReference r:id="rId35"/>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xlnm._FilterDatabase" localSheetId="6" hidden="1">Cars!$B$2:$Z$36</definedName>
    <definedName name="_xlnm._FilterDatabase" localSheetId="26" hidden="1">Dem!$B$34:$G$34</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Order1" hidden="1">255</definedName>
    <definedName name="_Order2" hidden="1">255</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åbanettt" localSheetId="10">#REF!</definedName>
    <definedName name="åbanettt" localSheetId="13">#REF!</definedName>
    <definedName name="åbanettt" localSheetId="7">#REF!</definedName>
    <definedName name="åbanettt" localSheetId="8">#REF!</definedName>
    <definedName name="åbanettt" localSheetId="6">#REF!</definedName>
    <definedName name="åbanettt" localSheetId="22">#REF!</definedName>
    <definedName name="åbanettt" localSheetId="21">#REF!</definedName>
    <definedName name="åbanettt" localSheetId="9">#REF!</definedName>
    <definedName name="åbanettt" localSheetId="15">#REF!</definedName>
    <definedName name="åbanettt" localSheetId="29">#REF!</definedName>
    <definedName name="åbanettt" localSheetId="11">#REF!</definedName>
    <definedName name="åbanettt">#REF!</definedName>
    <definedName name="åbrslelc" localSheetId="10">#REF!</definedName>
    <definedName name="åbrslelc" localSheetId="13">#REF!</definedName>
    <definedName name="åbrslelc" localSheetId="7">#REF!</definedName>
    <definedName name="åbrslelc" localSheetId="8">#REF!</definedName>
    <definedName name="åbrslelc" localSheetId="6">#REF!</definedName>
    <definedName name="åbrslelc" localSheetId="22">#REF!</definedName>
    <definedName name="åbrslelc" localSheetId="21">#REF!</definedName>
    <definedName name="åbrslelc" localSheetId="9">#REF!</definedName>
    <definedName name="åbrslelc" localSheetId="15">#REF!</definedName>
    <definedName name="åbrslelc" localSheetId="29">#REF!</definedName>
    <definedName name="åbrslelc" localSheetId="11">#REF!</definedName>
    <definedName name="åbrslelc">#REF!</definedName>
    <definedName name="åbrslkul" localSheetId="10">#REF!</definedName>
    <definedName name="åbrslkul" localSheetId="13">#REF!</definedName>
    <definedName name="åbrslkul" localSheetId="7">#REF!</definedName>
    <definedName name="åbrslkul" localSheetId="8">#REF!</definedName>
    <definedName name="åbrslkul" localSheetId="6">#REF!</definedName>
    <definedName name="åbrslkul" localSheetId="22">#REF!</definedName>
    <definedName name="åbrslkul" localSheetId="21">#REF!</definedName>
    <definedName name="åbrslkul" localSheetId="9">#REF!</definedName>
    <definedName name="åbrslkul" localSheetId="15">#REF!</definedName>
    <definedName name="åbrslkul" localSheetId="29">#REF!</definedName>
    <definedName name="åbrslkul" localSheetId="11">#REF!</definedName>
    <definedName name="åbrslkul">#REF!</definedName>
    <definedName name="åbrslnga" localSheetId="10">#REF!</definedName>
    <definedName name="åbrslnga" localSheetId="13">#REF!</definedName>
    <definedName name="åbrslnga" localSheetId="7">#REF!</definedName>
    <definedName name="åbrslnga" localSheetId="8">#REF!</definedName>
    <definedName name="åbrslnga" localSheetId="6">#REF!</definedName>
    <definedName name="åbrslnga" localSheetId="22">#REF!</definedName>
    <definedName name="åbrslnga" localSheetId="21">#REF!</definedName>
    <definedName name="åbrslnga" localSheetId="9">#REF!</definedName>
    <definedName name="åbrslnga" localSheetId="15">#REF!</definedName>
    <definedName name="åbrslnga" localSheetId="29">#REF!</definedName>
    <definedName name="åbrslnga" localSheetId="11">#REF!</definedName>
    <definedName name="åbrslnga">#REF!</definedName>
    <definedName name="åbrsloil" localSheetId="10">#REF!</definedName>
    <definedName name="åbrsloil" localSheetId="13">#REF!</definedName>
    <definedName name="åbrsloil" localSheetId="7">#REF!</definedName>
    <definedName name="åbrsloil" localSheetId="8">#REF!</definedName>
    <definedName name="åbrsloil" localSheetId="6">#REF!</definedName>
    <definedName name="åbrsloil" localSheetId="22">#REF!</definedName>
    <definedName name="åbrsloil" localSheetId="21">#REF!</definedName>
    <definedName name="åbrsloil" localSheetId="9">#REF!</definedName>
    <definedName name="åbrsloil" localSheetId="15">#REF!</definedName>
    <definedName name="åbrsloil" localSheetId="29">#REF!</definedName>
    <definedName name="åbrsloil" localSheetId="11">#REF!</definedName>
    <definedName name="åbrsloil">#REF!</definedName>
    <definedName name="åbrslve" localSheetId="10">#REF!</definedName>
    <definedName name="åbrslve" localSheetId="13">#REF!</definedName>
    <definedName name="åbrslve" localSheetId="7">#REF!</definedName>
    <definedName name="åbrslve" localSheetId="8">#REF!</definedName>
    <definedName name="åbrslve" localSheetId="6">#REF!</definedName>
    <definedName name="åbrslve" localSheetId="22">#REF!</definedName>
    <definedName name="åbrslve" localSheetId="21">#REF!</definedName>
    <definedName name="åbrslve" localSheetId="9">#REF!</definedName>
    <definedName name="åbrslve" localSheetId="15">#REF!</definedName>
    <definedName name="åbrslve" localSheetId="29">#REF!</definedName>
    <definedName name="åbrslve" localSheetId="11">#REF!</definedName>
    <definedName name="åbrslve">#REF!</definedName>
    <definedName name="åbyrelc" localSheetId="10">'[2]Gas Works'!#REF!</definedName>
    <definedName name="åbyrelc" localSheetId="13">'[2]Gas Works'!#REF!</definedName>
    <definedName name="åbyrelc" localSheetId="7">'[2]Gas Works'!#REF!</definedName>
    <definedName name="åbyrelc" localSheetId="8">'[2]Gas Works'!#REF!</definedName>
    <definedName name="åbyrelc" localSheetId="6">'[2]Gas Works'!#REF!</definedName>
    <definedName name="åbyrelc" localSheetId="22">'[2]Gas Works'!#REF!</definedName>
    <definedName name="åbyrelc" localSheetId="21">'[2]Gas Works'!#REF!</definedName>
    <definedName name="åbyrelc" localSheetId="9">'[2]Gas Works'!#REF!</definedName>
    <definedName name="åbyrelc" localSheetId="15">'[2]Gas Works'!#REF!</definedName>
    <definedName name="åbyrelc" localSheetId="29">'[2]Gas Works'!#REF!</definedName>
    <definedName name="åbyrelc" localSheetId="11">'[2]Gas Works'!#REF!</definedName>
    <definedName name="åbyrelc">'[2]Gas Works'!#REF!</definedName>
    <definedName name="åfjvbrselc" localSheetId="10">'[2]Heat Production'!#REF!</definedName>
    <definedName name="åfjvbrselc" localSheetId="13">'[2]Heat Production'!#REF!</definedName>
    <definedName name="åfjvbrselc" localSheetId="7">'[2]Heat Production'!#REF!</definedName>
    <definedName name="åfjvbrselc" localSheetId="8">'[2]Heat Production'!#REF!</definedName>
    <definedName name="åfjvbrselc" localSheetId="6">'[2]Heat Production'!#REF!</definedName>
    <definedName name="åfjvbrselc" localSheetId="22">'[2]Heat Production'!#REF!</definedName>
    <definedName name="åfjvbrselc" localSheetId="21">'[2]Heat Production'!#REF!</definedName>
    <definedName name="åfjvbrselc" localSheetId="9">'[2]Heat Production'!#REF!</definedName>
    <definedName name="åfjvbrselc" localSheetId="15">'[2]Heat Production'!#REF!</definedName>
    <definedName name="åfjvbrselc" localSheetId="29">'[2]Heat Production'!#REF!</definedName>
    <definedName name="åfjvbrselc" localSheetId="11">'[2]Heat Production'!#REF!</definedName>
    <definedName name="åfjvbrselc">'[2]Heat Production'!#REF!</definedName>
    <definedName name="åfjvve" localSheetId="10">'[2]Heat Production'!#REF!</definedName>
    <definedName name="åfjvve" localSheetId="13">'[2]Heat Production'!#REF!</definedName>
    <definedName name="åfjvve" localSheetId="7">'[2]Heat Production'!#REF!</definedName>
    <definedName name="åfjvve" localSheetId="8">'[2]Heat Production'!#REF!</definedName>
    <definedName name="åfjvve" localSheetId="6">'[2]Heat Production'!#REF!</definedName>
    <definedName name="åfjvve" localSheetId="22">'[2]Heat Production'!#REF!</definedName>
    <definedName name="åfjvve" localSheetId="21">'[2]Heat Production'!#REF!</definedName>
    <definedName name="åfjvve" localSheetId="9">'[2]Heat Production'!#REF!</definedName>
    <definedName name="åfjvve" localSheetId="15">'[2]Heat Production'!#REF!</definedName>
    <definedName name="åfjvve" localSheetId="29">'[2]Heat Production'!#REF!</definedName>
    <definedName name="åfjvve" localSheetId="11">'[2]Heat Production'!#REF!</definedName>
    <definedName name="åfjvve">'[2]Heat Production'!#REF!</definedName>
    <definedName name="åfrsvttt" localSheetId="10">#REF!</definedName>
    <definedName name="åfrsvttt" localSheetId="13">#REF!</definedName>
    <definedName name="åfrsvttt" localSheetId="7">#REF!</definedName>
    <definedName name="åfrsvttt" localSheetId="8">#REF!</definedName>
    <definedName name="åfrsvttt" localSheetId="6">#REF!</definedName>
    <definedName name="åfrsvttt" localSheetId="22">#REF!</definedName>
    <definedName name="åfrsvttt" localSheetId="21">#REF!</definedName>
    <definedName name="åfrsvttt" localSheetId="9">#REF!</definedName>
    <definedName name="åfrsvttt" localSheetId="15">#REF!</definedName>
    <definedName name="åfrsvttt" localSheetId="29">#REF!</definedName>
    <definedName name="åfrsvttt" localSheetId="11">#REF!</definedName>
    <definedName name="åfrsvttt">#REF!</definedName>
    <definedName name="åfutbrsfjv" localSheetId="10">'[2]Heat Production'!#REF!</definedName>
    <definedName name="åfutbrsfjv" localSheetId="13">'[2]Heat Production'!#REF!</definedName>
    <definedName name="åfutbrsfjv" localSheetId="7">'[2]Heat Production'!#REF!</definedName>
    <definedName name="åfutbrsfjv" localSheetId="8">'[2]Heat Production'!#REF!</definedName>
    <definedName name="åfutbrsfjv" localSheetId="6">'[2]Heat Production'!#REF!</definedName>
    <definedName name="åfutbrsfjv" localSheetId="22">'[2]Heat Production'!#REF!</definedName>
    <definedName name="åfutbrsfjv" localSheetId="21">'[2]Heat Production'!#REF!</definedName>
    <definedName name="åfutbrsfjv" localSheetId="9">'[2]Heat Production'!#REF!</definedName>
    <definedName name="åfutbrsfjv" localSheetId="15">'[2]Heat Production'!#REF!</definedName>
    <definedName name="åfutbrsfjv" localSheetId="29">'[2]Heat Production'!#REF!</definedName>
    <definedName name="åfutbrsfjv" localSheetId="11">'[2]Heat Production'!#REF!</definedName>
    <definedName name="åfutbrsfjv">'[2]Heat Production'!#REF!</definedName>
    <definedName name="ågdtbrsfjv" localSheetId="10">'[2]Heat Production'!#REF!</definedName>
    <definedName name="ågdtbrsfjv" localSheetId="13">'[2]Heat Production'!#REF!</definedName>
    <definedName name="ågdtbrsfjv" localSheetId="7">'[2]Heat Production'!#REF!</definedName>
    <definedName name="ågdtbrsfjv" localSheetId="8">'[2]Heat Production'!#REF!</definedName>
    <definedName name="ågdtbrsfjv" localSheetId="6">'[2]Heat Production'!#REF!</definedName>
    <definedName name="ågdtbrsfjv" localSheetId="22">'[2]Heat Production'!#REF!</definedName>
    <definedName name="ågdtbrsfjv" localSheetId="21">'[2]Heat Production'!#REF!</definedName>
    <definedName name="ågdtbrsfjv" localSheetId="9">'[2]Heat Production'!#REF!</definedName>
    <definedName name="ågdtbrsfjv" localSheetId="15">'[2]Heat Production'!#REF!</definedName>
    <definedName name="ågdtbrsfjv" localSheetId="29">'[2]Heat Production'!#REF!</definedName>
    <definedName name="ågdtbrsfjv" localSheetId="11">'[2]Heat Production'!#REF!</definedName>
    <definedName name="ågdtbrsfjv">'[2]Heat Production'!#REF!</definedName>
    <definedName name="åimpbrsl" localSheetId="10">#REF!</definedName>
    <definedName name="åimpbrsl" localSheetId="13">#REF!</definedName>
    <definedName name="åimpbrsl" localSheetId="7">#REF!</definedName>
    <definedName name="åimpbrsl" localSheetId="8">#REF!</definedName>
    <definedName name="åimpbrsl" localSheetId="6">#REF!</definedName>
    <definedName name="åimpbrsl" localSheetId="22">#REF!</definedName>
    <definedName name="åimpbrsl" localSheetId="21">#REF!</definedName>
    <definedName name="åimpbrsl" localSheetId="9">#REF!</definedName>
    <definedName name="åimpbrsl" localSheetId="15">#REF!</definedName>
    <definedName name="åimpbrsl" localSheetId="29">#REF!</definedName>
    <definedName name="åimpbrsl" localSheetId="11">#REF!</definedName>
    <definedName name="åimpbrsl">#REF!</definedName>
    <definedName name="åimpfut" localSheetId="10">#REF!</definedName>
    <definedName name="åimpfut" localSheetId="13">#REF!</definedName>
    <definedName name="åimpfut" localSheetId="7">#REF!</definedName>
    <definedName name="åimpfut" localSheetId="8">#REF!</definedName>
    <definedName name="åimpfut" localSheetId="6">#REF!</definedName>
    <definedName name="åimpfut" localSheetId="22">#REF!</definedName>
    <definedName name="åimpfut" localSheetId="21">#REF!</definedName>
    <definedName name="åimpfut" localSheetId="9">#REF!</definedName>
    <definedName name="åimpfut" localSheetId="15">#REF!</definedName>
    <definedName name="åimpfut" localSheetId="29">#REF!</definedName>
    <definedName name="åimpfut" localSheetId="11">#REF!</definedName>
    <definedName name="åimpfut">#REF!</definedName>
    <definedName name="åimpkul" localSheetId="10">#REF!</definedName>
    <definedName name="åimpkul" localSheetId="13">#REF!</definedName>
    <definedName name="åimpkul" localSheetId="7">#REF!</definedName>
    <definedName name="åimpkul" localSheetId="8">#REF!</definedName>
    <definedName name="åimpkul" localSheetId="6">#REF!</definedName>
    <definedName name="åimpkul" localSheetId="22">#REF!</definedName>
    <definedName name="åimpkul" localSheetId="21">#REF!</definedName>
    <definedName name="åimpkul" localSheetId="9">#REF!</definedName>
    <definedName name="åimpkul" localSheetId="15">#REF!</definedName>
    <definedName name="åimpkul" localSheetId="29">#REF!</definedName>
    <definedName name="åimpkul" localSheetId="11">#REF!</definedName>
    <definedName name="åimpkul">#REF!</definedName>
    <definedName name="åimpnga" localSheetId="10">#REF!</definedName>
    <definedName name="åimpnga" localSheetId="13">#REF!</definedName>
    <definedName name="åimpnga" localSheetId="7">#REF!</definedName>
    <definedName name="åimpnga" localSheetId="8">#REF!</definedName>
    <definedName name="åimpnga" localSheetId="6">#REF!</definedName>
    <definedName name="åimpnga" localSheetId="22">#REF!</definedName>
    <definedName name="åimpnga" localSheetId="21">#REF!</definedName>
    <definedName name="åimpnga" localSheetId="9">#REF!</definedName>
    <definedName name="åimpnga" localSheetId="15">#REF!</definedName>
    <definedName name="åimpnga" localSheetId="29">#REF!</definedName>
    <definedName name="åimpnga" localSheetId="11">#REF!</definedName>
    <definedName name="åimpnga">#REF!</definedName>
    <definedName name="åimpori" localSheetId="10">#REF!</definedName>
    <definedName name="åimpori" localSheetId="13">#REF!</definedName>
    <definedName name="åimpori" localSheetId="7">#REF!</definedName>
    <definedName name="åimpori" localSheetId="8">#REF!</definedName>
    <definedName name="åimpori" localSheetId="6">#REF!</definedName>
    <definedName name="åimpori" localSheetId="22">#REF!</definedName>
    <definedName name="åimpori" localSheetId="21">#REF!</definedName>
    <definedName name="åimpori" localSheetId="9">#REF!</definedName>
    <definedName name="åimpori" localSheetId="15">#REF!</definedName>
    <definedName name="åimpori" localSheetId="29">#REF!</definedName>
    <definedName name="åimpori" localSheetId="11">#REF!</definedName>
    <definedName name="åimpori">#REF!</definedName>
    <definedName name="åkonfjrrga" localSheetId="10">#REF!</definedName>
    <definedName name="åkonfjrrga" localSheetId="13">#REF!</definedName>
    <definedName name="åkonfjrrga" localSheetId="7">#REF!</definedName>
    <definedName name="åkonfjrrga" localSheetId="8">#REF!</definedName>
    <definedName name="åkonfjrrga" localSheetId="6">#REF!</definedName>
    <definedName name="åkonfjrrga" localSheetId="22">#REF!</definedName>
    <definedName name="åkonfjrrga" localSheetId="21">#REF!</definedName>
    <definedName name="åkonfjrrga" localSheetId="9">#REF!</definedName>
    <definedName name="åkonfjrrga" localSheetId="15">#REF!</definedName>
    <definedName name="åkonfjrrga" localSheetId="29">#REF!</definedName>
    <definedName name="åkonfjrrga" localSheetId="11">#REF!</definedName>
    <definedName name="åkonfjrrga">#REF!</definedName>
    <definedName name="åkonfjrttt" localSheetId="10">#REF!</definedName>
    <definedName name="åkonfjrttt" localSheetId="13">#REF!</definedName>
    <definedName name="åkonfjrttt" localSheetId="7">#REF!</definedName>
    <definedName name="åkonfjrttt" localSheetId="8">#REF!</definedName>
    <definedName name="åkonfjrttt" localSheetId="6">#REF!</definedName>
    <definedName name="åkonfjrttt" localSheetId="22">#REF!</definedName>
    <definedName name="åkonfjrttt" localSheetId="21">#REF!</definedName>
    <definedName name="åkonfjrttt" localSheetId="9">#REF!</definedName>
    <definedName name="åkonfjrttt" localSheetId="15">#REF!</definedName>
    <definedName name="åkonfjrttt" localSheetId="29">#REF!</definedName>
    <definedName name="åkonfjrttt" localSheetId="11">#REF!</definedName>
    <definedName name="åkonfjrttt">#REF!</definedName>
    <definedName name="åkonfvraff" localSheetId="10">#REF!</definedName>
    <definedName name="åkonfvraff" localSheetId="13">#REF!</definedName>
    <definedName name="åkonfvraff" localSheetId="7">#REF!</definedName>
    <definedName name="åkonfvraff" localSheetId="8">#REF!</definedName>
    <definedName name="åkonfvraff" localSheetId="6">#REF!</definedName>
    <definedName name="åkonfvraff" localSheetId="22">#REF!</definedName>
    <definedName name="åkonfvraff" localSheetId="21">#REF!</definedName>
    <definedName name="åkonfvraff" localSheetId="9">#REF!</definedName>
    <definedName name="åkonfvraff" localSheetId="15">#REF!</definedName>
    <definedName name="åkonfvraff" localSheetId="29">#REF!</definedName>
    <definedName name="åkonfvraff" localSheetId="11">#REF!</definedName>
    <definedName name="åkonfvraff">#REF!</definedName>
    <definedName name="åkonfvrano" localSheetId="10">#REF!</definedName>
    <definedName name="åkonfvrano" localSheetId="13">#REF!</definedName>
    <definedName name="åkonfvrano" localSheetId="7">#REF!</definedName>
    <definedName name="åkonfvrano" localSheetId="8">#REF!</definedName>
    <definedName name="åkonfvrano" localSheetId="6">#REF!</definedName>
    <definedName name="åkonfvrano" localSheetId="22">#REF!</definedName>
    <definedName name="åkonfvrano" localSheetId="21">#REF!</definedName>
    <definedName name="åkonfvrano" localSheetId="9">#REF!</definedName>
    <definedName name="åkonfvrano" localSheetId="15">#REF!</definedName>
    <definedName name="åkonfvrano" localSheetId="29">#REF!</definedName>
    <definedName name="åkonfvrano" localSheetId="11">#REF!</definedName>
    <definedName name="åkonfvrano">#REF!</definedName>
    <definedName name="åkonfvrbio" localSheetId="10">#REF!</definedName>
    <definedName name="åkonfvrbio" localSheetId="13">#REF!</definedName>
    <definedName name="åkonfvrbio" localSheetId="7">#REF!</definedName>
    <definedName name="åkonfvrbio" localSheetId="8">#REF!</definedName>
    <definedName name="åkonfvrbio" localSheetId="6">#REF!</definedName>
    <definedName name="åkonfvrbio" localSheetId="22">#REF!</definedName>
    <definedName name="åkonfvrbio" localSheetId="21">#REF!</definedName>
    <definedName name="åkonfvrbio" localSheetId="9">#REF!</definedName>
    <definedName name="åkonfvrbio" localSheetId="15">#REF!</definedName>
    <definedName name="åkonfvrbio" localSheetId="29">#REF!</definedName>
    <definedName name="åkonfvrbio" localSheetId="11">#REF!</definedName>
    <definedName name="åkonfvrbio">#REF!</definedName>
    <definedName name="åkonfvrfut" localSheetId="10">#REF!</definedName>
    <definedName name="åkonfvrfut" localSheetId="13">#REF!</definedName>
    <definedName name="åkonfvrfut" localSheetId="7">#REF!</definedName>
    <definedName name="åkonfvrfut" localSheetId="8">#REF!</definedName>
    <definedName name="åkonfvrfut" localSheetId="6">#REF!</definedName>
    <definedName name="åkonfvrfut" localSheetId="22">#REF!</definedName>
    <definedName name="åkonfvrfut" localSheetId="21">#REF!</definedName>
    <definedName name="åkonfvrfut" localSheetId="9">#REF!</definedName>
    <definedName name="åkonfvrfut" localSheetId="15">#REF!</definedName>
    <definedName name="åkonfvrfut" localSheetId="29">#REF!</definedName>
    <definedName name="åkonfvrfut" localSheetId="11">#REF!</definedName>
    <definedName name="åkonfvrfut">#REF!</definedName>
    <definedName name="åkonfvrgeo" localSheetId="10">#REF!</definedName>
    <definedName name="åkonfvrgeo" localSheetId="13">#REF!</definedName>
    <definedName name="åkonfvrgeo" localSheetId="7">#REF!</definedName>
    <definedName name="åkonfvrgeo" localSheetId="8">#REF!</definedName>
    <definedName name="åkonfvrgeo" localSheetId="6">#REF!</definedName>
    <definedName name="åkonfvrgeo" localSheetId="22">#REF!</definedName>
    <definedName name="åkonfvrgeo" localSheetId="21">#REF!</definedName>
    <definedName name="åkonfvrgeo" localSheetId="9">#REF!</definedName>
    <definedName name="åkonfvrgeo" localSheetId="15">#REF!</definedName>
    <definedName name="åkonfvrgeo" localSheetId="29">#REF!</definedName>
    <definedName name="åkonfvrgeo" localSheetId="11">#REF!</definedName>
    <definedName name="åkonfvrgeo">#REF!</definedName>
    <definedName name="åkonfvrhal" localSheetId="10">#REF!</definedName>
    <definedName name="åkonfvrhal" localSheetId="13">#REF!</definedName>
    <definedName name="åkonfvrhal" localSheetId="7">#REF!</definedName>
    <definedName name="åkonfvrhal" localSheetId="8">#REF!</definedName>
    <definedName name="åkonfvrhal" localSheetId="6">#REF!</definedName>
    <definedName name="åkonfvrhal" localSheetId="22">#REF!</definedName>
    <definedName name="åkonfvrhal" localSheetId="21">#REF!</definedName>
    <definedName name="åkonfvrhal" localSheetId="9">#REF!</definedName>
    <definedName name="åkonfvrhal" localSheetId="15">#REF!</definedName>
    <definedName name="åkonfvrhal" localSheetId="29">#REF!</definedName>
    <definedName name="åkonfvrhal" localSheetId="11">#REF!</definedName>
    <definedName name="åkonfvrhal">#REF!</definedName>
    <definedName name="åkonfvrkul" localSheetId="10">#REF!</definedName>
    <definedName name="åkonfvrkul" localSheetId="13">#REF!</definedName>
    <definedName name="åkonfvrkul" localSheetId="7">#REF!</definedName>
    <definedName name="åkonfvrkul" localSheetId="8">#REF!</definedName>
    <definedName name="åkonfvrkul" localSheetId="6">#REF!</definedName>
    <definedName name="åkonfvrkul" localSheetId="22">#REF!</definedName>
    <definedName name="åkonfvrkul" localSheetId="21">#REF!</definedName>
    <definedName name="åkonfvrkul" localSheetId="9">#REF!</definedName>
    <definedName name="åkonfvrkul" localSheetId="15">#REF!</definedName>
    <definedName name="åkonfvrkul" localSheetId="29">#REF!</definedName>
    <definedName name="åkonfvrkul" localSheetId="11">#REF!</definedName>
    <definedName name="åkonfvrkul">#REF!</definedName>
    <definedName name="åkonfvrnga" localSheetId="10">#REF!</definedName>
    <definedName name="åkonfvrnga" localSheetId="13">#REF!</definedName>
    <definedName name="åkonfvrnga" localSheetId="7">#REF!</definedName>
    <definedName name="åkonfvrnga" localSheetId="8">#REF!</definedName>
    <definedName name="åkonfvrnga" localSheetId="6">#REF!</definedName>
    <definedName name="åkonfvrnga" localSheetId="22">#REF!</definedName>
    <definedName name="åkonfvrnga" localSheetId="21">#REF!</definedName>
    <definedName name="åkonfvrnga" localSheetId="9">#REF!</definedName>
    <definedName name="åkonfvrnga" localSheetId="15">#REF!</definedName>
    <definedName name="åkonfvrnga" localSheetId="29">#REF!</definedName>
    <definedName name="åkonfvrnga" localSheetId="11">#REF!</definedName>
    <definedName name="åkonfvrnga">#REF!</definedName>
    <definedName name="åkonfvrtræ" localSheetId="10">#REF!</definedName>
    <definedName name="åkonfvrtræ" localSheetId="13">#REF!</definedName>
    <definedName name="åkonfvrtræ" localSheetId="7">#REF!</definedName>
    <definedName name="åkonfvrtræ" localSheetId="8">#REF!</definedName>
    <definedName name="åkonfvrtræ" localSheetId="6">#REF!</definedName>
    <definedName name="åkonfvrtræ" localSheetId="22">#REF!</definedName>
    <definedName name="åkonfvrtræ" localSheetId="21">#REF!</definedName>
    <definedName name="åkonfvrtræ" localSheetId="9">#REF!</definedName>
    <definedName name="åkonfvrtræ" localSheetId="15">#REF!</definedName>
    <definedName name="åkonfvrtræ" localSheetId="29">#REF!</definedName>
    <definedName name="åkonfvrtræ" localSheetId="11">#REF!</definedName>
    <definedName name="åkonfvrtræ">#REF!</definedName>
    <definedName name="åkonfvrvea" localSheetId="10">#REF!</definedName>
    <definedName name="åkonfvrvea" localSheetId="13">#REF!</definedName>
    <definedName name="åkonfvrvea" localSheetId="7">#REF!</definedName>
    <definedName name="åkonfvrvea" localSheetId="8">#REF!</definedName>
    <definedName name="åkonfvrvea" localSheetId="6">#REF!</definedName>
    <definedName name="åkonfvrvea" localSheetId="22">#REF!</definedName>
    <definedName name="åkonfvrvea" localSheetId="21">#REF!</definedName>
    <definedName name="åkonfvrvea" localSheetId="9">#REF!</definedName>
    <definedName name="åkonfvrvea" localSheetId="15">#REF!</definedName>
    <definedName name="åkonfvrvea" localSheetId="29">#REF!</definedName>
    <definedName name="åkonfvrvea" localSheetId="11">#REF!</definedName>
    <definedName name="åkonfvrvea">#REF!</definedName>
    <definedName name="åkulbrsfjv" localSheetId="10">'[2]Heat Production'!#REF!</definedName>
    <definedName name="åkulbrsfjv" localSheetId="13">'[2]Heat Production'!#REF!</definedName>
    <definedName name="åkulbrsfjv" localSheetId="7">'[2]Heat Production'!#REF!</definedName>
    <definedName name="åkulbrsfjv" localSheetId="8">'[2]Heat Production'!#REF!</definedName>
    <definedName name="åkulbrsfjv" localSheetId="6">'[2]Heat Production'!#REF!</definedName>
    <definedName name="åkulbrsfjv" localSheetId="22">'[2]Heat Production'!#REF!</definedName>
    <definedName name="åkulbrsfjv" localSheetId="21">'[2]Heat Production'!#REF!</definedName>
    <definedName name="åkulbrsfjv" localSheetId="9">'[2]Heat Production'!#REF!</definedName>
    <definedName name="åkulbrsfjv" localSheetId="15">'[2]Heat Production'!#REF!</definedName>
    <definedName name="åkulbrsfjv" localSheetId="29">'[2]Heat Production'!#REF!</definedName>
    <definedName name="åkulbrsfjv" localSheetId="11">'[2]Heat Production'!#REF!</definedName>
    <definedName name="åkulbrsfjv">'[2]Heat Production'!#REF!</definedName>
    <definedName name="ålfittt" localSheetId="10">#REF!</definedName>
    <definedName name="ålfittt" localSheetId="13">#REF!</definedName>
    <definedName name="ålfittt" localSheetId="7">#REF!</definedName>
    <definedName name="ålfittt" localSheetId="8">#REF!</definedName>
    <definedName name="ålfittt" localSheetId="6">#REF!</definedName>
    <definedName name="ålfittt" localSheetId="22">#REF!</definedName>
    <definedName name="ålfittt" localSheetId="21">#REF!</definedName>
    <definedName name="ålfittt" localSheetId="9">#REF!</definedName>
    <definedName name="ålfittt" localSheetId="15">#REF!</definedName>
    <definedName name="ålfittt" localSheetId="29">#REF!</definedName>
    <definedName name="ålfittt" localSheetId="11">#REF!</definedName>
    <definedName name="ålfittt">#REF!</definedName>
    <definedName name="ålfuttt" localSheetId="10">#REF!</definedName>
    <definedName name="ålfuttt" localSheetId="13">#REF!</definedName>
    <definedName name="ålfuttt" localSheetId="7">#REF!</definedName>
    <definedName name="ålfuttt" localSheetId="8">#REF!</definedName>
    <definedName name="ålfuttt" localSheetId="6">#REF!</definedName>
    <definedName name="ålfuttt" localSheetId="22">#REF!</definedName>
    <definedName name="ålfuttt" localSheetId="21">#REF!</definedName>
    <definedName name="ålfuttt" localSheetId="9">#REF!</definedName>
    <definedName name="ålfuttt" localSheetId="15">#REF!</definedName>
    <definedName name="ålfuttt" localSheetId="29">#REF!</definedName>
    <definedName name="ålfuttt" localSheetId="11">#REF!</definedName>
    <definedName name="ålfuttt">#REF!</definedName>
    <definedName name="ålpgbrsfjv" localSheetId="10">'[2]Heat Production'!#REF!</definedName>
    <definedName name="ålpgbrsfjv" localSheetId="13">'[2]Heat Production'!#REF!</definedName>
    <definedName name="ålpgbrsfjv" localSheetId="7">'[2]Heat Production'!#REF!</definedName>
    <definedName name="ålpgbrsfjv" localSheetId="8">'[2]Heat Production'!#REF!</definedName>
    <definedName name="ålpgbrsfjv" localSheetId="6">'[2]Heat Production'!#REF!</definedName>
    <definedName name="ålpgbrsfjv" localSheetId="22">'[2]Heat Production'!#REF!</definedName>
    <definedName name="ålpgbrsfjv" localSheetId="21">'[2]Heat Production'!#REF!</definedName>
    <definedName name="ålpgbrsfjv" localSheetId="9">'[2]Heat Production'!#REF!</definedName>
    <definedName name="ålpgbrsfjv" localSheetId="15">'[2]Heat Production'!#REF!</definedName>
    <definedName name="ålpgbrsfjv" localSheetId="29">'[2]Heat Production'!#REF!</definedName>
    <definedName name="ålpgbrsfjv" localSheetId="11">'[2]Heat Production'!#REF!</definedName>
    <definedName name="ålpgbrsfjv">'[2]Heat Production'!#REF!</definedName>
    <definedName name="ålvnbrsfjv" localSheetId="10">'[2]Heat Production'!#REF!</definedName>
    <definedName name="ålvnbrsfjv" localSheetId="13">'[2]Heat Production'!#REF!</definedName>
    <definedName name="ålvnbrsfjv" localSheetId="7">'[2]Heat Production'!#REF!</definedName>
    <definedName name="ålvnbrsfjv" localSheetId="8">'[2]Heat Production'!#REF!</definedName>
    <definedName name="ålvnbrsfjv" localSheetId="6">'[2]Heat Production'!#REF!</definedName>
    <definedName name="ålvnbrsfjv" localSheetId="22">'[2]Heat Production'!#REF!</definedName>
    <definedName name="ålvnbrsfjv" localSheetId="21">'[2]Heat Production'!#REF!</definedName>
    <definedName name="ålvnbrsfjv" localSheetId="9">'[2]Heat Production'!#REF!</definedName>
    <definedName name="ålvnbrsfjv" localSheetId="15">'[2]Heat Production'!#REF!</definedName>
    <definedName name="ålvnbrsfjv" localSheetId="29">'[2]Heat Production'!#REF!</definedName>
    <definedName name="ålvnbrsfjv" localSheetId="11">'[2]Heat Production'!#REF!</definedName>
    <definedName name="ålvnbrsfjv">'[2]Heat Production'!#REF!</definedName>
    <definedName name="ångabrsfjv" localSheetId="10">'[2]Heat Production'!#REF!</definedName>
    <definedName name="ångabrsfjv" localSheetId="13">'[2]Heat Production'!#REF!</definedName>
    <definedName name="ångabrsfjv" localSheetId="7">'[2]Heat Production'!#REF!</definedName>
    <definedName name="ångabrsfjv" localSheetId="8">'[2]Heat Production'!#REF!</definedName>
    <definedName name="ångabrsfjv" localSheetId="6">'[2]Heat Production'!#REF!</definedName>
    <definedName name="ångabrsfjv" localSheetId="22">'[2]Heat Production'!#REF!</definedName>
    <definedName name="ångabrsfjv" localSheetId="21">'[2]Heat Production'!#REF!</definedName>
    <definedName name="ångabrsfjv" localSheetId="9">'[2]Heat Production'!#REF!</definedName>
    <definedName name="ångabrsfjv" localSheetId="15">'[2]Heat Production'!#REF!</definedName>
    <definedName name="ångabrsfjv" localSheetId="29">'[2]Heat Production'!#REF!</definedName>
    <definedName name="ångabrsfjv" localSheetId="11">'[2]Heat Production'!#REF!</definedName>
    <definedName name="ångabrsfjv">'[2]Heat Production'!#REF!</definedName>
    <definedName name="åoribrselc" localSheetId="10">'[2]Electricity Production'!#REF!</definedName>
    <definedName name="åoribrselc" localSheetId="13">'[2]Electricity Production'!#REF!</definedName>
    <definedName name="åoribrselc" localSheetId="7">'[2]Electricity Production'!#REF!</definedName>
    <definedName name="åoribrselc" localSheetId="8">'[2]Electricity Production'!#REF!</definedName>
    <definedName name="åoribrselc" localSheetId="6">'[2]Electricity Production'!#REF!</definedName>
    <definedName name="åoribrselc" localSheetId="22">'[2]Electricity Production'!#REF!</definedName>
    <definedName name="åoribrselc" localSheetId="21">'[2]Electricity Production'!#REF!</definedName>
    <definedName name="åoribrselc" localSheetId="9">'[2]Electricity Production'!#REF!</definedName>
    <definedName name="åoribrselc" localSheetId="15">'[2]Electricity Production'!#REF!</definedName>
    <definedName name="åoribrselc" localSheetId="29">'[2]Electricity Production'!#REF!</definedName>
    <definedName name="åoribrselc" localSheetId="11">'[2]Electricity Production'!#REF!</definedName>
    <definedName name="åoribrselc">'[2]Electricity Production'!#REF!</definedName>
    <definedName name="åpkobrsfjv" localSheetId="10">'[2]Heat Production'!#REF!</definedName>
    <definedName name="åpkobrsfjv" localSheetId="13">'[2]Heat Production'!#REF!</definedName>
    <definedName name="åpkobrsfjv" localSheetId="7">'[2]Heat Production'!#REF!</definedName>
    <definedName name="åpkobrsfjv" localSheetId="8">'[2]Heat Production'!#REF!</definedName>
    <definedName name="åpkobrsfjv" localSheetId="6">'[2]Heat Production'!#REF!</definedName>
    <definedName name="åpkobrsfjv" localSheetId="22">'[2]Heat Production'!#REF!</definedName>
    <definedName name="åpkobrsfjv" localSheetId="21">'[2]Heat Production'!#REF!</definedName>
    <definedName name="åpkobrsfjv" localSheetId="9">'[2]Heat Production'!#REF!</definedName>
    <definedName name="åpkobrsfjv" localSheetId="15">'[2]Heat Production'!#REF!</definedName>
    <definedName name="åpkobrsfjv" localSheetId="29">'[2]Heat Production'!#REF!</definedName>
    <definedName name="åpkobrsfjv" localSheetId="11">'[2]Heat Production'!#REF!</definedName>
    <definedName name="åpkobrsfjv">'[2]Heat Production'!#REF!</definedName>
    <definedName name="årgabrsfjv" localSheetId="10">'[2]Heat Production'!#REF!</definedName>
    <definedName name="årgabrsfjv" localSheetId="13">'[2]Heat Production'!#REF!</definedName>
    <definedName name="årgabrsfjv" localSheetId="7">'[2]Heat Production'!#REF!</definedName>
    <definedName name="årgabrsfjv" localSheetId="8">'[2]Heat Production'!#REF!</definedName>
    <definedName name="årgabrsfjv" localSheetId="6">'[2]Heat Production'!#REF!</definedName>
    <definedName name="årgabrsfjv" localSheetId="22">'[2]Heat Production'!#REF!</definedName>
    <definedName name="årgabrsfjv" localSheetId="21">'[2]Heat Production'!#REF!</definedName>
    <definedName name="årgabrsfjv" localSheetId="9">'[2]Heat Production'!#REF!</definedName>
    <definedName name="årgabrsfjv" localSheetId="15">'[2]Heat Production'!#REF!</definedName>
    <definedName name="årgabrsfjv" localSheetId="29">'[2]Heat Production'!#REF!</definedName>
    <definedName name="årgabrsfjv" localSheetId="11">'[2]Heat Production'!#REF!</definedName>
    <definedName name="årgabrsfjv">'[2]Heat Production'!#REF!</definedName>
    <definedName name="åsøttt" localSheetId="10">#REF!</definedName>
    <definedName name="åsøttt" localSheetId="13">#REF!</definedName>
    <definedName name="åsøttt" localSheetId="7">#REF!</definedName>
    <definedName name="åsøttt" localSheetId="8">#REF!</definedName>
    <definedName name="åsøttt" localSheetId="6">#REF!</definedName>
    <definedName name="åsøttt" localSheetId="22">#REF!</definedName>
    <definedName name="åsøttt" localSheetId="21">#REF!</definedName>
    <definedName name="åsøttt" localSheetId="9">#REF!</definedName>
    <definedName name="åsøttt" localSheetId="15">#REF!</definedName>
    <definedName name="åsøttt" localSheetId="29">#REF!</definedName>
    <definedName name="åsøttt" localSheetId="11">#REF!</definedName>
    <definedName name="åsøttt">#REF!</definedName>
    <definedName name="åspobrselc" localSheetId="10">'[2]Electricity Production'!#REF!</definedName>
    <definedName name="åspobrselc" localSheetId="13">'[2]Electricity Production'!#REF!</definedName>
    <definedName name="åspobrselc" localSheetId="7">'[2]Electricity Production'!#REF!</definedName>
    <definedName name="åspobrselc" localSheetId="8">'[2]Electricity Production'!#REF!</definedName>
    <definedName name="åspobrselc" localSheetId="6">'[2]Electricity Production'!#REF!</definedName>
    <definedName name="åspobrselc" localSheetId="22">'[2]Electricity Production'!#REF!</definedName>
    <definedName name="åspobrselc" localSheetId="21">'[2]Electricity Production'!#REF!</definedName>
    <definedName name="åspobrselc" localSheetId="9">'[2]Electricity Production'!#REF!</definedName>
    <definedName name="åspobrselc" localSheetId="15">'[2]Electricity Production'!#REF!</definedName>
    <definedName name="åspobrselc" localSheetId="29">'[2]Electricity Production'!#REF!</definedName>
    <definedName name="åspobrselc" localSheetId="11">'[2]Electricity Production'!#REF!</definedName>
    <definedName name="åspobrselc">'[2]Electricity Production'!#REF!</definedName>
    <definedName name="åspobrsfjv" localSheetId="10">'[2]Heat Production'!#REF!</definedName>
    <definedName name="åspobrsfjv" localSheetId="13">'[2]Heat Production'!#REF!</definedName>
    <definedName name="åspobrsfjv" localSheetId="7">'[2]Heat Production'!#REF!</definedName>
    <definedName name="åspobrsfjv" localSheetId="8">'[2]Heat Production'!#REF!</definedName>
    <definedName name="åspobrsfjv" localSheetId="6">'[2]Heat Production'!#REF!</definedName>
    <definedName name="åspobrsfjv" localSheetId="22">'[2]Heat Production'!#REF!</definedName>
    <definedName name="åspobrsfjv" localSheetId="21">'[2]Heat Production'!#REF!</definedName>
    <definedName name="åspobrsfjv" localSheetId="9">'[2]Heat Production'!#REF!</definedName>
    <definedName name="åspobrsfjv" localSheetId="15">'[2]Heat Production'!#REF!</definedName>
    <definedName name="åspobrsfjv" localSheetId="29">'[2]Heat Production'!#REF!</definedName>
    <definedName name="åspobrsfjv" localSheetId="11">'[2]Heat Production'!#REF!</definedName>
    <definedName name="åspobrsfjv">'[2]Heat Production'!#REF!</definedName>
    <definedName name="åtrpelc" localSheetId="10">#REF!</definedName>
    <definedName name="åtrpelc" localSheetId="13">#REF!</definedName>
    <definedName name="åtrpelc" localSheetId="7">#REF!</definedName>
    <definedName name="åtrpelc" localSheetId="8">#REF!</definedName>
    <definedName name="åtrpelc" localSheetId="6">#REF!</definedName>
    <definedName name="åtrpelc" localSheetId="22">#REF!</definedName>
    <definedName name="åtrpelc" localSheetId="21">#REF!</definedName>
    <definedName name="åtrpelc" localSheetId="9">#REF!</definedName>
    <definedName name="åtrpelc" localSheetId="15">#REF!</definedName>
    <definedName name="åtrpelc" localSheetId="29">#REF!</definedName>
    <definedName name="åtrpelc" localSheetId="11">#REF!</definedName>
    <definedName name="åtrpelc">#REF!</definedName>
    <definedName name="åtrpttt" localSheetId="10">#REF!</definedName>
    <definedName name="åtrpttt" localSheetId="13">#REF!</definedName>
    <definedName name="åtrpttt" localSheetId="7">#REF!</definedName>
    <definedName name="åtrpttt" localSheetId="8">#REF!</definedName>
    <definedName name="åtrpttt" localSheetId="6">#REF!</definedName>
    <definedName name="åtrpttt" localSheetId="22">#REF!</definedName>
    <definedName name="åtrpttt" localSheetId="21">#REF!</definedName>
    <definedName name="åtrpttt" localSheetId="9">#REF!</definedName>
    <definedName name="åtrpttt" localSheetId="15">#REF!</definedName>
    <definedName name="åtrpttt" localSheetId="29">#REF!</definedName>
    <definedName name="åtrpttt" localSheetId="11">#REF!</definedName>
    <definedName name="åtrpttt">#REF!</definedName>
    <definedName name="åudvraf" localSheetId="10">'[2]Gross Energy Consumption (obs.)'!#REF!</definedName>
    <definedName name="åudvraf" localSheetId="13">'[2]Gross Energy Consumption (obs.)'!#REF!</definedName>
    <definedName name="åudvraf" localSheetId="7">'[2]Gross Energy Consumption (obs.)'!#REF!</definedName>
    <definedName name="åudvraf" localSheetId="8">'[2]Gross Energy Consumption (obs.)'!#REF!</definedName>
    <definedName name="åudvraf" localSheetId="6">'[2]Gross Energy Consumption (obs.)'!#REF!</definedName>
    <definedName name="åudvraf" localSheetId="22">'[2]Gross Energy Consumption (obs.)'!#REF!</definedName>
    <definedName name="åudvraf" localSheetId="21">'[2]Gross Energy Consumption (obs.)'!#REF!</definedName>
    <definedName name="åudvraf" localSheetId="9">'[2]Gross Energy Consumption (obs.)'!#REF!</definedName>
    <definedName name="åudvraf" localSheetId="15">'[2]Gross Energy Consumption (obs.)'!#REF!</definedName>
    <definedName name="åudvraf" localSheetId="29">'[2]Gross Energy Consumption (obs.)'!#REF!</definedName>
    <definedName name="åudvraf" localSheetId="11">'[2]Gross Energy Consumption (obs.)'!#REF!</definedName>
    <definedName name="åudvraf">'[2]Gross Energy Consumption (obs.)'!#REF!</definedName>
    <definedName name="åvejttt" localSheetId="10">#REF!</definedName>
    <definedName name="åvejttt" localSheetId="13">#REF!</definedName>
    <definedName name="åvejttt" localSheetId="7">#REF!</definedName>
    <definedName name="åvejttt" localSheetId="8">#REF!</definedName>
    <definedName name="åvejttt" localSheetId="6">#REF!</definedName>
    <definedName name="åvejttt" localSheetId="22">#REF!</definedName>
    <definedName name="åvejttt" localSheetId="21">#REF!</definedName>
    <definedName name="åvejttt" localSheetId="9">#REF!</definedName>
    <definedName name="åvejttt" localSheetId="15">#REF!</definedName>
    <definedName name="åvejttt" localSheetId="29">#REF!</definedName>
    <definedName name="åvejttt" localSheetId="11">#REF!</definedName>
    <definedName name="åvejttt">#REF!</definedName>
    <definedName name="CVEL_RG">[3]EPdata_dk!$A$15:$IV$15</definedName>
    <definedName name="CVFV_RG">[3]EPdata_dk!$A$33:$IV$33</definedName>
    <definedName name="ELBGVKTJY">[3]Rådata!$A$446:$IV$446</definedName>
    <definedName name="elckorr_kurt" localSheetId="10">#REF!</definedName>
    <definedName name="elckorr_kurt" localSheetId="13">#REF!</definedName>
    <definedName name="elckorr_kurt" localSheetId="7">#REF!</definedName>
    <definedName name="elckorr_kurt" localSheetId="8">#REF!</definedName>
    <definedName name="elckorr_kurt" localSheetId="6">#REF!</definedName>
    <definedName name="elckorr_kurt" localSheetId="22">#REF!</definedName>
    <definedName name="elckorr_kurt" localSheetId="21">#REF!</definedName>
    <definedName name="elckorr_kurt" localSheetId="9">#REF!</definedName>
    <definedName name="elckorr_kurt" localSheetId="15">#REF!</definedName>
    <definedName name="elckorr_kurt" localSheetId="29">#REF!</definedName>
    <definedName name="elckorr_kurt" localSheetId="11">#REF!</definedName>
    <definedName name="elckorr_kurt">#REF!</definedName>
    <definedName name="ELDISTTJY">[3]Rådata!$A$447:$IV$447</definedName>
    <definedName name="ELEFGVKTJY">[3]EPdata_dk!$A$273:$IV$273</definedName>
    <definedName name="ELERAFTJY">[3]EPdata_dk!$A$266:$IV$266</definedName>
    <definedName name="ELFJVKTJY">[3]Rådata!$A$445:$IV$445</definedName>
    <definedName name="ELIMKORR_F">[1]Rådata!$A$7:$IV$7</definedName>
    <definedName name="ELIMKORR_KUVH">[1]Rådata!$A$10:$IV$10</definedName>
    <definedName name="ELIMKORR_NG">[1]Rådata!$A$9:$IV$9</definedName>
    <definedName name="ELIMKORR_ORI">[1]Rådata!$A$8:$IV$8</definedName>
    <definedName name="ELRAFFTJY">[3]Rådata!$A$444:$IV$444</definedName>
    <definedName name="EUFRVKJY_RG">[3]Rådata!$B$192:$IV$192</definedName>
    <definedName name="EUGSVKJY_RG">[3]Rådata!$B$191:$IV$191</definedName>
    <definedName name="FID_1">[4]AGR_Fuels!$A$2</definedName>
    <definedName name="FJFV_RG">[3]EPdata_dk!$A$77:$IV$77</definedName>
    <definedName name="fjvkorr_kurt" localSheetId="10">#REF!</definedName>
    <definedName name="fjvkorr_kurt" localSheetId="13">#REF!</definedName>
    <definedName name="fjvkorr_kurt" localSheetId="7">#REF!</definedName>
    <definedName name="fjvkorr_kurt" localSheetId="8">#REF!</definedName>
    <definedName name="fjvkorr_kurt" localSheetId="6">#REF!</definedName>
    <definedName name="fjvkorr_kurt" localSheetId="22">#REF!</definedName>
    <definedName name="fjvkorr_kurt" localSheetId="21">#REF!</definedName>
    <definedName name="fjvkorr_kurt" localSheetId="9">#REF!</definedName>
    <definedName name="fjvkorr_kurt" localSheetId="15">#REF!</definedName>
    <definedName name="fjvkorr_kurt" localSheetId="29">#REF!</definedName>
    <definedName name="fjvkorr_kurt" localSheetId="11">#REF!</definedName>
    <definedName name="fjvkorr_kurt">#REF!</definedName>
    <definedName name="FVPRRFTJY">[3]Rådata!$A$468:$IV$468</definedName>
    <definedName name="HTML_CodePage" hidden="1">1252</definedName>
    <definedName name="HTML_Control" localSheetId="10" hidden="1">{"'Ark1'!$A$8:$M$33"}</definedName>
    <definedName name="HTML_Control" localSheetId="13" hidden="1">{"'Ark1'!$A$8:$M$33"}</definedName>
    <definedName name="HTML_Control" localSheetId="7" hidden="1">{"'Ark1'!$A$8:$M$33"}</definedName>
    <definedName name="HTML_Control" localSheetId="8" hidden="1">{"'Ark1'!$A$8:$M$33"}</definedName>
    <definedName name="HTML_Control" localSheetId="6" hidden="1">{"'Ark1'!$A$8:$M$33"}</definedName>
    <definedName name="HTML_Control" localSheetId="22" hidden="1">{"'Ark1'!$A$8:$M$33"}</definedName>
    <definedName name="HTML_Control" localSheetId="21" hidden="1">{"'Ark1'!$A$8:$M$33"}</definedName>
    <definedName name="HTML_Control" localSheetId="9" hidden="1">{"'Ark1'!$A$8:$M$33"}</definedName>
    <definedName name="HTML_Control" localSheetId="15" hidden="1">{"'Ark1'!$A$8:$M$33"}</definedName>
    <definedName name="HTML_Control" localSheetId="29" hidden="1">{"'Ark1'!$A$8:$M$33"}</definedName>
    <definedName name="HTML_Control" localSheetId="11" hidden="1">{"'Ark1'!$A$8:$M$33"}</definedName>
    <definedName name="HTML_Control" hidden="1">{"'Ark1'!$A$8:$M$33"}</definedName>
    <definedName name="HTML_Control_1" hidden="1">{"'Ark1'!$A$8:$M$33"}</definedName>
    <definedName name="HTML_Control_1_1" hidden="1">{"'Ark1'!$A$8:$M$33"}</definedName>
    <definedName name="HTML_Control_1_1_1" hidden="1">{"'Ark1'!$A$8:$M$33"}</definedName>
    <definedName name="HTML_Control_1_1_1_1" hidden="1">{"'Ark1'!$A$8:$M$33"}</definedName>
    <definedName name="HTML_Control_1_1_1_1_1" hidden="1">{"'Ark1'!$A$8:$M$33"}</definedName>
    <definedName name="HTML_Control_1_1_1_2" hidden="1">{"'Ark1'!$A$8:$M$33"}</definedName>
    <definedName name="HTML_Control_1_1_1_3" hidden="1">{"'Ark1'!$A$8:$M$33"}</definedName>
    <definedName name="HTML_Control_1_1_1_4" hidden="1">{"'Ark1'!$A$8:$M$33"}</definedName>
    <definedName name="HTML_Control_1_1_2" hidden="1">{"'Ark1'!$A$8:$M$33"}</definedName>
    <definedName name="HTML_Control_1_1_2_1" hidden="1">{"'Ark1'!$A$8:$M$33"}</definedName>
    <definedName name="HTML_Control_1_1_2_2" hidden="1">{"'Ark1'!$A$8:$M$33"}</definedName>
    <definedName name="HTML_Control_1_1_2_3" hidden="1">{"'Ark1'!$A$8:$M$33"}</definedName>
    <definedName name="HTML_Control_1_1_2_4" hidden="1">{"'Ark1'!$A$8:$M$33"}</definedName>
    <definedName name="HTML_Control_1_1_3" hidden="1">{"'Ark1'!$A$8:$M$33"}</definedName>
    <definedName name="HTML_Control_1_1_4" hidden="1">{"'Ark1'!$A$8:$M$33"}</definedName>
    <definedName name="HTML_Control_1_1_5" hidden="1">{"'Ark1'!$A$8:$M$33"}</definedName>
    <definedName name="HTML_Control_1_2" hidden="1">{"'Ark1'!$A$8:$M$33"}</definedName>
    <definedName name="HTML_Control_1_2_1" hidden="1">{"'Ark1'!$A$8:$M$33"}</definedName>
    <definedName name="HTML_Control_1_2_1_1" hidden="1">{"'Ark1'!$A$8:$M$33"}</definedName>
    <definedName name="HTML_Control_1_2_1_1_1" hidden="1">{"'Ark1'!$A$8:$M$33"}</definedName>
    <definedName name="HTML_Control_1_2_1_2" hidden="1">{"'Ark1'!$A$8:$M$33"}</definedName>
    <definedName name="HTML_Control_1_2_1_3" hidden="1">{"'Ark1'!$A$8:$M$33"}</definedName>
    <definedName name="HTML_Control_1_2_1_4" hidden="1">{"'Ark1'!$A$8:$M$33"}</definedName>
    <definedName name="HTML_Control_1_2_2" hidden="1">{"'Ark1'!$A$8:$M$33"}</definedName>
    <definedName name="HTML_Control_1_2_2_1" hidden="1">{"'Ark1'!$A$8:$M$33"}</definedName>
    <definedName name="HTML_Control_1_2_2_2" hidden="1">{"'Ark1'!$A$8:$M$33"}</definedName>
    <definedName name="HTML_Control_1_2_2_3" hidden="1">{"'Ark1'!$A$8:$M$33"}</definedName>
    <definedName name="HTML_Control_1_2_2_4" hidden="1">{"'Ark1'!$A$8:$M$33"}</definedName>
    <definedName name="HTML_Control_1_2_3" hidden="1">{"'Ark1'!$A$8:$M$33"}</definedName>
    <definedName name="HTML_Control_1_2_4" hidden="1">{"'Ark1'!$A$8:$M$33"}</definedName>
    <definedName name="HTML_Control_1_2_5" hidden="1">{"'Ark1'!$A$8:$M$33"}</definedName>
    <definedName name="HTML_Control_1_3" hidden="1">{"'Ark1'!$A$8:$M$33"}</definedName>
    <definedName name="HTML_Control_1_3_1" hidden="1">{"'Ark1'!$A$8:$M$33"}</definedName>
    <definedName name="HTML_Control_1_3_2" hidden="1">{"'Ark1'!$A$8:$M$33"}</definedName>
    <definedName name="HTML_Control_1_3_3" hidden="1">{"'Ark1'!$A$8:$M$33"}</definedName>
    <definedName name="HTML_Control_1_3_4" hidden="1">{"'Ark1'!$A$8:$M$33"}</definedName>
    <definedName name="HTML_Control_1_4" hidden="1">{"'Ark1'!$A$8:$M$33"}</definedName>
    <definedName name="HTML_Control_1_4_1" hidden="1">{"'Ark1'!$A$8:$M$33"}</definedName>
    <definedName name="HTML_Control_1_4_2" hidden="1">{"'Ark1'!$A$8:$M$33"}</definedName>
    <definedName name="HTML_Control_1_4_3" hidden="1">{"'Ark1'!$A$8:$M$33"}</definedName>
    <definedName name="HTML_Control_1_4_4" hidden="1">{"'Ark1'!$A$8:$M$33"}</definedName>
    <definedName name="HTML_Control_1_5" hidden="1">{"'Ark1'!$A$8:$M$33"}</definedName>
    <definedName name="HTML_Control_2" hidden="1">{"'Ark1'!$A$8:$M$33"}</definedName>
    <definedName name="HTML_Control_2_1" hidden="1">{"'Ark1'!$A$8:$M$33"}</definedName>
    <definedName name="HTML_Control_2_1_1" hidden="1">{"'Ark1'!$A$8:$M$33"}</definedName>
    <definedName name="HTML_Control_2_1_1_1" hidden="1">{"'Ark1'!$A$8:$M$33"}</definedName>
    <definedName name="HTML_Control_2_1_1_1_1" hidden="1">{"'Ark1'!$A$8:$M$33"}</definedName>
    <definedName name="HTML_Control_2_1_1_1_1_1" hidden="1">{"'Ark1'!$A$8:$M$33"}</definedName>
    <definedName name="HTML_Control_2_1_1_1_1_1_1" hidden="1">{"'Ark1'!$A$8:$M$33"}</definedName>
    <definedName name="HTML_Control_2_1_1_1_1_1_1_1" hidden="1">{"'Ark1'!$A$8:$M$33"}</definedName>
    <definedName name="HTML_Control_2_1_1_1_1_1_1_1_1" hidden="1">{"'Ark1'!$A$8:$M$33"}</definedName>
    <definedName name="HTML_Control_2_1_1_1_1_1_1_2" hidden="1">{"'Ark1'!$A$8:$M$33"}</definedName>
    <definedName name="HTML_Control_2_1_1_1_1_1_1_3" hidden="1">{"'Ark1'!$A$8:$M$33"}</definedName>
    <definedName name="HTML_Control_2_1_1_1_1_1_1_4" hidden="1">{"'Ark1'!$A$8:$M$33"}</definedName>
    <definedName name="HTML_Control_2_1_1_1_1_1_1_5" hidden="1">{"'Ark1'!$A$8:$M$33"}</definedName>
    <definedName name="HTML_Control_2_1_1_1_1_1_2" hidden="1">{"'Ark1'!$A$8:$M$33"}</definedName>
    <definedName name="HTML_Control_2_1_1_1_1_1_3" hidden="1">{"'Ark1'!$A$8:$M$33"}</definedName>
    <definedName name="HTML_Control_2_1_1_1_1_1_4" hidden="1">{"'Ark1'!$A$8:$M$33"}</definedName>
    <definedName name="HTML_Control_2_1_1_1_1_1_5" hidden="1">{"'Ark1'!$A$8:$M$33"}</definedName>
    <definedName name="HTML_Control_2_1_1_1_1_2" hidden="1">{"'Ark1'!$A$8:$M$33"}</definedName>
    <definedName name="HTML_Control_2_1_1_1_1_2_1" hidden="1">{"'Ark1'!$A$8:$M$33"}</definedName>
    <definedName name="HTML_Control_2_1_1_1_1_2_1_1" hidden="1">{"'Ark1'!$A$8:$M$33"}</definedName>
    <definedName name="HTML_Control_2_1_1_1_1_2_1_2" hidden="1">{"'Ark1'!$A$8:$M$33"}</definedName>
    <definedName name="HTML_Control_2_1_1_1_1_2_1_3" hidden="1">{"'Ark1'!$A$8:$M$33"}</definedName>
    <definedName name="HTML_Control_2_1_1_1_1_2_1_4" hidden="1">{"'Ark1'!$A$8:$M$33"}</definedName>
    <definedName name="HTML_Control_2_1_1_1_1_2_1_5" hidden="1">{"'Ark1'!$A$8:$M$33"}</definedName>
    <definedName name="HTML_Control_2_1_1_1_1_2_2" hidden="1">{"'Ark1'!$A$8:$M$33"}</definedName>
    <definedName name="HTML_Control_2_1_1_1_1_2_3" hidden="1">{"'Ark1'!$A$8:$M$33"}</definedName>
    <definedName name="HTML_Control_2_1_1_1_1_2_4" hidden="1">{"'Ark1'!$A$8:$M$33"}</definedName>
    <definedName name="HTML_Control_2_1_1_1_1_2_5" hidden="1">{"'Ark1'!$A$8:$M$33"}</definedName>
    <definedName name="HTML_Control_2_1_1_1_1_3" hidden="1">{"'Ark1'!$A$8:$M$33"}</definedName>
    <definedName name="HTML_Control_2_1_1_1_1_3_1" hidden="1">{"'Ark1'!$A$8:$M$33"}</definedName>
    <definedName name="HTML_Control_2_1_1_1_1_3_2" hidden="1">{"'Ark1'!$A$8:$M$33"}</definedName>
    <definedName name="HTML_Control_2_1_1_1_1_3_3" hidden="1">{"'Ark1'!$A$8:$M$33"}</definedName>
    <definedName name="HTML_Control_2_1_1_1_1_3_4" hidden="1">{"'Ark1'!$A$8:$M$33"}</definedName>
    <definedName name="HTML_Control_2_1_1_1_1_3_5" hidden="1">{"'Ark1'!$A$8:$M$33"}</definedName>
    <definedName name="HTML_Control_2_1_1_1_1_4" hidden="1">{"'Ark1'!$A$8:$M$33"}</definedName>
    <definedName name="HTML_Control_2_1_1_1_1_5" hidden="1">{"'Ark1'!$A$8:$M$33"}</definedName>
    <definedName name="HTML_Control_2_1_1_1_2" hidden="1">{"'Ark1'!$A$8:$M$33"}</definedName>
    <definedName name="HTML_Control_2_1_1_1_2_1" hidden="1">{"'Ark1'!$A$8:$M$33"}</definedName>
    <definedName name="HTML_Control_2_1_1_1_2_1_1" hidden="1">{"'Ark1'!$A$8:$M$33"}</definedName>
    <definedName name="HTML_Control_2_1_1_1_2_1_2" hidden="1">{"'Ark1'!$A$8:$M$33"}</definedName>
    <definedName name="HTML_Control_2_1_1_1_2_1_3" hidden="1">{"'Ark1'!$A$8:$M$33"}</definedName>
    <definedName name="HTML_Control_2_1_1_1_2_1_4" hidden="1">{"'Ark1'!$A$8:$M$33"}</definedName>
    <definedName name="HTML_Control_2_1_1_1_2_1_5" hidden="1">{"'Ark1'!$A$8:$M$33"}</definedName>
    <definedName name="HTML_Control_2_1_1_1_2_2" hidden="1">{"'Ark1'!$A$8:$M$33"}</definedName>
    <definedName name="HTML_Control_2_1_1_1_2_3" hidden="1">{"'Ark1'!$A$8:$M$33"}</definedName>
    <definedName name="HTML_Control_2_1_1_1_2_4" hidden="1">{"'Ark1'!$A$8:$M$33"}</definedName>
    <definedName name="HTML_Control_2_1_1_1_2_5" hidden="1">{"'Ark1'!$A$8:$M$33"}</definedName>
    <definedName name="HTML_Control_2_1_1_1_3" hidden="1">{"'Ark1'!$A$8:$M$33"}</definedName>
    <definedName name="HTML_Control_2_1_1_1_3_1" hidden="1">{"'Ark1'!$A$8:$M$33"}</definedName>
    <definedName name="HTML_Control_2_1_1_1_3_1_1" hidden="1">{"'Ark1'!$A$8:$M$33"}</definedName>
    <definedName name="HTML_Control_2_1_1_1_3_1_2" hidden="1">{"'Ark1'!$A$8:$M$33"}</definedName>
    <definedName name="HTML_Control_2_1_1_1_3_1_3" hidden="1">{"'Ark1'!$A$8:$M$33"}</definedName>
    <definedName name="HTML_Control_2_1_1_1_3_1_4" hidden="1">{"'Ark1'!$A$8:$M$33"}</definedName>
    <definedName name="HTML_Control_2_1_1_1_3_1_5" hidden="1">{"'Ark1'!$A$8:$M$33"}</definedName>
    <definedName name="HTML_Control_2_1_1_1_3_2" hidden="1">{"'Ark1'!$A$8:$M$33"}</definedName>
    <definedName name="HTML_Control_2_1_1_1_3_3" hidden="1">{"'Ark1'!$A$8:$M$33"}</definedName>
    <definedName name="HTML_Control_2_1_1_1_3_4" hidden="1">{"'Ark1'!$A$8:$M$33"}</definedName>
    <definedName name="HTML_Control_2_1_1_1_3_5" hidden="1">{"'Ark1'!$A$8:$M$33"}</definedName>
    <definedName name="HTML_Control_2_1_1_1_4" hidden="1">{"'Ark1'!$A$8:$M$33"}</definedName>
    <definedName name="HTML_Control_2_1_1_1_4_1" hidden="1">{"'Ark1'!$A$8:$M$33"}</definedName>
    <definedName name="HTML_Control_2_1_1_1_4_2" hidden="1">{"'Ark1'!$A$8:$M$33"}</definedName>
    <definedName name="HTML_Control_2_1_1_1_4_3" hidden="1">{"'Ark1'!$A$8:$M$33"}</definedName>
    <definedName name="HTML_Control_2_1_1_1_4_4" hidden="1">{"'Ark1'!$A$8:$M$33"}</definedName>
    <definedName name="HTML_Control_2_1_1_1_4_5" hidden="1">{"'Ark1'!$A$8:$M$33"}</definedName>
    <definedName name="HTML_Control_2_1_1_1_5" hidden="1">{"'Ark1'!$A$8:$M$33"}</definedName>
    <definedName name="HTML_Control_2_1_1_2" hidden="1">{"'Ark1'!$A$8:$M$33"}</definedName>
    <definedName name="HTML_Control_2_1_1_2_1" hidden="1">{"'Ark1'!$A$8:$M$33"}</definedName>
    <definedName name="HTML_Control_2_1_1_2_1_1" hidden="1">{"'Ark1'!$A$8:$M$33"}</definedName>
    <definedName name="HTML_Control_2_1_1_2_1_1_1" hidden="1">{"'Ark1'!$A$8:$M$33"}</definedName>
    <definedName name="HTML_Control_2_1_1_2_1_1_1_1" hidden="1">{"'Ark1'!$A$8:$M$33"}</definedName>
    <definedName name="HTML_Control_2_1_1_2_1_1_1_2" hidden="1">{"'Ark1'!$A$8:$M$33"}</definedName>
    <definedName name="HTML_Control_2_1_1_2_1_1_1_3" hidden="1">{"'Ark1'!$A$8:$M$33"}</definedName>
    <definedName name="HTML_Control_2_1_1_2_1_1_1_4" hidden="1">{"'Ark1'!$A$8:$M$33"}</definedName>
    <definedName name="HTML_Control_2_1_1_2_1_1_1_5" hidden="1">{"'Ark1'!$A$8:$M$33"}</definedName>
    <definedName name="HTML_Control_2_1_1_2_1_1_2" hidden="1">{"'Ark1'!$A$8:$M$33"}</definedName>
    <definedName name="HTML_Control_2_1_1_2_1_1_3" hidden="1">{"'Ark1'!$A$8:$M$33"}</definedName>
    <definedName name="HTML_Control_2_1_1_2_1_1_4" hidden="1">{"'Ark1'!$A$8:$M$33"}</definedName>
    <definedName name="HTML_Control_2_1_1_2_1_1_5" hidden="1">{"'Ark1'!$A$8:$M$33"}</definedName>
    <definedName name="HTML_Control_2_1_1_2_1_2" hidden="1">{"'Ark1'!$A$8:$M$33"}</definedName>
    <definedName name="HTML_Control_2_1_1_2_1_2_1" hidden="1">{"'Ark1'!$A$8:$M$33"}</definedName>
    <definedName name="HTML_Control_2_1_1_2_1_2_1_1" hidden="1">{"'Ark1'!$A$8:$M$33"}</definedName>
    <definedName name="HTML_Control_2_1_1_2_1_2_1_2" hidden="1">{"'Ark1'!$A$8:$M$33"}</definedName>
    <definedName name="HTML_Control_2_1_1_2_1_2_1_3" hidden="1">{"'Ark1'!$A$8:$M$33"}</definedName>
    <definedName name="HTML_Control_2_1_1_2_1_2_1_4" hidden="1">{"'Ark1'!$A$8:$M$33"}</definedName>
    <definedName name="HTML_Control_2_1_1_2_1_2_1_5" hidden="1">{"'Ark1'!$A$8:$M$33"}</definedName>
    <definedName name="HTML_Control_2_1_1_2_1_2_2" hidden="1">{"'Ark1'!$A$8:$M$33"}</definedName>
    <definedName name="HTML_Control_2_1_1_2_1_2_3" hidden="1">{"'Ark1'!$A$8:$M$33"}</definedName>
    <definedName name="HTML_Control_2_1_1_2_1_2_4" hidden="1">{"'Ark1'!$A$8:$M$33"}</definedName>
    <definedName name="HTML_Control_2_1_1_2_1_2_5" hidden="1">{"'Ark1'!$A$8:$M$33"}</definedName>
    <definedName name="HTML_Control_2_1_1_2_1_3" hidden="1">{"'Ark1'!$A$8:$M$33"}</definedName>
    <definedName name="HTML_Control_2_1_1_2_1_3_1" hidden="1">{"'Ark1'!$A$8:$M$33"}</definedName>
    <definedName name="HTML_Control_2_1_1_2_1_3_2" hidden="1">{"'Ark1'!$A$8:$M$33"}</definedName>
    <definedName name="HTML_Control_2_1_1_2_1_3_3" hidden="1">{"'Ark1'!$A$8:$M$33"}</definedName>
    <definedName name="HTML_Control_2_1_1_2_1_3_4" hidden="1">{"'Ark1'!$A$8:$M$33"}</definedName>
    <definedName name="HTML_Control_2_1_1_2_1_3_5" hidden="1">{"'Ark1'!$A$8:$M$33"}</definedName>
    <definedName name="HTML_Control_2_1_1_2_1_4" hidden="1">{"'Ark1'!$A$8:$M$33"}</definedName>
    <definedName name="HTML_Control_2_1_1_2_1_5" hidden="1">{"'Ark1'!$A$8:$M$33"}</definedName>
    <definedName name="HTML_Control_2_1_1_2_2" hidden="1">{"'Ark1'!$A$8:$M$33"}</definedName>
    <definedName name="HTML_Control_2_1_1_2_2_1" hidden="1">{"'Ark1'!$A$8:$M$33"}</definedName>
    <definedName name="HTML_Control_2_1_1_2_2_1_1" hidden="1">{"'Ark1'!$A$8:$M$33"}</definedName>
    <definedName name="HTML_Control_2_1_1_2_2_1_2" hidden="1">{"'Ark1'!$A$8:$M$33"}</definedName>
    <definedName name="HTML_Control_2_1_1_2_2_1_3" hidden="1">{"'Ark1'!$A$8:$M$33"}</definedName>
    <definedName name="HTML_Control_2_1_1_2_2_1_4" hidden="1">{"'Ark1'!$A$8:$M$33"}</definedName>
    <definedName name="HTML_Control_2_1_1_2_2_1_5" hidden="1">{"'Ark1'!$A$8:$M$33"}</definedName>
    <definedName name="HTML_Control_2_1_1_2_2_2" hidden="1">{"'Ark1'!$A$8:$M$33"}</definedName>
    <definedName name="HTML_Control_2_1_1_2_2_3" hidden="1">{"'Ark1'!$A$8:$M$33"}</definedName>
    <definedName name="HTML_Control_2_1_1_2_2_4" hidden="1">{"'Ark1'!$A$8:$M$33"}</definedName>
    <definedName name="HTML_Control_2_1_1_2_2_5" hidden="1">{"'Ark1'!$A$8:$M$33"}</definedName>
    <definedName name="HTML_Control_2_1_1_2_3" hidden="1">{"'Ark1'!$A$8:$M$33"}</definedName>
    <definedName name="HTML_Control_2_1_1_2_3_1" hidden="1">{"'Ark1'!$A$8:$M$33"}</definedName>
    <definedName name="HTML_Control_2_1_1_2_3_1_1" hidden="1">{"'Ark1'!$A$8:$M$33"}</definedName>
    <definedName name="HTML_Control_2_1_1_2_3_1_2" hidden="1">{"'Ark1'!$A$8:$M$33"}</definedName>
    <definedName name="HTML_Control_2_1_1_2_3_1_3" hidden="1">{"'Ark1'!$A$8:$M$33"}</definedName>
    <definedName name="HTML_Control_2_1_1_2_3_1_4" hidden="1">{"'Ark1'!$A$8:$M$33"}</definedName>
    <definedName name="HTML_Control_2_1_1_2_3_1_5" hidden="1">{"'Ark1'!$A$8:$M$33"}</definedName>
    <definedName name="HTML_Control_2_1_1_2_3_2" hidden="1">{"'Ark1'!$A$8:$M$33"}</definedName>
    <definedName name="HTML_Control_2_1_1_2_3_3" hidden="1">{"'Ark1'!$A$8:$M$33"}</definedName>
    <definedName name="HTML_Control_2_1_1_2_3_4" hidden="1">{"'Ark1'!$A$8:$M$33"}</definedName>
    <definedName name="HTML_Control_2_1_1_2_3_5" hidden="1">{"'Ark1'!$A$8:$M$33"}</definedName>
    <definedName name="HTML_Control_2_1_1_2_4" hidden="1">{"'Ark1'!$A$8:$M$33"}</definedName>
    <definedName name="HTML_Control_2_1_1_2_4_1" hidden="1">{"'Ark1'!$A$8:$M$33"}</definedName>
    <definedName name="HTML_Control_2_1_1_2_4_2" hidden="1">{"'Ark1'!$A$8:$M$33"}</definedName>
    <definedName name="HTML_Control_2_1_1_2_4_3" hidden="1">{"'Ark1'!$A$8:$M$33"}</definedName>
    <definedName name="HTML_Control_2_1_1_2_4_4" hidden="1">{"'Ark1'!$A$8:$M$33"}</definedName>
    <definedName name="HTML_Control_2_1_1_2_4_5" hidden="1">{"'Ark1'!$A$8:$M$33"}</definedName>
    <definedName name="HTML_Control_2_1_1_2_5" hidden="1">{"'Ark1'!$A$8:$M$33"}</definedName>
    <definedName name="HTML_Control_2_1_1_3" hidden="1">{"'Ark1'!$A$8:$M$33"}</definedName>
    <definedName name="HTML_Control_2_1_1_3_1" hidden="1">{"'Ark1'!$A$8:$M$33"}</definedName>
    <definedName name="HTML_Control_2_1_1_3_1_1" hidden="1">{"'Ark1'!$A$8:$M$33"}</definedName>
    <definedName name="HTML_Control_2_1_1_3_1_1_1" hidden="1">{"'Ark1'!$A$8:$M$33"}</definedName>
    <definedName name="HTML_Control_2_1_1_3_1_1_2" hidden="1">{"'Ark1'!$A$8:$M$33"}</definedName>
    <definedName name="HTML_Control_2_1_1_3_1_1_3" hidden="1">{"'Ark1'!$A$8:$M$33"}</definedName>
    <definedName name="HTML_Control_2_1_1_3_1_1_4" hidden="1">{"'Ark1'!$A$8:$M$33"}</definedName>
    <definedName name="HTML_Control_2_1_1_3_1_1_5" hidden="1">{"'Ark1'!$A$8:$M$33"}</definedName>
    <definedName name="HTML_Control_2_1_1_3_1_2" hidden="1">{"'Ark1'!$A$8:$M$33"}</definedName>
    <definedName name="HTML_Control_2_1_1_3_1_3" hidden="1">{"'Ark1'!$A$8:$M$33"}</definedName>
    <definedName name="HTML_Control_2_1_1_3_1_4" hidden="1">{"'Ark1'!$A$8:$M$33"}</definedName>
    <definedName name="HTML_Control_2_1_1_3_1_5" hidden="1">{"'Ark1'!$A$8:$M$33"}</definedName>
    <definedName name="HTML_Control_2_1_1_3_2" hidden="1">{"'Ark1'!$A$8:$M$33"}</definedName>
    <definedName name="HTML_Control_2_1_1_3_2_1" hidden="1">{"'Ark1'!$A$8:$M$33"}</definedName>
    <definedName name="HTML_Control_2_1_1_3_2_1_1" hidden="1">{"'Ark1'!$A$8:$M$33"}</definedName>
    <definedName name="HTML_Control_2_1_1_3_2_1_2" hidden="1">{"'Ark1'!$A$8:$M$33"}</definedName>
    <definedName name="HTML_Control_2_1_1_3_2_1_3" hidden="1">{"'Ark1'!$A$8:$M$33"}</definedName>
    <definedName name="HTML_Control_2_1_1_3_2_1_4" hidden="1">{"'Ark1'!$A$8:$M$33"}</definedName>
    <definedName name="HTML_Control_2_1_1_3_2_1_5" hidden="1">{"'Ark1'!$A$8:$M$33"}</definedName>
    <definedName name="HTML_Control_2_1_1_3_2_2" hidden="1">{"'Ark1'!$A$8:$M$33"}</definedName>
    <definedName name="HTML_Control_2_1_1_3_2_3" hidden="1">{"'Ark1'!$A$8:$M$33"}</definedName>
    <definedName name="HTML_Control_2_1_1_3_2_4" hidden="1">{"'Ark1'!$A$8:$M$33"}</definedName>
    <definedName name="HTML_Control_2_1_1_3_2_5" hidden="1">{"'Ark1'!$A$8:$M$33"}</definedName>
    <definedName name="HTML_Control_2_1_1_3_3" hidden="1">{"'Ark1'!$A$8:$M$33"}</definedName>
    <definedName name="HTML_Control_2_1_1_3_3_1" hidden="1">{"'Ark1'!$A$8:$M$33"}</definedName>
    <definedName name="HTML_Control_2_1_1_3_3_2" hidden="1">{"'Ark1'!$A$8:$M$33"}</definedName>
    <definedName name="HTML_Control_2_1_1_3_3_3" hidden="1">{"'Ark1'!$A$8:$M$33"}</definedName>
    <definedName name="HTML_Control_2_1_1_3_3_4" hidden="1">{"'Ark1'!$A$8:$M$33"}</definedName>
    <definedName name="HTML_Control_2_1_1_3_3_5" hidden="1">{"'Ark1'!$A$8:$M$33"}</definedName>
    <definedName name="HTML_Control_2_1_1_3_4" hidden="1">{"'Ark1'!$A$8:$M$33"}</definedName>
    <definedName name="HTML_Control_2_1_1_3_5" hidden="1">{"'Ark1'!$A$8:$M$33"}</definedName>
    <definedName name="HTML_Control_2_1_1_4" hidden="1">{"'Ark1'!$A$8:$M$33"}</definedName>
    <definedName name="HTML_Control_2_1_1_4_1" hidden="1">{"'Ark1'!$A$8:$M$33"}</definedName>
    <definedName name="HTML_Control_2_1_1_4_1_1" hidden="1">{"'Ark1'!$A$8:$M$33"}</definedName>
    <definedName name="HTML_Control_2_1_1_4_1_2" hidden="1">{"'Ark1'!$A$8:$M$33"}</definedName>
    <definedName name="HTML_Control_2_1_1_4_1_3" hidden="1">{"'Ark1'!$A$8:$M$33"}</definedName>
    <definedName name="HTML_Control_2_1_1_4_1_4" hidden="1">{"'Ark1'!$A$8:$M$33"}</definedName>
    <definedName name="HTML_Control_2_1_1_4_1_5" hidden="1">{"'Ark1'!$A$8:$M$33"}</definedName>
    <definedName name="HTML_Control_2_1_1_4_2" hidden="1">{"'Ark1'!$A$8:$M$33"}</definedName>
    <definedName name="HTML_Control_2_1_1_4_3" hidden="1">{"'Ark1'!$A$8:$M$33"}</definedName>
    <definedName name="HTML_Control_2_1_1_4_4" hidden="1">{"'Ark1'!$A$8:$M$33"}</definedName>
    <definedName name="HTML_Control_2_1_1_4_5" hidden="1">{"'Ark1'!$A$8:$M$33"}</definedName>
    <definedName name="HTML_Control_2_1_1_5" hidden="1">{"'Ark1'!$A$8:$M$33"}</definedName>
    <definedName name="HTML_Control_2_1_1_5_1" hidden="1">{"'Ark1'!$A$8:$M$33"}</definedName>
    <definedName name="HTML_Control_2_1_1_5_1_1" hidden="1">{"'Ark1'!$A$8:$M$33"}</definedName>
    <definedName name="HTML_Control_2_1_1_5_1_2" hidden="1">{"'Ark1'!$A$8:$M$33"}</definedName>
    <definedName name="HTML_Control_2_1_1_5_1_3" hidden="1">{"'Ark1'!$A$8:$M$33"}</definedName>
    <definedName name="HTML_Control_2_1_1_5_1_4" hidden="1">{"'Ark1'!$A$8:$M$33"}</definedName>
    <definedName name="HTML_Control_2_1_1_5_1_5" hidden="1">{"'Ark1'!$A$8:$M$33"}</definedName>
    <definedName name="HTML_Control_2_1_1_5_2" hidden="1">{"'Ark1'!$A$8:$M$33"}</definedName>
    <definedName name="HTML_Control_2_1_1_5_3" hidden="1">{"'Ark1'!$A$8:$M$33"}</definedName>
    <definedName name="HTML_Control_2_1_1_5_4" hidden="1">{"'Ark1'!$A$8:$M$33"}</definedName>
    <definedName name="HTML_Control_2_1_1_5_5" hidden="1">{"'Ark1'!$A$8:$M$33"}</definedName>
    <definedName name="HTML_Control_2_1_2" hidden="1">{"'Ark1'!$A$8:$M$33"}</definedName>
    <definedName name="HTML_Control_2_1_2_1" hidden="1">{"'Ark1'!$A$8:$M$33"}</definedName>
    <definedName name="HTML_Control_2_1_2_1_1" hidden="1">{"'Ark1'!$A$8:$M$33"}</definedName>
    <definedName name="HTML_Control_2_1_2_1_1_1" hidden="1">{"'Ark1'!$A$8:$M$33"}</definedName>
    <definedName name="HTML_Control_2_1_2_1_1_1_1" hidden="1">{"'Ark1'!$A$8:$M$33"}</definedName>
    <definedName name="HTML_Control_2_1_2_1_1_1_1_1" hidden="1">{"'Ark1'!$A$8:$M$33"}</definedName>
    <definedName name="HTML_Control_2_1_2_1_1_1_2" hidden="1">{"'Ark1'!$A$8:$M$33"}</definedName>
    <definedName name="HTML_Control_2_1_2_1_1_1_3" hidden="1">{"'Ark1'!$A$8:$M$33"}</definedName>
    <definedName name="HTML_Control_2_1_2_1_1_1_4" hidden="1">{"'Ark1'!$A$8:$M$33"}</definedName>
    <definedName name="HTML_Control_2_1_2_1_1_1_5" hidden="1">{"'Ark1'!$A$8:$M$33"}</definedName>
    <definedName name="HTML_Control_2_1_2_1_1_2" hidden="1">{"'Ark1'!$A$8:$M$33"}</definedName>
    <definedName name="HTML_Control_2_1_2_1_1_3" hidden="1">{"'Ark1'!$A$8:$M$33"}</definedName>
    <definedName name="HTML_Control_2_1_2_1_1_4" hidden="1">{"'Ark1'!$A$8:$M$33"}</definedName>
    <definedName name="HTML_Control_2_1_2_1_1_5" hidden="1">{"'Ark1'!$A$8:$M$33"}</definedName>
    <definedName name="HTML_Control_2_1_2_1_2" hidden="1">{"'Ark1'!$A$8:$M$33"}</definedName>
    <definedName name="HTML_Control_2_1_2_1_2_1" hidden="1">{"'Ark1'!$A$8:$M$33"}</definedName>
    <definedName name="HTML_Control_2_1_2_1_2_1_1" hidden="1">{"'Ark1'!$A$8:$M$33"}</definedName>
    <definedName name="HTML_Control_2_1_2_1_2_1_2" hidden="1">{"'Ark1'!$A$8:$M$33"}</definedName>
    <definedName name="HTML_Control_2_1_2_1_2_1_3" hidden="1">{"'Ark1'!$A$8:$M$33"}</definedName>
    <definedName name="HTML_Control_2_1_2_1_2_1_4" hidden="1">{"'Ark1'!$A$8:$M$33"}</definedName>
    <definedName name="HTML_Control_2_1_2_1_2_1_5" hidden="1">{"'Ark1'!$A$8:$M$33"}</definedName>
    <definedName name="HTML_Control_2_1_2_1_2_2" hidden="1">{"'Ark1'!$A$8:$M$33"}</definedName>
    <definedName name="HTML_Control_2_1_2_1_2_3" hidden="1">{"'Ark1'!$A$8:$M$33"}</definedName>
    <definedName name="HTML_Control_2_1_2_1_2_4" hidden="1">{"'Ark1'!$A$8:$M$33"}</definedName>
    <definedName name="HTML_Control_2_1_2_1_2_5" hidden="1">{"'Ark1'!$A$8:$M$33"}</definedName>
    <definedName name="HTML_Control_2_1_2_1_3" hidden="1">{"'Ark1'!$A$8:$M$33"}</definedName>
    <definedName name="HTML_Control_2_1_2_1_3_1" hidden="1">{"'Ark1'!$A$8:$M$33"}</definedName>
    <definedName name="HTML_Control_2_1_2_1_3_2" hidden="1">{"'Ark1'!$A$8:$M$33"}</definedName>
    <definedName name="HTML_Control_2_1_2_1_3_3" hidden="1">{"'Ark1'!$A$8:$M$33"}</definedName>
    <definedName name="HTML_Control_2_1_2_1_3_4" hidden="1">{"'Ark1'!$A$8:$M$33"}</definedName>
    <definedName name="HTML_Control_2_1_2_1_3_5" hidden="1">{"'Ark1'!$A$8:$M$33"}</definedName>
    <definedName name="HTML_Control_2_1_2_1_4" hidden="1">{"'Ark1'!$A$8:$M$33"}</definedName>
    <definedName name="HTML_Control_2_1_2_1_5" hidden="1">{"'Ark1'!$A$8:$M$33"}</definedName>
    <definedName name="HTML_Control_2_1_2_2" hidden="1">{"'Ark1'!$A$8:$M$33"}</definedName>
    <definedName name="HTML_Control_2_1_2_2_1" hidden="1">{"'Ark1'!$A$8:$M$33"}</definedName>
    <definedName name="HTML_Control_2_1_2_2_1_1" hidden="1">{"'Ark1'!$A$8:$M$33"}</definedName>
    <definedName name="HTML_Control_2_1_2_2_1_2" hidden="1">{"'Ark1'!$A$8:$M$33"}</definedName>
    <definedName name="HTML_Control_2_1_2_2_1_3" hidden="1">{"'Ark1'!$A$8:$M$33"}</definedName>
    <definedName name="HTML_Control_2_1_2_2_1_4" hidden="1">{"'Ark1'!$A$8:$M$33"}</definedName>
    <definedName name="HTML_Control_2_1_2_2_1_5" hidden="1">{"'Ark1'!$A$8:$M$33"}</definedName>
    <definedName name="HTML_Control_2_1_2_2_2" hidden="1">{"'Ark1'!$A$8:$M$33"}</definedName>
    <definedName name="HTML_Control_2_1_2_2_3" hidden="1">{"'Ark1'!$A$8:$M$33"}</definedName>
    <definedName name="HTML_Control_2_1_2_2_4" hidden="1">{"'Ark1'!$A$8:$M$33"}</definedName>
    <definedName name="HTML_Control_2_1_2_2_5" hidden="1">{"'Ark1'!$A$8:$M$33"}</definedName>
    <definedName name="HTML_Control_2_1_2_3" hidden="1">{"'Ark1'!$A$8:$M$33"}</definedName>
    <definedName name="HTML_Control_2_1_2_3_1" hidden="1">{"'Ark1'!$A$8:$M$33"}</definedName>
    <definedName name="HTML_Control_2_1_2_3_1_1" hidden="1">{"'Ark1'!$A$8:$M$33"}</definedName>
    <definedName name="HTML_Control_2_1_2_3_1_2" hidden="1">{"'Ark1'!$A$8:$M$33"}</definedName>
    <definedName name="HTML_Control_2_1_2_3_1_3" hidden="1">{"'Ark1'!$A$8:$M$33"}</definedName>
    <definedName name="HTML_Control_2_1_2_3_1_4" hidden="1">{"'Ark1'!$A$8:$M$33"}</definedName>
    <definedName name="HTML_Control_2_1_2_3_1_5" hidden="1">{"'Ark1'!$A$8:$M$33"}</definedName>
    <definedName name="HTML_Control_2_1_2_3_2" hidden="1">{"'Ark1'!$A$8:$M$33"}</definedName>
    <definedName name="HTML_Control_2_1_2_3_3" hidden="1">{"'Ark1'!$A$8:$M$33"}</definedName>
    <definedName name="HTML_Control_2_1_2_3_4" hidden="1">{"'Ark1'!$A$8:$M$33"}</definedName>
    <definedName name="HTML_Control_2_1_2_3_5" hidden="1">{"'Ark1'!$A$8:$M$33"}</definedName>
    <definedName name="HTML_Control_2_1_2_4" hidden="1">{"'Ark1'!$A$8:$M$33"}</definedName>
    <definedName name="HTML_Control_2_1_2_4_1" hidden="1">{"'Ark1'!$A$8:$M$33"}</definedName>
    <definedName name="HTML_Control_2_1_2_4_2" hidden="1">{"'Ark1'!$A$8:$M$33"}</definedName>
    <definedName name="HTML_Control_2_1_2_4_3" hidden="1">{"'Ark1'!$A$8:$M$33"}</definedName>
    <definedName name="HTML_Control_2_1_2_4_4" hidden="1">{"'Ark1'!$A$8:$M$33"}</definedName>
    <definedName name="HTML_Control_2_1_2_4_5" hidden="1">{"'Ark1'!$A$8:$M$33"}</definedName>
    <definedName name="HTML_Control_2_1_2_5" hidden="1">{"'Ark1'!$A$8:$M$33"}</definedName>
    <definedName name="HTML_Control_2_1_3" hidden="1">{"'Ark1'!$A$8:$M$33"}</definedName>
    <definedName name="HTML_Control_2_1_3_1" hidden="1">{"'Ark1'!$A$8:$M$33"}</definedName>
    <definedName name="HTML_Control_2_1_3_1_1" hidden="1">{"'Ark1'!$A$8:$M$33"}</definedName>
    <definedName name="HTML_Control_2_1_3_1_1_1" hidden="1">{"'Ark1'!$A$8:$M$33"}</definedName>
    <definedName name="HTML_Control_2_1_3_1_1_1_1" hidden="1">{"'Ark1'!$A$8:$M$33"}</definedName>
    <definedName name="HTML_Control_2_1_3_1_1_1_1_1" hidden="1">{"'Ark1'!$A$8:$M$33"}</definedName>
    <definedName name="HTML_Control_2_1_3_1_1_1_2" hidden="1">{"'Ark1'!$A$8:$M$33"}</definedName>
    <definedName name="HTML_Control_2_1_3_1_1_1_3" hidden="1">{"'Ark1'!$A$8:$M$33"}</definedName>
    <definedName name="HTML_Control_2_1_3_1_1_1_4" hidden="1">{"'Ark1'!$A$8:$M$33"}</definedName>
    <definedName name="HTML_Control_2_1_3_1_1_1_5" hidden="1">{"'Ark1'!$A$8:$M$33"}</definedName>
    <definedName name="HTML_Control_2_1_3_1_1_2" hidden="1">{"'Ark1'!$A$8:$M$33"}</definedName>
    <definedName name="HTML_Control_2_1_3_1_1_3" hidden="1">{"'Ark1'!$A$8:$M$33"}</definedName>
    <definedName name="HTML_Control_2_1_3_1_1_4" hidden="1">{"'Ark1'!$A$8:$M$33"}</definedName>
    <definedName name="HTML_Control_2_1_3_1_1_5" hidden="1">{"'Ark1'!$A$8:$M$33"}</definedName>
    <definedName name="HTML_Control_2_1_3_1_2" hidden="1">{"'Ark1'!$A$8:$M$33"}</definedName>
    <definedName name="HTML_Control_2_1_3_1_2_1" hidden="1">{"'Ark1'!$A$8:$M$33"}</definedName>
    <definedName name="HTML_Control_2_1_3_1_2_1_1" hidden="1">{"'Ark1'!$A$8:$M$33"}</definedName>
    <definedName name="HTML_Control_2_1_3_1_2_1_2" hidden="1">{"'Ark1'!$A$8:$M$33"}</definedName>
    <definedName name="HTML_Control_2_1_3_1_2_1_3" hidden="1">{"'Ark1'!$A$8:$M$33"}</definedName>
    <definedName name="HTML_Control_2_1_3_1_2_1_4" hidden="1">{"'Ark1'!$A$8:$M$33"}</definedName>
    <definedName name="HTML_Control_2_1_3_1_2_1_5" hidden="1">{"'Ark1'!$A$8:$M$33"}</definedName>
    <definedName name="HTML_Control_2_1_3_1_2_2" hidden="1">{"'Ark1'!$A$8:$M$33"}</definedName>
    <definedName name="HTML_Control_2_1_3_1_2_3" hidden="1">{"'Ark1'!$A$8:$M$33"}</definedName>
    <definedName name="HTML_Control_2_1_3_1_2_4" hidden="1">{"'Ark1'!$A$8:$M$33"}</definedName>
    <definedName name="HTML_Control_2_1_3_1_2_5" hidden="1">{"'Ark1'!$A$8:$M$33"}</definedName>
    <definedName name="HTML_Control_2_1_3_1_3" hidden="1">{"'Ark1'!$A$8:$M$33"}</definedName>
    <definedName name="HTML_Control_2_1_3_1_3_1" hidden="1">{"'Ark1'!$A$8:$M$33"}</definedName>
    <definedName name="HTML_Control_2_1_3_1_3_2" hidden="1">{"'Ark1'!$A$8:$M$33"}</definedName>
    <definedName name="HTML_Control_2_1_3_1_3_3" hidden="1">{"'Ark1'!$A$8:$M$33"}</definedName>
    <definedName name="HTML_Control_2_1_3_1_3_4" hidden="1">{"'Ark1'!$A$8:$M$33"}</definedName>
    <definedName name="HTML_Control_2_1_3_1_3_5" hidden="1">{"'Ark1'!$A$8:$M$33"}</definedName>
    <definedName name="HTML_Control_2_1_3_1_4" hidden="1">{"'Ark1'!$A$8:$M$33"}</definedName>
    <definedName name="HTML_Control_2_1_3_1_5" hidden="1">{"'Ark1'!$A$8:$M$33"}</definedName>
    <definedName name="HTML_Control_2_1_3_2" hidden="1">{"'Ark1'!$A$8:$M$33"}</definedName>
    <definedName name="HTML_Control_2_1_3_2_1" hidden="1">{"'Ark1'!$A$8:$M$33"}</definedName>
    <definedName name="HTML_Control_2_1_3_2_1_1" hidden="1">{"'Ark1'!$A$8:$M$33"}</definedName>
    <definedName name="HTML_Control_2_1_3_2_1_2" hidden="1">{"'Ark1'!$A$8:$M$33"}</definedName>
    <definedName name="HTML_Control_2_1_3_2_1_3" hidden="1">{"'Ark1'!$A$8:$M$33"}</definedName>
    <definedName name="HTML_Control_2_1_3_2_1_4" hidden="1">{"'Ark1'!$A$8:$M$33"}</definedName>
    <definedName name="HTML_Control_2_1_3_2_1_5" hidden="1">{"'Ark1'!$A$8:$M$33"}</definedName>
    <definedName name="HTML_Control_2_1_3_2_2" hidden="1">{"'Ark1'!$A$8:$M$33"}</definedName>
    <definedName name="HTML_Control_2_1_3_2_3" hidden="1">{"'Ark1'!$A$8:$M$33"}</definedName>
    <definedName name="HTML_Control_2_1_3_2_4" hidden="1">{"'Ark1'!$A$8:$M$33"}</definedName>
    <definedName name="HTML_Control_2_1_3_2_5" hidden="1">{"'Ark1'!$A$8:$M$33"}</definedName>
    <definedName name="HTML_Control_2_1_3_3" hidden="1">{"'Ark1'!$A$8:$M$33"}</definedName>
    <definedName name="HTML_Control_2_1_3_3_1" hidden="1">{"'Ark1'!$A$8:$M$33"}</definedName>
    <definedName name="HTML_Control_2_1_3_3_1_1" hidden="1">{"'Ark1'!$A$8:$M$33"}</definedName>
    <definedName name="HTML_Control_2_1_3_3_1_2" hidden="1">{"'Ark1'!$A$8:$M$33"}</definedName>
    <definedName name="HTML_Control_2_1_3_3_1_3" hidden="1">{"'Ark1'!$A$8:$M$33"}</definedName>
    <definedName name="HTML_Control_2_1_3_3_1_4" hidden="1">{"'Ark1'!$A$8:$M$33"}</definedName>
    <definedName name="HTML_Control_2_1_3_3_1_5" hidden="1">{"'Ark1'!$A$8:$M$33"}</definedName>
    <definedName name="HTML_Control_2_1_3_3_2" hidden="1">{"'Ark1'!$A$8:$M$33"}</definedName>
    <definedName name="HTML_Control_2_1_3_3_3" hidden="1">{"'Ark1'!$A$8:$M$33"}</definedName>
    <definedName name="HTML_Control_2_1_3_3_4" hidden="1">{"'Ark1'!$A$8:$M$33"}</definedName>
    <definedName name="HTML_Control_2_1_3_3_5" hidden="1">{"'Ark1'!$A$8:$M$33"}</definedName>
    <definedName name="HTML_Control_2_1_3_4" hidden="1">{"'Ark1'!$A$8:$M$33"}</definedName>
    <definedName name="HTML_Control_2_1_3_4_1" hidden="1">{"'Ark1'!$A$8:$M$33"}</definedName>
    <definedName name="HTML_Control_2_1_3_4_2" hidden="1">{"'Ark1'!$A$8:$M$33"}</definedName>
    <definedName name="HTML_Control_2_1_3_4_3" hidden="1">{"'Ark1'!$A$8:$M$33"}</definedName>
    <definedName name="HTML_Control_2_1_3_4_4" hidden="1">{"'Ark1'!$A$8:$M$33"}</definedName>
    <definedName name="HTML_Control_2_1_3_4_5" hidden="1">{"'Ark1'!$A$8:$M$33"}</definedName>
    <definedName name="HTML_Control_2_1_3_5" hidden="1">{"'Ark1'!$A$8:$M$33"}</definedName>
    <definedName name="HTML_Control_2_1_4" hidden="1">{"'Ark1'!$A$8:$M$33"}</definedName>
    <definedName name="HTML_Control_2_1_4_1" hidden="1">{"'Ark1'!$A$8:$M$33"}</definedName>
    <definedName name="HTML_Control_2_1_4_1_1" hidden="1">{"'Ark1'!$A$8:$M$33"}</definedName>
    <definedName name="HTML_Control_2_1_4_1_1_1" hidden="1">{"'Ark1'!$A$8:$M$33"}</definedName>
    <definedName name="HTML_Control_2_1_4_1_1_1_1" hidden="1">{"'Ark1'!$A$8:$M$33"}</definedName>
    <definedName name="HTML_Control_2_1_4_1_1_2" hidden="1">{"'Ark1'!$A$8:$M$33"}</definedName>
    <definedName name="HTML_Control_2_1_4_1_1_3" hidden="1">{"'Ark1'!$A$8:$M$33"}</definedName>
    <definedName name="HTML_Control_2_1_4_1_1_4" hidden="1">{"'Ark1'!$A$8:$M$33"}</definedName>
    <definedName name="HTML_Control_2_1_4_1_1_5" hidden="1">{"'Ark1'!$A$8:$M$33"}</definedName>
    <definedName name="HTML_Control_2_1_4_1_2" hidden="1">{"'Ark1'!$A$8:$M$33"}</definedName>
    <definedName name="HTML_Control_2_1_4_1_3" hidden="1">{"'Ark1'!$A$8:$M$33"}</definedName>
    <definedName name="HTML_Control_2_1_4_1_4" hidden="1">{"'Ark1'!$A$8:$M$33"}</definedName>
    <definedName name="HTML_Control_2_1_4_1_5" hidden="1">{"'Ark1'!$A$8:$M$33"}</definedName>
    <definedName name="HTML_Control_2_1_4_2" hidden="1">{"'Ark1'!$A$8:$M$33"}</definedName>
    <definedName name="HTML_Control_2_1_4_2_1" hidden="1">{"'Ark1'!$A$8:$M$33"}</definedName>
    <definedName name="HTML_Control_2_1_4_2_1_1" hidden="1">{"'Ark1'!$A$8:$M$33"}</definedName>
    <definedName name="HTML_Control_2_1_4_2_1_2" hidden="1">{"'Ark1'!$A$8:$M$33"}</definedName>
    <definedName name="HTML_Control_2_1_4_2_1_3" hidden="1">{"'Ark1'!$A$8:$M$33"}</definedName>
    <definedName name="HTML_Control_2_1_4_2_1_4" hidden="1">{"'Ark1'!$A$8:$M$33"}</definedName>
    <definedName name="HTML_Control_2_1_4_2_1_5" hidden="1">{"'Ark1'!$A$8:$M$33"}</definedName>
    <definedName name="HTML_Control_2_1_4_2_2" hidden="1">{"'Ark1'!$A$8:$M$33"}</definedName>
    <definedName name="HTML_Control_2_1_4_2_3" hidden="1">{"'Ark1'!$A$8:$M$33"}</definedName>
    <definedName name="HTML_Control_2_1_4_2_4" hidden="1">{"'Ark1'!$A$8:$M$33"}</definedName>
    <definedName name="HTML_Control_2_1_4_2_5" hidden="1">{"'Ark1'!$A$8:$M$33"}</definedName>
    <definedName name="HTML_Control_2_1_4_3" hidden="1">{"'Ark1'!$A$8:$M$33"}</definedName>
    <definedName name="HTML_Control_2_1_4_3_1" hidden="1">{"'Ark1'!$A$8:$M$33"}</definedName>
    <definedName name="HTML_Control_2_1_4_3_2" hidden="1">{"'Ark1'!$A$8:$M$33"}</definedName>
    <definedName name="HTML_Control_2_1_4_3_3" hidden="1">{"'Ark1'!$A$8:$M$33"}</definedName>
    <definedName name="HTML_Control_2_1_4_3_4" hidden="1">{"'Ark1'!$A$8:$M$33"}</definedName>
    <definedName name="HTML_Control_2_1_4_3_5" hidden="1">{"'Ark1'!$A$8:$M$33"}</definedName>
    <definedName name="HTML_Control_2_1_4_4" hidden="1">{"'Ark1'!$A$8:$M$33"}</definedName>
    <definedName name="HTML_Control_2_1_4_5" hidden="1">{"'Ark1'!$A$8:$M$33"}</definedName>
    <definedName name="HTML_Control_2_1_5" hidden="1">{"'Ark1'!$A$8:$M$33"}</definedName>
    <definedName name="HTML_Control_2_1_5_1" hidden="1">{"'Ark1'!$A$8:$M$33"}</definedName>
    <definedName name="HTML_Control_2_1_5_1_1" hidden="1">{"'Ark1'!$A$8:$M$33"}</definedName>
    <definedName name="HTML_Control_2_1_5_1_2" hidden="1">{"'Ark1'!$A$8:$M$33"}</definedName>
    <definedName name="HTML_Control_2_1_5_1_3" hidden="1">{"'Ark1'!$A$8:$M$33"}</definedName>
    <definedName name="HTML_Control_2_1_5_1_4" hidden="1">{"'Ark1'!$A$8:$M$33"}</definedName>
    <definedName name="HTML_Control_2_1_5_1_5" hidden="1">{"'Ark1'!$A$8:$M$33"}</definedName>
    <definedName name="HTML_Control_2_1_5_2" hidden="1">{"'Ark1'!$A$8:$M$33"}</definedName>
    <definedName name="HTML_Control_2_1_5_3" hidden="1">{"'Ark1'!$A$8:$M$33"}</definedName>
    <definedName name="HTML_Control_2_1_5_4" hidden="1">{"'Ark1'!$A$8:$M$33"}</definedName>
    <definedName name="HTML_Control_2_1_5_5" hidden="1">{"'Ark1'!$A$8:$M$33"}</definedName>
    <definedName name="HTML_Control_2_2" hidden="1">{"'Ark1'!$A$8:$M$33"}</definedName>
    <definedName name="HTML_Control_2_2_1" hidden="1">{"'Ark1'!$A$8:$M$33"}</definedName>
    <definedName name="HTML_Control_2_2_1_1" hidden="1">{"'Ark1'!$A$8:$M$33"}</definedName>
    <definedName name="HTML_Control_2_2_1_1_1" hidden="1">{"'Ark1'!$A$8:$M$33"}</definedName>
    <definedName name="HTML_Control_2_2_1_1_1_1" hidden="1">{"'Ark1'!$A$8:$M$33"}</definedName>
    <definedName name="HTML_Control_2_2_1_1_1_1_1" hidden="1">{"'Ark1'!$A$8:$M$33"}</definedName>
    <definedName name="HTML_Control_2_2_1_1_1_1_1_1" hidden="1">{"'Ark1'!$A$8:$M$33"}</definedName>
    <definedName name="HTML_Control_2_2_1_1_1_1_2" hidden="1">{"'Ark1'!$A$8:$M$33"}</definedName>
    <definedName name="HTML_Control_2_2_1_1_1_1_3" hidden="1">{"'Ark1'!$A$8:$M$33"}</definedName>
    <definedName name="HTML_Control_2_2_1_1_1_1_4" hidden="1">{"'Ark1'!$A$8:$M$33"}</definedName>
    <definedName name="HTML_Control_2_2_1_1_1_1_5" hidden="1">{"'Ark1'!$A$8:$M$33"}</definedName>
    <definedName name="HTML_Control_2_2_1_1_1_2" hidden="1">{"'Ark1'!$A$8:$M$33"}</definedName>
    <definedName name="HTML_Control_2_2_1_1_1_3" hidden="1">{"'Ark1'!$A$8:$M$33"}</definedName>
    <definedName name="HTML_Control_2_2_1_1_1_4" hidden="1">{"'Ark1'!$A$8:$M$33"}</definedName>
    <definedName name="HTML_Control_2_2_1_1_1_5" hidden="1">{"'Ark1'!$A$8:$M$33"}</definedName>
    <definedName name="HTML_Control_2_2_1_1_2" hidden="1">{"'Ark1'!$A$8:$M$33"}</definedName>
    <definedName name="HTML_Control_2_2_1_1_2_1" hidden="1">{"'Ark1'!$A$8:$M$33"}</definedName>
    <definedName name="HTML_Control_2_2_1_1_2_1_1" hidden="1">{"'Ark1'!$A$8:$M$33"}</definedName>
    <definedName name="HTML_Control_2_2_1_1_2_1_2" hidden="1">{"'Ark1'!$A$8:$M$33"}</definedName>
    <definedName name="HTML_Control_2_2_1_1_2_1_3" hidden="1">{"'Ark1'!$A$8:$M$33"}</definedName>
    <definedName name="HTML_Control_2_2_1_1_2_1_4" hidden="1">{"'Ark1'!$A$8:$M$33"}</definedName>
    <definedName name="HTML_Control_2_2_1_1_2_1_5" hidden="1">{"'Ark1'!$A$8:$M$33"}</definedName>
    <definedName name="HTML_Control_2_2_1_1_2_2" hidden="1">{"'Ark1'!$A$8:$M$33"}</definedName>
    <definedName name="HTML_Control_2_2_1_1_2_3" hidden="1">{"'Ark1'!$A$8:$M$33"}</definedName>
    <definedName name="HTML_Control_2_2_1_1_2_4" hidden="1">{"'Ark1'!$A$8:$M$33"}</definedName>
    <definedName name="HTML_Control_2_2_1_1_2_5" hidden="1">{"'Ark1'!$A$8:$M$33"}</definedName>
    <definedName name="HTML_Control_2_2_1_1_3" hidden="1">{"'Ark1'!$A$8:$M$33"}</definedName>
    <definedName name="HTML_Control_2_2_1_1_3_1" hidden="1">{"'Ark1'!$A$8:$M$33"}</definedName>
    <definedName name="HTML_Control_2_2_1_1_3_2" hidden="1">{"'Ark1'!$A$8:$M$33"}</definedName>
    <definedName name="HTML_Control_2_2_1_1_3_3" hidden="1">{"'Ark1'!$A$8:$M$33"}</definedName>
    <definedName name="HTML_Control_2_2_1_1_3_4" hidden="1">{"'Ark1'!$A$8:$M$33"}</definedName>
    <definedName name="HTML_Control_2_2_1_1_3_5" hidden="1">{"'Ark1'!$A$8:$M$33"}</definedName>
    <definedName name="HTML_Control_2_2_1_1_4" hidden="1">{"'Ark1'!$A$8:$M$33"}</definedName>
    <definedName name="HTML_Control_2_2_1_1_5" hidden="1">{"'Ark1'!$A$8:$M$33"}</definedName>
    <definedName name="HTML_Control_2_2_1_2" hidden="1">{"'Ark1'!$A$8:$M$33"}</definedName>
    <definedName name="HTML_Control_2_2_1_2_1" hidden="1">{"'Ark1'!$A$8:$M$33"}</definedName>
    <definedName name="HTML_Control_2_2_1_2_1_1" hidden="1">{"'Ark1'!$A$8:$M$33"}</definedName>
    <definedName name="HTML_Control_2_2_1_2_1_2" hidden="1">{"'Ark1'!$A$8:$M$33"}</definedName>
    <definedName name="HTML_Control_2_2_1_2_1_3" hidden="1">{"'Ark1'!$A$8:$M$33"}</definedName>
    <definedName name="HTML_Control_2_2_1_2_1_4" hidden="1">{"'Ark1'!$A$8:$M$33"}</definedName>
    <definedName name="HTML_Control_2_2_1_2_1_5" hidden="1">{"'Ark1'!$A$8:$M$33"}</definedName>
    <definedName name="HTML_Control_2_2_1_2_2" hidden="1">{"'Ark1'!$A$8:$M$33"}</definedName>
    <definedName name="HTML_Control_2_2_1_2_3" hidden="1">{"'Ark1'!$A$8:$M$33"}</definedName>
    <definedName name="HTML_Control_2_2_1_2_4" hidden="1">{"'Ark1'!$A$8:$M$33"}</definedName>
    <definedName name="HTML_Control_2_2_1_2_5" hidden="1">{"'Ark1'!$A$8:$M$33"}</definedName>
    <definedName name="HTML_Control_2_2_1_3" hidden="1">{"'Ark1'!$A$8:$M$33"}</definedName>
    <definedName name="HTML_Control_2_2_1_3_1" hidden="1">{"'Ark1'!$A$8:$M$33"}</definedName>
    <definedName name="HTML_Control_2_2_1_3_1_1" hidden="1">{"'Ark1'!$A$8:$M$33"}</definedName>
    <definedName name="HTML_Control_2_2_1_3_1_2" hidden="1">{"'Ark1'!$A$8:$M$33"}</definedName>
    <definedName name="HTML_Control_2_2_1_3_1_3" hidden="1">{"'Ark1'!$A$8:$M$33"}</definedName>
    <definedName name="HTML_Control_2_2_1_3_1_4" hidden="1">{"'Ark1'!$A$8:$M$33"}</definedName>
    <definedName name="HTML_Control_2_2_1_3_1_5" hidden="1">{"'Ark1'!$A$8:$M$33"}</definedName>
    <definedName name="HTML_Control_2_2_1_3_2" hidden="1">{"'Ark1'!$A$8:$M$33"}</definedName>
    <definedName name="HTML_Control_2_2_1_3_3" hidden="1">{"'Ark1'!$A$8:$M$33"}</definedName>
    <definedName name="HTML_Control_2_2_1_3_4" hidden="1">{"'Ark1'!$A$8:$M$33"}</definedName>
    <definedName name="HTML_Control_2_2_1_3_5" hidden="1">{"'Ark1'!$A$8:$M$33"}</definedName>
    <definedName name="HTML_Control_2_2_1_4" hidden="1">{"'Ark1'!$A$8:$M$33"}</definedName>
    <definedName name="HTML_Control_2_2_1_4_1" hidden="1">{"'Ark1'!$A$8:$M$33"}</definedName>
    <definedName name="HTML_Control_2_2_1_4_2" hidden="1">{"'Ark1'!$A$8:$M$33"}</definedName>
    <definedName name="HTML_Control_2_2_1_4_3" hidden="1">{"'Ark1'!$A$8:$M$33"}</definedName>
    <definedName name="HTML_Control_2_2_1_4_4" hidden="1">{"'Ark1'!$A$8:$M$33"}</definedName>
    <definedName name="HTML_Control_2_2_1_4_5" hidden="1">{"'Ark1'!$A$8:$M$33"}</definedName>
    <definedName name="HTML_Control_2_2_1_5" hidden="1">{"'Ark1'!$A$8:$M$33"}</definedName>
    <definedName name="HTML_Control_2_2_2" hidden="1">{"'Ark1'!$A$8:$M$33"}</definedName>
    <definedName name="HTML_Control_2_2_2_1" hidden="1">{"'Ark1'!$A$8:$M$33"}</definedName>
    <definedName name="HTML_Control_2_2_2_1_1" hidden="1">{"'Ark1'!$A$8:$M$33"}</definedName>
    <definedName name="HTML_Control_2_2_2_1_1_1" hidden="1">{"'Ark1'!$A$8:$M$33"}</definedName>
    <definedName name="HTML_Control_2_2_2_1_1_1_1" hidden="1">{"'Ark1'!$A$8:$M$33"}</definedName>
    <definedName name="HTML_Control_2_2_2_1_1_1_1_1" hidden="1">{"'Ark1'!$A$8:$M$33"}</definedName>
    <definedName name="HTML_Control_2_2_2_1_1_1_2" hidden="1">{"'Ark1'!$A$8:$M$33"}</definedName>
    <definedName name="HTML_Control_2_2_2_1_1_1_3" hidden="1">{"'Ark1'!$A$8:$M$33"}</definedName>
    <definedName name="HTML_Control_2_2_2_1_1_1_4" hidden="1">{"'Ark1'!$A$8:$M$33"}</definedName>
    <definedName name="HTML_Control_2_2_2_1_1_1_5" hidden="1">{"'Ark1'!$A$8:$M$33"}</definedName>
    <definedName name="HTML_Control_2_2_2_1_1_2" hidden="1">{"'Ark1'!$A$8:$M$33"}</definedName>
    <definedName name="HTML_Control_2_2_2_1_1_3" hidden="1">{"'Ark1'!$A$8:$M$33"}</definedName>
    <definedName name="HTML_Control_2_2_2_1_1_4" hidden="1">{"'Ark1'!$A$8:$M$33"}</definedName>
    <definedName name="HTML_Control_2_2_2_1_1_5" hidden="1">{"'Ark1'!$A$8:$M$33"}</definedName>
    <definedName name="HTML_Control_2_2_2_1_2" hidden="1">{"'Ark1'!$A$8:$M$33"}</definedName>
    <definedName name="HTML_Control_2_2_2_1_2_1" hidden="1">{"'Ark1'!$A$8:$M$33"}</definedName>
    <definedName name="HTML_Control_2_2_2_1_2_1_1" hidden="1">{"'Ark1'!$A$8:$M$33"}</definedName>
    <definedName name="HTML_Control_2_2_2_1_2_1_2" hidden="1">{"'Ark1'!$A$8:$M$33"}</definedName>
    <definedName name="HTML_Control_2_2_2_1_2_1_3" hidden="1">{"'Ark1'!$A$8:$M$33"}</definedName>
    <definedName name="HTML_Control_2_2_2_1_2_1_4" hidden="1">{"'Ark1'!$A$8:$M$33"}</definedName>
    <definedName name="HTML_Control_2_2_2_1_2_1_5" hidden="1">{"'Ark1'!$A$8:$M$33"}</definedName>
    <definedName name="HTML_Control_2_2_2_1_2_2" hidden="1">{"'Ark1'!$A$8:$M$33"}</definedName>
    <definedName name="HTML_Control_2_2_2_1_2_3" hidden="1">{"'Ark1'!$A$8:$M$33"}</definedName>
    <definedName name="HTML_Control_2_2_2_1_2_4" hidden="1">{"'Ark1'!$A$8:$M$33"}</definedName>
    <definedName name="HTML_Control_2_2_2_1_2_5" hidden="1">{"'Ark1'!$A$8:$M$33"}</definedName>
    <definedName name="HTML_Control_2_2_2_1_3" hidden="1">{"'Ark1'!$A$8:$M$33"}</definedName>
    <definedName name="HTML_Control_2_2_2_1_3_1" hidden="1">{"'Ark1'!$A$8:$M$33"}</definedName>
    <definedName name="HTML_Control_2_2_2_1_3_2" hidden="1">{"'Ark1'!$A$8:$M$33"}</definedName>
    <definedName name="HTML_Control_2_2_2_1_3_3" hidden="1">{"'Ark1'!$A$8:$M$33"}</definedName>
    <definedName name="HTML_Control_2_2_2_1_3_4" hidden="1">{"'Ark1'!$A$8:$M$33"}</definedName>
    <definedName name="HTML_Control_2_2_2_1_3_5" hidden="1">{"'Ark1'!$A$8:$M$33"}</definedName>
    <definedName name="HTML_Control_2_2_2_1_4" hidden="1">{"'Ark1'!$A$8:$M$33"}</definedName>
    <definedName name="HTML_Control_2_2_2_1_5" hidden="1">{"'Ark1'!$A$8:$M$33"}</definedName>
    <definedName name="HTML_Control_2_2_2_2" hidden="1">{"'Ark1'!$A$8:$M$33"}</definedName>
    <definedName name="HTML_Control_2_2_2_2_1" hidden="1">{"'Ark1'!$A$8:$M$33"}</definedName>
    <definedName name="HTML_Control_2_2_2_2_1_1" hidden="1">{"'Ark1'!$A$8:$M$33"}</definedName>
    <definedName name="HTML_Control_2_2_2_2_1_2" hidden="1">{"'Ark1'!$A$8:$M$33"}</definedName>
    <definedName name="HTML_Control_2_2_2_2_1_3" hidden="1">{"'Ark1'!$A$8:$M$33"}</definedName>
    <definedName name="HTML_Control_2_2_2_2_1_4" hidden="1">{"'Ark1'!$A$8:$M$33"}</definedName>
    <definedName name="HTML_Control_2_2_2_2_1_5" hidden="1">{"'Ark1'!$A$8:$M$33"}</definedName>
    <definedName name="HTML_Control_2_2_2_2_2" hidden="1">{"'Ark1'!$A$8:$M$33"}</definedName>
    <definedName name="HTML_Control_2_2_2_2_3" hidden="1">{"'Ark1'!$A$8:$M$33"}</definedName>
    <definedName name="HTML_Control_2_2_2_2_4" hidden="1">{"'Ark1'!$A$8:$M$33"}</definedName>
    <definedName name="HTML_Control_2_2_2_2_5" hidden="1">{"'Ark1'!$A$8:$M$33"}</definedName>
    <definedName name="HTML_Control_2_2_2_3" hidden="1">{"'Ark1'!$A$8:$M$33"}</definedName>
    <definedName name="HTML_Control_2_2_2_3_1" hidden="1">{"'Ark1'!$A$8:$M$33"}</definedName>
    <definedName name="HTML_Control_2_2_2_3_1_1" hidden="1">{"'Ark1'!$A$8:$M$33"}</definedName>
    <definedName name="HTML_Control_2_2_2_3_1_2" hidden="1">{"'Ark1'!$A$8:$M$33"}</definedName>
    <definedName name="HTML_Control_2_2_2_3_1_3" hidden="1">{"'Ark1'!$A$8:$M$33"}</definedName>
    <definedName name="HTML_Control_2_2_2_3_1_4" hidden="1">{"'Ark1'!$A$8:$M$33"}</definedName>
    <definedName name="HTML_Control_2_2_2_3_1_5" hidden="1">{"'Ark1'!$A$8:$M$33"}</definedName>
    <definedName name="HTML_Control_2_2_2_3_2" hidden="1">{"'Ark1'!$A$8:$M$33"}</definedName>
    <definedName name="HTML_Control_2_2_2_3_3" hidden="1">{"'Ark1'!$A$8:$M$33"}</definedName>
    <definedName name="HTML_Control_2_2_2_3_4" hidden="1">{"'Ark1'!$A$8:$M$33"}</definedName>
    <definedName name="HTML_Control_2_2_2_3_5" hidden="1">{"'Ark1'!$A$8:$M$33"}</definedName>
    <definedName name="HTML_Control_2_2_2_4" hidden="1">{"'Ark1'!$A$8:$M$33"}</definedName>
    <definedName name="HTML_Control_2_2_2_4_1" hidden="1">{"'Ark1'!$A$8:$M$33"}</definedName>
    <definedName name="HTML_Control_2_2_2_4_2" hidden="1">{"'Ark1'!$A$8:$M$33"}</definedName>
    <definedName name="HTML_Control_2_2_2_4_3" hidden="1">{"'Ark1'!$A$8:$M$33"}</definedName>
    <definedName name="HTML_Control_2_2_2_4_4" hidden="1">{"'Ark1'!$A$8:$M$33"}</definedName>
    <definedName name="HTML_Control_2_2_2_4_5" hidden="1">{"'Ark1'!$A$8:$M$33"}</definedName>
    <definedName name="HTML_Control_2_2_2_5" hidden="1">{"'Ark1'!$A$8:$M$33"}</definedName>
    <definedName name="HTML_Control_2_2_3" hidden="1">{"'Ark1'!$A$8:$M$33"}</definedName>
    <definedName name="HTML_Control_2_2_3_1" hidden="1">{"'Ark1'!$A$8:$M$33"}</definedName>
    <definedName name="HTML_Control_2_2_3_1_1" hidden="1">{"'Ark1'!$A$8:$M$33"}</definedName>
    <definedName name="HTML_Control_2_2_3_1_1_1" hidden="1">{"'Ark1'!$A$8:$M$33"}</definedName>
    <definedName name="HTML_Control_2_2_3_1_1_1_1" hidden="1">{"'Ark1'!$A$8:$M$33"}</definedName>
    <definedName name="HTML_Control_2_2_3_1_1_2" hidden="1">{"'Ark1'!$A$8:$M$33"}</definedName>
    <definedName name="HTML_Control_2_2_3_1_1_3" hidden="1">{"'Ark1'!$A$8:$M$33"}</definedName>
    <definedName name="HTML_Control_2_2_3_1_1_4" hidden="1">{"'Ark1'!$A$8:$M$33"}</definedName>
    <definedName name="HTML_Control_2_2_3_1_1_5" hidden="1">{"'Ark1'!$A$8:$M$33"}</definedName>
    <definedName name="HTML_Control_2_2_3_1_2" hidden="1">{"'Ark1'!$A$8:$M$33"}</definedName>
    <definedName name="HTML_Control_2_2_3_1_3" hidden="1">{"'Ark1'!$A$8:$M$33"}</definedName>
    <definedName name="HTML_Control_2_2_3_1_4" hidden="1">{"'Ark1'!$A$8:$M$33"}</definedName>
    <definedName name="HTML_Control_2_2_3_1_5" hidden="1">{"'Ark1'!$A$8:$M$33"}</definedName>
    <definedName name="HTML_Control_2_2_3_2" hidden="1">{"'Ark1'!$A$8:$M$33"}</definedName>
    <definedName name="HTML_Control_2_2_3_2_1" hidden="1">{"'Ark1'!$A$8:$M$33"}</definedName>
    <definedName name="HTML_Control_2_2_3_2_1_1" hidden="1">{"'Ark1'!$A$8:$M$33"}</definedName>
    <definedName name="HTML_Control_2_2_3_2_1_2" hidden="1">{"'Ark1'!$A$8:$M$33"}</definedName>
    <definedName name="HTML_Control_2_2_3_2_1_3" hidden="1">{"'Ark1'!$A$8:$M$33"}</definedName>
    <definedName name="HTML_Control_2_2_3_2_1_4" hidden="1">{"'Ark1'!$A$8:$M$33"}</definedName>
    <definedName name="HTML_Control_2_2_3_2_1_5" hidden="1">{"'Ark1'!$A$8:$M$33"}</definedName>
    <definedName name="HTML_Control_2_2_3_2_2" hidden="1">{"'Ark1'!$A$8:$M$33"}</definedName>
    <definedName name="HTML_Control_2_2_3_2_3" hidden="1">{"'Ark1'!$A$8:$M$33"}</definedName>
    <definedName name="HTML_Control_2_2_3_2_4" hidden="1">{"'Ark1'!$A$8:$M$33"}</definedName>
    <definedName name="HTML_Control_2_2_3_2_5" hidden="1">{"'Ark1'!$A$8:$M$33"}</definedName>
    <definedName name="HTML_Control_2_2_3_3" hidden="1">{"'Ark1'!$A$8:$M$33"}</definedName>
    <definedName name="HTML_Control_2_2_3_3_1" hidden="1">{"'Ark1'!$A$8:$M$33"}</definedName>
    <definedName name="HTML_Control_2_2_3_3_2" hidden="1">{"'Ark1'!$A$8:$M$33"}</definedName>
    <definedName name="HTML_Control_2_2_3_3_3" hidden="1">{"'Ark1'!$A$8:$M$33"}</definedName>
    <definedName name="HTML_Control_2_2_3_3_4" hidden="1">{"'Ark1'!$A$8:$M$33"}</definedName>
    <definedName name="HTML_Control_2_2_3_3_5" hidden="1">{"'Ark1'!$A$8:$M$33"}</definedName>
    <definedName name="HTML_Control_2_2_3_4" hidden="1">{"'Ark1'!$A$8:$M$33"}</definedName>
    <definedName name="HTML_Control_2_2_3_5" hidden="1">{"'Ark1'!$A$8:$M$33"}</definedName>
    <definedName name="HTML_Control_2_2_4" hidden="1">{"'Ark1'!$A$8:$M$33"}</definedName>
    <definedName name="HTML_Control_2_2_4_1" hidden="1">{"'Ark1'!$A$8:$M$33"}</definedName>
    <definedName name="HTML_Control_2_2_4_1_1" hidden="1">{"'Ark1'!$A$8:$M$33"}</definedName>
    <definedName name="HTML_Control_2_2_4_1_1_1" hidden="1">{"'Ark1'!$A$8:$M$33"}</definedName>
    <definedName name="HTML_Control_2_2_4_1_2" hidden="1">{"'Ark1'!$A$8:$M$33"}</definedName>
    <definedName name="HTML_Control_2_2_4_1_3" hidden="1">{"'Ark1'!$A$8:$M$33"}</definedName>
    <definedName name="HTML_Control_2_2_4_1_4" hidden="1">{"'Ark1'!$A$8:$M$33"}</definedName>
    <definedName name="HTML_Control_2_2_4_1_5" hidden="1">{"'Ark1'!$A$8:$M$33"}</definedName>
    <definedName name="HTML_Control_2_2_4_2" hidden="1">{"'Ark1'!$A$8:$M$33"}</definedName>
    <definedName name="HTML_Control_2_2_4_3" hidden="1">{"'Ark1'!$A$8:$M$33"}</definedName>
    <definedName name="HTML_Control_2_2_4_4" hidden="1">{"'Ark1'!$A$8:$M$33"}</definedName>
    <definedName name="HTML_Control_2_2_4_5" hidden="1">{"'Ark1'!$A$8:$M$33"}</definedName>
    <definedName name="HTML_Control_2_2_5" hidden="1">{"'Ark1'!$A$8:$M$33"}</definedName>
    <definedName name="HTML_Control_2_2_5_1" hidden="1">{"'Ark1'!$A$8:$M$33"}</definedName>
    <definedName name="HTML_Control_2_2_5_1_1" hidden="1">{"'Ark1'!$A$8:$M$33"}</definedName>
    <definedName name="HTML_Control_2_2_5_1_2" hidden="1">{"'Ark1'!$A$8:$M$33"}</definedName>
    <definedName name="HTML_Control_2_2_5_1_3" hidden="1">{"'Ark1'!$A$8:$M$33"}</definedName>
    <definedName name="HTML_Control_2_2_5_1_4" hidden="1">{"'Ark1'!$A$8:$M$33"}</definedName>
    <definedName name="HTML_Control_2_2_5_1_5" hidden="1">{"'Ark1'!$A$8:$M$33"}</definedName>
    <definedName name="HTML_Control_2_2_5_2" hidden="1">{"'Ark1'!$A$8:$M$33"}</definedName>
    <definedName name="HTML_Control_2_2_5_3" hidden="1">{"'Ark1'!$A$8:$M$33"}</definedName>
    <definedName name="HTML_Control_2_2_5_4" hidden="1">{"'Ark1'!$A$8:$M$33"}</definedName>
    <definedName name="HTML_Control_2_2_5_5" hidden="1">{"'Ark1'!$A$8:$M$33"}</definedName>
    <definedName name="HTML_Control_2_3" hidden="1">{"'Ark1'!$A$8:$M$33"}</definedName>
    <definedName name="HTML_Control_2_3_1" hidden="1">{"'Ark1'!$A$8:$M$33"}</definedName>
    <definedName name="HTML_Control_2_3_1_1" hidden="1">{"'Ark1'!$A$8:$M$33"}</definedName>
    <definedName name="HTML_Control_2_3_1_1_1" hidden="1">{"'Ark1'!$A$8:$M$33"}</definedName>
    <definedName name="HTML_Control_2_3_1_1_1_1" hidden="1">{"'Ark1'!$A$8:$M$33"}</definedName>
    <definedName name="HTML_Control_2_3_1_1_1_1_1" hidden="1">{"'Ark1'!$A$8:$M$33"}</definedName>
    <definedName name="HTML_Control_2_3_1_1_1_2" hidden="1">{"'Ark1'!$A$8:$M$33"}</definedName>
    <definedName name="HTML_Control_2_3_1_1_1_3" hidden="1">{"'Ark1'!$A$8:$M$33"}</definedName>
    <definedName name="HTML_Control_2_3_1_1_1_4" hidden="1">{"'Ark1'!$A$8:$M$33"}</definedName>
    <definedName name="HTML_Control_2_3_1_1_1_5" hidden="1">{"'Ark1'!$A$8:$M$33"}</definedName>
    <definedName name="HTML_Control_2_3_1_1_2" hidden="1">{"'Ark1'!$A$8:$M$33"}</definedName>
    <definedName name="HTML_Control_2_3_1_1_3" hidden="1">{"'Ark1'!$A$8:$M$33"}</definedName>
    <definedName name="HTML_Control_2_3_1_1_4" hidden="1">{"'Ark1'!$A$8:$M$33"}</definedName>
    <definedName name="HTML_Control_2_3_1_1_5" hidden="1">{"'Ark1'!$A$8:$M$33"}</definedName>
    <definedName name="HTML_Control_2_3_1_2" hidden="1">{"'Ark1'!$A$8:$M$33"}</definedName>
    <definedName name="HTML_Control_2_3_1_2_1" hidden="1">{"'Ark1'!$A$8:$M$33"}</definedName>
    <definedName name="HTML_Control_2_3_1_2_1_1" hidden="1">{"'Ark1'!$A$8:$M$33"}</definedName>
    <definedName name="HTML_Control_2_3_1_2_1_2" hidden="1">{"'Ark1'!$A$8:$M$33"}</definedName>
    <definedName name="HTML_Control_2_3_1_2_1_3" hidden="1">{"'Ark1'!$A$8:$M$33"}</definedName>
    <definedName name="HTML_Control_2_3_1_2_1_4" hidden="1">{"'Ark1'!$A$8:$M$33"}</definedName>
    <definedName name="HTML_Control_2_3_1_2_1_5" hidden="1">{"'Ark1'!$A$8:$M$33"}</definedName>
    <definedName name="HTML_Control_2_3_1_2_2" hidden="1">{"'Ark1'!$A$8:$M$33"}</definedName>
    <definedName name="HTML_Control_2_3_1_2_3" hidden="1">{"'Ark1'!$A$8:$M$33"}</definedName>
    <definedName name="HTML_Control_2_3_1_2_4" hidden="1">{"'Ark1'!$A$8:$M$33"}</definedName>
    <definedName name="HTML_Control_2_3_1_2_5" hidden="1">{"'Ark1'!$A$8:$M$33"}</definedName>
    <definedName name="HTML_Control_2_3_1_3" hidden="1">{"'Ark1'!$A$8:$M$33"}</definedName>
    <definedName name="HTML_Control_2_3_1_3_1" hidden="1">{"'Ark1'!$A$8:$M$33"}</definedName>
    <definedName name="HTML_Control_2_3_1_3_2" hidden="1">{"'Ark1'!$A$8:$M$33"}</definedName>
    <definedName name="HTML_Control_2_3_1_3_3" hidden="1">{"'Ark1'!$A$8:$M$33"}</definedName>
    <definedName name="HTML_Control_2_3_1_3_4" hidden="1">{"'Ark1'!$A$8:$M$33"}</definedName>
    <definedName name="HTML_Control_2_3_1_3_5" hidden="1">{"'Ark1'!$A$8:$M$33"}</definedName>
    <definedName name="HTML_Control_2_3_1_4" hidden="1">{"'Ark1'!$A$8:$M$33"}</definedName>
    <definedName name="HTML_Control_2_3_1_5" hidden="1">{"'Ark1'!$A$8:$M$33"}</definedName>
    <definedName name="HTML_Control_2_3_2" hidden="1">{"'Ark1'!$A$8:$M$33"}</definedName>
    <definedName name="HTML_Control_2_3_2_1" hidden="1">{"'Ark1'!$A$8:$M$33"}</definedName>
    <definedName name="HTML_Control_2_3_2_1_1" hidden="1">{"'Ark1'!$A$8:$M$33"}</definedName>
    <definedName name="HTML_Control_2_3_2_1_2" hidden="1">{"'Ark1'!$A$8:$M$33"}</definedName>
    <definedName name="HTML_Control_2_3_2_1_3" hidden="1">{"'Ark1'!$A$8:$M$33"}</definedName>
    <definedName name="HTML_Control_2_3_2_1_4" hidden="1">{"'Ark1'!$A$8:$M$33"}</definedName>
    <definedName name="HTML_Control_2_3_2_1_5" hidden="1">{"'Ark1'!$A$8:$M$33"}</definedName>
    <definedName name="HTML_Control_2_3_2_2" hidden="1">{"'Ark1'!$A$8:$M$33"}</definedName>
    <definedName name="HTML_Control_2_3_2_3" hidden="1">{"'Ark1'!$A$8:$M$33"}</definedName>
    <definedName name="HTML_Control_2_3_2_4" hidden="1">{"'Ark1'!$A$8:$M$33"}</definedName>
    <definedName name="HTML_Control_2_3_2_5" hidden="1">{"'Ark1'!$A$8:$M$33"}</definedName>
    <definedName name="HTML_Control_2_3_3" hidden="1">{"'Ark1'!$A$8:$M$33"}</definedName>
    <definedName name="HTML_Control_2_3_3_1" hidden="1">{"'Ark1'!$A$8:$M$33"}</definedName>
    <definedName name="HTML_Control_2_3_3_1_1" hidden="1">{"'Ark1'!$A$8:$M$33"}</definedName>
    <definedName name="HTML_Control_2_3_3_1_2" hidden="1">{"'Ark1'!$A$8:$M$33"}</definedName>
    <definedName name="HTML_Control_2_3_3_1_3" hidden="1">{"'Ark1'!$A$8:$M$33"}</definedName>
    <definedName name="HTML_Control_2_3_3_1_4" hidden="1">{"'Ark1'!$A$8:$M$33"}</definedName>
    <definedName name="HTML_Control_2_3_3_1_5" hidden="1">{"'Ark1'!$A$8:$M$33"}</definedName>
    <definedName name="HTML_Control_2_3_3_2" hidden="1">{"'Ark1'!$A$8:$M$33"}</definedName>
    <definedName name="HTML_Control_2_3_3_3" hidden="1">{"'Ark1'!$A$8:$M$33"}</definedName>
    <definedName name="HTML_Control_2_3_3_4" hidden="1">{"'Ark1'!$A$8:$M$33"}</definedName>
    <definedName name="HTML_Control_2_3_3_5" hidden="1">{"'Ark1'!$A$8:$M$33"}</definedName>
    <definedName name="HTML_Control_2_3_4" hidden="1">{"'Ark1'!$A$8:$M$33"}</definedName>
    <definedName name="HTML_Control_2_3_4_1" hidden="1">{"'Ark1'!$A$8:$M$33"}</definedName>
    <definedName name="HTML_Control_2_3_4_2" hidden="1">{"'Ark1'!$A$8:$M$33"}</definedName>
    <definedName name="HTML_Control_2_3_4_3" hidden="1">{"'Ark1'!$A$8:$M$33"}</definedName>
    <definedName name="HTML_Control_2_3_4_4" hidden="1">{"'Ark1'!$A$8:$M$33"}</definedName>
    <definedName name="HTML_Control_2_3_4_5" hidden="1">{"'Ark1'!$A$8:$M$33"}</definedName>
    <definedName name="HTML_Control_2_3_5" hidden="1">{"'Ark1'!$A$8:$M$33"}</definedName>
    <definedName name="HTML_Control_2_4" hidden="1">{"'Ark1'!$A$8:$M$33"}</definedName>
    <definedName name="HTML_Control_2_4_1" hidden="1">{"'Ark1'!$A$8:$M$33"}</definedName>
    <definedName name="HTML_Control_2_4_1_1" hidden="1">{"'Ark1'!$A$8:$M$33"}</definedName>
    <definedName name="HTML_Control_2_4_1_1_1" hidden="1">{"'Ark1'!$A$8:$M$33"}</definedName>
    <definedName name="HTML_Control_2_4_1_1_1_1" hidden="1">{"'Ark1'!$A$8:$M$33"}</definedName>
    <definedName name="HTML_Control_2_4_1_1_1_1_1" hidden="1">{"'Ark1'!$A$8:$M$33"}</definedName>
    <definedName name="HTML_Control_2_4_1_1_1_2" hidden="1">{"'Ark1'!$A$8:$M$33"}</definedName>
    <definedName name="HTML_Control_2_4_1_1_1_3" hidden="1">{"'Ark1'!$A$8:$M$33"}</definedName>
    <definedName name="HTML_Control_2_4_1_1_1_4" hidden="1">{"'Ark1'!$A$8:$M$33"}</definedName>
    <definedName name="HTML_Control_2_4_1_1_1_5" hidden="1">{"'Ark1'!$A$8:$M$33"}</definedName>
    <definedName name="HTML_Control_2_4_1_1_2" hidden="1">{"'Ark1'!$A$8:$M$33"}</definedName>
    <definedName name="HTML_Control_2_4_1_1_3" hidden="1">{"'Ark1'!$A$8:$M$33"}</definedName>
    <definedName name="HTML_Control_2_4_1_1_4" hidden="1">{"'Ark1'!$A$8:$M$33"}</definedName>
    <definedName name="HTML_Control_2_4_1_1_5" hidden="1">{"'Ark1'!$A$8:$M$33"}</definedName>
    <definedName name="HTML_Control_2_4_1_2" hidden="1">{"'Ark1'!$A$8:$M$33"}</definedName>
    <definedName name="HTML_Control_2_4_1_2_1" hidden="1">{"'Ark1'!$A$8:$M$33"}</definedName>
    <definedName name="HTML_Control_2_4_1_2_1_1" hidden="1">{"'Ark1'!$A$8:$M$33"}</definedName>
    <definedName name="HTML_Control_2_4_1_2_1_2" hidden="1">{"'Ark1'!$A$8:$M$33"}</definedName>
    <definedName name="HTML_Control_2_4_1_2_1_3" hidden="1">{"'Ark1'!$A$8:$M$33"}</definedName>
    <definedName name="HTML_Control_2_4_1_2_1_4" hidden="1">{"'Ark1'!$A$8:$M$33"}</definedName>
    <definedName name="HTML_Control_2_4_1_2_1_5" hidden="1">{"'Ark1'!$A$8:$M$33"}</definedName>
    <definedName name="HTML_Control_2_4_1_2_2" hidden="1">{"'Ark1'!$A$8:$M$33"}</definedName>
    <definedName name="HTML_Control_2_4_1_2_3" hidden="1">{"'Ark1'!$A$8:$M$33"}</definedName>
    <definedName name="HTML_Control_2_4_1_2_4" hidden="1">{"'Ark1'!$A$8:$M$33"}</definedName>
    <definedName name="HTML_Control_2_4_1_2_5" hidden="1">{"'Ark1'!$A$8:$M$33"}</definedName>
    <definedName name="HTML_Control_2_4_1_3" hidden="1">{"'Ark1'!$A$8:$M$33"}</definedName>
    <definedName name="HTML_Control_2_4_1_3_1" hidden="1">{"'Ark1'!$A$8:$M$33"}</definedName>
    <definedName name="HTML_Control_2_4_1_3_2" hidden="1">{"'Ark1'!$A$8:$M$33"}</definedName>
    <definedName name="HTML_Control_2_4_1_3_3" hidden="1">{"'Ark1'!$A$8:$M$33"}</definedName>
    <definedName name="HTML_Control_2_4_1_3_4" hidden="1">{"'Ark1'!$A$8:$M$33"}</definedName>
    <definedName name="HTML_Control_2_4_1_3_5" hidden="1">{"'Ark1'!$A$8:$M$33"}</definedName>
    <definedName name="HTML_Control_2_4_1_4" hidden="1">{"'Ark1'!$A$8:$M$33"}</definedName>
    <definedName name="HTML_Control_2_4_1_5" hidden="1">{"'Ark1'!$A$8:$M$33"}</definedName>
    <definedName name="HTML_Control_2_4_2" hidden="1">{"'Ark1'!$A$8:$M$33"}</definedName>
    <definedName name="HTML_Control_2_4_2_1" hidden="1">{"'Ark1'!$A$8:$M$33"}</definedName>
    <definedName name="HTML_Control_2_4_2_1_1" hidden="1">{"'Ark1'!$A$8:$M$33"}</definedName>
    <definedName name="HTML_Control_2_4_2_1_2" hidden="1">{"'Ark1'!$A$8:$M$33"}</definedName>
    <definedName name="HTML_Control_2_4_2_1_3" hidden="1">{"'Ark1'!$A$8:$M$33"}</definedName>
    <definedName name="HTML_Control_2_4_2_1_4" hidden="1">{"'Ark1'!$A$8:$M$33"}</definedName>
    <definedName name="HTML_Control_2_4_2_1_5" hidden="1">{"'Ark1'!$A$8:$M$33"}</definedName>
    <definedName name="HTML_Control_2_4_2_2" hidden="1">{"'Ark1'!$A$8:$M$33"}</definedName>
    <definedName name="HTML_Control_2_4_2_3" hidden="1">{"'Ark1'!$A$8:$M$33"}</definedName>
    <definedName name="HTML_Control_2_4_2_4" hidden="1">{"'Ark1'!$A$8:$M$33"}</definedName>
    <definedName name="HTML_Control_2_4_2_5" hidden="1">{"'Ark1'!$A$8:$M$33"}</definedName>
    <definedName name="HTML_Control_2_4_3" hidden="1">{"'Ark1'!$A$8:$M$33"}</definedName>
    <definedName name="HTML_Control_2_4_3_1" hidden="1">{"'Ark1'!$A$8:$M$33"}</definedName>
    <definedName name="HTML_Control_2_4_3_1_1" hidden="1">{"'Ark1'!$A$8:$M$33"}</definedName>
    <definedName name="HTML_Control_2_4_3_1_2" hidden="1">{"'Ark1'!$A$8:$M$33"}</definedName>
    <definedName name="HTML_Control_2_4_3_1_3" hidden="1">{"'Ark1'!$A$8:$M$33"}</definedName>
    <definedName name="HTML_Control_2_4_3_1_4" hidden="1">{"'Ark1'!$A$8:$M$33"}</definedName>
    <definedName name="HTML_Control_2_4_3_1_5" hidden="1">{"'Ark1'!$A$8:$M$33"}</definedName>
    <definedName name="HTML_Control_2_4_3_2" hidden="1">{"'Ark1'!$A$8:$M$33"}</definedName>
    <definedName name="HTML_Control_2_4_3_3" hidden="1">{"'Ark1'!$A$8:$M$33"}</definedName>
    <definedName name="HTML_Control_2_4_3_4" hidden="1">{"'Ark1'!$A$8:$M$33"}</definedName>
    <definedName name="HTML_Control_2_4_3_5" hidden="1">{"'Ark1'!$A$8:$M$33"}</definedName>
    <definedName name="HTML_Control_2_4_4" hidden="1">{"'Ark1'!$A$8:$M$33"}</definedName>
    <definedName name="HTML_Control_2_4_4_1" hidden="1">{"'Ark1'!$A$8:$M$33"}</definedName>
    <definedName name="HTML_Control_2_4_4_2" hidden="1">{"'Ark1'!$A$8:$M$33"}</definedName>
    <definedName name="HTML_Control_2_4_4_3" hidden="1">{"'Ark1'!$A$8:$M$33"}</definedName>
    <definedName name="HTML_Control_2_4_4_4" hidden="1">{"'Ark1'!$A$8:$M$33"}</definedName>
    <definedName name="HTML_Control_2_4_4_5" hidden="1">{"'Ark1'!$A$8:$M$33"}</definedName>
    <definedName name="HTML_Control_2_4_5" hidden="1">{"'Ark1'!$A$8:$M$33"}</definedName>
    <definedName name="HTML_Control_2_5" hidden="1">{"'Ark1'!$A$8:$M$33"}</definedName>
    <definedName name="HTML_Control_2_5_1" hidden="1">{"'Ark1'!$A$8:$M$33"}</definedName>
    <definedName name="HTML_Control_2_5_1_1" hidden="1">{"'Ark1'!$A$8:$M$33"}</definedName>
    <definedName name="HTML_Control_2_5_1_1_1" hidden="1">{"'Ark1'!$A$8:$M$33"}</definedName>
    <definedName name="HTML_Control_2_5_1_1_1_1" hidden="1">{"'Ark1'!$A$8:$M$33"}</definedName>
    <definedName name="HTML_Control_2_5_1_1_2" hidden="1">{"'Ark1'!$A$8:$M$33"}</definedName>
    <definedName name="HTML_Control_2_5_1_1_3" hidden="1">{"'Ark1'!$A$8:$M$33"}</definedName>
    <definedName name="HTML_Control_2_5_1_1_4" hidden="1">{"'Ark1'!$A$8:$M$33"}</definedName>
    <definedName name="HTML_Control_2_5_1_1_5" hidden="1">{"'Ark1'!$A$8:$M$33"}</definedName>
    <definedName name="HTML_Control_2_5_1_2" hidden="1">{"'Ark1'!$A$8:$M$33"}</definedName>
    <definedName name="HTML_Control_2_5_1_3" hidden="1">{"'Ark1'!$A$8:$M$33"}</definedName>
    <definedName name="HTML_Control_2_5_1_4" hidden="1">{"'Ark1'!$A$8:$M$33"}</definedName>
    <definedName name="HTML_Control_2_5_1_5" hidden="1">{"'Ark1'!$A$8:$M$33"}</definedName>
    <definedName name="HTML_Control_2_5_2" hidden="1">{"'Ark1'!$A$8:$M$33"}</definedName>
    <definedName name="HTML_Control_2_5_2_1" hidden="1">{"'Ark1'!$A$8:$M$33"}</definedName>
    <definedName name="HTML_Control_2_5_2_1_1" hidden="1">{"'Ark1'!$A$8:$M$33"}</definedName>
    <definedName name="HTML_Control_2_5_2_1_2" hidden="1">{"'Ark1'!$A$8:$M$33"}</definedName>
    <definedName name="HTML_Control_2_5_2_1_3" hidden="1">{"'Ark1'!$A$8:$M$33"}</definedName>
    <definedName name="HTML_Control_2_5_2_1_4" hidden="1">{"'Ark1'!$A$8:$M$33"}</definedName>
    <definedName name="HTML_Control_2_5_2_1_5" hidden="1">{"'Ark1'!$A$8:$M$33"}</definedName>
    <definedName name="HTML_Control_2_5_2_2" hidden="1">{"'Ark1'!$A$8:$M$33"}</definedName>
    <definedName name="HTML_Control_2_5_2_3" hidden="1">{"'Ark1'!$A$8:$M$33"}</definedName>
    <definedName name="HTML_Control_2_5_2_4" hidden="1">{"'Ark1'!$A$8:$M$33"}</definedName>
    <definedName name="HTML_Control_2_5_2_5" hidden="1">{"'Ark1'!$A$8:$M$33"}</definedName>
    <definedName name="HTML_Control_2_5_3" hidden="1">{"'Ark1'!$A$8:$M$33"}</definedName>
    <definedName name="HTML_Control_2_5_3_1" hidden="1">{"'Ark1'!$A$8:$M$33"}</definedName>
    <definedName name="HTML_Control_2_5_3_2" hidden="1">{"'Ark1'!$A$8:$M$33"}</definedName>
    <definedName name="HTML_Control_2_5_3_3" hidden="1">{"'Ark1'!$A$8:$M$33"}</definedName>
    <definedName name="HTML_Control_2_5_3_4" hidden="1">{"'Ark1'!$A$8:$M$33"}</definedName>
    <definedName name="HTML_Control_2_5_3_5" hidden="1">{"'Ark1'!$A$8:$M$33"}</definedName>
    <definedName name="HTML_Control_2_5_4" hidden="1">{"'Ark1'!$A$8:$M$33"}</definedName>
    <definedName name="HTML_Control_2_5_5" hidden="1">{"'Ark1'!$A$8:$M$33"}</definedName>
    <definedName name="HTML_Control_3" hidden="1">{"'Ark1'!$A$8:$M$33"}</definedName>
    <definedName name="HTML_Control_3_1" hidden="1">{"'Ark1'!$A$8:$M$33"}</definedName>
    <definedName name="HTML_Control_3_1_1" hidden="1">{"'Ark1'!$A$8:$M$33"}</definedName>
    <definedName name="HTML_Control_3_1_1_1" hidden="1">{"'Ark1'!$A$8:$M$33"}</definedName>
    <definedName name="HTML_Control_3_1_1_1_1" hidden="1">{"'Ark1'!$A$8:$M$33"}</definedName>
    <definedName name="HTML_Control_3_1_1_1_1_1" hidden="1">{"'Ark1'!$A$8:$M$33"}</definedName>
    <definedName name="HTML_Control_3_1_1_1_1_1_1" hidden="1">{"'Ark1'!$A$8:$M$33"}</definedName>
    <definedName name="HTML_Control_3_1_1_1_1_1_1_1" hidden="1">{"'Ark1'!$A$8:$M$33"}</definedName>
    <definedName name="HTML_Control_3_1_1_1_1_1_1_1_1" hidden="1">{"'Ark1'!$A$8:$M$33"}</definedName>
    <definedName name="HTML_Control_3_1_1_1_1_1_1_2" hidden="1">{"'Ark1'!$A$8:$M$33"}</definedName>
    <definedName name="HTML_Control_3_1_1_1_1_1_1_3" hidden="1">{"'Ark1'!$A$8:$M$33"}</definedName>
    <definedName name="HTML_Control_3_1_1_1_1_1_1_4" hidden="1">{"'Ark1'!$A$8:$M$33"}</definedName>
    <definedName name="HTML_Control_3_1_1_1_1_1_1_5" hidden="1">{"'Ark1'!$A$8:$M$33"}</definedName>
    <definedName name="HTML_Control_3_1_1_1_1_1_2" hidden="1">{"'Ark1'!$A$8:$M$33"}</definedName>
    <definedName name="HTML_Control_3_1_1_1_1_1_3" hidden="1">{"'Ark1'!$A$8:$M$33"}</definedName>
    <definedName name="HTML_Control_3_1_1_1_1_1_4" hidden="1">{"'Ark1'!$A$8:$M$33"}</definedName>
    <definedName name="HTML_Control_3_1_1_1_1_1_5" hidden="1">{"'Ark1'!$A$8:$M$33"}</definedName>
    <definedName name="HTML_Control_3_1_1_1_1_2" hidden="1">{"'Ark1'!$A$8:$M$33"}</definedName>
    <definedName name="HTML_Control_3_1_1_1_1_2_1" hidden="1">{"'Ark1'!$A$8:$M$33"}</definedName>
    <definedName name="HTML_Control_3_1_1_1_1_2_1_1" hidden="1">{"'Ark1'!$A$8:$M$33"}</definedName>
    <definedName name="HTML_Control_3_1_1_1_1_2_1_2" hidden="1">{"'Ark1'!$A$8:$M$33"}</definedName>
    <definedName name="HTML_Control_3_1_1_1_1_2_1_3" hidden="1">{"'Ark1'!$A$8:$M$33"}</definedName>
    <definedName name="HTML_Control_3_1_1_1_1_2_1_4" hidden="1">{"'Ark1'!$A$8:$M$33"}</definedName>
    <definedName name="HTML_Control_3_1_1_1_1_2_1_5" hidden="1">{"'Ark1'!$A$8:$M$33"}</definedName>
    <definedName name="HTML_Control_3_1_1_1_1_2_2" hidden="1">{"'Ark1'!$A$8:$M$33"}</definedName>
    <definedName name="HTML_Control_3_1_1_1_1_2_3" hidden="1">{"'Ark1'!$A$8:$M$33"}</definedName>
    <definedName name="HTML_Control_3_1_1_1_1_2_4" hidden="1">{"'Ark1'!$A$8:$M$33"}</definedName>
    <definedName name="HTML_Control_3_1_1_1_1_2_5" hidden="1">{"'Ark1'!$A$8:$M$33"}</definedName>
    <definedName name="HTML_Control_3_1_1_1_1_3" hidden="1">{"'Ark1'!$A$8:$M$33"}</definedName>
    <definedName name="HTML_Control_3_1_1_1_1_3_1" hidden="1">{"'Ark1'!$A$8:$M$33"}</definedName>
    <definedName name="HTML_Control_3_1_1_1_1_3_2" hidden="1">{"'Ark1'!$A$8:$M$33"}</definedName>
    <definedName name="HTML_Control_3_1_1_1_1_3_3" hidden="1">{"'Ark1'!$A$8:$M$33"}</definedName>
    <definedName name="HTML_Control_3_1_1_1_1_3_4" hidden="1">{"'Ark1'!$A$8:$M$33"}</definedName>
    <definedName name="HTML_Control_3_1_1_1_1_3_5" hidden="1">{"'Ark1'!$A$8:$M$33"}</definedName>
    <definedName name="HTML_Control_3_1_1_1_1_4" hidden="1">{"'Ark1'!$A$8:$M$33"}</definedName>
    <definedName name="HTML_Control_3_1_1_1_1_5" hidden="1">{"'Ark1'!$A$8:$M$33"}</definedName>
    <definedName name="HTML_Control_3_1_1_1_2" hidden="1">{"'Ark1'!$A$8:$M$33"}</definedName>
    <definedName name="HTML_Control_3_1_1_1_2_1" hidden="1">{"'Ark1'!$A$8:$M$33"}</definedName>
    <definedName name="HTML_Control_3_1_1_1_2_1_1" hidden="1">{"'Ark1'!$A$8:$M$33"}</definedName>
    <definedName name="HTML_Control_3_1_1_1_2_1_2" hidden="1">{"'Ark1'!$A$8:$M$33"}</definedName>
    <definedName name="HTML_Control_3_1_1_1_2_1_3" hidden="1">{"'Ark1'!$A$8:$M$33"}</definedName>
    <definedName name="HTML_Control_3_1_1_1_2_1_4" hidden="1">{"'Ark1'!$A$8:$M$33"}</definedName>
    <definedName name="HTML_Control_3_1_1_1_2_1_5" hidden="1">{"'Ark1'!$A$8:$M$33"}</definedName>
    <definedName name="HTML_Control_3_1_1_1_2_2" hidden="1">{"'Ark1'!$A$8:$M$33"}</definedName>
    <definedName name="HTML_Control_3_1_1_1_2_3" hidden="1">{"'Ark1'!$A$8:$M$33"}</definedName>
    <definedName name="HTML_Control_3_1_1_1_2_4" hidden="1">{"'Ark1'!$A$8:$M$33"}</definedName>
    <definedName name="HTML_Control_3_1_1_1_2_5" hidden="1">{"'Ark1'!$A$8:$M$33"}</definedName>
    <definedName name="HTML_Control_3_1_1_1_3" hidden="1">{"'Ark1'!$A$8:$M$33"}</definedName>
    <definedName name="HTML_Control_3_1_1_1_3_1" hidden="1">{"'Ark1'!$A$8:$M$33"}</definedName>
    <definedName name="HTML_Control_3_1_1_1_3_1_1" hidden="1">{"'Ark1'!$A$8:$M$33"}</definedName>
    <definedName name="HTML_Control_3_1_1_1_3_1_2" hidden="1">{"'Ark1'!$A$8:$M$33"}</definedName>
    <definedName name="HTML_Control_3_1_1_1_3_1_3" hidden="1">{"'Ark1'!$A$8:$M$33"}</definedName>
    <definedName name="HTML_Control_3_1_1_1_3_1_4" hidden="1">{"'Ark1'!$A$8:$M$33"}</definedName>
    <definedName name="HTML_Control_3_1_1_1_3_1_5" hidden="1">{"'Ark1'!$A$8:$M$33"}</definedName>
    <definedName name="HTML_Control_3_1_1_1_3_2" hidden="1">{"'Ark1'!$A$8:$M$33"}</definedName>
    <definedName name="HTML_Control_3_1_1_1_3_3" hidden="1">{"'Ark1'!$A$8:$M$33"}</definedName>
    <definedName name="HTML_Control_3_1_1_1_3_4" hidden="1">{"'Ark1'!$A$8:$M$33"}</definedName>
    <definedName name="HTML_Control_3_1_1_1_3_5" hidden="1">{"'Ark1'!$A$8:$M$33"}</definedName>
    <definedName name="HTML_Control_3_1_1_1_4" hidden="1">{"'Ark1'!$A$8:$M$33"}</definedName>
    <definedName name="HTML_Control_3_1_1_1_4_1" hidden="1">{"'Ark1'!$A$8:$M$33"}</definedName>
    <definedName name="HTML_Control_3_1_1_1_4_2" hidden="1">{"'Ark1'!$A$8:$M$33"}</definedName>
    <definedName name="HTML_Control_3_1_1_1_4_3" hidden="1">{"'Ark1'!$A$8:$M$33"}</definedName>
    <definedName name="HTML_Control_3_1_1_1_4_4" hidden="1">{"'Ark1'!$A$8:$M$33"}</definedName>
    <definedName name="HTML_Control_3_1_1_1_4_5" hidden="1">{"'Ark1'!$A$8:$M$33"}</definedName>
    <definedName name="HTML_Control_3_1_1_1_5" hidden="1">{"'Ark1'!$A$8:$M$33"}</definedName>
    <definedName name="HTML_Control_3_1_1_2" hidden="1">{"'Ark1'!$A$8:$M$33"}</definedName>
    <definedName name="HTML_Control_3_1_1_2_1" hidden="1">{"'Ark1'!$A$8:$M$33"}</definedName>
    <definedName name="HTML_Control_3_1_1_2_1_1" hidden="1">{"'Ark1'!$A$8:$M$33"}</definedName>
    <definedName name="HTML_Control_3_1_1_2_1_1_1" hidden="1">{"'Ark1'!$A$8:$M$33"}</definedName>
    <definedName name="HTML_Control_3_1_1_2_1_1_1_1" hidden="1">{"'Ark1'!$A$8:$M$33"}</definedName>
    <definedName name="HTML_Control_3_1_1_2_1_1_1_2" hidden="1">{"'Ark1'!$A$8:$M$33"}</definedName>
    <definedName name="HTML_Control_3_1_1_2_1_1_1_3" hidden="1">{"'Ark1'!$A$8:$M$33"}</definedName>
    <definedName name="HTML_Control_3_1_1_2_1_1_1_4" hidden="1">{"'Ark1'!$A$8:$M$33"}</definedName>
    <definedName name="HTML_Control_3_1_1_2_1_1_1_5" hidden="1">{"'Ark1'!$A$8:$M$33"}</definedName>
    <definedName name="HTML_Control_3_1_1_2_1_1_2" hidden="1">{"'Ark1'!$A$8:$M$33"}</definedName>
    <definedName name="HTML_Control_3_1_1_2_1_1_3" hidden="1">{"'Ark1'!$A$8:$M$33"}</definedName>
    <definedName name="HTML_Control_3_1_1_2_1_1_4" hidden="1">{"'Ark1'!$A$8:$M$33"}</definedName>
    <definedName name="HTML_Control_3_1_1_2_1_1_5" hidden="1">{"'Ark1'!$A$8:$M$33"}</definedName>
    <definedName name="HTML_Control_3_1_1_2_1_2" hidden="1">{"'Ark1'!$A$8:$M$33"}</definedName>
    <definedName name="HTML_Control_3_1_1_2_1_2_1" hidden="1">{"'Ark1'!$A$8:$M$33"}</definedName>
    <definedName name="HTML_Control_3_1_1_2_1_2_1_1" hidden="1">{"'Ark1'!$A$8:$M$33"}</definedName>
    <definedName name="HTML_Control_3_1_1_2_1_2_1_2" hidden="1">{"'Ark1'!$A$8:$M$33"}</definedName>
    <definedName name="HTML_Control_3_1_1_2_1_2_1_3" hidden="1">{"'Ark1'!$A$8:$M$33"}</definedName>
    <definedName name="HTML_Control_3_1_1_2_1_2_1_4" hidden="1">{"'Ark1'!$A$8:$M$33"}</definedName>
    <definedName name="HTML_Control_3_1_1_2_1_2_1_5" hidden="1">{"'Ark1'!$A$8:$M$33"}</definedName>
    <definedName name="HTML_Control_3_1_1_2_1_2_2" hidden="1">{"'Ark1'!$A$8:$M$33"}</definedName>
    <definedName name="HTML_Control_3_1_1_2_1_2_3" hidden="1">{"'Ark1'!$A$8:$M$33"}</definedName>
    <definedName name="HTML_Control_3_1_1_2_1_2_4" hidden="1">{"'Ark1'!$A$8:$M$33"}</definedName>
    <definedName name="HTML_Control_3_1_1_2_1_2_5" hidden="1">{"'Ark1'!$A$8:$M$33"}</definedName>
    <definedName name="HTML_Control_3_1_1_2_1_3" hidden="1">{"'Ark1'!$A$8:$M$33"}</definedName>
    <definedName name="HTML_Control_3_1_1_2_1_3_1" hidden="1">{"'Ark1'!$A$8:$M$33"}</definedName>
    <definedName name="HTML_Control_3_1_1_2_1_3_2" hidden="1">{"'Ark1'!$A$8:$M$33"}</definedName>
    <definedName name="HTML_Control_3_1_1_2_1_3_3" hidden="1">{"'Ark1'!$A$8:$M$33"}</definedName>
    <definedName name="HTML_Control_3_1_1_2_1_3_4" hidden="1">{"'Ark1'!$A$8:$M$33"}</definedName>
    <definedName name="HTML_Control_3_1_1_2_1_3_5" hidden="1">{"'Ark1'!$A$8:$M$33"}</definedName>
    <definedName name="HTML_Control_3_1_1_2_1_4" hidden="1">{"'Ark1'!$A$8:$M$33"}</definedName>
    <definedName name="HTML_Control_3_1_1_2_1_5" hidden="1">{"'Ark1'!$A$8:$M$33"}</definedName>
    <definedName name="HTML_Control_3_1_1_2_2" hidden="1">{"'Ark1'!$A$8:$M$33"}</definedName>
    <definedName name="HTML_Control_3_1_1_2_2_1" hidden="1">{"'Ark1'!$A$8:$M$33"}</definedName>
    <definedName name="HTML_Control_3_1_1_2_2_1_1" hidden="1">{"'Ark1'!$A$8:$M$33"}</definedName>
    <definedName name="HTML_Control_3_1_1_2_2_1_2" hidden="1">{"'Ark1'!$A$8:$M$33"}</definedName>
    <definedName name="HTML_Control_3_1_1_2_2_1_3" hidden="1">{"'Ark1'!$A$8:$M$33"}</definedName>
    <definedName name="HTML_Control_3_1_1_2_2_1_4" hidden="1">{"'Ark1'!$A$8:$M$33"}</definedName>
    <definedName name="HTML_Control_3_1_1_2_2_1_5" hidden="1">{"'Ark1'!$A$8:$M$33"}</definedName>
    <definedName name="HTML_Control_3_1_1_2_2_2" hidden="1">{"'Ark1'!$A$8:$M$33"}</definedName>
    <definedName name="HTML_Control_3_1_1_2_2_3" hidden="1">{"'Ark1'!$A$8:$M$33"}</definedName>
    <definedName name="HTML_Control_3_1_1_2_2_4" hidden="1">{"'Ark1'!$A$8:$M$33"}</definedName>
    <definedName name="HTML_Control_3_1_1_2_2_5" hidden="1">{"'Ark1'!$A$8:$M$33"}</definedName>
    <definedName name="HTML_Control_3_1_1_2_3" hidden="1">{"'Ark1'!$A$8:$M$33"}</definedName>
    <definedName name="HTML_Control_3_1_1_2_3_1" hidden="1">{"'Ark1'!$A$8:$M$33"}</definedName>
    <definedName name="HTML_Control_3_1_1_2_3_1_1" hidden="1">{"'Ark1'!$A$8:$M$33"}</definedName>
    <definedName name="HTML_Control_3_1_1_2_3_1_2" hidden="1">{"'Ark1'!$A$8:$M$33"}</definedName>
    <definedName name="HTML_Control_3_1_1_2_3_1_3" hidden="1">{"'Ark1'!$A$8:$M$33"}</definedName>
    <definedName name="HTML_Control_3_1_1_2_3_1_4" hidden="1">{"'Ark1'!$A$8:$M$33"}</definedName>
    <definedName name="HTML_Control_3_1_1_2_3_1_5" hidden="1">{"'Ark1'!$A$8:$M$33"}</definedName>
    <definedName name="HTML_Control_3_1_1_2_3_2" hidden="1">{"'Ark1'!$A$8:$M$33"}</definedName>
    <definedName name="HTML_Control_3_1_1_2_3_3" hidden="1">{"'Ark1'!$A$8:$M$33"}</definedName>
    <definedName name="HTML_Control_3_1_1_2_3_4" hidden="1">{"'Ark1'!$A$8:$M$33"}</definedName>
    <definedName name="HTML_Control_3_1_1_2_3_5" hidden="1">{"'Ark1'!$A$8:$M$33"}</definedName>
    <definedName name="HTML_Control_3_1_1_2_4" hidden="1">{"'Ark1'!$A$8:$M$33"}</definedName>
    <definedName name="HTML_Control_3_1_1_2_4_1" hidden="1">{"'Ark1'!$A$8:$M$33"}</definedName>
    <definedName name="HTML_Control_3_1_1_2_4_2" hidden="1">{"'Ark1'!$A$8:$M$33"}</definedName>
    <definedName name="HTML_Control_3_1_1_2_4_3" hidden="1">{"'Ark1'!$A$8:$M$33"}</definedName>
    <definedName name="HTML_Control_3_1_1_2_4_4" hidden="1">{"'Ark1'!$A$8:$M$33"}</definedName>
    <definedName name="HTML_Control_3_1_1_2_4_5" hidden="1">{"'Ark1'!$A$8:$M$33"}</definedName>
    <definedName name="HTML_Control_3_1_1_2_5" hidden="1">{"'Ark1'!$A$8:$M$33"}</definedName>
    <definedName name="HTML_Control_3_1_1_3" hidden="1">{"'Ark1'!$A$8:$M$33"}</definedName>
    <definedName name="HTML_Control_3_1_1_3_1" hidden="1">{"'Ark1'!$A$8:$M$33"}</definedName>
    <definedName name="HTML_Control_3_1_1_3_1_1" hidden="1">{"'Ark1'!$A$8:$M$33"}</definedName>
    <definedName name="HTML_Control_3_1_1_3_1_1_1" hidden="1">{"'Ark1'!$A$8:$M$33"}</definedName>
    <definedName name="HTML_Control_3_1_1_3_1_1_2" hidden="1">{"'Ark1'!$A$8:$M$33"}</definedName>
    <definedName name="HTML_Control_3_1_1_3_1_1_3" hidden="1">{"'Ark1'!$A$8:$M$33"}</definedName>
    <definedName name="HTML_Control_3_1_1_3_1_1_4" hidden="1">{"'Ark1'!$A$8:$M$33"}</definedName>
    <definedName name="HTML_Control_3_1_1_3_1_1_5" hidden="1">{"'Ark1'!$A$8:$M$33"}</definedName>
    <definedName name="HTML_Control_3_1_1_3_1_2" hidden="1">{"'Ark1'!$A$8:$M$33"}</definedName>
    <definedName name="HTML_Control_3_1_1_3_1_3" hidden="1">{"'Ark1'!$A$8:$M$33"}</definedName>
    <definedName name="HTML_Control_3_1_1_3_1_4" hidden="1">{"'Ark1'!$A$8:$M$33"}</definedName>
    <definedName name="HTML_Control_3_1_1_3_1_5" hidden="1">{"'Ark1'!$A$8:$M$33"}</definedName>
    <definedName name="HTML_Control_3_1_1_3_2" hidden="1">{"'Ark1'!$A$8:$M$33"}</definedName>
    <definedName name="HTML_Control_3_1_1_3_2_1" hidden="1">{"'Ark1'!$A$8:$M$33"}</definedName>
    <definedName name="HTML_Control_3_1_1_3_2_1_1" hidden="1">{"'Ark1'!$A$8:$M$33"}</definedName>
    <definedName name="HTML_Control_3_1_1_3_2_1_2" hidden="1">{"'Ark1'!$A$8:$M$33"}</definedName>
    <definedName name="HTML_Control_3_1_1_3_2_1_3" hidden="1">{"'Ark1'!$A$8:$M$33"}</definedName>
    <definedName name="HTML_Control_3_1_1_3_2_1_4" hidden="1">{"'Ark1'!$A$8:$M$33"}</definedName>
    <definedName name="HTML_Control_3_1_1_3_2_1_5" hidden="1">{"'Ark1'!$A$8:$M$33"}</definedName>
    <definedName name="HTML_Control_3_1_1_3_2_2" hidden="1">{"'Ark1'!$A$8:$M$33"}</definedName>
    <definedName name="HTML_Control_3_1_1_3_2_3" hidden="1">{"'Ark1'!$A$8:$M$33"}</definedName>
    <definedName name="HTML_Control_3_1_1_3_2_4" hidden="1">{"'Ark1'!$A$8:$M$33"}</definedName>
    <definedName name="HTML_Control_3_1_1_3_2_5" hidden="1">{"'Ark1'!$A$8:$M$33"}</definedName>
    <definedName name="HTML_Control_3_1_1_3_3" hidden="1">{"'Ark1'!$A$8:$M$33"}</definedName>
    <definedName name="HTML_Control_3_1_1_3_3_1" hidden="1">{"'Ark1'!$A$8:$M$33"}</definedName>
    <definedName name="HTML_Control_3_1_1_3_3_2" hidden="1">{"'Ark1'!$A$8:$M$33"}</definedName>
    <definedName name="HTML_Control_3_1_1_3_3_3" hidden="1">{"'Ark1'!$A$8:$M$33"}</definedName>
    <definedName name="HTML_Control_3_1_1_3_3_4" hidden="1">{"'Ark1'!$A$8:$M$33"}</definedName>
    <definedName name="HTML_Control_3_1_1_3_3_5" hidden="1">{"'Ark1'!$A$8:$M$33"}</definedName>
    <definedName name="HTML_Control_3_1_1_3_4" hidden="1">{"'Ark1'!$A$8:$M$33"}</definedName>
    <definedName name="HTML_Control_3_1_1_3_5" hidden="1">{"'Ark1'!$A$8:$M$33"}</definedName>
    <definedName name="HTML_Control_3_1_1_4" hidden="1">{"'Ark1'!$A$8:$M$33"}</definedName>
    <definedName name="HTML_Control_3_1_1_4_1" hidden="1">{"'Ark1'!$A$8:$M$33"}</definedName>
    <definedName name="HTML_Control_3_1_1_4_1_1" hidden="1">{"'Ark1'!$A$8:$M$33"}</definedName>
    <definedName name="HTML_Control_3_1_1_4_1_2" hidden="1">{"'Ark1'!$A$8:$M$33"}</definedName>
    <definedName name="HTML_Control_3_1_1_4_1_3" hidden="1">{"'Ark1'!$A$8:$M$33"}</definedName>
    <definedName name="HTML_Control_3_1_1_4_1_4" hidden="1">{"'Ark1'!$A$8:$M$33"}</definedName>
    <definedName name="HTML_Control_3_1_1_4_1_5" hidden="1">{"'Ark1'!$A$8:$M$33"}</definedName>
    <definedName name="HTML_Control_3_1_1_4_2" hidden="1">{"'Ark1'!$A$8:$M$33"}</definedName>
    <definedName name="HTML_Control_3_1_1_4_3" hidden="1">{"'Ark1'!$A$8:$M$33"}</definedName>
    <definedName name="HTML_Control_3_1_1_4_4" hidden="1">{"'Ark1'!$A$8:$M$33"}</definedName>
    <definedName name="HTML_Control_3_1_1_4_5" hidden="1">{"'Ark1'!$A$8:$M$33"}</definedName>
    <definedName name="HTML_Control_3_1_1_5" hidden="1">{"'Ark1'!$A$8:$M$33"}</definedName>
    <definedName name="HTML_Control_3_1_1_5_1" hidden="1">{"'Ark1'!$A$8:$M$33"}</definedName>
    <definedName name="HTML_Control_3_1_1_5_1_1" hidden="1">{"'Ark1'!$A$8:$M$33"}</definedName>
    <definedName name="HTML_Control_3_1_1_5_1_2" hidden="1">{"'Ark1'!$A$8:$M$33"}</definedName>
    <definedName name="HTML_Control_3_1_1_5_1_3" hidden="1">{"'Ark1'!$A$8:$M$33"}</definedName>
    <definedName name="HTML_Control_3_1_1_5_1_4" hidden="1">{"'Ark1'!$A$8:$M$33"}</definedName>
    <definedName name="HTML_Control_3_1_1_5_1_5" hidden="1">{"'Ark1'!$A$8:$M$33"}</definedName>
    <definedName name="HTML_Control_3_1_1_5_2" hidden="1">{"'Ark1'!$A$8:$M$33"}</definedName>
    <definedName name="HTML_Control_3_1_1_5_3" hidden="1">{"'Ark1'!$A$8:$M$33"}</definedName>
    <definedName name="HTML_Control_3_1_1_5_4" hidden="1">{"'Ark1'!$A$8:$M$33"}</definedName>
    <definedName name="HTML_Control_3_1_1_5_5" hidden="1">{"'Ark1'!$A$8:$M$33"}</definedName>
    <definedName name="HTML_Control_3_1_2" hidden="1">{"'Ark1'!$A$8:$M$33"}</definedName>
    <definedName name="HTML_Control_3_1_2_1" hidden="1">{"'Ark1'!$A$8:$M$33"}</definedName>
    <definedName name="HTML_Control_3_1_2_1_1" hidden="1">{"'Ark1'!$A$8:$M$33"}</definedName>
    <definedName name="HTML_Control_3_1_2_1_1_1" hidden="1">{"'Ark1'!$A$8:$M$33"}</definedName>
    <definedName name="HTML_Control_3_1_2_1_1_1_1" hidden="1">{"'Ark1'!$A$8:$M$33"}</definedName>
    <definedName name="HTML_Control_3_1_2_1_1_1_1_1" hidden="1">{"'Ark1'!$A$8:$M$33"}</definedName>
    <definedName name="HTML_Control_3_1_2_1_1_1_2" hidden="1">{"'Ark1'!$A$8:$M$33"}</definedName>
    <definedName name="HTML_Control_3_1_2_1_1_1_3" hidden="1">{"'Ark1'!$A$8:$M$33"}</definedName>
    <definedName name="HTML_Control_3_1_2_1_1_1_4" hidden="1">{"'Ark1'!$A$8:$M$33"}</definedName>
    <definedName name="HTML_Control_3_1_2_1_1_1_5" hidden="1">{"'Ark1'!$A$8:$M$33"}</definedName>
    <definedName name="HTML_Control_3_1_2_1_1_2" hidden="1">{"'Ark1'!$A$8:$M$33"}</definedName>
    <definedName name="HTML_Control_3_1_2_1_1_3" hidden="1">{"'Ark1'!$A$8:$M$33"}</definedName>
    <definedName name="HTML_Control_3_1_2_1_1_4" hidden="1">{"'Ark1'!$A$8:$M$33"}</definedName>
    <definedName name="HTML_Control_3_1_2_1_1_5" hidden="1">{"'Ark1'!$A$8:$M$33"}</definedName>
    <definedName name="HTML_Control_3_1_2_1_2" hidden="1">{"'Ark1'!$A$8:$M$33"}</definedName>
    <definedName name="HTML_Control_3_1_2_1_2_1" hidden="1">{"'Ark1'!$A$8:$M$33"}</definedName>
    <definedName name="HTML_Control_3_1_2_1_2_1_1" hidden="1">{"'Ark1'!$A$8:$M$33"}</definedName>
    <definedName name="HTML_Control_3_1_2_1_2_1_2" hidden="1">{"'Ark1'!$A$8:$M$33"}</definedName>
    <definedName name="HTML_Control_3_1_2_1_2_1_3" hidden="1">{"'Ark1'!$A$8:$M$33"}</definedName>
    <definedName name="HTML_Control_3_1_2_1_2_1_4" hidden="1">{"'Ark1'!$A$8:$M$33"}</definedName>
    <definedName name="HTML_Control_3_1_2_1_2_1_5" hidden="1">{"'Ark1'!$A$8:$M$33"}</definedName>
    <definedName name="HTML_Control_3_1_2_1_2_2" hidden="1">{"'Ark1'!$A$8:$M$33"}</definedName>
    <definedName name="HTML_Control_3_1_2_1_2_3" hidden="1">{"'Ark1'!$A$8:$M$33"}</definedName>
    <definedName name="HTML_Control_3_1_2_1_2_4" hidden="1">{"'Ark1'!$A$8:$M$33"}</definedName>
    <definedName name="HTML_Control_3_1_2_1_2_5" hidden="1">{"'Ark1'!$A$8:$M$33"}</definedName>
    <definedName name="HTML_Control_3_1_2_1_3" hidden="1">{"'Ark1'!$A$8:$M$33"}</definedName>
    <definedName name="HTML_Control_3_1_2_1_3_1" hidden="1">{"'Ark1'!$A$8:$M$33"}</definedName>
    <definedName name="HTML_Control_3_1_2_1_3_2" hidden="1">{"'Ark1'!$A$8:$M$33"}</definedName>
    <definedName name="HTML_Control_3_1_2_1_3_3" hidden="1">{"'Ark1'!$A$8:$M$33"}</definedName>
    <definedName name="HTML_Control_3_1_2_1_3_4" hidden="1">{"'Ark1'!$A$8:$M$33"}</definedName>
    <definedName name="HTML_Control_3_1_2_1_3_5" hidden="1">{"'Ark1'!$A$8:$M$33"}</definedName>
    <definedName name="HTML_Control_3_1_2_1_4" hidden="1">{"'Ark1'!$A$8:$M$33"}</definedName>
    <definedName name="HTML_Control_3_1_2_1_5" hidden="1">{"'Ark1'!$A$8:$M$33"}</definedName>
    <definedName name="HTML_Control_3_1_2_2" hidden="1">{"'Ark1'!$A$8:$M$33"}</definedName>
    <definedName name="HTML_Control_3_1_2_2_1" hidden="1">{"'Ark1'!$A$8:$M$33"}</definedName>
    <definedName name="HTML_Control_3_1_2_2_1_1" hidden="1">{"'Ark1'!$A$8:$M$33"}</definedName>
    <definedName name="HTML_Control_3_1_2_2_1_2" hidden="1">{"'Ark1'!$A$8:$M$33"}</definedName>
    <definedName name="HTML_Control_3_1_2_2_1_3" hidden="1">{"'Ark1'!$A$8:$M$33"}</definedName>
    <definedName name="HTML_Control_3_1_2_2_1_4" hidden="1">{"'Ark1'!$A$8:$M$33"}</definedName>
    <definedName name="HTML_Control_3_1_2_2_1_5" hidden="1">{"'Ark1'!$A$8:$M$33"}</definedName>
    <definedName name="HTML_Control_3_1_2_2_2" hidden="1">{"'Ark1'!$A$8:$M$33"}</definedName>
    <definedName name="HTML_Control_3_1_2_2_3" hidden="1">{"'Ark1'!$A$8:$M$33"}</definedName>
    <definedName name="HTML_Control_3_1_2_2_4" hidden="1">{"'Ark1'!$A$8:$M$33"}</definedName>
    <definedName name="HTML_Control_3_1_2_2_5" hidden="1">{"'Ark1'!$A$8:$M$33"}</definedName>
    <definedName name="HTML_Control_3_1_2_3" hidden="1">{"'Ark1'!$A$8:$M$33"}</definedName>
    <definedName name="HTML_Control_3_1_2_3_1" hidden="1">{"'Ark1'!$A$8:$M$33"}</definedName>
    <definedName name="HTML_Control_3_1_2_3_1_1" hidden="1">{"'Ark1'!$A$8:$M$33"}</definedName>
    <definedName name="HTML_Control_3_1_2_3_1_2" hidden="1">{"'Ark1'!$A$8:$M$33"}</definedName>
    <definedName name="HTML_Control_3_1_2_3_1_3" hidden="1">{"'Ark1'!$A$8:$M$33"}</definedName>
    <definedName name="HTML_Control_3_1_2_3_1_4" hidden="1">{"'Ark1'!$A$8:$M$33"}</definedName>
    <definedName name="HTML_Control_3_1_2_3_1_5" hidden="1">{"'Ark1'!$A$8:$M$33"}</definedName>
    <definedName name="HTML_Control_3_1_2_3_2" hidden="1">{"'Ark1'!$A$8:$M$33"}</definedName>
    <definedName name="HTML_Control_3_1_2_3_3" hidden="1">{"'Ark1'!$A$8:$M$33"}</definedName>
    <definedName name="HTML_Control_3_1_2_3_4" hidden="1">{"'Ark1'!$A$8:$M$33"}</definedName>
    <definedName name="HTML_Control_3_1_2_3_5" hidden="1">{"'Ark1'!$A$8:$M$33"}</definedName>
    <definedName name="HTML_Control_3_1_2_4" hidden="1">{"'Ark1'!$A$8:$M$33"}</definedName>
    <definedName name="HTML_Control_3_1_2_4_1" hidden="1">{"'Ark1'!$A$8:$M$33"}</definedName>
    <definedName name="HTML_Control_3_1_2_4_2" hidden="1">{"'Ark1'!$A$8:$M$33"}</definedName>
    <definedName name="HTML_Control_3_1_2_4_3" hidden="1">{"'Ark1'!$A$8:$M$33"}</definedName>
    <definedName name="HTML_Control_3_1_2_4_4" hidden="1">{"'Ark1'!$A$8:$M$33"}</definedName>
    <definedName name="HTML_Control_3_1_2_4_5" hidden="1">{"'Ark1'!$A$8:$M$33"}</definedName>
    <definedName name="HTML_Control_3_1_2_5" hidden="1">{"'Ark1'!$A$8:$M$33"}</definedName>
    <definedName name="HTML_Control_3_1_3" hidden="1">{"'Ark1'!$A$8:$M$33"}</definedName>
    <definedName name="HTML_Control_3_1_3_1" hidden="1">{"'Ark1'!$A$8:$M$33"}</definedName>
    <definedName name="HTML_Control_3_1_3_1_1" hidden="1">{"'Ark1'!$A$8:$M$33"}</definedName>
    <definedName name="HTML_Control_3_1_3_1_1_1" hidden="1">{"'Ark1'!$A$8:$M$33"}</definedName>
    <definedName name="HTML_Control_3_1_3_1_1_1_1" hidden="1">{"'Ark1'!$A$8:$M$33"}</definedName>
    <definedName name="HTML_Control_3_1_3_1_1_1_1_1" hidden="1">{"'Ark1'!$A$8:$M$33"}</definedName>
    <definedName name="HTML_Control_3_1_3_1_1_1_2" hidden="1">{"'Ark1'!$A$8:$M$33"}</definedName>
    <definedName name="HTML_Control_3_1_3_1_1_1_3" hidden="1">{"'Ark1'!$A$8:$M$33"}</definedName>
    <definedName name="HTML_Control_3_1_3_1_1_1_4" hidden="1">{"'Ark1'!$A$8:$M$33"}</definedName>
    <definedName name="HTML_Control_3_1_3_1_1_1_5" hidden="1">{"'Ark1'!$A$8:$M$33"}</definedName>
    <definedName name="HTML_Control_3_1_3_1_1_2" hidden="1">{"'Ark1'!$A$8:$M$33"}</definedName>
    <definedName name="HTML_Control_3_1_3_1_1_3" hidden="1">{"'Ark1'!$A$8:$M$33"}</definedName>
    <definedName name="HTML_Control_3_1_3_1_1_4" hidden="1">{"'Ark1'!$A$8:$M$33"}</definedName>
    <definedName name="HTML_Control_3_1_3_1_1_5" hidden="1">{"'Ark1'!$A$8:$M$33"}</definedName>
    <definedName name="HTML_Control_3_1_3_1_2" hidden="1">{"'Ark1'!$A$8:$M$33"}</definedName>
    <definedName name="HTML_Control_3_1_3_1_2_1" hidden="1">{"'Ark1'!$A$8:$M$33"}</definedName>
    <definedName name="HTML_Control_3_1_3_1_2_1_1" hidden="1">{"'Ark1'!$A$8:$M$33"}</definedName>
    <definedName name="HTML_Control_3_1_3_1_2_1_2" hidden="1">{"'Ark1'!$A$8:$M$33"}</definedName>
    <definedName name="HTML_Control_3_1_3_1_2_1_3" hidden="1">{"'Ark1'!$A$8:$M$33"}</definedName>
    <definedName name="HTML_Control_3_1_3_1_2_1_4" hidden="1">{"'Ark1'!$A$8:$M$33"}</definedName>
    <definedName name="HTML_Control_3_1_3_1_2_1_5" hidden="1">{"'Ark1'!$A$8:$M$33"}</definedName>
    <definedName name="HTML_Control_3_1_3_1_2_2" hidden="1">{"'Ark1'!$A$8:$M$33"}</definedName>
    <definedName name="HTML_Control_3_1_3_1_2_3" hidden="1">{"'Ark1'!$A$8:$M$33"}</definedName>
    <definedName name="HTML_Control_3_1_3_1_2_4" hidden="1">{"'Ark1'!$A$8:$M$33"}</definedName>
    <definedName name="HTML_Control_3_1_3_1_2_5" hidden="1">{"'Ark1'!$A$8:$M$33"}</definedName>
    <definedName name="HTML_Control_3_1_3_1_3" hidden="1">{"'Ark1'!$A$8:$M$33"}</definedName>
    <definedName name="HTML_Control_3_1_3_1_3_1" hidden="1">{"'Ark1'!$A$8:$M$33"}</definedName>
    <definedName name="HTML_Control_3_1_3_1_3_2" hidden="1">{"'Ark1'!$A$8:$M$33"}</definedName>
    <definedName name="HTML_Control_3_1_3_1_3_3" hidden="1">{"'Ark1'!$A$8:$M$33"}</definedName>
    <definedName name="HTML_Control_3_1_3_1_3_4" hidden="1">{"'Ark1'!$A$8:$M$33"}</definedName>
    <definedName name="HTML_Control_3_1_3_1_3_5" hidden="1">{"'Ark1'!$A$8:$M$33"}</definedName>
    <definedName name="HTML_Control_3_1_3_1_4" hidden="1">{"'Ark1'!$A$8:$M$33"}</definedName>
    <definedName name="HTML_Control_3_1_3_1_5" hidden="1">{"'Ark1'!$A$8:$M$33"}</definedName>
    <definedName name="HTML_Control_3_1_3_2" hidden="1">{"'Ark1'!$A$8:$M$33"}</definedName>
    <definedName name="HTML_Control_3_1_3_2_1" hidden="1">{"'Ark1'!$A$8:$M$33"}</definedName>
    <definedName name="HTML_Control_3_1_3_2_1_1" hidden="1">{"'Ark1'!$A$8:$M$33"}</definedName>
    <definedName name="HTML_Control_3_1_3_2_1_2" hidden="1">{"'Ark1'!$A$8:$M$33"}</definedName>
    <definedName name="HTML_Control_3_1_3_2_1_3" hidden="1">{"'Ark1'!$A$8:$M$33"}</definedName>
    <definedName name="HTML_Control_3_1_3_2_1_4" hidden="1">{"'Ark1'!$A$8:$M$33"}</definedName>
    <definedName name="HTML_Control_3_1_3_2_1_5" hidden="1">{"'Ark1'!$A$8:$M$33"}</definedName>
    <definedName name="HTML_Control_3_1_3_2_2" hidden="1">{"'Ark1'!$A$8:$M$33"}</definedName>
    <definedName name="HTML_Control_3_1_3_2_3" hidden="1">{"'Ark1'!$A$8:$M$33"}</definedName>
    <definedName name="HTML_Control_3_1_3_2_4" hidden="1">{"'Ark1'!$A$8:$M$33"}</definedName>
    <definedName name="HTML_Control_3_1_3_2_5" hidden="1">{"'Ark1'!$A$8:$M$33"}</definedName>
    <definedName name="HTML_Control_3_1_3_3" hidden="1">{"'Ark1'!$A$8:$M$33"}</definedName>
    <definedName name="HTML_Control_3_1_3_3_1" hidden="1">{"'Ark1'!$A$8:$M$33"}</definedName>
    <definedName name="HTML_Control_3_1_3_3_1_1" hidden="1">{"'Ark1'!$A$8:$M$33"}</definedName>
    <definedName name="HTML_Control_3_1_3_3_1_2" hidden="1">{"'Ark1'!$A$8:$M$33"}</definedName>
    <definedName name="HTML_Control_3_1_3_3_1_3" hidden="1">{"'Ark1'!$A$8:$M$33"}</definedName>
    <definedName name="HTML_Control_3_1_3_3_1_4" hidden="1">{"'Ark1'!$A$8:$M$33"}</definedName>
    <definedName name="HTML_Control_3_1_3_3_1_5" hidden="1">{"'Ark1'!$A$8:$M$33"}</definedName>
    <definedName name="HTML_Control_3_1_3_3_2" hidden="1">{"'Ark1'!$A$8:$M$33"}</definedName>
    <definedName name="HTML_Control_3_1_3_3_3" hidden="1">{"'Ark1'!$A$8:$M$33"}</definedName>
    <definedName name="HTML_Control_3_1_3_3_4" hidden="1">{"'Ark1'!$A$8:$M$33"}</definedName>
    <definedName name="HTML_Control_3_1_3_3_5" hidden="1">{"'Ark1'!$A$8:$M$33"}</definedName>
    <definedName name="HTML_Control_3_1_3_4" hidden="1">{"'Ark1'!$A$8:$M$33"}</definedName>
    <definedName name="HTML_Control_3_1_3_4_1" hidden="1">{"'Ark1'!$A$8:$M$33"}</definedName>
    <definedName name="HTML_Control_3_1_3_4_2" hidden="1">{"'Ark1'!$A$8:$M$33"}</definedName>
    <definedName name="HTML_Control_3_1_3_4_3" hidden="1">{"'Ark1'!$A$8:$M$33"}</definedName>
    <definedName name="HTML_Control_3_1_3_4_4" hidden="1">{"'Ark1'!$A$8:$M$33"}</definedName>
    <definedName name="HTML_Control_3_1_3_4_5" hidden="1">{"'Ark1'!$A$8:$M$33"}</definedName>
    <definedName name="HTML_Control_3_1_3_5" hidden="1">{"'Ark1'!$A$8:$M$33"}</definedName>
    <definedName name="HTML_Control_3_1_4" hidden="1">{"'Ark1'!$A$8:$M$33"}</definedName>
    <definedName name="HTML_Control_3_1_4_1" hidden="1">{"'Ark1'!$A$8:$M$33"}</definedName>
    <definedName name="HTML_Control_3_1_4_1_1" hidden="1">{"'Ark1'!$A$8:$M$33"}</definedName>
    <definedName name="HTML_Control_3_1_4_1_1_1" hidden="1">{"'Ark1'!$A$8:$M$33"}</definedName>
    <definedName name="HTML_Control_3_1_4_1_1_1_1" hidden="1">{"'Ark1'!$A$8:$M$33"}</definedName>
    <definedName name="HTML_Control_3_1_4_1_1_2" hidden="1">{"'Ark1'!$A$8:$M$33"}</definedName>
    <definedName name="HTML_Control_3_1_4_1_1_3" hidden="1">{"'Ark1'!$A$8:$M$33"}</definedName>
    <definedName name="HTML_Control_3_1_4_1_1_4" hidden="1">{"'Ark1'!$A$8:$M$33"}</definedName>
    <definedName name="HTML_Control_3_1_4_1_1_5" hidden="1">{"'Ark1'!$A$8:$M$33"}</definedName>
    <definedName name="HTML_Control_3_1_4_1_2" hidden="1">{"'Ark1'!$A$8:$M$33"}</definedName>
    <definedName name="HTML_Control_3_1_4_1_3" hidden="1">{"'Ark1'!$A$8:$M$33"}</definedName>
    <definedName name="HTML_Control_3_1_4_1_4" hidden="1">{"'Ark1'!$A$8:$M$33"}</definedName>
    <definedName name="HTML_Control_3_1_4_1_5" hidden="1">{"'Ark1'!$A$8:$M$33"}</definedName>
    <definedName name="HTML_Control_3_1_4_2" hidden="1">{"'Ark1'!$A$8:$M$33"}</definedName>
    <definedName name="HTML_Control_3_1_4_2_1" hidden="1">{"'Ark1'!$A$8:$M$33"}</definedName>
    <definedName name="HTML_Control_3_1_4_2_1_1" hidden="1">{"'Ark1'!$A$8:$M$33"}</definedName>
    <definedName name="HTML_Control_3_1_4_2_1_2" hidden="1">{"'Ark1'!$A$8:$M$33"}</definedName>
    <definedName name="HTML_Control_3_1_4_2_1_3" hidden="1">{"'Ark1'!$A$8:$M$33"}</definedName>
    <definedName name="HTML_Control_3_1_4_2_1_4" hidden="1">{"'Ark1'!$A$8:$M$33"}</definedName>
    <definedName name="HTML_Control_3_1_4_2_1_5" hidden="1">{"'Ark1'!$A$8:$M$33"}</definedName>
    <definedName name="HTML_Control_3_1_4_2_2" hidden="1">{"'Ark1'!$A$8:$M$33"}</definedName>
    <definedName name="HTML_Control_3_1_4_2_3" hidden="1">{"'Ark1'!$A$8:$M$33"}</definedName>
    <definedName name="HTML_Control_3_1_4_2_4" hidden="1">{"'Ark1'!$A$8:$M$33"}</definedName>
    <definedName name="HTML_Control_3_1_4_2_5" hidden="1">{"'Ark1'!$A$8:$M$33"}</definedName>
    <definedName name="HTML_Control_3_1_4_3" hidden="1">{"'Ark1'!$A$8:$M$33"}</definedName>
    <definedName name="HTML_Control_3_1_4_3_1" hidden="1">{"'Ark1'!$A$8:$M$33"}</definedName>
    <definedName name="HTML_Control_3_1_4_3_2" hidden="1">{"'Ark1'!$A$8:$M$33"}</definedName>
    <definedName name="HTML_Control_3_1_4_3_3" hidden="1">{"'Ark1'!$A$8:$M$33"}</definedName>
    <definedName name="HTML_Control_3_1_4_3_4" hidden="1">{"'Ark1'!$A$8:$M$33"}</definedName>
    <definedName name="HTML_Control_3_1_4_3_5" hidden="1">{"'Ark1'!$A$8:$M$33"}</definedName>
    <definedName name="HTML_Control_3_1_4_4" hidden="1">{"'Ark1'!$A$8:$M$33"}</definedName>
    <definedName name="HTML_Control_3_1_4_5" hidden="1">{"'Ark1'!$A$8:$M$33"}</definedName>
    <definedName name="HTML_Control_3_1_5" hidden="1">{"'Ark1'!$A$8:$M$33"}</definedName>
    <definedName name="HTML_Control_3_1_5_1" hidden="1">{"'Ark1'!$A$8:$M$33"}</definedName>
    <definedName name="HTML_Control_3_1_5_1_1" hidden="1">{"'Ark1'!$A$8:$M$33"}</definedName>
    <definedName name="HTML_Control_3_1_5_1_2" hidden="1">{"'Ark1'!$A$8:$M$33"}</definedName>
    <definedName name="HTML_Control_3_1_5_1_3" hidden="1">{"'Ark1'!$A$8:$M$33"}</definedName>
    <definedName name="HTML_Control_3_1_5_1_4" hidden="1">{"'Ark1'!$A$8:$M$33"}</definedName>
    <definedName name="HTML_Control_3_1_5_1_5" hidden="1">{"'Ark1'!$A$8:$M$33"}</definedName>
    <definedName name="HTML_Control_3_1_5_2" hidden="1">{"'Ark1'!$A$8:$M$33"}</definedName>
    <definedName name="HTML_Control_3_1_5_3" hidden="1">{"'Ark1'!$A$8:$M$33"}</definedName>
    <definedName name="HTML_Control_3_1_5_4" hidden="1">{"'Ark1'!$A$8:$M$33"}</definedName>
    <definedName name="HTML_Control_3_1_5_5" hidden="1">{"'Ark1'!$A$8:$M$33"}</definedName>
    <definedName name="HTML_Control_3_2" hidden="1">{"'Ark1'!$A$8:$M$33"}</definedName>
    <definedName name="HTML_Control_3_2_1" hidden="1">{"'Ark1'!$A$8:$M$33"}</definedName>
    <definedName name="HTML_Control_3_2_1_1" hidden="1">{"'Ark1'!$A$8:$M$33"}</definedName>
    <definedName name="HTML_Control_3_2_1_1_1" hidden="1">{"'Ark1'!$A$8:$M$33"}</definedName>
    <definedName name="HTML_Control_3_2_1_1_1_1" hidden="1">{"'Ark1'!$A$8:$M$33"}</definedName>
    <definedName name="HTML_Control_3_2_1_1_1_1_1" hidden="1">{"'Ark1'!$A$8:$M$33"}</definedName>
    <definedName name="HTML_Control_3_2_1_1_1_1_1_1" hidden="1">{"'Ark1'!$A$8:$M$33"}</definedName>
    <definedName name="HTML_Control_3_2_1_1_1_1_2" hidden="1">{"'Ark1'!$A$8:$M$33"}</definedName>
    <definedName name="HTML_Control_3_2_1_1_1_1_3" hidden="1">{"'Ark1'!$A$8:$M$33"}</definedName>
    <definedName name="HTML_Control_3_2_1_1_1_1_4" hidden="1">{"'Ark1'!$A$8:$M$33"}</definedName>
    <definedName name="HTML_Control_3_2_1_1_1_1_5" hidden="1">{"'Ark1'!$A$8:$M$33"}</definedName>
    <definedName name="HTML_Control_3_2_1_1_1_2" hidden="1">{"'Ark1'!$A$8:$M$33"}</definedName>
    <definedName name="HTML_Control_3_2_1_1_1_3" hidden="1">{"'Ark1'!$A$8:$M$33"}</definedName>
    <definedName name="HTML_Control_3_2_1_1_1_4" hidden="1">{"'Ark1'!$A$8:$M$33"}</definedName>
    <definedName name="HTML_Control_3_2_1_1_1_5" hidden="1">{"'Ark1'!$A$8:$M$33"}</definedName>
    <definedName name="HTML_Control_3_2_1_1_2" hidden="1">{"'Ark1'!$A$8:$M$33"}</definedName>
    <definedName name="HTML_Control_3_2_1_1_2_1" hidden="1">{"'Ark1'!$A$8:$M$33"}</definedName>
    <definedName name="HTML_Control_3_2_1_1_2_1_1" hidden="1">{"'Ark1'!$A$8:$M$33"}</definedName>
    <definedName name="HTML_Control_3_2_1_1_2_1_2" hidden="1">{"'Ark1'!$A$8:$M$33"}</definedName>
    <definedName name="HTML_Control_3_2_1_1_2_1_3" hidden="1">{"'Ark1'!$A$8:$M$33"}</definedName>
    <definedName name="HTML_Control_3_2_1_1_2_1_4" hidden="1">{"'Ark1'!$A$8:$M$33"}</definedName>
    <definedName name="HTML_Control_3_2_1_1_2_1_5" hidden="1">{"'Ark1'!$A$8:$M$33"}</definedName>
    <definedName name="HTML_Control_3_2_1_1_2_2" hidden="1">{"'Ark1'!$A$8:$M$33"}</definedName>
    <definedName name="HTML_Control_3_2_1_1_2_3" hidden="1">{"'Ark1'!$A$8:$M$33"}</definedName>
    <definedName name="HTML_Control_3_2_1_1_2_4" hidden="1">{"'Ark1'!$A$8:$M$33"}</definedName>
    <definedName name="HTML_Control_3_2_1_1_2_5" hidden="1">{"'Ark1'!$A$8:$M$33"}</definedName>
    <definedName name="HTML_Control_3_2_1_1_3" hidden="1">{"'Ark1'!$A$8:$M$33"}</definedName>
    <definedName name="HTML_Control_3_2_1_1_3_1" hidden="1">{"'Ark1'!$A$8:$M$33"}</definedName>
    <definedName name="HTML_Control_3_2_1_1_3_2" hidden="1">{"'Ark1'!$A$8:$M$33"}</definedName>
    <definedName name="HTML_Control_3_2_1_1_3_3" hidden="1">{"'Ark1'!$A$8:$M$33"}</definedName>
    <definedName name="HTML_Control_3_2_1_1_3_4" hidden="1">{"'Ark1'!$A$8:$M$33"}</definedName>
    <definedName name="HTML_Control_3_2_1_1_3_5" hidden="1">{"'Ark1'!$A$8:$M$33"}</definedName>
    <definedName name="HTML_Control_3_2_1_1_4" hidden="1">{"'Ark1'!$A$8:$M$33"}</definedName>
    <definedName name="HTML_Control_3_2_1_1_5" hidden="1">{"'Ark1'!$A$8:$M$33"}</definedName>
    <definedName name="HTML_Control_3_2_1_2" hidden="1">{"'Ark1'!$A$8:$M$33"}</definedName>
    <definedName name="HTML_Control_3_2_1_2_1" hidden="1">{"'Ark1'!$A$8:$M$33"}</definedName>
    <definedName name="HTML_Control_3_2_1_2_1_1" hidden="1">{"'Ark1'!$A$8:$M$33"}</definedName>
    <definedName name="HTML_Control_3_2_1_2_1_2" hidden="1">{"'Ark1'!$A$8:$M$33"}</definedName>
    <definedName name="HTML_Control_3_2_1_2_1_3" hidden="1">{"'Ark1'!$A$8:$M$33"}</definedName>
    <definedName name="HTML_Control_3_2_1_2_1_4" hidden="1">{"'Ark1'!$A$8:$M$33"}</definedName>
    <definedName name="HTML_Control_3_2_1_2_1_5" hidden="1">{"'Ark1'!$A$8:$M$33"}</definedName>
    <definedName name="HTML_Control_3_2_1_2_2" hidden="1">{"'Ark1'!$A$8:$M$33"}</definedName>
    <definedName name="HTML_Control_3_2_1_2_3" hidden="1">{"'Ark1'!$A$8:$M$33"}</definedName>
    <definedName name="HTML_Control_3_2_1_2_4" hidden="1">{"'Ark1'!$A$8:$M$33"}</definedName>
    <definedName name="HTML_Control_3_2_1_2_5" hidden="1">{"'Ark1'!$A$8:$M$33"}</definedName>
    <definedName name="HTML_Control_3_2_1_3" hidden="1">{"'Ark1'!$A$8:$M$33"}</definedName>
    <definedName name="HTML_Control_3_2_1_3_1" hidden="1">{"'Ark1'!$A$8:$M$33"}</definedName>
    <definedName name="HTML_Control_3_2_1_3_1_1" hidden="1">{"'Ark1'!$A$8:$M$33"}</definedName>
    <definedName name="HTML_Control_3_2_1_3_1_2" hidden="1">{"'Ark1'!$A$8:$M$33"}</definedName>
    <definedName name="HTML_Control_3_2_1_3_1_3" hidden="1">{"'Ark1'!$A$8:$M$33"}</definedName>
    <definedName name="HTML_Control_3_2_1_3_1_4" hidden="1">{"'Ark1'!$A$8:$M$33"}</definedName>
    <definedName name="HTML_Control_3_2_1_3_1_5" hidden="1">{"'Ark1'!$A$8:$M$33"}</definedName>
    <definedName name="HTML_Control_3_2_1_3_2" hidden="1">{"'Ark1'!$A$8:$M$33"}</definedName>
    <definedName name="HTML_Control_3_2_1_3_3" hidden="1">{"'Ark1'!$A$8:$M$33"}</definedName>
    <definedName name="HTML_Control_3_2_1_3_4" hidden="1">{"'Ark1'!$A$8:$M$33"}</definedName>
    <definedName name="HTML_Control_3_2_1_3_5" hidden="1">{"'Ark1'!$A$8:$M$33"}</definedName>
    <definedName name="HTML_Control_3_2_1_4" hidden="1">{"'Ark1'!$A$8:$M$33"}</definedName>
    <definedName name="HTML_Control_3_2_1_4_1" hidden="1">{"'Ark1'!$A$8:$M$33"}</definedName>
    <definedName name="HTML_Control_3_2_1_4_2" hidden="1">{"'Ark1'!$A$8:$M$33"}</definedName>
    <definedName name="HTML_Control_3_2_1_4_3" hidden="1">{"'Ark1'!$A$8:$M$33"}</definedName>
    <definedName name="HTML_Control_3_2_1_4_4" hidden="1">{"'Ark1'!$A$8:$M$33"}</definedName>
    <definedName name="HTML_Control_3_2_1_4_5" hidden="1">{"'Ark1'!$A$8:$M$33"}</definedName>
    <definedName name="HTML_Control_3_2_1_5" hidden="1">{"'Ark1'!$A$8:$M$33"}</definedName>
    <definedName name="HTML_Control_3_2_2" hidden="1">{"'Ark1'!$A$8:$M$33"}</definedName>
    <definedName name="HTML_Control_3_2_2_1" hidden="1">{"'Ark1'!$A$8:$M$33"}</definedName>
    <definedName name="HTML_Control_3_2_2_1_1" hidden="1">{"'Ark1'!$A$8:$M$33"}</definedName>
    <definedName name="HTML_Control_3_2_2_1_1_1" hidden="1">{"'Ark1'!$A$8:$M$33"}</definedName>
    <definedName name="HTML_Control_3_2_2_1_1_1_1" hidden="1">{"'Ark1'!$A$8:$M$33"}</definedName>
    <definedName name="HTML_Control_3_2_2_1_1_1_1_1" hidden="1">{"'Ark1'!$A$8:$M$33"}</definedName>
    <definedName name="HTML_Control_3_2_2_1_1_1_2" hidden="1">{"'Ark1'!$A$8:$M$33"}</definedName>
    <definedName name="HTML_Control_3_2_2_1_1_1_3" hidden="1">{"'Ark1'!$A$8:$M$33"}</definedName>
    <definedName name="HTML_Control_3_2_2_1_1_1_4" hidden="1">{"'Ark1'!$A$8:$M$33"}</definedName>
    <definedName name="HTML_Control_3_2_2_1_1_1_5" hidden="1">{"'Ark1'!$A$8:$M$33"}</definedName>
    <definedName name="HTML_Control_3_2_2_1_1_2" hidden="1">{"'Ark1'!$A$8:$M$33"}</definedName>
    <definedName name="HTML_Control_3_2_2_1_1_3" hidden="1">{"'Ark1'!$A$8:$M$33"}</definedName>
    <definedName name="HTML_Control_3_2_2_1_1_4" hidden="1">{"'Ark1'!$A$8:$M$33"}</definedName>
    <definedName name="HTML_Control_3_2_2_1_1_5" hidden="1">{"'Ark1'!$A$8:$M$33"}</definedName>
    <definedName name="HTML_Control_3_2_2_1_2" hidden="1">{"'Ark1'!$A$8:$M$33"}</definedName>
    <definedName name="HTML_Control_3_2_2_1_2_1" hidden="1">{"'Ark1'!$A$8:$M$33"}</definedName>
    <definedName name="HTML_Control_3_2_2_1_2_1_1" hidden="1">{"'Ark1'!$A$8:$M$33"}</definedName>
    <definedName name="HTML_Control_3_2_2_1_2_1_2" hidden="1">{"'Ark1'!$A$8:$M$33"}</definedName>
    <definedName name="HTML_Control_3_2_2_1_2_1_3" hidden="1">{"'Ark1'!$A$8:$M$33"}</definedName>
    <definedName name="HTML_Control_3_2_2_1_2_1_4" hidden="1">{"'Ark1'!$A$8:$M$33"}</definedName>
    <definedName name="HTML_Control_3_2_2_1_2_1_5" hidden="1">{"'Ark1'!$A$8:$M$33"}</definedName>
    <definedName name="HTML_Control_3_2_2_1_2_2" hidden="1">{"'Ark1'!$A$8:$M$33"}</definedName>
    <definedName name="HTML_Control_3_2_2_1_2_3" hidden="1">{"'Ark1'!$A$8:$M$33"}</definedName>
    <definedName name="HTML_Control_3_2_2_1_2_4" hidden="1">{"'Ark1'!$A$8:$M$33"}</definedName>
    <definedName name="HTML_Control_3_2_2_1_2_5" hidden="1">{"'Ark1'!$A$8:$M$33"}</definedName>
    <definedName name="HTML_Control_3_2_2_1_3" hidden="1">{"'Ark1'!$A$8:$M$33"}</definedName>
    <definedName name="HTML_Control_3_2_2_1_3_1" hidden="1">{"'Ark1'!$A$8:$M$33"}</definedName>
    <definedName name="HTML_Control_3_2_2_1_3_2" hidden="1">{"'Ark1'!$A$8:$M$33"}</definedName>
    <definedName name="HTML_Control_3_2_2_1_3_3" hidden="1">{"'Ark1'!$A$8:$M$33"}</definedName>
    <definedName name="HTML_Control_3_2_2_1_3_4" hidden="1">{"'Ark1'!$A$8:$M$33"}</definedName>
    <definedName name="HTML_Control_3_2_2_1_3_5" hidden="1">{"'Ark1'!$A$8:$M$33"}</definedName>
    <definedName name="HTML_Control_3_2_2_1_4" hidden="1">{"'Ark1'!$A$8:$M$33"}</definedName>
    <definedName name="HTML_Control_3_2_2_1_5" hidden="1">{"'Ark1'!$A$8:$M$33"}</definedName>
    <definedName name="HTML_Control_3_2_2_2" hidden="1">{"'Ark1'!$A$8:$M$33"}</definedName>
    <definedName name="HTML_Control_3_2_2_2_1" hidden="1">{"'Ark1'!$A$8:$M$33"}</definedName>
    <definedName name="HTML_Control_3_2_2_2_1_1" hidden="1">{"'Ark1'!$A$8:$M$33"}</definedName>
    <definedName name="HTML_Control_3_2_2_2_1_2" hidden="1">{"'Ark1'!$A$8:$M$33"}</definedName>
    <definedName name="HTML_Control_3_2_2_2_1_3" hidden="1">{"'Ark1'!$A$8:$M$33"}</definedName>
    <definedName name="HTML_Control_3_2_2_2_1_4" hidden="1">{"'Ark1'!$A$8:$M$33"}</definedName>
    <definedName name="HTML_Control_3_2_2_2_1_5" hidden="1">{"'Ark1'!$A$8:$M$33"}</definedName>
    <definedName name="HTML_Control_3_2_2_2_2" hidden="1">{"'Ark1'!$A$8:$M$33"}</definedName>
    <definedName name="HTML_Control_3_2_2_2_3" hidden="1">{"'Ark1'!$A$8:$M$33"}</definedName>
    <definedName name="HTML_Control_3_2_2_2_4" hidden="1">{"'Ark1'!$A$8:$M$33"}</definedName>
    <definedName name="HTML_Control_3_2_2_2_5" hidden="1">{"'Ark1'!$A$8:$M$33"}</definedName>
    <definedName name="HTML_Control_3_2_2_3" hidden="1">{"'Ark1'!$A$8:$M$33"}</definedName>
    <definedName name="HTML_Control_3_2_2_3_1" hidden="1">{"'Ark1'!$A$8:$M$33"}</definedName>
    <definedName name="HTML_Control_3_2_2_3_1_1" hidden="1">{"'Ark1'!$A$8:$M$33"}</definedName>
    <definedName name="HTML_Control_3_2_2_3_1_2" hidden="1">{"'Ark1'!$A$8:$M$33"}</definedName>
    <definedName name="HTML_Control_3_2_2_3_1_3" hidden="1">{"'Ark1'!$A$8:$M$33"}</definedName>
    <definedName name="HTML_Control_3_2_2_3_1_4" hidden="1">{"'Ark1'!$A$8:$M$33"}</definedName>
    <definedName name="HTML_Control_3_2_2_3_1_5" hidden="1">{"'Ark1'!$A$8:$M$33"}</definedName>
    <definedName name="HTML_Control_3_2_2_3_2" hidden="1">{"'Ark1'!$A$8:$M$33"}</definedName>
    <definedName name="HTML_Control_3_2_2_3_3" hidden="1">{"'Ark1'!$A$8:$M$33"}</definedName>
    <definedName name="HTML_Control_3_2_2_3_4" hidden="1">{"'Ark1'!$A$8:$M$33"}</definedName>
    <definedName name="HTML_Control_3_2_2_3_5" hidden="1">{"'Ark1'!$A$8:$M$33"}</definedName>
    <definedName name="HTML_Control_3_2_2_4" hidden="1">{"'Ark1'!$A$8:$M$33"}</definedName>
    <definedName name="HTML_Control_3_2_2_4_1" hidden="1">{"'Ark1'!$A$8:$M$33"}</definedName>
    <definedName name="HTML_Control_3_2_2_4_2" hidden="1">{"'Ark1'!$A$8:$M$33"}</definedName>
    <definedName name="HTML_Control_3_2_2_4_3" hidden="1">{"'Ark1'!$A$8:$M$33"}</definedName>
    <definedName name="HTML_Control_3_2_2_4_4" hidden="1">{"'Ark1'!$A$8:$M$33"}</definedName>
    <definedName name="HTML_Control_3_2_2_4_5" hidden="1">{"'Ark1'!$A$8:$M$33"}</definedName>
    <definedName name="HTML_Control_3_2_2_5" hidden="1">{"'Ark1'!$A$8:$M$33"}</definedName>
    <definedName name="HTML_Control_3_2_3" hidden="1">{"'Ark1'!$A$8:$M$33"}</definedName>
    <definedName name="HTML_Control_3_2_3_1" hidden="1">{"'Ark1'!$A$8:$M$33"}</definedName>
    <definedName name="HTML_Control_3_2_3_1_1" hidden="1">{"'Ark1'!$A$8:$M$33"}</definedName>
    <definedName name="HTML_Control_3_2_3_1_1_1" hidden="1">{"'Ark1'!$A$8:$M$33"}</definedName>
    <definedName name="HTML_Control_3_2_3_1_1_1_1" hidden="1">{"'Ark1'!$A$8:$M$33"}</definedName>
    <definedName name="HTML_Control_3_2_3_1_1_2" hidden="1">{"'Ark1'!$A$8:$M$33"}</definedName>
    <definedName name="HTML_Control_3_2_3_1_1_3" hidden="1">{"'Ark1'!$A$8:$M$33"}</definedName>
    <definedName name="HTML_Control_3_2_3_1_1_4" hidden="1">{"'Ark1'!$A$8:$M$33"}</definedName>
    <definedName name="HTML_Control_3_2_3_1_1_5" hidden="1">{"'Ark1'!$A$8:$M$33"}</definedName>
    <definedName name="HTML_Control_3_2_3_1_2" hidden="1">{"'Ark1'!$A$8:$M$33"}</definedName>
    <definedName name="HTML_Control_3_2_3_1_3" hidden="1">{"'Ark1'!$A$8:$M$33"}</definedName>
    <definedName name="HTML_Control_3_2_3_1_4" hidden="1">{"'Ark1'!$A$8:$M$33"}</definedName>
    <definedName name="HTML_Control_3_2_3_1_5" hidden="1">{"'Ark1'!$A$8:$M$33"}</definedName>
    <definedName name="HTML_Control_3_2_3_2" hidden="1">{"'Ark1'!$A$8:$M$33"}</definedName>
    <definedName name="HTML_Control_3_2_3_2_1" hidden="1">{"'Ark1'!$A$8:$M$33"}</definedName>
    <definedName name="HTML_Control_3_2_3_2_1_1" hidden="1">{"'Ark1'!$A$8:$M$33"}</definedName>
    <definedName name="HTML_Control_3_2_3_2_1_2" hidden="1">{"'Ark1'!$A$8:$M$33"}</definedName>
    <definedName name="HTML_Control_3_2_3_2_1_3" hidden="1">{"'Ark1'!$A$8:$M$33"}</definedName>
    <definedName name="HTML_Control_3_2_3_2_1_4" hidden="1">{"'Ark1'!$A$8:$M$33"}</definedName>
    <definedName name="HTML_Control_3_2_3_2_1_5" hidden="1">{"'Ark1'!$A$8:$M$33"}</definedName>
    <definedName name="HTML_Control_3_2_3_2_2" hidden="1">{"'Ark1'!$A$8:$M$33"}</definedName>
    <definedName name="HTML_Control_3_2_3_2_3" hidden="1">{"'Ark1'!$A$8:$M$33"}</definedName>
    <definedName name="HTML_Control_3_2_3_2_4" hidden="1">{"'Ark1'!$A$8:$M$33"}</definedName>
    <definedName name="HTML_Control_3_2_3_2_5" hidden="1">{"'Ark1'!$A$8:$M$33"}</definedName>
    <definedName name="HTML_Control_3_2_3_3" hidden="1">{"'Ark1'!$A$8:$M$33"}</definedName>
    <definedName name="HTML_Control_3_2_3_3_1" hidden="1">{"'Ark1'!$A$8:$M$33"}</definedName>
    <definedName name="HTML_Control_3_2_3_3_2" hidden="1">{"'Ark1'!$A$8:$M$33"}</definedName>
    <definedName name="HTML_Control_3_2_3_3_3" hidden="1">{"'Ark1'!$A$8:$M$33"}</definedName>
    <definedName name="HTML_Control_3_2_3_3_4" hidden="1">{"'Ark1'!$A$8:$M$33"}</definedName>
    <definedName name="HTML_Control_3_2_3_3_5" hidden="1">{"'Ark1'!$A$8:$M$33"}</definedName>
    <definedName name="HTML_Control_3_2_3_4" hidden="1">{"'Ark1'!$A$8:$M$33"}</definedName>
    <definedName name="HTML_Control_3_2_3_5" hidden="1">{"'Ark1'!$A$8:$M$33"}</definedName>
    <definedName name="HTML_Control_3_2_4" hidden="1">{"'Ark1'!$A$8:$M$33"}</definedName>
    <definedName name="HTML_Control_3_2_4_1" hidden="1">{"'Ark1'!$A$8:$M$33"}</definedName>
    <definedName name="HTML_Control_3_2_4_1_1" hidden="1">{"'Ark1'!$A$8:$M$33"}</definedName>
    <definedName name="HTML_Control_3_2_4_1_1_1" hidden="1">{"'Ark1'!$A$8:$M$33"}</definedName>
    <definedName name="HTML_Control_3_2_4_1_2" hidden="1">{"'Ark1'!$A$8:$M$33"}</definedName>
    <definedName name="HTML_Control_3_2_4_1_3" hidden="1">{"'Ark1'!$A$8:$M$33"}</definedName>
    <definedName name="HTML_Control_3_2_4_1_4" hidden="1">{"'Ark1'!$A$8:$M$33"}</definedName>
    <definedName name="HTML_Control_3_2_4_1_5" hidden="1">{"'Ark1'!$A$8:$M$33"}</definedName>
    <definedName name="HTML_Control_3_2_4_2" hidden="1">{"'Ark1'!$A$8:$M$33"}</definedName>
    <definedName name="HTML_Control_3_2_4_3" hidden="1">{"'Ark1'!$A$8:$M$33"}</definedName>
    <definedName name="HTML_Control_3_2_4_4" hidden="1">{"'Ark1'!$A$8:$M$33"}</definedName>
    <definedName name="HTML_Control_3_2_4_5" hidden="1">{"'Ark1'!$A$8:$M$33"}</definedName>
    <definedName name="HTML_Control_3_2_5" hidden="1">{"'Ark1'!$A$8:$M$33"}</definedName>
    <definedName name="HTML_Control_3_2_5_1" hidden="1">{"'Ark1'!$A$8:$M$33"}</definedName>
    <definedName name="HTML_Control_3_2_5_1_1" hidden="1">{"'Ark1'!$A$8:$M$33"}</definedName>
    <definedName name="HTML_Control_3_2_5_1_2" hidden="1">{"'Ark1'!$A$8:$M$33"}</definedName>
    <definedName name="HTML_Control_3_2_5_1_3" hidden="1">{"'Ark1'!$A$8:$M$33"}</definedName>
    <definedName name="HTML_Control_3_2_5_1_4" hidden="1">{"'Ark1'!$A$8:$M$33"}</definedName>
    <definedName name="HTML_Control_3_2_5_1_5" hidden="1">{"'Ark1'!$A$8:$M$33"}</definedName>
    <definedName name="HTML_Control_3_2_5_2" hidden="1">{"'Ark1'!$A$8:$M$33"}</definedName>
    <definedName name="HTML_Control_3_2_5_3" hidden="1">{"'Ark1'!$A$8:$M$33"}</definedName>
    <definedName name="HTML_Control_3_2_5_4" hidden="1">{"'Ark1'!$A$8:$M$33"}</definedName>
    <definedName name="HTML_Control_3_2_5_5" hidden="1">{"'Ark1'!$A$8:$M$33"}</definedName>
    <definedName name="HTML_Control_3_3" hidden="1">{"'Ark1'!$A$8:$M$33"}</definedName>
    <definedName name="HTML_Control_3_3_1" hidden="1">{"'Ark1'!$A$8:$M$33"}</definedName>
    <definedName name="HTML_Control_3_3_1_1" hidden="1">{"'Ark1'!$A$8:$M$33"}</definedName>
    <definedName name="HTML_Control_3_3_1_1_1" hidden="1">{"'Ark1'!$A$8:$M$33"}</definedName>
    <definedName name="HTML_Control_3_3_1_1_1_1" hidden="1">{"'Ark1'!$A$8:$M$33"}</definedName>
    <definedName name="HTML_Control_3_3_1_1_1_1_1" hidden="1">{"'Ark1'!$A$8:$M$33"}</definedName>
    <definedName name="HTML_Control_3_3_1_1_1_2" hidden="1">{"'Ark1'!$A$8:$M$33"}</definedName>
    <definedName name="HTML_Control_3_3_1_1_1_3" hidden="1">{"'Ark1'!$A$8:$M$33"}</definedName>
    <definedName name="HTML_Control_3_3_1_1_1_4" hidden="1">{"'Ark1'!$A$8:$M$33"}</definedName>
    <definedName name="HTML_Control_3_3_1_1_1_5" hidden="1">{"'Ark1'!$A$8:$M$33"}</definedName>
    <definedName name="HTML_Control_3_3_1_1_2" hidden="1">{"'Ark1'!$A$8:$M$33"}</definedName>
    <definedName name="HTML_Control_3_3_1_1_3" hidden="1">{"'Ark1'!$A$8:$M$33"}</definedName>
    <definedName name="HTML_Control_3_3_1_1_4" hidden="1">{"'Ark1'!$A$8:$M$33"}</definedName>
    <definedName name="HTML_Control_3_3_1_1_5" hidden="1">{"'Ark1'!$A$8:$M$33"}</definedName>
    <definedName name="HTML_Control_3_3_1_2" hidden="1">{"'Ark1'!$A$8:$M$33"}</definedName>
    <definedName name="HTML_Control_3_3_1_2_1" hidden="1">{"'Ark1'!$A$8:$M$33"}</definedName>
    <definedName name="HTML_Control_3_3_1_2_1_1" hidden="1">{"'Ark1'!$A$8:$M$33"}</definedName>
    <definedName name="HTML_Control_3_3_1_2_1_2" hidden="1">{"'Ark1'!$A$8:$M$33"}</definedName>
    <definedName name="HTML_Control_3_3_1_2_1_3" hidden="1">{"'Ark1'!$A$8:$M$33"}</definedName>
    <definedName name="HTML_Control_3_3_1_2_1_4" hidden="1">{"'Ark1'!$A$8:$M$33"}</definedName>
    <definedName name="HTML_Control_3_3_1_2_1_5" hidden="1">{"'Ark1'!$A$8:$M$33"}</definedName>
    <definedName name="HTML_Control_3_3_1_2_2" hidden="1">{"'Ark1'!$A$8:$M$33"}</definedName>
    <definedName name="HTML_Control_3_3_1_2_3" hidden="1">{"'Ark1'!$A$8:$M$33"}</definedName>
    <definedName name="HTML_Control_3_3_1_2_4" hidden="1">{"'Ark1'!$A$8:$M$33"}</definedName>
    <definedName name="HTML_Control_3_3_1_2_5" hidden="1">{"'Ark1'!$A$8:$M$33"}</definedName>
    <definedName name="HTML_Control_3_3_1_3" hidden="1">{"'Ark1'!$A$8:$M$33"}</definedName>
    <definedName name="HTML_Control_3_3_1_3_1" hidden="1">{"'Ark1'!$A$8:$M$33"}</definedName>
    <definedName name="HTML_Control_3_3_1_3_2" hidden="1">{"'Ark1'!$A$8:$M$33"}</definedName>
    <definedName name="HTML_Control_3_3_1_3_3" hidden="1">{"'Ark1'!$A$8:$M$33"}</definedName>
    <definedName name="HTML_Control_3_3_1_3_4" hidden="1">{"'Ark1'!$A$8:$M$33"}</definedName>
    <definedName name="HTML_Control_3_3_1_3_5" hidden="1">{"'Ark1'!$A$8:$M$33"}</definedName>
    <definedName name="HTML_Control_3_3_1_4" hidden="1">{"'Ark1'!$A$8:$M$33"}</definedName>
    <definedName name="HTML_Control_3_3_1_5" hidden="1">{"'Ark1'!$A$8:$M$33"}</definedName>
    <definedName name="HTML_Control_3_3_2" hidden="1">{"'Ark1'!$A$8:$M$33"}</definedName>
    <definedName name="HTML_Control_3_3_2_1" hidden="1">{"'Ark1'!$A$8:$M$33"}</definedName>
    <definedName name="HTML_Control_3_3_2_1_1" hidden="1">{"'Ark1'!$A$8:$M$33"}</definedName>
    <definedName name="HTML_Control_3_3_2_1_2" hidden="1">{"'Ark1'!$A$8:$M$33"}</definedName>
    <definedName name="HTML_Control_3_3_2_1_3" hidden="1">{"'Ark1'!$A$8:$M$33"}</definedName>
    <definedName name="HTML_Control_3_3_2_1_4" hidden="1">{"'Ark1'!$A$8:$M$33"}</definedName>
    <definedName name="HTML_Control_3_3_2_1_5" hidden="1">{"'Ark1'!$A$8:$M$33"}</definedName>
    <definedName name="HTML_Control_3_3_2_2" hidden="1">{"'Ark1'!$A$8:$M$33"}</definedName>
    <definedName name="HTML_Control_3_3_2_3" hidden="1">{"'Ark1'!$A$8:$M$33"}</definedName>
    <definedName name="HTML_Control_3_3_2_4" hidden="1">{"'Ark1'!$A$8:$M$33"}</definedName>
    <definedName name="HTML_Control_3_3_2_5" hidden="1">{"'Ark1'!$A$8:$M$33"}</definedName>
    <definedName name="HTML_Control_3_3_3" hidden="1">{"'Ark1'!$A$8:$M$33"}</definedName>
    <definedName name="HTML_Control_3_3_3_1" hidden="1">{"'Ark1'!$A$8:$M$33"}</definedName>
    <definedName name="HTML_Control_3_3_3_1_1" hidden="1">{"'Ark1'!$A$8:$M$33"}</definedName>
    <definedName name="HTML_Control_3_3_3_1_2" hidden="1">{"'Ark1'!$A$8:$M$33"}</definedName>
    <definedName name="HTML_Control_3_3_3_1_3" hidden="1">{"'Ark1'!$A$8:$M$33"}</definedName>
    <definedName name="HTML_Control_3_3_3_1_4" hidden="1">{"'Ark1'!$A$8:$M$33"}</definedName>
    <definedName name="HTML_Control_3_3_3_1_5" hidden="1">{"'Ark1'!$A$8:$M$33"}</definedName>
    <definedName name="HTML_Control_3_3_3_2" hidden="1">{"'Ark1'!$A$8:$M$33"}</definedName>
    <definedName name="HTML_Control_3_3_3_3" hidden="1">{"'Ark1'!$A$8:$M$33"}</definedName>
    <definedName name="HTML_Control_3_3_3_4" hidden="1">{"'Ark1'!$A$8:$M$33"}</definedName>
    <definedName name="HTML_Control_3_3_3_5" hidden="1">{"'Ark1'!$A$8:$M$33"}</definedName>
    <definedName name="HTML_Control_3_3_4" hidden="1">{"'Ark1'!$A$8:$M$33"}</definedName>
    <definedName name="HTML_Control_3_3_4_1" hidden="1">{"'Ark1'!$A$8:$M$33"}</definedName>
    <definedName name="HTML_Control_3_3_4_2" hidden="1">{"'Ark1'!$A$8:$M$33"}</definedName>
    <definedName name="HTML_Control_3_3_4_3" hidden="1">{"'Ark1'!$A$8:$M$33"}</definedName>
    <definedName name="HTML_Control_3_3_4_4" hidden="1">{"'Ark1'!$A$8:$M$33"}</definedName>
    <definedName name="HTML_Control_3_3_4_5" hidden="1">{"'Ark1'!$A$8:$M$33"}</definedName>
    <definedName name="HTML_Control_3_3_5" hidden="1">{"'Ark1'!$A$8:$M$33"}</definedName>
    <definedName name="HTML_Control_3_4" hidden="1">{"'Ark1'!$A$8:$M$33"}</definedName>
    <definedName name="HTML_Control_3_4_1" hidden="1">{"'Ark1'!$A$8:$M$33"}</definedName>
    <definedName name="HTML_Control_3_4_1_1" hidden="1">{"'Ark1'!$A$8:$M$33"}</definedName>
    <definedName name="HTML_Control_3_4_1_1_1" hidden="1">{"'Ark1'!$A$8:$M$33"}</definedName>
    <definedName name="HTML_Control_3_4_1_1_1_1" hidden="1">{"'Ark1'!$A$8:$M$33"}</definedName>
    <definedName name="HTML_Control_3_4_1_1_1_1_1" hidden="1">{"'Ark1'!$A$8:$M$33"}</definedName>
    <definedName name="HTML_Control_3_4_1_1_1_2" hidden="1">{"'Ark1'!$A$8:$M$33"}</definedName>
    <definedName name="HTML_Control_3_4_1_1_1_3" hidden="1">{"'Ark1'!$A$8:$M$33"}</definedName>
    <definedName name="HTML_Control_3_4_1_1_1_4" hidden="1">{"'Ark1'!$A$8:$M$33"}</definedName>
    <definedName name="HTML_Control_3_4_1_1_1_5" hidden="1">{"'Ark1'!$A$8:$M$33"}</definedName>
    <definedName name="HTML_Control_3_4_1_1_2" hidden="1">{"'Ark1'!$A$8:$M$33"}</definedName>
    <definedName name="HTML_Control_3_4_1_1_3" hidden="1">{"'Ark1'!$A$8:$M$33"}</definedName>
    <definedName name="HTML_Control_3_4_1_1_4" hidden="1">{"'Ark1'!$A$8:$M$33"}</definedName>
    <definedName name="HTML_Control_3_4_1_1_5" hidden="1">{"'Ark1'!$A$8:$M$33"}</definedName>
    <definedName name="HTML_Control_3_4_1_2" hidden="1">{"'Ark1'!$A$8:$M$33"}</definedName>
    <definedName name="HTML_Control_3_4_1_2_1" hidden="1">{"'Ark1'!$A$8:$M$33"}</definedName>
    <definedName name="HTML_Control_3_4_1_2_1_1" hidden="1">{"'Ark1'!$A$8:$M$33"}</definedName>
    <definedName name="HTML_Control_3_4_1_2_1_2" hidden="1">{"'Ark1'!$A$8:$M$33"}</definedName>
    <definedName name="HTML_Control_3_4_1_2_1_3" hidden="1">{"'Ark1'!$A$8:$M$33"}</definedName>
    <definedName name="HTML_Control_3_4_1_2_1_4" hidden="1">{"'Ark1'!$A$8:$M$33"}</definedName>
    <definedName name="HTML_Control_3_4_1_2_1_5" hidden="1">{"'Ark1'!$A$8:$M$33"}</definedName>
    <definedName name="HTML_Control_3_4_1_2_2" hidden="1">{"'Ark1'!$A$8:$M$33"}</definedName>
    <definedName name="HTML_Control_3_4_1_2_3" hidden="1">{"'Ark1'!$A$8:$M$33"}</definedName>
    <definedName name="HTML_Control_3_4_1_2_4" hidden="1">{"'Ark1'!$A$8:$M$33"}</definedName>
    <definedName name="HTML_Control_3_4_1_2_5" hidden="1">{"'Ark1'!$A$8:$M$33"}</definedName>
    <definedName name="HTML_Control_3_4_1_3" hidden="1">{"'Ark1'!$A$8:$M$33"}</definedName>
    <definedName name="HTML_Control_3_4_1_3_1" hidden="1">{"'Ark1'!$A$8:$M$33"}</definedName>
    <definedName name="HTML_Control_3_4_1_3_2" hidden="1">{"'Ark1'!$A$8:$M$33"}</definedName>
    <definedName name="HTML_Control_3_4_1_3_3" hidden="1">{"'Ark1'!$A$8:$M$33"}</definedName>
    <definedName name="HTML_Control_3_4_1_3_4" hidden="1">{"'Ark1'!$A$8:$M$33"}</definedName>
    <definedName name="HTML_Control_3_4_1_3_5" hidden="1">{"'Ark1'!$A$8:$M$33"}</definedName>
    <definedName name="HTML_Control_3_4_1_4" hidden="1">{"'Ark1'!$A$8:$M$33"}</definedName>
    <definedName name="HTML_Control_3_4_1_5" hidden="1">{"'Ark1'!$A$8:$M$33"}</definedName>
    <definedName name="HTML_Control_3_4_2" hidden="1">{"'Ark1'!$A$8:$M$33"}</definedName>
    <definedName name="HTML_Control_3_4_2_1" hidden="1">{"'Ark1'!$A$8:$M$33"}</definedName>
    <definedName name="HTML_Control_3_4_2_1_1" hidden="1">{"'Ark1'!$A$8:$M$33"}</definedName>
    <definedName name="HTML_Control_3_4_2_1_2" hidden="1">{"'Ark1'!$A$8:$M$33"}</definedName>
    <definedName name="HTML_Control_3_4_2_1_3" hidden="1">{"'Ark1'!$A$8:$M$33"}</definedName>
    <definedName name="HTML_Control_3_4_2_1_4" hidden="1">{"'Ark1'!$A$8:$M$33"}</definedName>
    <definedName name="HTML_Control_3_4_2_1_5" hidden="1">{"'Ark1'!$A$8:$M$33"}</definedName>
    <definedName name="HTML_Control_3_4_2_2" hidden="1">{"'Ark1'!$A$8:$M$33"}</definedName>
    <definedName name="HTML_Control_3_4_2_3" hidden="1">{"'Ark1'!$A$8:$M$33"}</definedName>
    <definedName name="HTML_Control_3_4_2_4" hidden="1">{"'Ark1'!$A$8:$M$33"}</definedName>
    <definedName name="HTML_Control_3_4_2_5" hidden="1">{"'Ark1'!$A$8:$M$33"}</definedName>
    <definedName name="HTML_Control_3_4_3" hidden="1">{"'Ark1'!$A$8:$M$33"}</definedName>
    <definedName name="HTML_Control_3_4_3_1" hidden="1">{"'Ark1'!$A$8:$M$33"}</definedName>
    <definedName name="HTML_Control_3_4_3_1_1" hidden="1">{"'Ark1'!$A$8:$M$33"}</definedName>
    <definedName name="HTML_Control_3_4_3_1_2" hidden="1">{"'Ark1'!$A$8:$M$33"}</definedName>
    <definedName name="HTML_Control_3_4_3_1_3" hidden="1">{"'Ark1'!$A$8:$M$33"}</definedName>
    <definedName name="HTML_Control_3_4_3_1_4" hidden="1">{"'Ark1'!$A$8:$M$33"}</definedName>
    <definedName name="HTML_Control_3_4_3_1_5" hidden="1">{"'Ark1'!$A$8:$M$33"}</definedName>
    <definedName name="HTML_Control_3_4_3_2" hidden="1">{"'Ark1'!$A$8:$M$33"}</definedName>
    <definedName name="HTML_Control_3_4_3_3" hidden="1">{"'Ark1'!$A$8:$M$33"}</definedName>
    <definedName name="HTML_Control_3_4_3_4" hidden="1">{"'Ark1'!$A$8:$M$33"}</definedName>
    <definedName name="HTML_Control_3_4_3_5" hidden="1">{"'Ark1'!$A$8:$M$33"}</definedName>
    <definedName name="HTML_Control_3_4_4" hidden="1">{"'Ark1'!$A$8:$M$33"}</definedName>
    <definedName name="HTML_Control_3_4_4_1" hidden="1">{"'Ark1'!$A$8:$M$33"}</definedName>
    <definedName name="HTML_Control_3_4_4_2" hidden="1">{"'Ark1'!$A$8:$M$33"}</definedName>
    <definedName name="HTML_Control_3_4_4_3" hidden="1">{"'Ark1'!$A$8:$M$33"}</definedName>
    <definedName name="HTML_Control_3_4_4_4" hidden="1">{"'Ark1'!$A$8:$M$33"}</definedName>
    <definedName name="HTML_Control_3_4_4_5" hidden="1">{"'Ark1'!$A$8:$M$33"}</definedName>
    <definedName name="HTML_Control_3_4_5" hidden="1">{"'Ark1'!$A$8:$M$33"}</definedName>
    <definedName name="HTML_Control_3_5" hidden="1">{"'Ark1'!$A$8:$M$33"}</definedName>
    <definedName name="HTML_Control_3_5_1" hidden="1">{"'Ark1'!$A$8:$M$33"}</definedName>
    <definedName name="HTML_Control_3_5_1_1" hidden="1">{"'Ark1'!$A$8:$M$33"}</definedName>
    <definedName name="HTML_Control_3_5_1_1_1" hidden="1">{"'Ark1'!$A$8:$M$33"}</definedName>
    <definedName name="HTML_Control_3_5_1_1_1_1" hidden="1">{"'Ark1'!$A$8:$M$33"}</definedName>
    <definedName name="HTML_Control_3_5_1_1_2" hidden="1">{"'Ark1'!$A$8:$M$33"}</definedName>
    <definedName name="HTML_Control_3_5_1_1_3" hidden="1">{"'Ark1'!$A$8:$M$33"}</definedName>
    <definedName name="HTML_Control_3_5_1_1_4" hidden="1">{"'Ark1'!$A$8:$M$33"}</definedName>
    <definedName name="HTML_Control_3_5_1_1_5" hidden="1">{"'Ark1'!$A$8:$M$33"}</definedName>
    <definedName name="HTML_Control_3_5_1_2" hidden="1">{"'Ark1'!$A$8:$M$33"}</definedName>
    <definedName name="HTML_Control_3_5_1_3" hidden="1">{"'Ark1'!$A$8:$M$33"}</definedName>
    <definedName name="HTML_Control_3_5_1_4" hidden="1">{"'Ark1'!$A$8:$M$33"}</definedName>
    <definedName name="HTML_Control_3_5_1_5" hidden="1">{"'Ark1'!$A$8:$M$33"}</definedName>
    <definedName name="HTML_Control_3_5_2" hidden="1">{"'Ark1'!$A$8:$M$33"}</definedName>
    <definedName name="HTML_Control_3_5_2_1" hidden="1">{"'Ark1'!$A$8:$M$33"}</definedName>
    <definedName name="HTML_Control_3_5_2_1_1" hidden="1">{"'Ark1'!$A$8:$M$33"}</definedName>
    <definedName name="HTML_Control_3_5_2_1_2" hidden="1">{"'Ark1'!$A$8:$M$33"}</definedName>
    <definedName name="HTML_Control_3_5_2_1_3" hidden="1">{"'Ark1'!$A$8:$M$33"}</definedName>
    <definedName name="HTML_Control_3_5_2_1_4" hidden="1">{"'Ark1'!$A$8:$M$33"}</definedName>
    <definedName name="HTML_Control_3_5_2_1_5" hidden="1">{"'Ark1'!$A$8:$M$33"}</definedName>
    <definedName name="HTML_Control_3_5_2_2" hidden="1">{"'Ark1'!$A$8:$M$33"}</definedName>
    <definedName name="HTML_Control_3_5_2_3" hidden="1">{"'Ark1'!$A$8:$M$33"}</definedName>
    <definedName name="HTML_Control_3_5_2_4" hidden="1">{"'Ark1'!$A$8:$M$33"}</definedName>
    <definedName name="HTML_Control_3_5_2_5" hidden="1">{"'Ark1'!$A$8:$M$33"}</definedName>
    <definedName name="HTML_Control_3_5_3" hidden="1">{"'Ark1'!$A$8:$M$33"}</definedName>
    <definedName name="HTML_Control_3_5_3_1" hidden="1">{"'Ark1'!$A$8:$M$33"}</definedName>
    <definedName name="HTML_Control_3_5_3_2" hidden="1">{"'Ark1'!$A$8:$M$33"}</definedName>
    <definedName name="HTML_Control_3_5_3_3" hidden="1">{"'Ark1'!$A$8:$M$33"}</definedName>
    <definedName name="HTML_Control_3_5_3_4" hidden="1">{"'Ark1'!$A$8:$M$33"}</definedName>
    <definedName name="HTML_Control_3_5_3_5" hidden="1">{"'Ark1'!$A$8:$M$33"}</definedName>
    <definedName name="HTML_Control_3_5_4" hidden="1">{"'Ark1'!$A$8:$M$33"}</definedName>
    <definedName name="HTML_Control_3_5_5" hidden="1">{"'Ark1'!$A$8:$M$33"}</definedName>
    <definedName name="HTML_Control_4" hidden="1">{"'Ark1'!$A$8:$M$33"}</definedName>
    <definedName name="HTML_Control_4_1" hidden="1">{"'Ark1'!$A$8:$M$33"}</definedName>
    <definedName name="HTML_Control_4_1_1" hidden="1">{"'Ark1'!$A$8:$M$33"}</definedName>
    <definedName name="HTML_Control_4_1_1_1" hidden="1">{"'Ark1'!$A$8:$M$33"}</definedName>
    <definedName name="HTML_Control_4_1_1_1_1" hidden="1">{"'Ark1'!$A$8:$M$33"}</definedName>
    <definedName name="HTML_Control_4_1_1_1_1_1" hidden="1">{"'Ark1'!$A$8:$M$33"}</definedName>
    <definedName name="HTML_Control_4_1_1_1_1_1_1" hidden="1">{"'Ark1'!$A$8:$M$33"}</definedName>
    <definedName name="HTML_Control_4_1_1_1_1_1_1_1" hidden="1">{"'Ark1'!$A$8:$M$33"}</definedName>
    <definedName name="HTML_Control_4_1_1_1_1_1_2" hidden="1">{"'Ark1'!$A$8:$M$33"}</definedName>
    <definedName name="HTML_Control_4_1_1_1_1_1_3" hidden="1">{"'Ark1'!$A$8:$M$33"}</definedName>
    <definedName name="HTML_Control_4_1_1_1_1_1_4" hidden="1">{"'Ark1'!$A$8:$M$33"}</definedName>
    <definedName name="HTML_Control_4_1_1_1_1_1_5" hidden="1">{"'Ark1'!$A$8:$M$33"}</definedName>
    <definedName name="HTML_Control_4_1_1_1_1_2" hidden="1">{"'Ark1'!$A$8:$M$33"}</definedName>
    <definedName name="HTML_Control_4_1_1_1_1_3" hidden="1">{"'Ark1'!$A$8:$M$33"}</definedName>
    <definedName name="HTML_Control_4_1_1_1_1_4" hidden="1">{"'Ark1'!$A$8:$M$33"}</definedName>
    <definedName name="HTML_Control_4_1_1_1_1_5" hidden="1">{"'Ark1'!$A$8:$M$33"}</definedName>
    <definedName name="HTML_Control_4_1_1_1_2" hidden="1">{"'Ark1'!$A$8:$M$33"}</definedName>
    <definedName name="HTML_Control_4_1_1_1_2_1" hidden="1">{"'Ark1'!$A$8:$M$33"}</definedName>
    <definedName name="HTML_Control_4_1_1_1_2_1_1" hidden="1">{"'Ark1'!$A$8:$M$33"}</definedName>
    <definedName name="HTML_Control_4_1_1_1_2_1_2" hidden="1">{"'Ark1'!$A$8:$M$33"}</definedName>
    <definedName name="HTML_Control_4_1_1_1_2_1_3" hidden="1">{"'Ark1'!$A$8:$M$33"}</definedName>
    <definedName name="HTML_Control_4_1_1_1_2_1_4" hidden="1">{"'Ark1'!$A$8:$M$33"}</definedName>
    <definedName name="HTML_Control_4_1_1_1_2_1_5" hidden="1">{"'Ark1'!$A$8:$M$33"}</definedName>
    <definedName name="HTML_Control_4_1_1_1_2_2" hidden="1">{"'Ark1'!$A$8:$M$33"}</definedName>
    <definedName name="HTML_Control_4_1_1_1_2_3" hidden="1">{"'Ark1'!$A$8:$M$33"}</definedName>
    <definedName name="HTML_Control_4_1_1_1_2_4" hidden="1">{"'Ark1'!$A$8:$M$33"}</definedName>
    <definedName name="HTML_Control_4_1_1_1_2_5" hidden="1">{"'Ark1'!$A$8:$M$33"}</definedName>
    <definedName name="HTML_Control_4_1_1_1_3" hidden="1">{"'Ark1'!$A$8:$M$33"}</definedName>
    <definedName name="HTML_Control_4_1_1_1_3_1" hidden="1">{"'Ark1'!$A$8:$M$33"}</definedName>
    <definedName name="HTML_Control_4_1_1_1_3_2" hidden="1">{"'Ark1'!$A$8:$M$33"}</definedName>
    <definedName name="HTML_Control_4_1_1_1_3_3" hidden="1">{"'Ark1'!$A$8:$M$33"}</definedName>
    <definedName name="HTML_Control_4_1_1_1_3_4" hidden="1">{"'Ark1'!$A$8:$M$33"}</definedName>
    <definedName name="HTML_Control_4_1_1_1_3_5" hidden="1">{"'Ark1'!$A$8:$M$33"}</definedName>
    <definedName name="HTML_Control_4_1_1_1_4" hidden="1">{"'Ark1'!$A$8:$M$33"}</definedName>
    <definedName name="HTML_Control_4_1_1_1_5" hidden="1">{"'Ark1'!$A$8:$M$33"}</definedName>
    <definedName name="HTML_Control_4_1_1_2" hidden="1">{"'Ark1'!$A$8:$M$33"}</definedName>
    <definedName name="HTML_Control_4_1_1_2_1" hidden="1">{"'Ark1'!$A$8:$M$33"}</definedName>
    <definedName name="HTML_Control_4_1_1_2_1_1" hidden="1">{"'Ark1'!$A$8:$M$33"}</definedName>
    <definedName name="HTML_Control_4_1_1_2_1_2" hidden="1">{"'Ark1'!$A$8:$M$33"}</definedName>
    <definedName name="HTML_Control_4_1_1_2_1_3" hidden="1">{"'Ark1'!$A$8:$M$33"}</definedName>
    <definedName name="HTML_Control_4_1_1_2_1_4" hidden="1">{"'Ark1'!$A$8:$M$33"}</definedName>
    <definedName name="HTML_Control_4_1_1_2_1_5" hidden="1">{"'Ark1'!$A$8:$M$33"}</definedName>
    <definedName name="HTML_Control_4_1_1_2_2" hidden="1">{"'Ark1'!$A$8:$M$33"}</definedName>
    <definedName name="HTML_Control_4_1_1_2_3" hidden="1">{"'Ark1'!$A$8:$M$33"}</definedName>
    <definedName name="HTML_Control_4_1_1_2_4" hidden="1">{"'Ark1'!$A$8:$M$33"}</definedName>
    <definedName name="HTML_Control_4_1_1_2_5" hidden="1">{"'Ark1'!$A$8:$M$33"}</definedName>
    <definedName name="HTML_Control_4_1_1_3" hidden="1">{"'Ark1'!$A$8:$M$33"}</definedName>
    <definedName name="HTML_Control_4_1_1_3_1" hidden="1">{"'Ark1'!$A$8:$M$33"}</definedName>
    <definedName name="HTML_Control_4_1_1_3_1_1" hidden="1">{"'Ark1'!$A$8:$M$33"}</definedName>
    <definedName name="HTML_Control_4_1_1_3_1_2" hidden="1">{"'Ark1'!$A$8:$M$33"}</definedName>
    <definedName name="HTML_Control_4_1_1_3_1_3" hidden="1">{"'Ark1'!$A$8:$M$33"}</definedName>
    <definedName name="HTML_Control_4_1_1_3_1_4" hidden="1">{"'Ark1'!$A$8:$M$33"}</definedName>
    <definedName name="HTML_Control_4_1_1_3_1_5" hidden="1">{"'Ark1'!$A$8:$M$33"}</definedName>
    <definedName name="HTML_Control_4_1_1_3_2" hidden="1">{"'Ark1'!$A$8:$M$33"}</definedName>
    <definedName name="HTML_Control_4_1_1_3_3" hidden="1">{"'Ark1'!$A$8:$M$33"}</definedName>
    <definedName name="HTML_Control_4_1_1_3_4" hidden="1">{"'Ark1'!$A$8:$M$33"}</definedName>
    <definedName name="HTML_Control_4_1_1_3_5" hidden="1">{"'Ark1'!$A$8:$M$33"}</definedName>
    <definedName name="HTML_Control_4_1_1_4" hidden="1">{"'Ark1'!$A$8:$M$33"}</definedName>
    <definedName name="HTML_Control_4_1_1_4_1" hidden="1">{"'Ark1'!$A$8:$M$33"}</definedName>
    <definedName name="HTML_Control_4_1_1_4_2" hidden="1">{"'Ark1'!$A$8:$M$33"}</definedName>
    <definedName name="HTML_Control_4_1_1_4_3" hidden="1">{"'Ark1'!$A$8:$M$33"}</definedName>
    <definedName name="HTML_Control_4_1_1_4_4" hidden="1">{"'Ark1'!$A$8:$M$33"}</definedName>
    <definedName name="HTML_Control_4_1_1_4_5" hidden="1">{"'Ark1'!$A$8:$M$33"}</definedName>
    <definedName name="HTML_Control_4_1_1_5" hidden="1">{"'Ark1'!$A$8:$M$33"}</definedName>
    <definedName name="HTML_Control_4_1_2" hidden="1">{"'Ark1'!$A$8:$M$33"}</definedName>
    <definedName name="HTML_Control_4_1_2_1" hidden="1">{"'Ark1'!$A$8:$M$33"}</definedName>
    <definedName name="HTML_Control_4_1_2_1_1" hidden="1">{"'Ark1'!$A$8:$M$33"}</definedName>
    <definedName name="HTML_Control_4_1_2_1_1_1" hidden="1">{"'Ark1'!$A$8:$M$33"}</definedName>
    <definedName name="HTML_Control_4_1_2_1_1_1_1" hidden="1">{"'Ark1'!$A$8:$M$33"}</definedName>
    <definedName name="HTML_Control_4_1_2_1_1_1_2" hidden="1">{"'Ark1'!$A$8:$M$33"}</definedName>
    <definedName name="HTML_Control_4_1_2_1_1_1_3" hidden="1">{"'Ark1'!$A$8:$M$33"}</definedName>
    <definedName name="HTML_Control_4_1_2_1_1_1_4" hidden="1">{"'Ark1'!$A$8:$M$33"}</definedName>
    <definedName name="HTML_Control_4_1_2_1_1_1_5" hidden="1">{"'Ark1'!$A$8:$M$33"}</definedName>
    <definedName name="HTML_Control_4_1_2_1_1_2" hidden="1">{"'Ark1'!$A$8:$M$33"}</definedName>
    <definedName name="HTML_Control_4_1_2_1_1_3" hidden="1">{"'Ark1'!$A$8:$M$33"}</definedName>
    <definedName name="HTML_Control_4_1_2_1_1_4" hidden="1">{"'Ark1'!$A$8:$M$33"}</definedName>
    <definedName name="HTML_Control_4_1_2_1_1_5" hidden="1">{"'Ark1'!$A$8:$M$33"}</definedName>
    <definedName name="HTML_Control_4_1_2_1_2" hidden="1">{"'Ark1'!$A$8:$M$33"}</definedName>
    <definedName name="HTML_Control_4_1_2_1_2_1" hidden="1">{"'Ark1'!$A$8:$M$33"}</definedName>
    <definedName name="HTML_Control_4_1_2_1_2_1_1" hidden="1">{"'Ark1'!$A$8:$M$33"}</definedName>
    <definedName name="HTML_Control_4_1_2_1_2_1_2" hidden="1">{"'Ark1'!$A$8:$M$33"}</definedName>
    <definedName name="HTML_Control_4_1_2_1_2_1_3" hidden="1">{"'Ark1'!$A$8:$M$33"}</definedName>
    <definedName name="HTML_Control_4_1_2_1_2_1_4" hidden="1">{"'Ark1'!$A$8:$M$33"}</definedName>
    <definedName name="HTML_Control_4_1_2_1_2_1_5" hidden="1">{"'Ark1'!$A$8:$M$33"}</definedName>
    <definedName name="HTML_Control_4_1_2_1_2_2" hidden="1">{"'Ark1'!$A$8:$M$33"}</definedName>
    <definedName name="HTML_Control_4_1_2_1_2_3" hidden="1">{"'Ark1'!$A$8:$M$33"}</definedName>
    <definedName name="HTML_Control_4_1_2_1_2_4" hidden="1">{"'Ark1'!$A$8:$M$33"}</definedName>
    <definedName name="HTML_Control_4_1_2_1_2_5" hidden="1">{"'Ark1'!$A$8:$M$33"}</definedName>
    <definedName name="HTML_Control_4_1_2_1_3" hidden="1">{"'Ark1'!$A$8:$M$33"}</definedName>
    <definedName name="HTML_Control_4_1_2_1_3_1" hidden="1">{"'Ark1'!$A$8:$M$33"}</definedName>
    <definedName name="HTML_Control_4_1_2_1_3_2" hidden="1">{"'Ark1'!$A$8:$M$33"}</definedName>
    <definedName name="HTML_Control_4_1_2_1_3_3" hidden="1">{"'Ark1'!$A$8:$M$33"}</definedName>
    <definedName name="HTML_Control_4_1_2_1_3_4" hidden="1">{"'Ark1'!$A$8:$M$33"}</definedName>
    <definedName name="HTML_Control_4_1_2_1_3_5" hidden="1">{"'Ark1'!$A$8:$M$33"}</definedName>
    <definedName name="HTML_Control_4_1_2_1_4" hidden="1">{"'Ark1'!$A$8:$M$33"}</definedName>
    <definedName name="HTML_Control_4_1_2_1_5" hidden="1">{"'Ark1'!$A$8:$M$33"}</definedName>
    <definedName name="HTML_Control_4_1_2_2" hidden="1">{"'Ark1'!$A$8:$M$33"}</definedName>
    <definedName name="HTML_Control_4_1_2_2_1" hidden="1">{"'Ark1'!$A$8:$M$33"}</definedName>
    <definedName name="HTML_Control_4_1_2_2_1_1" hidden="1">{"'Ark1'!$A$8:$M$33"}</definedName>
    <definedName name="HTML_Control_4_1_2_2_1_2" hidden="1">{"'Ark1'!$A$8:$M$33"}</definedName>
    <definedName name="HTML_Control_4_1_2_2_1_3" hidden="1">{"'Ark1'!$A$8:$M$33"}</definedName>
    <definedName name="HTML_Control_4_1_2_2_1_4" hidden="1">{"'Ark1'!$A$8:$M$33"}</definedName>
    <definedName name="HTML_Control_4_1_2_2_1_5" hidden="1">{"'Ark1'!$A$8:$M$33"}</definedName>
    <definedName name="HTML_Control_4_1_2_2_2" hidden="1">{"'Ark1'!$A$8:$M$33"}</definedName>
    <definedName name="HTML_Control_4_1_2_2_3" hidden="1">{"'Ark1'!$A$8:$M$33"}</definedName>
    <definedName name="HTML_Control_4_1_2_2_4" hidden="1">{"'Ark1'!$A$8:$M$33"}</definedName>
    <definedName name="HTML_Control_4_1_2_2_5" hidden="1">{"'Ark1'!$A$8:$M$33"}</definedName>
    <definedName name="HTML_Control_4_1_2_3" hidden="1">{"'Ark1'!$A$8:$M$33"}</definedName>
    <definedName name="HTML_Control_4_1_2_3_1" hidden="1">{"'Ark1'!$A$8:$M$33"}</definedName>
    <definedName name="HTML_Control_4_1_2_3_1_1" hidden="1">{"'Ark1'!$A$8:$M$33"}</definedName>
    <definedName name="HTML_Control_4_1_2_3_1_2" hidden="1">{"'Ark1'!$A$8:$M$33"}</definedName>
    <definedName name="HTML_Control_4_1_2_3_1_3" hidden="1">{"'Ark1'!$A$8:$M$33"}</definedName>
    <definedName name="HTML_Control_4_1_2_3_1_4" hidden="1">{"'Ark1'!$A$8:$M$33"}</definedName>
    <definedName name="HTML_Control_4_1_2_3_1_5" hidden="1">{"'Ark1'!$A$8:$M$33"}</definedName>
    <definedName name="HTML_Control_4_1_2_3_2" hidden="1">{"'Ark1'!$A$8:$M$33"}</definedName>
    <definedName name="HTML_Control_4_1_2_3_3" hidden="1">{"'Ark1'!$A$8:$M$33"}</definedName>
    <definedName name="HTML_Control_4_1_2_3_4" hidden="1">{"'Ark1'!$A$8:$M$33"}</definedName>
    <definedName name="HTML_Control_4_1_2_3_5" hidden="1">{"'Ark1'!$A$8:$M$33"}</definedName>
    <definedName name="HTML_Control_4_1_2_4" hidden="1">{"'Ark1'!$A$8:$M$33"}</definedName>
    <definedName name="HTML_Control_4_1_2_4_1" hidden="1">{"'Ark1'!$A$8:$M$33"}</definedName>
    <definedName name="HTML_Control_4_1_2_4_2" hidden="1">{"'Ark1'!$A$8:$M$33"}</definedName>
    <definedName name="HTML_Control_4_1_2_4_3" hidden="1">{"'Ark1'!$A$8:$M$33"}</definedName>
    <definedName name="HTML_Control_4_1_2_4_4" hidden="1">{"'Ark1'!$A$8:$M$33"}</definedName>
    <definedName name="HTML_Control_4_1_2_4_5" hidden="1">{"'Ark1'!$A$8:$M$33"}</definedName>
    <definedName name="HTML_Control_4_1_2_5" hidden="1">{"'Ark1'!$A$8:$M$33"}</definedName>
    <definedName name="HTML_Control_4_1_3" hidden="1">{"'Ark1'!$A$8:$M$33"}</definedName>
    <definedName name="HTML_Control_4_1_3_1" hidden="1">{"'Ark1'!$A$8:$M$33"}</definedName>
    <definedName name="HTML_Control_4_1_3_1_1" hidden="1">{"'Ark1'!$A$8:$M$33"}</definedName>
    <definedName name="HTML_Control_4_1_3_1_1_1" hidden="1">{"'Ark1'!$A$8:$M$33"}</definedName>
    <definedName name="HTML_Control_4_1_3_1_1_2" hidden="1">{"'Ark1'!$A$8:$M$33"}</definedName>
    <definedName name="HTML_Control_4_1_3_1_1_3" hidden="1">{"'Ark1'!$A$8:$M$33"}</definedName>
    <definedName name="HTML_Control_4_1_3_1_1_4" hidden="1">{"'Ark1'!$A$8:$M$33"}</definedName>
    <definedName name="HTML_Control_4_1_3_1_1_5" hidden="1">{"'Ark1'!$A$8:$M$33"}</definedName>
    <definedName name="HTML_Control_4_1_3_1_2" hidden="1">{"'Ark1'!$A$8:$M$33"}</definedName>
    <definedName name="HTML_Control_4_1_3_1_3" hidden="1">{"'Ark1'!$A$8:$M$33"}</definedName>
    <definedName name="HTML_Control_4_1_3_1_4" hidden="1">{"'Ark1'!$A$8:$M$33"}</definedName>
    <definedName name="HTML_Control_4_1_3_1_5" hidden="1">{"'Ark1'!$A$8:$M$33"}</definedName>
    <definedName name="HTML_Control_4_1_3_2" hidden="1">{"'Ark1'!$A$8:$M$33"}</definedName>
    <definedName name="HTML_Control_4_1_3_2_1" hidden="1">{"'Ark1'!$A$8:$M$33"}</definedName>
    <definedName name="HTML_Control_4_1_3_2_1_1" hidden="1">{"'Ark1'!$A$8:$M$33"}</definedName>
    <definedName name="HTML_Control_4_1_3_2_1_2" hidden="1">{"'Ark1'!$A$8:$M$33"}</definedName>
    <definedName name="HTML_Control_4_1_3_2_1_3" hidden="1">{"'Ark1'!$A$8:$M$33"}</definedName>
    <definedName name="HTML_Control_4_1_3_2_1_4" hidden="1">{"'Ark1'!$A$8:$M$33"}</definedName>
    <definedName name="HTML_Control_4_1_3_2_1_5" hidden="1">{"'Ark1'!$A$8:$M$33"}</definedName>
    <definedName name="HTML_Control_4_1_3_2_2" hidden="1">{"'Ark1'!$A$8:$M$33"}</definedName>
    <definedName name="HTML_Control_4_1_3_2_3" hidden="1">{"'Ark1'!$A$8:$M$33"}</definedName>
    <definedName name="HTML_Control_4_1_3_2_4" hidden="1">{"'Ark1'!$A$8:$M$33"}</definedName>
    <definedName name="HTML_Control_4_1_3_2_5" hidden="1">{"'Ark1'!$A$8:$M$33"}</definedName>
    <definedName name="HTML_Control_4_1_3_3" hidden="1">{"'Ark1'!$A$8:$M$33"}</definedName>
    <definedName name="HTML_Control_4_1_3_3_1" hidden="1">{"'Ark1'!$A$8:$M$33"}</definedName>
    <definedName name="HTML_Control_4_1_3_3_2" hidden="1">{"'Ark1'!$A$8:$M$33"}</definedName>
    <definedName name="HTML_Control_4_1_3_3_3" hidden="1">{"'Ark1'!$A$8:$M$33"}</definedName>
    <definedName name="HTML_Control_4_1_3_3_4" hidden="1">{"'Ark1'!$A$8:$M$33"}</definedName>
    <definedName name="HTML_Control_4_1_3_3_5" hidden="1">{"'Ark1'!$A$8:$M$33"}</definedName>
    <definedName name="HTML_Control_4_1_3_4" hidden="1">{"'Ark1'!$A$8:$M$33"}</definedName>
    <definedName name="HTML_Control_4_1_3_5" hidden="1">{"'Ark1'!$A$8:$M$33"}</definedName>
    <definedName name="HTML_Control_4_1_4" hidden="1">{"'Ark1'!$A$8:$M$33"}</definedName>
    <definedName name="HTML_Control_4_1_4_1" hidden="1">{"'Ark1'!$A$8:$M$33"}</definedName>
    <definedName name="HTML_Control_4_1_4_1_1" hidden="1">{"'Ark1'!$A$8:$M$33"}</definedName>
    <definedName name="HTML_Control_4_1_4_1_2" hidden="1">{"'Ark1'!$A$8:$M$33"}</definedName>
    <definedName name="HTML_Control_4_1_4_1_3" hidden="1">{"'Ark1'!$A$8:$M$33"}</definedName>
    <definedName name="HTML_Control_4_1_4_1_4" hidden="1">{"'Ark1'!$A$8:$M$33"}</definedName>
    <definedName name="HTML_Control_4_1_4_1_5" hidden="1">{"'Ark1'!$A$8:$M$33"}</definedName>
    <definedName name="HTML_Control_4_1_4_2" hidden="1">{"'Ark1'!$A$8:$M$33"}</definedName>
    <definedName name="HTML_Control_4_1_4_3" hidden="1">{"'Ark1'!$A$8:$M$33"}</definedName>
    <definedName name="HTML_Control_4_1_4_4" hidden="1">{"'Ark1'!$A$8:$M$33"}</definedName>
    <definedName name="HTML_Control_4_1_4_5" hidden="1">{"'Ark1'!$A$8:$M$33"}</definedName>
    <definedName name="HTML_Control_4_1_5" hidden="1">{"'Ark1'!$A$8:$M$33"}</definedName>
    <definedName name="HTML_Control_4_1_5_1" hidden="1">{"'Ark1'!$A$8:$M$33"}</definedName>
    <definedName name="HTML_Control_4_1_5_1_1" hidden="1">{"'Ark1'!$A$8:$M$33"}</definedName>
    <definedName name="HTML_Control_4_1_5_1_2" hidden="1">{"'Ark1'!$A$8:$M$33"}</definedName>
    <definedName name="HTML_Control_4_1_5_1_3" hidden="1">{"'Ark1'!$A$8:$M$33"}</definedName>
    <definedName name="HTML_Control_4_1_5_1_4" hidden="1">{"'Ark1'!$A$8:$M$33"}</definedName>
    <definedName name="HTML_Control_4_1_5_1_5" hidden="1">{"'Ark1'!$A$8:$M$33"}</definedName>
    <definedName name="HTML_Control_4_1_5_2" hidden="1">{"'Ark1'!$A$8:$M$33"}</definedName>
    <definedName name="HTML_Control_4_1_5_3" hidden="1">{"'Ark1'!$A$8:$M$33"}</definedName>
    <definedName name="HTML_Control_4_1_5_4" hidden="1">{"'Ark1'!$A$8:$M$33"}</definedName>
    <definedName name="HTML_Control_4_1_5_5" hidden="1">{"'Ark1'!$A$8:$M$33"}</definedName>
    <definedName name="HTML_Control_4_2" hidden="1">{"'Ark1'!$A$8:$M$33"}</definedName>
    <definedName name="HTML_Control_4_2_1" hidden="1">{"'Ark1'!$A$8:$M$33"}</definedName>
    <definedName name="HTML_Control_4_2_1_1" hidden="1">{"'Ark1'!$A$8:$M$33"}</definedName>
    <definedName name="HTML_Control_4_2_1_1_1" hidden="1">{"'Ark1'!$A$8:$M$33"}</definedName>
    <definedName name="HTML_Control_4_2_1_1_1_1" hidden="1">{"'Ark1'!$A$8:$M$33"}</definedName>
    <definedName name="HTML_Control_4_2_1_1_1_1_1" hidden="1">{"'Ark1'!$A$8:$M$33"}</definedName>
    <definedName name="HTML_Control_4_2_1_1_1_2" hidden="1">{"'Ark1'!$A$8:$M$33"}</definedName>
    <definedName name="HTML_Control_4_2_1_1_1_3" hidden="1">{"'Ark1'!$A$8:$M$33"}</definedName>
    <definedName name="HTML_Control_4_2_1_1_1_4" hidden="1">{"'Ark1'!$A$8:$M$33"}</definedName>
    <definedName name="HTML_Control_4_2_1_1_1_5" hidden="1">{"'Ark1'!$A$8:$M$33"}</definedName>
    <definedName name="HTML_Control_4_2_1_1_2" hidden="1">{"'Ark1'!$A$8:$M$33"}</definedName>
    <definedName name="HTML_Control_4_2_1_1_3" hidden="1">{"'Ark1'!$A$8:$M$33"}</definedName>
    <definedName name="HTML_Control_4_2_1_1_4" hidden="1">{"'Ark1'!$A$8:$M$33"}</definedName>
    <definedName name="HTML_Control_4_2_1_1_5" hidden="1">{"'Ark1'!$A$8:$M$33"}</definedName>
    <definedName name="HTML_Control_4_2_1_2" hidden="1">{"'Ark1'!$A$8:$M$33"}</definedName>
    <definedName name="HTML_Control_4_2_1_2_1" hidden="1">{"'Ark1'!$A$8:$M$33"}</definedName>
    <definedName name="HTML_Control_4_2_1_2_1_1" hidden="1">{"'Ark1'!$A$8:$M$33"}</definedName>
    <definedName name="HTML_Control_4_2_1_2_1_2" hidden="1">{"'Ark1'!$A$8:$M$33"}</definedName>
    <definedName name="HTML_Control_4_2_1_2_1_3" hidden="1">{"'Ark1'!$A$8:$M$33"}</definedName>
    <definedName name="HTML_Control_4_2_1_2_1_4" hidden="1">{"'Ark1'!$A$8:$M$33"}</definedName>
    <definedName name="HTML_Control_4_2_1_2_1_5" hidden="1">{"'Ark1'!$A$8:$M$33"}</definedName>
    <definedName name="HTML_Control_4_2_1_2_2" hidden="1">{"'Ark1'!$A$8:$M$33"}</definedName>
    <definedName name="HTML_Control_4_2_1_2_3" hidden="1">{"'Ark1'!$A$8:$M$33"}</definedName>
    <definedName name="HTML_Control_4_2_1_2_4" hidden="1">{"'Ark1'!$A$8:$M$33"}</definedName>
    <definedName name="HTML_Control_4_2_1_2_5" hidden="1">{"'Ark1'!$A$8:$M$33"}</definedName>
    <definedName name="HTML_Control_4_2_1_3" hidden="1">{"'Ark1'!$A$8:$M$33"}</definedName>
    <definedName name="HTML_Control_4_2_1_3_1" hidden="1">{"'Ark1'!$A$8:$M$33"}</definedName>
    <definedName name="HTML_Control_4_2_1_3_2" hidden="1">{"'Ark1'!$A$8:$M$33"}</definedName>
    <definedName name="HTML_Control_4_2_1_3_3" hidden="1">{"'Ark1'!$A$8:$M$33"}</definedName>
    <definedName name="HTML_Control_4_2_1_3_4" hidden="1">{"'Ark1'!$A$8:$M$33"}</definedName>
    <definedName name="HTML_Control_4_2_1_3_5" hidden="1">{"'Ark1'!$A$8:$M$33"}</definedName>
    <definedName name="HTML_Control_4_2_1_4" hidden="1">{"'Ark1'!$A$8:$M$33"}</definedName>
    <definedName name="HTML_Control_4_2_1_5" hidden="1">{"'Ark1'!$A$8:$M$33"}</definedName>
    <definedName name="HTML_Control_4_2_2" hidden="1">{"'Ark1'!$A$8:$M$33"}</definedName>
    <definedName name="HTML_Control_4_2_2_1" hidden="1">{"'Ark1'!$A$8:$M$33"}</definedName>
    <definedName name="HTML_Control_4_2_2_1_1" hidden="1">{"'Ark1'!$A$8:$M$33"}</definedName>
    <definedName name="HTML_Control_4_2_2_1_2" hidden="1">{"'Ark1'!$A$8:$M$33"}</definedName>
    <definedName name="HTML_Control_4_2_2_1_3" hidden="1">{"'Ark1'!$A$8:$M$33"}</definedName>
    <definedName name="HTML_Control_4_2_2_1_4" hidden="1">{"'Ark1'!$A$8:$M$33"}</definedName>
    <definedName name="HTML_Control_4_2_2_1_5" hidden="1">{"'Ark1'!$A$8:$M$33"}</definedName>
    <definedName name="HTML_Control_4_2_2_2" hidden="1">{"'Ark1'!$A$8:$M$33"}</definedName>
    <definedName name="HTML_Control_4_2_2_3" hidden="1">{"'Ark1'!$A$8:$M$33"}</definedName>
    <definedName name="HTML_Control_4_2_2_4" hidden="1">{"'Ark1'!$A$8:$M$33"}</definedName>
    <definedName name="HTML_Control_4_2_2_5" hidden="1">{"'Ark1'!$A$8:$M$33"}</definedName>
    <definedName name="HTML_Control_4_2_3" hidden="1">{"'Ark1'!$A$8:$M$33"}</definedName>
    <definedName name="HTML_Control_4_2_3_1" hidden="1">{"'Ark1'!$A$8:$M$33"}</definedName>
    <definedName name="HTML_Control_4_2_3_1_1" hidden="1">{"'Ark1'!$A$8:$M$33"}</definedName>
    <definedName name="HTML_Control_4_2_3_1_2" hidden="1">{"'Ark1'!$A$8:$M$33"}</definedName>
    <definedName name="HTML_Control_4_2_3_1_3" hidden="1">{"'Ark1'!$A$8:$M$33"}</definedName>
    <definedName name="HTML_Control_4_2_3_1_4" hidden="1">{"'Ark1'!$A$8:$M$33"}</definedName>
    <definedName name="HTML_Control_4_2_3_1_5" hidden="1">{"'Ark1'!$A$8:$M$33"}</definedName>
    <definedName name="HTML_Control_4_2_3_2" hidden="1">{"'Ark1'!$A$8:$M$33"}</definedName>
    <definedName name="HTML_Control_4_2_3_3" hidden="1">{"'Ark1'!$A$8:$M$33"}</definedName>
    <definedName name="HTML_Control_4_2_3_4" hidden="1">{"'Ark1'!$A$8:$M$33"}</definedName>
    <definedName name="HTML_Control_4_2_3_5" hidden="1">{"'Ark1'!$A$8:$M$33"}</definedName>
    <definedName name="HTML_Control_4_2_4" hidden="1">{"'Ark1'!$A$8:$M$33"}</definedName>
    <definedName name="HTML_Control_4_2_4_1" hidden="1">{"'Ark1'!$A$8:$M$33"}</definedName>
    <definedName name="HTML_Control_4_2_4_2" hidden="1">{"'Ark1'!$A$8:$M$33"}</definedName>
    <definedName name="HTML_Control_4_2_4_3" hidden="1">{"'Ark1'!$A$8:$M$33"}</definedName>
    <definedName name="HTML_Control_4_2_4_4" hidden="1">{"'Ark1'!$A$8:$M$33"}</definedName>
    <definedName name="HTML_Control_4_2_4_5" hidden="1">{"'Ark1'!$A$8:$M$33"}</definedName>
    <definedName name="HTML_Control_4_2_5" hidden="1">{"'Ark1'!$A$8:$M$33"}</definedName>
    <definedName name="HTML_Control_4_3" hidden="1">{"'Ark1'!$A$8:$M$33"}</definedName>
    <definedName name="HTML_Control_4_3_1" hidden="1">{"'Ark1'!$A$8:$M$33"}</definedName>
    <definedName name="HTML_Control_4_3_1_1" hidden="1">{"'Ark1'!$A$8:$M$33"}</definedName>
    <definedName name="HTML_Control_4_3_1_1_1" hidden="1">{"'Ark1'!$A$8:$M$33"}</definedName>
    <definedName name="HTML_Control_4_3_1_1_1_1" hidden="1">{"'Ark1'!$A$8:$M$33"}</definedName>
    <definedName name="HTML_Control_4_3_1_1_1_1_1" hidden="1">{"'Ark1'!$A$8:$M$33"}</definedName>
    <definedName name="HTML_Control_4_3_1_1_1_2" hidden="1">{"'Ark1'!$A$8:$M$33"}</definedName>
    <definedName name="HTML_Control_4_3_1_1_1_3" hidden="1">{"'Ark1'!$A$8:$M$33"}</definedName>
    <definedName name="HTML_Control_4_3_1_1_1_4" hidden="1">{"'Ark1'!$A$8:$M$33"}</definedName>
    <definedName name="HTML_Control_4_3_1_1_1_5" hidden="1">{"'Ark1'!$A$8:$M$33"}</definedName>
    <definedName name="HTML_Control_4_3_1_1_2" hidden="1">{"'Ark1'!$A$8:$M$33"}</definedName>
    <definedName name="HTML_Control_4_3_1_1_3" hidden="1">{"'Ark1'!$A$8:$M$33"}</definedName>
    <definedName name="HTML_Control_4_3_1_1_4" hidden="1">{"'Ark1'!$A$8:$M$33"}</definedName>
    <definedName name="HTML_Control_4_3_1_1_5" hidden="1">{"'Ark1'!$A$8:$M$33"}</definedName>
    <definedName name="HTML_Control_4_3_1_2" hidden="1">{"'Ark1'!$A$8:$M$33"}</definedName>
    <definedName name="HTML_Control_4_3_1_2_1" hidden="1">{"'Ark1'!$A$8:$M$33"}</definedName>
    <definedName name="HTML_Control_4_3_1_2_1_1" hidden="1">{"'Ark1'!$A$8:$M$33"}</definedName>
    <definedName name="HTML_Control_4_3_1_2_1_2" hidden="1">{"'Ark1'!$A$8:$M$33"}</definedName>
    <definedName name="HTML_Control_4_3_1_2_1_3" hidden="1">{"'Ark1'!$A$8:$M$33"}</definedName>
    <definedName name="HTML_Control_4_3_1_2_1_4" hidden="1">{"'Ark1'!$A$8:$M$33"}</definedName>
    <definedName name="HTML_Control_4_3_1_2_1_5" hidden="1">{"'Ark1'!$A$8:$M$33"}</definedName>
    <definedName name="HTML_Control_4_3_1_2_2" hidden="1">{"'Ark1'!$A$8:$M$33"}</definedName>
    <definedName name="HTML_Control_4_3_1_2_3" hidden="1">{"'Ark1'!$A$8:$M$33"}</definedName>
    <definedName name="HTML_Control_4_3_1_2_4" hidden="1">{"'Ark1'!$A$8:$M$33"}</definedName>
    <definedName name="HTML_Control_4_3_1_2_5" hidden="1">{"'Ark1'!$A$8:$M$33"}</definedName>
    <definedName name="HTML_Control_4_3_1_3" hidden="1">{"'Ark1'!$A$8:$M$33"}</definedName>
    <definedName name="HTML_Control_4_3_1_3_1" hidden="1">{"'Ark1'!$A$8:$M$33"}</definedName>
    <definedName name="HTML_Control_4_3_1_3_2" hidden="1">{"'Ark1'!$A$8:$M$33"}</definedName>
    <definedName name="HTML_Control_4_3_1_3_3" hidden="1">{"'Ark1'!$A$8:$M$33"}</definedName>
    <definedName name="HTML_Control_4_3_1_3_4" hidden="1">{"'Ark1'!$A$8:$M$33"}</definedName>
    <definedName name="HTML_Control_4_3_1_3_5" hidden="1">{"'Ark1'!$A$8:$M$33"}</definedName>
    <definedName name="HTML_Control_4_3_1_4" hidden="1">{"'Ark1'!$A$8:$M$33"}</definedName>
    <definedName name="HTML_Control_4_3_1_5" hidden="1">{"'Ark1'!$A$8:$M$33"}</definedName>
    <definedName name="HTML_Control_4_3_2" hidden="1">{"'Ark1'!$A$8:$M$33"}</definedName>
    <definedName name="HTML_Control_4_3_2_1" hidden="1">{"'Ark1'!$A$8:$M$33"}</definedName>
    <definedName name="HTML_Control_4_3_2_1_1" hidden="1">{"'Ark1'!$A$8:$M$33"}</definedName>
    <definedName name="HTML_Control_4_3_2_1_2" hidden="1">{"'Ark1'!$A$8:$M$33"}</definedName>
    <definedName name="HTML_Control_4_3_2_1_3" hidden="1">{"'Ark1'!$A$8:$M$33"}</definedName>
    <definedName name="HTML_Control_4_3_2_1_4" hidden="1">{"'Ark1'!$A$8:$M$33"}</definedName>
    <definedName name="HTML_Control_4_3_2_1_5" hidden="1">{"'Ark1'!$A$8:$M$33"}</definedName>
    <definedName name="HTML_Control_4_3_2_2" hidden="1">{"'Ark1'!$A$8:$M$33"}</definedName>
    <definedName name="HTML_Control_4_3_2_3" hidden="1">{"'Ark1'!$A$8:$M$33"}</definedName>
    <definedName name="HTML_Control_4_3_2_4" hidden="1">{"'Ark1'!$A$8:$M$33"}</definedName>
    <definedName name="HTML_Control_4_3_2_5" hidden="1">{"'Ark1'!$A$8:$M$33"}</definedName>
    <definedName name="HTML_Control_4_3_3" hidden="1">{"'Ark1'!$A$8:$M$33"}</definedName>
    <definedName name="HTML_Control_4_3_3_1" hidden="1">{"'Ark1'!$A$8:$M$33"}</definedName>
    <definedName name="HTML_Control_4_3_3_1_1" hidden="1">{"'Ark1'!$A$8:$M$33"}</definedName>
    <definedName name="HTML_Control_4_3_3_1_2" hidden="1">{"'Ark1'!$A$8:$M$33"}</definedName>
    <definedName name="HTML_Control_4_3_3_1_3" hidden="1">{"'Ark1'!$A$8:$M$33"}</definedName>
    <definedName name="HTML_Control_4_3_3_1_4" hidden="1">{"'Ark1'!$A$8:$M$33"}</definedName>
    <definedName name="HTML_Control_4_3_3_1_5" hidden="1">{"'Ark1'!$A$8:$M$33"}</definedName>
    <definedName name="HTML_Control_4_3_3_2" hidden="1">{"'Ark1'!$A$8:$M$33"}</definedName>
    <definedName name="HTML_Control_4_3_3_3" hidden="1">{"'Ark1'!$A$8:$M$33"}</definedName>
    <definedName name="HTML_Control_4_3_3_4" hidden="1">{"'Ark1'!$A$8:$M$33"}</definedName>
    <definedName name="HTML_Control_4_3_3_5" hidden="1">{"'Ark1'!$A$8:$M$33"}</definedName>
    <definedName name="HTML_Control_4_3_4" hidden="1">{"'Ark1'!$A$8:$M$33"}</definedName>
    <definedName name="HTML_Control_4_3_4_1" hidden="1">{"'Ark1'!$A$8:$M$33"}</definedName>
    <definedName name="HTML_Control_4_3_4_2" hidden="1">{"'Ark1'!$A$8:$M$33"}</definedName>
    <definedName name="HTML_Control_4_3_4_3" hidden="1">{"'Ark1'!$A$8:$M$33"}</definedName>
    <definedName name="HTML_Control_4_3_4_4" hidden="1">{"'Ark1'!$A$8:$M$33"}</definedName>
    <definedName name="HTML_Control_4_3_4_5" hidden="1">{"'Ark1'!$A$8:$M$33"}</definedName>
    <definedName name="HTML_Control_4_3_5" hidden="1">{"'Ark1'!$A$8:$M$33"}</definedName>
    <definedName name="HTML_Control_4_4" hidden="1">{"'Ark1'!$A$8:$M$33"}</definedName>
    <definedName name="HTML_Control_4_4_1" hidden="1">{"'Ark1'!$A$8:$M$33"}</definedName>
    <definedName name="HTML_Control_4_4_1_1" hidden="1">{"'Ark1'!$A$8:$M$33"}</definedName>
    <definedName name="HTML_Control_4_4_1_1_1" hidden="1">{"'Ark1'!$A$8:$M$33"}</definedName>
    <definedName name="HTML_Control_4_4_1_1_1_1" hidden="1">{"'Ark1'!$A$8:$M$33"}</definedName>
    <definedName name="HTML_Control_4_4_1_1_2" hidden="1">{"'Ark1'!$A$8:$M$33"}</definedName>
    <definedName name="HTML_Control_4_4_1_1_3" hidden="1">{"'Ark1'!$A$8:$M$33"}</definedName>
    <definedName name="HTML_Control_4_4_1_1_4" hidden="1">{"'Ark1'!$A$8:$M$33"}</definedName>
    <definedName name="HTML_Control_4_4_1_1_5" hidden="1">{"'Ark1'!$A$8:$M$33"}</definedName>
    <definedName name="HTML_Control_4_4_1_2" hidden="1">{"'Ark1'!$A$8:$M$33"}</definedName>
    <definedName name="HTML_Control_4_4_1_3" hidden="1">{"'Ark1'!$A$8:$M$33"}</definedName>
    <definedName name="HTML_Control_4_4_1_4" hidden="1">{"'Ark1'!$A$8:$M$33"}</definedName>
    <definedName name="HTML_Control_4_4_1_5" hidden="1">{"'Ark1'!$A$8:$M$33"}</definedName>
    <definedName name="HTML_Control_4_4_2" hidden="1">{"'Ark1'!$A$8:$M$33"}</definedName>
    <definedName name="HTML_Control_4_4_2_1" hidden="1">{"'Ark1'!$A$8:$M$33"}</definedName>
    <definedName name="HTML_Control_4_4_2_1_1" hidden="1">{"'Ark1'!$A$8:$M$33"}</definedName>
    <definedName name="HTML_Control_4_4_2_1_2" hidden="1">{"'Ark1'!$A$8:$M$33"}</definedName>
    <definedName name="HTML_Control_4_4_2_1_3" hidden="1">{"'Ark1'!$A$8:$M$33"}</definedName>
    <definedName name="HTML_Control_4_4_2_1_4" hidden="1">{"'Ark1'!$A$8:$M$33"}</definedName>
    <definedName name="HTML_Control_4_4_2_1_5" hidden="1">{"'Ark1'!$A$8:$M$33"}</definedName>
    <definedName name="HTML_Control_4_4_2_2" hidden="1">{"'Ark1'!$A$8:$M$33"}</definedName>
    <definedName name="HTML_Control_4_4_2_3" hidden="1">{"'Ark1'!$A$8:$M$33"}</definedName>
    <definedName name="HTML_Control_4_4_2_4" hidden="1">{"'Ark1'!$A$8:$M$33"}</definedName>
    <definedName name="HTML_Control_4_4_2_5" hidden="1">{"'Ark1'!$A$8:$M$33"}</definedName>
    <definedName name="HTML_Control_4_4_3" hidden="1">{"'Ark1'!$A$8:$M$33"}</definedName>
    <definedName name="HTML_Control_4_4_3_1" hidden="1">{"'Ark1'!$A$8:$M$33"}</definedName>
    <definedName name="HTML_Control_4_4_3_2" hidden="1">{"'Ark1'!$A$8:$M$33"}</definedName>
    <definedName name="HTML_Control_4_4_3_3" hidden="1">{"'Ark1'!$A$8:$M$33"}</definedName>
    <definedName name="HTML_Control_4_4_3_4" hidden="1">{"'Ark1'!$A$8:$M$33"}</definedName>
    <definedName name="HTML_Control_4_4_3_5" hidden="1">{"'Ark1'!$A$8:$M$33"}</definedName>
    <definedName name="HTML_Control_4_4_4" hidden="1">{"'Ark1'!$A$8:$M$33"}</definedName>
    <definedName name="HTML_Control_4_4_5" hidden="1">{"'Ark1'!$A$8:$M$33"}</definedName>
    <definedName name="HTML_Control_4_5" hidden="1">{"'Ark1'!$A$8:$M$33"}</definedName>
    <definedName name="HTML_Control_4_5_1" hidden="1">{"'Ark1'!$A$8:$M$33"}</definedName>
    <definedName name="HTML_Control_4_5_1_1" hidden="1">{"'Ark1'!$A$8:$M$33"}</definedName>
    <definedName name="HTML_Control_4_5_1_2" hidden="1">{"'Ark1'!$A$8:$M$33"}</definedName>
    <definedName name="HTML_Control_4_5_1_3" hidden="1">{"'Ark1'!$A$8:$M$33"}</definedName>
    <definedName name="HTML_Control_4_5_1_4" hidden="1">{"'Ark1'!$A$8:$M$33"}</definedName>
    <definedName name="HTML_Control_4_5_1_5" hidden="1">{"'Ark1'!$A$8:$M$33"}</definedName>
    <definedName name="HTML_Control_4_5_2" hidden="1">{"'Ark1'!$A$8:$M$33"}</definedName>
    <definedName name="HTML_Control_4_5_3" hidden="1">{"'Ark1'!$A$8:$M$33"}</definedName>
    <definedName name="HTML_Control_4_5_4" hidden="1">{"'Ark1'!$A$8:$M$33"}</definedName>
    <definedName name="HTML_Control_4_5_5" hidden="1">{"'Ark1'!$A$8:$M$33"}</definedName>
    <definedName name="HTML_Control_5" hidden="1">{"'Ark1'!$A$8:$M$33"}</definedName>
    <definedName name="HTML_Control_5_1" hidden="1">{"'Ark1'!$A$8:$M$33"}</definedName>
    <definedName name="HTML_Control_5_1_1" hidden="1">{"'Ark1'!$A$8:$M$33"}</definedName>
    <definedName name="HTML_Control_5_1_1_1" hidden="1">{"'Ark1'!$A$8:$M$33"}</definedName>
    <definedName name="HTML_Control_5_1_1_1_1" hidden="1">{"'Ark1'!$A$8:$M$33"}</definedName>
    <definedName name="HTML_Control_5_1_1_1_1_1" hidden="1">{"'Ark1'!$A$8:$M$33"}</definedName>
    <definedName name="HTML_Control_5_1_1_1_1_1_1" hidden="1">{"'Ark1'!$A$8:$M$33"}</definedName>
    <definedName name="HTML_Control_5_1_1_1_1_2" hidden="1">{"'Ark1'!$A$8:$M$33"}</definedName>
    <definedName name="HTML_Control_5_1_1_1_1_3" hidden="1">{"'Ark1'!$A$8:$M$33"}</definedName>
    <definedName name="HTML_Control_5_1_1_1_1_4" hidden="1">{"'Ark1'!$A$8:$M$33"}</definedName>
    <definedName name="HTML_Control_5_1_1_1_1_5" hidden="1">{"'Ark1'!$A$8:$M$33"}</definedName>
    <definedName name="HTML_Control_5_1_1_1_2" hidden="1">{"'Ark1'!$A$8:$M$33"}</definedName>
    <definedName name="HTML_Control_5_1_1_1_3" hidden="1">{"'Ark1'!$A$8:$M$33"}</definedName>
    <definedName name="HTML_Control_5_1_1_1_4" hidden="1">{"'Ark1'!$A$8:$M$33"}</definedName>
    <definedName name="HTML_Control_5_1_1_1_5" hidden="1">{"'Ark1'!$A$8:$M$33"}</definedName>
    <definedName name="HTML_Control_5_1_1_2" hidden="1">{"'Ark1'!$A$8:$M$33"}</definedName>
    <definedName name="HTML_Control_5_1_1_2_1" hidden="1">{"'Ark1'!$A$8:$M$33"}</definedName>
    <definedName name="HTML_Control_5_1_1_2_1_1" hidden="1">{"'Ark1'!$A$8:$M$33"}</definedName>
    <definedName name="HTML_Control_5_1_1_2_1_2" hidden="1">{"'Ark1'!$A$8:$M$33"}</definedName>
    <definedName name="HTML_Control_5_1_1_2_1_3" hidden="1">{"'Ark1'!$A$8:$M$33"}</definedName>
    <definedName name="HTML_Control_5_1_1_2_1_4" hidden="1">{"'Ark1'!$A$8:$M$33"}</definedName>
    <definedName name="HTML_Control_5_1_1_2_1_5" hidden="1">{"'Ark1'!$A$8:$M$33"}</definedName>
    <definedName name="HTML_Control_5_1_1_2_2" hidden="1">{"'Ark1'!$A$8:$M$33"}</definedName>
    <definedName name="HTML_Control_5_1_1_2_3" hidden="1">{"'Ark1'!$A$8:$M$33"}</definedName>
    <definedName name="HTML_Control_5_1_1_2_4" hidden="1">{"'Ark1'!$A$8:$M$33"}</definedName>
    <definedName name="HTML_Control_5_1_1_2_5" hidden="1">{"'Ark1'!$A$8:$M$33"}</definedName>
    <definedName name="HTML_Control_5_1_1_3" hidden="1">{"'Ark1'!$A$8:$M$33"}</definedName>
    <definedName name="HTML_Control_5_1_1_3_1" hidden="1">{"'Ark1'!$A$8:$M$33"}</definedName>
    <definedName name="HTML_Control_5_1_1_3_2" hidden="1">{"'Ark1'!$A$8:$M$33"}</definedName>
    <definedName name="HTML_Control_5_1_1_3_3" hidden="1">{"'Ark1'!$A$8:$M$33"}</definedName>
    <definedName name="HTML_Control_5_1_1_3_4" hidden="1">{"'Ark1'!$A$8:$M$33"}</definedName>
    <definedName name="HTML_Control_5_1_1_3_5" hidden="1">{"'Ark1'!$A$8:$M$33"}</definedName>
    <definedName name="HTML_Control_5_1_1_4" hidden="1">{"'Ark1'!$A$8:$M$33"}</definedName>
    <definedName name="HTML_Control_5_1_1_5" hidden="1">{"'Ark1'!$A$8:$M$33"}</definedName>
    <definedName name="HTML_Control_5_1_2" hidden="1">{"'Ark1'!$A$8:$M$33"}</definedName>
    <definedName name="HTML_Control_5_1_2_1" hidden="1">{"'Ark1'!$A$8:$M$33"}</definedName>
    <definedName name="HTML_Control_5_1_2_1_1" hidden="1">{"'Ark1'!$A$8:$M$33"}</definedName>
    <definedName name="HTML_Control_5_1_2_1_2" hidden="1">{"'Ark1'!$A$8:$M$33"}</definedName>
    <definedName name="HTML_Control_5_1_2_1_3" hidden="1">{"'Ark1'!$A$8:$M$33"}</definedName>
    <definedName name="HTML_Control_5_1_2_1_4" hidden="1">{"'Ark1'!$A$8:$M$33"}</definedName>
    <definedName name="HTML_Control_5_1_2_1_5" hidden="1">{"'Ark1'!$A$8:$M$33"}</definedName>
    <definedName name="HTML_Control_5_1_2_2" hidden="1">{"'Ark1'!$A$8:$M$33"}</definedName>
    <definedName name="HTML_Control_5_1_2_3" hidden="1">{"'Ark1'!$A$8:$M$33"}</definedName>
    <definedName name="HTML_Control_5_1_2_4" hidden="1">{"'Ark1'!$A$8:$M$33"}</definedName>
    <definedName name="HTML_Control_5_1_2_5" hidden="1">{"'Ark1'!$A$8:$M$33"}</definedName>
    <definedName name="HTML_Control_5_1_3" hidden="1">{"'Ark1'!$A$8:$M$33"}</definedName>
    <definedName name="HTML_Control_5_1_3_1" hidden="1">{"'Ark1'!$A$8:$M$33"}</definedName>
    <definedName name="HTML_Control_5_1_3_1_1" hidden="1">{"'Ark1'!$A$8:$M$33"}</definedName>
    <definedName name="HTML_Control_5_1_3_1_2" hidden="1">{"'Ark1'!$A$8:$M$33"}</definedName>
    <definedName name="HTML_Control_5_1_3_1_3" hidden="1">{"'Ark1'!$A$8:$M$33"}</definedName>
    <definedName name="HTML_Control_5_1_3_1_4" hidden="1">{"'Ark1'!$A$8:$M$33"}</definedName>
    <definedName name="HTML_Control_5_1_3_1_5" hidden="1">{"'Ark1'!$A$8:$M$33"}</definedName>
    <definedName name="HTML_Control_5_1_3_2" hidden="1">{"'Ark1'!$A$8:$M$33"}</definedName>
    <definedName name="HTML_Control_5_1_3_3" hidden="1">{"'Ark1'!$A$8:$M$33"}</definedName>
    <definedName name="HTML_Control_5_1_3_4" hidden="1">{"'Ark1'!$A$8:$M$33"}</definedName>
    <definedName name="HTML_Control_5_1_3_5" hidden="1">{"'Ark1'!$A$8:$M$33"}</definedName>
    <definedName name="HTML_Control_5_1_4" hidden="1">{"'Ark1'!$A$8:$M$33"}</definedName>
    <definedName name="HTML_Control_5_1_4_1" hidden="1">{"'Ark1'!$A$8:$M$33"}</definedName>
    <definedName name="HTML_Control_5_1_4_2" hidden="1">{"'Ark1'!$A$8:$M$33"}</definedName>
    <definedName name="HTML_Control_5_1_4_3" hidden="1">{"'Ark1'!$A$8:$M$33"}</definedName>
    <definedName name="HTML_Control_5_1_4_4" hidden="1">{"'Ark1'!$A$8:$M$33"}</definedName>
    <definedName name="HTML_Control_5_1_4_5" hidden="1">{"'Ark1'!$A$8:$M$33"}</definedName>
    <definedName name="HTML_Control_5_1_5" hidden="1">{"'Ark1'!$A$8:$M$33"}</definedName>
    <definedName name="HTML_Control_5_2" hidden="1">{"'Ark1'!$A$8:$M$33"}</definedName>
    <definedName name="HTML_Control_5_2_1" hidden="1">{"'Ark1'!$A$8:$M$33"}</definedName>
    <definedName name="HTML_Control_5_2_1_1" hidden="1">{"'Ark1'!$A$8:$M$33"}</definedName>
    <definedName name="HTML_Control_5_2_1_1_1" hidden="1">{"'Ark1'!$A$8:$M$33"}</definedName>
    <definedName name="HTML_Control_5_2_1_1_1_1" hidden="1">{"'Ark1'!$A$8:$M$33"}</definedName>
    <definedName name="HTML_Control_5_2_1_1_1_1_1" hidden="1">{"'Ark1'!$A$8:$M$33"}</definedName>
    <definedName name="HTML_Control_5_2_1_1_1_2" hidden="1">{"'Ark1'!$A$8:$M$33"}</definedName>
    <definedName name="HTML_Control_5_2_1_1_1_3" hidden="1">{"'Ark1'!$A$8:$M$33"}</definedName>
    <definedName name="HTML_Control_5_2_1_1_1_4" hidden="1">{"'Ark1'!$A$8:$M$33"}</definedName>
    <definedName name="HTML_Control_5_2_1_1_1_5" hidden="1">{"'Ark1'!$A$8:$M$33"}</definedName>
    <definedName name="HTML_Control_5_2_1_1_2" hidden="1">{"'Ark1'!$A$8:$M$33"}</definedName>
    <definedName name="HTML_Control_5_2_1_1_3" hidden="1">{"'Ark1'!$A$8:$M$33"}</definedName>
    <definedName name="HTML_Control_5_2_1_1_4" hidden="1">{"'Ark1'!$A$8:$M$33"}</definedName>
    <definedName name="HTML_Control_5_2_1_1_5" hidden="1">{"'Ark1'!$A$8:$M$33"}</definedName>
    <definedName name="HTML_Control_5_2_1_2" hidden="1">{"'Ark1'!$A$8:$M$33"}</definedName>
    <definedName name="HTML_Control_5_2_1_2_1" hidden="1">{"'Ark1'!$A$8:$M$33"}</definedName>
    <definedName name="HTML_Control_5_2_1_2_1_1" hidden="1">{"'Ark1'!$A$8:$M$33"}</definedName>
    <definedName name="HTML_Control_5_2_1_2_1_2" hidden="1">{"'Ark1'!$A$8:$M$33"}</definedName>
    <definedName name="HTML_Control_5_2_1_2_1_3" hidden="1">{"'Ark1'!$A$8:$M$33"}</definedName>
    <definedName name="HTML_Control_5_2_1_2_1_4" hidden="1">{"'Ark1'!$A$8:$M$33"}</definedName>
    <definedName name="HTML_Control_5_2_1_2_1_5" hidden="1">{"'Ark1'!$A$8:$M$33"}</definedName>
    <definedName name="HTML_Control_5_2_1_2_2" hidden="1">{"'Ark1'!$A$8:$M$33"}</definedName>
    <definedName name="HTML_Control_5_2_1_2_3" hidden="1">{"'Ark1'!$A$8:$M$33"}</definedName>
    <definedName name="HTML_Control_5_2_1_2_4" hidden="1">{"'Ark1'!$A$8:$M$33"}</definedName>
    <definedName name="HTML_Control_5_2_1_2_5" hidden="1">{"'Ark1'!$A$8:$M$33"}</definedName>
    <definedName name="HTML_Control_5_2_1_3" hidden="1">{"'Ark1'!$A$8:$M$33"}</definedName>
    <definedName name="HTML_Control_5_2_1_3_1" hidden="1">{"'Ark1'!$A$8:$M$33"}</definedName>
    <definedName name="HTML_Control_5_2_1_3_2" hidden="1">{"'Ark1'!$A$8:$M$33"}</definedName>
    <definedName name="HTML_Control_5_2_1_3_3" hidden="1">{"'Ark1'!$A$8:$M$33"}</definedName>
    <definedName name="HTML_Control_5_2_1_3_4" hidden="1">{"'Ark1'!$A$8:$M$33"}</definedName>
    <definedName name="HTML_Control_5_2_1_3_5" hidden="1">{"'Ark1'!$A$8:$M$33"}</definedName>
    <definedName name="HTML_Control_5_2_1_4" hidden="1">{"'Ark1'!$A$8:$M$33"}</definedName>
    <definedName name="HTML_Control_5_2_1_5" hidden="1">{"'Ark1'!$A$8:$M$33"}</definedName>
    <definedName name="HTML_Control_5_2_2" hidden="1">{"'Ark1'!$A$8:$M$33"}</definedName>
    <definedName name="HTML_Control_5_2_2_1" hidden="1">{"'Ark1'!$A$8:$M$33"}</definedName>
    <definedName name="HTML_Control_5_2_2_1_1" hidden="1">{"'Ark1'!$A$8:$M$33"}</definedName>
    <definedName name="HTML_Control_5_2_2_1_2" hidden="1">{"'Ark1'!$A$8:$M$33"}</definedName>
    <definedName name="HTML_Control_5_2_2_1_3" hidden="1">{"'Ark1'!$A$8:$M$33"}</definedName>
    <definedName name="HTML_Control_5_2_2_1_4" hidden="1">{"'Ark1'!$A$8:$M$33"}</definedName>
    <definedName name="HTML_Control_5_2_2_1_5" hidden="1">{"'Ark1'!$A$8:$M$33"}</definedName>
    <definedName name="HTML_Control_5_2_2_2" hidden="1">{"'Ark1'!$A$8:$M$33"}</definedName>
    <definedName name="HTML_Control_5_2_2_3" hidden="1">{"'Ark1'!$A$8:$M$33"}</definedName>
    <definedName name="HTML_Control_5_2_2_4" hidden="1">{"'Ark1'!$A$8:$M$33"}</definedName>
    <definedName name="HTML_Control_5_2_2_5" hidden="1">{"'Ark1'!$A$8:$M$33"}</definedName>
    <definedName name="HTML_Control_5_2_3" hidden="1">{"'Ark1'!$A$8:$M$33"}</definedName>
    <definedName name="HTML_Control_5_2_3_1" hidden="1">{"'Ark1'!$A$8:$M$33"}</definedName>
    <definedName name="HTML_Control_5_2_3_1_1" hidden="1">{"'Ark1'!$A$8:$M$33"}</definedName>
    <definedName name="HTML_Control_5_2_3_1_2" hidden="1">{"'Ark1'!$A$8:$M$33"}</definedName>
    <definedName name="HTML_Control_5_2_3_1_3" hidden="1">{"'Ark1'!$A$8:$M$33"}</definedName>
    <definedName name="HTML_Control_5_2_3_1_4" hidden="1">{"'Ark1'!$A$8:$M$33"}</definedName>
    <definedName name="HTML_Control_5_2_3_1_5" hidden="1">{"'Ark1'!$A$8:$M$33"}</definedName>
    <definedName name="HTML_Control_5_2_3_2" hidden="1">{"'Ark1'!$A$8:$M$33"}</definedName>
    <definedName name="HTML_Control_5_2_3_3" hidden="1">{"'Ark1'!$A$8:$M$33"}</definedName>
    <definedName name="HTML_Control_5_2_3_4" hidden="1">{"'Ark1'!$A$8:$M$33"}</definedName>
    <definedName name="HTML_Control_5_2_3_5" hidden="1">{"'Ark1'!$A$8:$M$33"}</definedName>
    <definedName name="HTML_Control_5_2_4" hidden="1">{"'Ark1'!$A$8:$M$33"}</definedName>
    <definedName name="HTML_Control_5_2_4_1" hidden="1">{"'Ark1'!$A$8:$M$33"}</definedName>
    <definedName name="HTML_Control_5_2_4_2" hidden="1">{"'Ark1'!$A$8:$M$33"}</definedName>
    <definedName name="HTML_Control_5_2_4_3" hidden="1">{"'Ark1'!$A$8:$M$33"}</definedName>
    <definedName name="HTML_Control_5_2_4_4" hidden="1">{"'Ark1'!$A$8:$M$33"}</definedName>
    <definedName name="HTML_Control_5_2_4_5" hidden="1">{"'Ark1'!$A$8:$M$33"}</definedName>
    <definedName name="HTML_Control_5_2_5" hidden="1">{"'Ark1'!$A$8:$M$33"}</definedName>
    <definedName name="HTML_Control_5_3" hidden="1">{"'Ark1'!$A$8:$M$33"}</definedName>
    <definedName name="HTML_Control_5_3_1" hidden="1">{"'Ark1'!$A$8:$M$33"}</definedName>
    <definedName name="HTML_Control_5_3_1_1" hidden="1">{"'Ark1'!$A$8:$M$33"}</definedName>
    <definedName name="HTML_Control_5_3_1_1_1" hidden="1">{"'Ark1'!$A$8:$M$33"}</definedName>
    <definedName name="HTML_Control_5_3_1_1_1_1" hidden="1">{"'Ark1'!$A$8:$M$33"}</definedName>
    <definedName name="HTML_Control_5_3_1_1_2" hidden="1">{"'Ark1'!$A$8:$M$33"}</definedName>
    <definedName name="HTML_Control_5_3_1_1_3" hidden="1">{"'Ark1'!$A$8:$M$33"}</definedName>
    <definedName name="HTML_Control_5_3_1_1_4" hidden="1">{"'Ark1'!$A$8:$M$33"}</definedName>
    <definedName name="HTML_Control_5_3_1_1_5" hidden="1">{"'Ark1'!$A$8:$M$33"}</definedName>
    <definedName name="HTML_Control_5_3_1_2" hidden="1">{"'Ark1'!$A$8:$M$33"}</definedName>
    <definedName name="HTML_Control_5_3_1_3" hidden="1">{"'Ark1'!$A$8:$M$33"}</definedName>
    <definedName name="HTML_Control_5_3_1_4" hidden="1">{"'Ark1'!$A$8:$M$33"}</definedName>
    <definedName name="HTML_Control_5_3_1_5" hidden="1">{"'Ark1'!$A$8:$M$33"}</definedName>
    <definedName name="HTML_Control_5_3_2" hidden="1">{"'Ark1'!$A$8:$M$33"}</definedName>
    <definedName name="HTML_Control_5_3_2_1" hidden="1">{"'Ark1'!$A$8:$M$33"}</definedName>
    <definedName name="HTML_Control_5_3_2_1_1" hidden="1">{"'Ark1'!$A$8:$M$33"}</definedName>
    <definedName name="HTML_Control_5_3_2_1_2" hidden="1">{"'Ark1'!$A$8:$M$33"}</definedName>
    <definedName name="HTML_Control_5_3_2_1_3" hidden="1">{"'Ark1'!$A$8:$M$33"}</definedName>
    <definedName name="HTML_Control_5_3_2_1_4" hidden="1">{"'Ark1'!$A$8:$M$33"}</definedName>
    <definedName name="HTML_Control_5_3_2_1_5" hidden="1">{"'Ark1'!$A$8:$M$33"}</definedName>
    <definedName name="HTML_Control_5_3_2_2" hidden="1">{"'Ark1'!$A$8:$M$33"}</definedName>
    <definedName name="HTML_Control_5_3_2_3" hidden="1">{"'Ark1'!$A$8:$M$33"}</definedName>
    <definedName name="HTML_Control_5_3_2_4" hidden="1">{"'Ark1'!$A$8:$M$33"}</definedName>
    <definedName name="HTML_Control_5_3_2_5" hidden="1">{"'Ark1'!$A$8:$M$33"}</definedName>
    <definedName name="HTML_Control_5_3_3" hidden="1">{"'Ark1'!$A$8:$M$33"}</definedName>
    <definedName name="HTML_Control_5_3_3_1" hidden="1">{"'Ark1'!$A$8:$M$33"}</definedName>
    <definedName name="HTML_Control_5_3_3_2" hidden="1">{"'Ark1'!$A$8:$M$33"}</definedName>
    <definedName name="HTML_Control_5_3_3_3" hidden="1">{"'Ark1'!$A$8:$M$33"}</definedName>
    <definedName name="HTML_Control_5_3_3_4" hidden="1">{"'Ark1'!$A$8:$M$33"}</definedName>
    <definedName name="HTML_Control_5_3_3_5" hidden="1">{"'Ark1'!$A$8:$M$33"}</definedName>
    <definedName name="HTML_Control_5_3_4" hidden="1">{"'Ark1'!$A$8:$M$33"}</definedName>
    <definedName name="HTML_Control_5_3_5" hidden="1">{"'Ark1'!$A$8:$M$33"}</definedName>
    <definedName name="HTML_Control_5_4" hidden="1">{"'Ark1'!$A$8:$M$33"}</definedName>
    <definedName name="HTML_Control_5_4_1" hidden="1">{"'Ark1'!$A$8:$M$33"}</definedName>
    <definedName name="HTML_Control_5_4_1_1" hidden="1">{"'Ark1'!$A$8:$M$33"}</definedName>
    <definedName name="HTML_Control_5_4_1_1_1" hidden="1">{"'Ark1'!$A$8:$M$33"}</definedName>
    <definedName name="HTML_Control_5_4_1_2" hidden="1">{"'Ark1'!$A$8:$M$33"}</definedName>
    <definedName name="HTML_Control_5_4_1_3" hidden="1">{"'Ark1'!$A$8:$M$33"}</definedName>
    <definedName name="HTML_Control_5_4_1_4" hidden="1">{"'Ark1'!$A$8:$M$33"}</definedName>
    <definedName name="HTML_Control_5_4_1_5" hidden="1">{"'Ark1'!$A$8:$M$33"}</definedName>
    <definedName name="HTML_Control_5_4_2" hidden="1">{"'Ark1'!$A$8:$M$33"}</definedName>
    <definedName name="HTML_Control_5_4_3" hidden="1">{"'Ark1'!$A$8:$M$33"}</definedName>
    <definedName name="HTML_Control_5_4_4" hidden="1">{"'Ark1'!$A$8:$M$33"}</definedName>
    <definedName name="HTML_Control_5_4_5" hidden="1">{"'Ark1'!$A$8:$M$33"}</definedName>
    <definedName name="HTML_Control_5_5" hidden="1">{"'Ark1'!$A$8:$M$33"}</definedName>
    <definedName name="HTML_Control_5_5_1" hidden="1">{"'Ark1'!$A$8:$M$33"}</definedName>
    <definedName name="HTML_Control_5_5_1_1" hidden="1">{"'Ark1'!$A$8:$M$33"}</definedName>
    <definedName name="HTML_Control_5_5_1_2" hidden="1">{"'Ark1'!$A$8:$M$33"}</definedName>
    <definedName name="HTML_Control_5_5_1_3" hidden="1">{"'Ark1'!$A$8:$M$33"}</definedName>
    <definedName name="HTML_Control_5_5_1_4" hidden="1">{"'Ark1'!$A$8:$M$33"}</definedName>
    <definedName name="HTML_Control_5_5_1_5" hidden="1">{"'Ark1'!$A$8:$M$33"}</definedName>
    <definedName name="HTML_Control_5_5_2" hidden="1">{"'Ark1'!$A$8:$M$33"}</definedName>
    <definedName name="HTML_Control_5_5_3" hidden="1">{"'Ark1'!$A$8:$M$33"}</definedName>
    <definedName name="HTML_Control_5_5_4" hidden="1">{"'Ark1'!$A$8:$M$33"}</definedName>
    <definedName name="HTML_Control_5_5_5"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JPNY_NG">[3]Beregn!$A$27:$IV$27</definedName>
    <definedName name="JPTY_BIT">[3]Beregn!$A$24:$IV$24</definedName>
    <definedName name="JPTY_BZ">[3]Beregn!$A$11:$IV$11</definedName>
    <definedName name="JPTY_BZFLY">[3]Beregn!$A$12:$IV$12</definedName>
    <definedName name="JPTY_BZJP4">[3]Beregn!$A$13:$IV$13</definedName>
    <definedName name="JPTY_F">[3]Beregn!$A$19:$IV$19</definedName>
    <definedName name="JPTY_GASD">[3]Beregn!$A$18:$IV$18</definedName>
    <definedName name="JPTY_HF">[3]Beregn!$A$6:$IV$6</definedName>
    <definedName name="JPTY_JP1">[3]Beregn!$A$16:$IV$16</definedName>
    <definedName name="JPTY_LPG">[3]Beregn!$A$9:$IV$9</definedName>
    <definedName name="JPTY_LVN">[3]Beregn!$A$10:$IV$10</definedName>
    <definedName name="JPTY_PETR">[3]Beregn!$A$15:$IV$15</definedName>
    <definedName name="JPTY_PK">[3]Beregn!$A$21:$IV$21</definedName>
    <definedName name="JPTY_RG">[3]Beregn!$A$8:$IV$8</definedName>
    <definedName name="JPTY_RO">[3]Beregn!$A$3:$IV$3</definedName>
    <definedName name="JPTY_SO">[3]Beregn!$A$25:$IV$25</definedName>
    <definedName name="JPTY_TERP">[3]Beregn!$A$23:$IV$23</definedName>
    <definedName name="KONELNYBRTJY_NG">[3]EPdata_dk!$A$5:$IV$5</definedName>
    <definedName name="KONELRAFFTJY_F">[3]EPdata_dk!$A$212:$IV$212</definedName>
    <definedName name="KONFVRAFFTJY_F">[3]EPdata_dk!$A$239:$IV$239</definedName>
    <definedName name="NGDITTMY">[3]Rådata!$B$323:$IV$323</definedName>
    <definedName name="NGEFNSMY_NFUEL">[3]Rådata!$B$329:$IV$329</definedName>
    <definedName name="NGEFTRMY">[3]Rådata!$A$322:$IV$322</definedName>
    <definedName name="øbgabrsl" localSheetId="10">#REF!</definedName>
    <definedName name="øbgabrsl" localSheetId="13">#REF!</definedName>
    <definedName name="øbgabrsl" localSheetId="7">#REF!</definedName>
    <definedName name="øbgabrsl" localSheetId="8">#REF!</definedName>
    <definedName name="øbgabrsl" localSheetId="6">#REF!</definedName>
    <definedName name="øbgabrsl" localSheetId="22">#REF!</definedName>
    <definedName name="øbgabrsl" localSheetId="21">#REF!</definedName>
    <definedName name="øbgabrsl" localSheetId="9">#REF!</definedName>
    <definedName name="øbgabrsl" localSheetId="15">#REF!</definedName>
    <definedName name="øbgabrsl" localSheetId="29">#REF!</definedName>
    <definedName name="øbgabrsl" localSheetId="11">#REF!</definedName>
    <definedName name="øbgabrsl">#REF!</definedName>
    <definedName name="øelcbrsl" localSheetId="10">#REF!</definedName>
    <definedName name="øelcbrsl" localSheetId="13">#REF!</definedName>
    <definedName name="øelcbrsl" localSheetId="7">#REF!</definedName>
    <definedName name="øelcbrsl" localSheetId="8">#REF!</definedName>
    <definedName name="øelcbrsl" localSheetId="6">#REF!</definedName>
    <definedName name="øelcbrsl" localSheetId="22">#REF!</definedName>
    <definedName name="øelcbrsl" localSheetId="21">#REF!</definedName>
    <definedName name="øelcbrsl" localSheetId="9">#REF!</definedName>
    <definedName name="øelcbrsl" localSheetId="15">#REF!</definedName>
    <definedName name="øelcbrsl" localSheetId="29">#REF!</definedName>
    <definedName name="øelcbrsl" localSheetId="11">#REF!</definedName>
    <definedName name="øelcbrsl">#REF!</definedName>
    <definedName name="øfjvbrsl" localSheetId="10">#REF!</definedName>
    <definedName name="øfjvbrsl" localSheetId="13">#REF!</definedName>
    <definedName name="øfjvbrsl" localSheetId="7">#REF!</definedName>
    <definedName name="øfjvbrsl" localSheetId="8">#REF!</definedName>
    <definedName name="øfjvbrsl" localSheetId="6">#REF!</definedName>
    <definedName name="øfjvbrsl" localSheetId="22">#REF!</definedName>
    <definedName name="øfjvbrsl" localSheetId="21">#REF!</definedName>
    <definedName name="øfjvbrsl" localSheetId="9">#REF!</definedName>
    <definedName name="øfjvbrsl" localSheetId="15">#REF!</definedName>
    <definedName name="øfjvbrsl" localSheetId="29">#REF!</definedName>
    <definedName name="øfjvbrsl" localSheetId="11">#REF!</definedName>
    <definedName name="øfjvbrsl">#REF!</definedName>
    <definedName name="OpenSolver_ChosenSolver" localSheetId="6" hidden="1">CBC</definedName>
    <definedName name="OpenSolver_DualsNewSheet" localSheetId="6" hidden="1">FALSE</definedName>
    <definedName name="OpenSolver_LinearityCheck" localSheetId="6" hidden="1">1</definedName>
    <definedName name="OpenSolver_UpdateSensitivity" localSheetId="6" hidden="1">TRUE</definedName>
    <definedName name="OPEPMY_BZ">[3]Rådata!$A$69:$IV$69</definedName>
    <definedName name="OPEPMY_BZFLY">[3]Rådata!$A$61:$IV$61</definedName>
    <definedName name="OPEPMY_BZJP4">[3]Rådata!$A$85:$IV$85</definedName>
    <definedName name="OPEPMY_GASD">[3]Rådata!$A$109:$IV$109</definedName>
    <definedName name="OPEPMY_JP1">[3]Rådata!$A$101:$IV$101</definedName>
    <definedName name="OPEPMY_PETR">[3]Rådata!$A$93:$IV$93</definedName>
    <definedName name="OPEPTY_BIT">[3]Rådata!$A$181:$IV$181</definedName>
    <definedName name="OPEPTY_F">[3]Rådata!$A$129:$IV$129</definedName>
    <definedName name="OPEPTY_LPG">[3]Rådata!$A$44:$IV$44</definedName>
    <definedName name="OPEPTY_LVN">[3]Rådata!$A$53:$IV$53</definedName>
    <definedName name="OPEPTY_PK">[3]Rådata!$A$149:$IV$149</definedName>
    <definedName name="OPEPTY_RG">[3]Rådata!$A$40:$IV$40</definedName>
    <definedName name="OPEPTY_SO">[3]Rådata!$A$171:$IV$171</definedName>
    <definedName name="OPEPTY_TERP">[3]Rådata!$A$162:$IV$162</definedName>
    <definedName name="OPFRMY_GASD">[3]Rådata!$A$115:$IV$115</definedName>
    <definedName name="OPFRTY_F">[3]Rådata!$A$135:$IV$135</definedName>
    <definedName name="OPFRTY_LPG">[3]Rådata!$A$49:$IV$49</definedName>
    <definedName name="PVEL_RG">[3]EPdata_dk!$A$107:$IV$107</definedName>
    <definedName name="PVFV_RG">[3]EPdata_dk!$A$123:$IV$123</definedName>
    <definedName name="PVRENS_BIA">[3]EPdata_dk!$A$157:$IV$157</definedName>
    <definedName name="PVRENS_BID">[3]EPdata_dk!$A$156:$IV$156</definedName>
    <definedName name="RVEFTY_HF">[3]Rådata!$A$36:$IV$36</definedName>
    <definedName name="RVEFTY_RO">[3]Rådata!$A$28:$IV$28</definedName>
    <definedName name="solver_adj" localSheetId="6" hidden="1">Cars!$BO$56:$BP$57</definedName>
    <definedName name="solver_adj" localSheetId="22" hidden="1">Freight_Rail!$J$6</definedName>
    <definedName name="solver_adj" localSheetId="21" hidden="1">Freight_Road_Old!$J$6:$J$6,Freight_Road_Old!$J$8:$J$8,Freight_Road_Old!#REF!,Freight_Road_Old!$L$6:$L$6,Freight_Road_Old!$L$8:$L$8,Freight_Road_Old!#REF!</definedName>
    <definedName name="solver_adj" localSheetId="15" hidden="1">TRAIN!$J$10</definedName>
    <definedName name="solver_cvg" localSheetId="6" hidden="1">0.0001</definedName>
    <definedName name="solver_cvg" localSheetId="22" hidden="1">0.0001</definedName>
    <definedName name="solver_cvg" localSheetId="20" hidden="1">0.0001</definedName>
    <definedName name="solver_cvg" localSheetId="21" hidden="1">0.0001</definedName>
    <definedName name="solver_cvg" localSheetId="15" hidden="1">0.0001</definedName>
    <definedName name="solver_drv" localSheetId="6" hidden="1">1</definedName>
    <definedName name="solver_drv" localSheetId="22" hidden="1">2</definedName>
    <definedName name="solver_drv" localSheetId="20" hidden="1">2</definedName>
    <definedName name="solver_drv" localSheetId="21" hidden="1">2</definedName>
    <definedName name="solver_drv" localSheetId="15" hidden="1">1</definedName>
    <definedName name="solver_eng" localSheetId="6" hidden="1">1</definedName>
    <definedName name="solver_eng" localSheetId="22" hidden="1">1</definedName>
    <definedName name="solver_eng" localSheetId="20" hidden="1">1</definedName>
    <definedName name="solver_eng" localSheetId="21" hidden="1">1</definedName>
    <definedName name="solver_eng" localSheetId="15" hidden="1">1</definedName>
    <definedName name="solver_est" localSheetId="6" hidden="1">1</definedName>
    <definedName name="solver_est" localSheetId="22" hidden="1">1</definedName>
    <definedName name="solver_est" localSheetId="20" hidden="1">1</definedName>
    <definedName name="solver_est" localSheetId="21" hidden="1">1</definedName>
    <definedName name="solver_est" localSheetId="15" hidden="1">1</definedName>
    <definedName name="solver_itr" localSheetId="6" hidden="1">2147483647</definedName>
    <definedName name="solver_itr" localSheetId="22" hidden="1">2147483647</definedName>
    <definedName name="solver_itr" localSheetId="20" hidden="1">2147483647</definedName>
    <definedName name="solver_itr" localSheetId="21" hidden="1">2147483647</definedName>
    <definedName name="solver_itr" localSheetId="15" hidden="1">2147483647</definedName>
    <definedName name="solver_lhs1" localSheetId="6" hidden="1">Cars!$BO$56:$BP$57</definedName>
    <definedName name="solver_lhs1" localSheetId="15" hidden="1">TRAIN!$AA$10</definedName>
    <definedName name="solver_lhs10" localSheetId="6" hidden="1">Cars!#REF!</definedName>
    <definedName name="solver_lhs11" localSheetId="6" hidden="1">Cars!#REF!</definedName>
    <definedName name="solver_lhs12" localSheetId="6" hidden="1">Cars!#REF!</definedName>
    <definedName name="solver_lhs13" localSheetId="6" hidden="1">Cars!#REF!</definedName>
    <definedName name="solver_lhs14" localSheetId="6" hidden="1">Cars!#REF!</definedName>
    <definedName name="solver_lhs15" localSheetId="6" hidden="1">Cars!#REF!</definedName>
    <definedName name="solver_lhs16" localSheetId="6" hidden="1">Cars!#REF!</definedName>
    <definedName name="solver_lhs17" localSheetId="6" hidden="1">Cars!#REF!</definedName>
    <definedName name="solver_lhs2" localSheetId="6" hidden="1">Cars!$BO$56:$BP$57</definedName>
    <definedName name="solver_lhs2" localSheetId="15" hidden="1">TRAIN!$AA$20</definedName>
    <definedName name="solver_lhs3" localSheetId="6" hidden="1">Cars!#REF!</definedName>
    <definedName name="solver_lhs3" localSheetId="15" hidden="1">TRAIN!$AA$7</definedName>
    <definedName name="solver_lhs4" localSheetId="6" hidden="1">Cars!#REF!</definedName>
    <definedName name="solver_lhs4" localSheetId="15" hidden="1">TRAIN!#REF!</definedName>
    <definedName name="solver_lhs5" localSheetId="6" hidden="1">Cars!#REF!</definedName>
    <definedName name="solver_lhs5" localSheetId="15" hidden="1">TRAIN!#REF!</definedName>
    <definedName name="solver_lhs6" localSheetId="6" hidden="1">Cars!#REF!</definedName>
    <definedName name="solver_lhs7" localSheetId="6" hidden="1">Cars!$BO$57:$BP$57</definedName>
    <definedName name="solver_lhs8" localSheetId="6" hidden="1">Cars!#REF!</definedName>
    <definedName name="solver_lhs9" localSheetId="6" hidden="1">Cars!#REF!</definedName>
    <definedName name="solver_mip" localSheetId="6" hidden="1">2147483647</definedName>
    <definedName name="solver_mip" localSheetId="22" hidden="1">2147483647</definedName>
    <definedName name="solver_mip" localSheetId="20" hidden="1">2147483647</definedName>
    <definedName name="solver_mip" localSheetId="21" hidden="1">2147483647</definedName>
    <definedName name="solver_mip" localSheetId="15" hidden="1">2147483647</definedName>
    <definedName name="solver_mni" localSheetId="6" hidden="1">30</definedName>
    <definedName name="solver_mni" localSheetId="22" hidden="1">30</definedName>
    <definedName name="solver_mni" localSheetId="20" hidden="1">30</definedName>
    <definedName name="solver_mni" localSheetId="21" hidden="1">30</definedName>
    <definedName name="solver_mni" localSheetId="15" hidden="1">30</definedName>
    <definedName name="solver_mrt" localSheetId="6" hidden="1">0.075</definedName>
    <definedName name="solver_mrt" localSheetId="22" hidden="1">0.075</definedName>
    <definedName name="solver_mrt" localSheetId="20" hidden="1">0.075</definedName>
    <definedName name="solver_mrt" localSheetId="21" hidden="1">0.075</definedName>
    <definedName name="solver_mrt" localSheetId="15" hidden="1">0.075</definedName>
    <definedName name="solver_msl" localSheetId="6" hidden="1">2</definedName>
    <definedName name="solver_msl" localSheetId="22" hidden="1">2</definedName>
    <definedName name="solver_msl" localSheetId="20" hidden="1">2</definedName>
    <definedName name="solver_msl" localSheetId="21" hidden="1">2</definedName>
    <definedName name="solver_msl" localSheetId="15" hidden="1">2</definedName>
    <definedName name="solver_neg" localSheetId="6" hidden="1">2</definedName>
    <definedName name="solver_neg" localSheetId="22" hidden="1">1</definedName>
    <definedName name="solver_neg" localSheetId="20" hidden="1">1</definedName>
    <definedName name="solver_neg" localSheetId="21" hidden="1">1</definedName>
    <definedName name="solver_neg" localSheetId="15" hidden="1">1</definedName>
    <definedName name="solver_nod" localSheetId="6" hidden="1">2147483647</definedName>
    <definedName name="solver_nod" localSheetId="22" hidden="1">2147483647</definedName>
    <definedName name="solver_nod" localSheetId="20" hidden="1">2147483647</definedName>
    <definedName name="solver_nod" localSheetId="21" hidden="1">2147483647</definedName>
    <definedName name="solver_nod" localSheetId="15" hidden="1">2147483647</definedName>
    <definedName name="solver_num" localSheetId="6" hidden="1">5</definedName>
    <definedName name="solver_num" localSheetId="22" hidden="1">0</definedName>
    <definedName name="solver_num" localSheetId="20" hidden="1">0</definedName>
    <definedName name="solver_num" localSheetId="21" hidden="1">0</definedName>
    <definedName name="solver_num" localSheetId="15" hidden="1">0</definedName>
    <definedName name="solver_nwt" localSheetId="6" hidden="1">1</definedName>
    <definedName name="solver_nwt" localSheetId="22" hidden="1">1</definedName>
    <definedName name="solver_nwt" localSheetId="20" hidden="1">1</definedName>
    <definedName name="solver_nwt" localSheetId="21" hidden="1">1</definedName>
    <definedName name="solver_nwt" localSheetId="15" hidden="1">1</definedName>
    <definedName name="solver_opt" localSheetId="6" hidden="1">Cars!#REF!</definedName>
    <definedName name="solver_opt" localSheetId="22" hidden="1">Freight_Rail!$W$8</definedName>
    <definedName name="solver_opt" localSheetId="21" hidden="1">Freight_Road_Old!$AM$6</definedName>
    <definedName name="solver_opt" localSheetId="15" hidden="1">TRAIN!#REF!</definedName>
    <definedName name="solver_pre" localSheetId="6" hidden="1">0.000001</definedName>
    <definedName name="solver_pre" localSheetId="22" hidden="1">0.000001</definedName>
    <definedName name="solver_pre" localSheetId="20" hidden="1">0.000001</definedName>
    <definedName name="solver_pre" localSheetId="21" hidden="1">0.000001</definedName>
    <definedName name="solver_pre" localSheetId="15" hidden="1">0.000001</definedName>
    <definedName name="solver_rbv" localSheetId="6" hidden="1">1</definedName>
    <definedName name="solver_rbv" localSheetId="22" hidden="1">2</definedName>
    <definedName name="solver_rbv" localSheetId="20" hidden="1">2</definedName>
    <definedName name="solver_rbv" localSheetId="21" hidden="1">2</definedName>
    <definedName name="solver_rbv" localSheetId="15" hidden="1">1</definedName>
    <definedName name="solver_rel1" localSheetId="6" hidden="1">1</definedName>
    <definedName name="solver_rel1" localSheetId="15" hidden="1">3</definedName>
    <definedName name="solver_rel10" localSheetId="6" hidden="1">2</definedName>
    <definedName name="solver_rel11" localSheetId="6" hidden="1">3</definedName>
    <definedName name="solver_rel12" localSheetId="6" hidden="1">3</definedName>
    <definedName name="solver_rel13" localSheetId="6" hidden="1">2</definedName>
    <definedName name="solver_rel14" localSheetId="6" hidden="1">3</definedName>
    <definedName name="solver_rel15" localSheetId="6" hidden="1">3</definedName>
    <definedName name="solver_rel16" localSheetId="6" hidden="1">3</definedName>
    <definedName name="solver_rel17" localSheetId="6" hidden="1">2</definedName>
    <definedName name="solver_rel2" localSheetId="6" hidden="1">3</definedName>
    <definedName name="solver_rel2" localSheetId="15" hidden="1">3</definedName>
    <definedName name="solver_rel3" localSheetId="6" hidden="1">2</definedName>
    <definedName name="solver_rel3" localSheetId="15" hidden="1">3</definedName>
    <definedName name="solver_rel4" localSheetId="6" hidden="1">1</definedName>
    <definedName name="solver_rel4" localSheetId="15" hidden="1">3</definedName>
    <definedName name="solver_rel5" localSheetId="6" hidden="1">3</definedName>
    <definedName name="solver_rel5" localSheetId="15" hidden="1">3</definedName>
    <definedName name="solver_rel6" localSheetId="6" hidden="1">2</definedName>
    <definedName name="solver_rel7" localSheetId="6" hidden="1">3</definedName>
    <definedName name="solver_rel8" localSheetId="6" hidden="1">2</definedName>
    <definedName name="solver_rel9" localSheetId="6" hidden="1">2</definedName>
    <definedName name="solver_rhs1" localSheetId="6" hidden="1">28000</definedName>
    <definedName name="solver_rhs1" localSheetId="15" hidden="1">TRAIN!$Z$10</definedName>
    <definedName name="solver_rhs10" localSheetId="6" hidden="1">1</definedName>
    <definedName name="solver_rhs11" localSheetId="6" hidden="1">0.15</definedName>
    <definedName name="solver_rhs12" localSheetId="6" hidden="1">0</definedName>
    <definedName name="solver_rhs13" localSheetId="6" hidden="1">Cars!#REF!</definedName>
    <definedName name="solver_rhs14" localSheetId="6" hidden="1">2</definedName>
    <definedName name="solver_rhs15" localSheetId="6" hidden="1">2</definedName>
    <definedName name="solver_rhs16" localSheetId="6" hidden="1">Cars!#REF!</definedName>
    <definedName name="solver_rhs17" localSheetId="6" hidden="1">Cars!#REF!</definedName>
    <definedName name="solver_rhs2" localSheetId="6" hidden="1">12000</definedName>
    <definedName name="solver_rhs2" localSheetId="15" hidden="1">TRAIN!$Z$20</definedName>
    <definedName name="solver_rhs3" localSheetId="6" hidden="1">0</definedName>
    <definedName name="solver_rhs3" localSheetId="15" hidden="1">TRAIN!$Z$7</definedName>
    <definedName name="solver_rhs4" localSheetId="6" hidden="1">0.5</definedName>
    <definedName name="solver_rhs4" localSheetId="15" hidden="1">TRAIN!#REF!</definedName>
    <definedName name="solver_rhs5" localSheetId="6" hidden="1">0.2</definedName>
    <definedName name="solver_rhs5" localSheetId="15" hidden="1">TRAIN!#REF!</definedName>
    <definedName name="solver_rhs6" localSheetId="6" hidden="1">0</definedName>
    <definedName name="solver_rhs7" localSheetId="6" hidden="1">10000</definedName>
    <definedName name="solver_rhs8" localSheetId="6" hidden="1">0</definedName>
    <definedName name="solver_rhs9" localSheetId="6" hidden="1">1</definedName>
    <definedName name="solver_rlx" localSheetId="6" hidden="1">2</definedName>
    <definedName name="solver_rlx" localSheetId="22" hidden="1">2</definedName>
    <definedName name="solver_rlx" localSheetId="20" hidden="1">2</definedName>
    <definedName name="solver_rlx" localSheetId="21" hidden="1">2</definedName>
    <definedName name="solver_rlx" localSheetId="15" hidden="1">2</definedName>
    <definedName name="solver_rsd" localSheetId="6" hidden="1">0</definedName>
    <definedName name="solver_rsd" localSheetId="22" hidden="1">0</definedName>
    <definedName name="solver_rsd" localSheetId="20" hidden="1">0</definedName>
    <definedName name="solver_rsd" localSheetId="21" hidden="1">0</definedName>
    <definedName name="solver_rsd" localSheetId="15" hidden="1">0</definedName>
    <definedName name="solver_scl" localSheetId="6" hidden="1">1</definedName>
    <definedName name="solver_scl" localSheetId="22" hidden="1">2</definedName>
    <definedName name="solver_scl" localSheetId="20" hidden="1">2</definedName>
    <definedName name="solver_scl" localSheetId="21" hidden="1">2</definedName>
    <definedName name="solver_scl" localSheetId="15" hidden="1">1</definedName>
    <definedName name="solver_sho" localSheetId="6" hidden="1">2</definedName>
    <definedName name="solver_sho" localSheetId="22" hidden="1">2</definedName>
    <definedName name="solver_sho" localSheetId="20" hidden="1">2</definedName>
    <definedName name="solver_sho" localSheetId="21" hidden="1">2</definedName>
    <definedName name="solver_sho" localSheetId="15" hidden="1">2</definedName>
    <definedName name="solver_ssz" localSheetId="6" hidden="1">100</definedName>
    <definedName name="solver_ssz" localSheetId="22" hidden="1">100</definedName>
    <definedName name="solver_ssz" localSheetId="20" hidden="1">100</definedName>
    <definedName name="solver_ssz" localSheetId="21" hidden="1">100</definedName>
    <definedName name="solver_ssz" localSheetId="15" hidden="1">100</definedName>
    <definedName name="solver_tim" localSheetId="6" hidden="1">2147483647</definedName>
    <definedName name="solver_tim" localSheetId="22" hidden="1">2147483647</definedName>
    <definedName name="solver_tim" localSheetId="20" hidden="1">2147483647</definedName>
    <definedName name="solver_tim" localSheetId="21" hidden="1">2147483647</definedName>
    <definedName name="solver_tim" localSheetId="15" hidden="1">2147483647</definedName>
    <definedName name="solver_tol" localSheetId="6" hidden="1">0.01</definedName>
    <definedName name="solver_tol" localSheetId="22" hidden="1">0.01</definedName>
    <definedName name="solver_tol" localSheetId="20" hidden="1">0.01</definedName>
    <definedName name="solver_tol" localSheetId="21" hidden="1">0.01</definedName>
    <definedName name="solver_tol" localSheetId="15" hidden="1">0.01</definedName>
    <definedName name="solver_typ" localSheetId="6" hidden="1">3</definedName>
    <definedName name="solver_typ" localSheetId="22" hidden="1">3</definedName>
    <definedName name="solver_typ" localSheetId="20" hidden="1">3</definedName>
    <definedName name="solver_typ" localSheetId="21" hidden="1">3</definedName>
    <definedName name="solver_typ" localSheetId="15" hidden="1">3</definedName>
    <definedName name="solver_val" localSheetId="6" hidden="1">0</definedName>
    <definedName name="solver_val" localSheetId="22" hidden="1">0</definedName>
    <definedName name="solver_val" localSheetId="20" hidden="1">0</definedName>
    <definedName name="solver_val" localSheetId="21" hidden="1">0</definedName>
    <definedName name="solver_val" localSheetId="15" hidden="1">239.1</definedName>
    <definedName name="solver_ver" localSheetId="6" hidden="1">3</definedName>
    <definedName name="solver_ver" localSheetId="22" hidden="1">3</definedName>
    <definedName name="solver_ver" localSheetId="20" hidden="1">3</definedName>
    <definedName name="solver_ver" localSheetId="21" hidden="1">3</definedName>
    <definedName name="solver_ver" localSheetId="15" hidden="1">3</definedName>
    <definedName name="TPMY_BZ">[3]Beregn!$A$50:$IV$50</definedName>
    <definedName name="TPMY_BZFLY">[3]Beregn!$A$51:$IV$51</definedName>
    <definedName name="TPMY_BZJP4">[3]Beregn!$A$52:$IV$52</definedName>
    <definedName name="TPMY_GASD">[3]Beregn!$A$55:$IV$55</definedName>
    <definedName name="TPMY_JP1">[3]Beregn!$A$54:$IV$54</definedName>
    <definedName name="TPMY_PETR">[3]Beregn!$A$53:$IV$53</definedName>
    <definedName name="x" localSheetId="3">[5]AGR_Fuels!$A$2</definedName>
    <definedName name="x">[5]AGR_Fuels!$A$2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1" i="250" l="1"/>
  <c r="I7" i="250"/>
  <c r="J7" i="250"/>
  <c r="H7" i="250"/>
  <c r="G7" i="250" l="1"/>
  <c r="H11" i="250"/>
  <c r="O15" i="286"/>
  <c r="N15" i="286"/>
  <c r="M17" i="286"/>
  <c r="G8" i="250"/>
  <c r="I11" i="250"/>
  <c r="G12" i="250"/>
  <c r="S11" i="250"/>
  <c r="S7" i="250"/>
  <c r="S8" i="250"/>
  <c r="F11" i="221"/>
  <c r="E11" i="221"/>
  <c r="H11" i="221" s="1"/>
  <c r="E12" i="221"/>
  <c r="H12" i="221" s="1"/>
  <c r="F12" i="221"/>
  <c r="E10" i="250"/>
  <c r="E6" i="250"/>
  <c r="E108" i="231"/>
  <c r="E107" i="231"/>
  <c r="E106" i="231"/>
  <c r="E105" i="231"/>
  <c r="E104" i="231"/>
  <c r="D108" i="231"/>
  <c r="D107" i="231"/>
  <c r="D106" i="231"/>
  <c r="D105" i="231"/>
  <c r="D104" i="231"/>
  <c r="D34" i="232"/>
  <c r="D33" i="232"/>
  <c r="E33" i="232"/>
  <c r="E34" i="232"/>
  <c r="E78" i="231"/>
  <c r="C34" i="232" s="1"/>
  <c r="D78" i="231"/>
  <c r="B34" i="232" s="1"/>
  <c r="E77" i="231"/>
  <c r="C33" i="232" s="1"/>
  <c r="D77" i="231"/>
  <c r="B33" i="232" s="1"/>
  <c r="E96" i="232"/>
  <c r="B96" i="232" s="1"/>
  <c r="E94" i="232"/>
  <c r="B94" i="232" s="1"/>
  <c r="E92" i="232"/>
  <c r="B92" i="232" s="1"/>
  <c r="E90" i="232"/>
  <c r="B90" i="232" s="1"/>
  <c r="E88" i="232"/>
  <c r="B88" i="232" s="1"/>
  <c r="D89" i="232"/>
  <c r="D88" i="232"/>
  <c r="D79" i="232"/>
  <c r="D78" i="232"/>
  <c r="E86" i="232"/>
  <c r="B86" i="232" s="1"/>
  <c r="E84" i="232"/>
  <c r="B84" i="232" s="1"/>
  <c r="E82" i="232"/>
  <c r="B82" i="232" s="1"/>
  <c r="E80" i="232"/>
  <c r="B80" i="232" s="1"/>
  <c r="E78" i="232"/>
  <c r="B78" i="232" s="1"/>
  <c r="C11" i="250"/>
  <c r="D11" i="250"/>
  <c r="F11" i="250"/>
  <c r="F7" i="250"/>
  <c r="C7" i="250"/>
  <c r="D7" i="250"/>
  <c r="F28" i="250"/>
  <c r="J28" i="250" s="1"/>
  <c r="G28" i="250"/>
  <c r="K28" i="250" s="1"/>
  <c r="F29" i="250"/>
  <c r="G29" i="250" s="1"/>
  <c r="K29" i="250" s="1"/>
  <c r="W77" i="250"/>
  <c r="W57" i="250"/>
  <c r="Y57" i="250"/>
  <c r="Z57" i="250"/>
  <c r="U58" i="250"/>
  <c r="W59" i="250"/>
  <c r="U60" i="250"/>
  <c r="W61" i="250"/>
  <c r="X61" i="250" s="1"/>
  <c r="X73" i="250" s="1"/>
  <c r="Z73" i="250" s="1"/>
  <c r="U64" i="250"/>
  <c r="H8" i="250"/>
  <c r="H10" i="250"/>
  <c r="H9" i="250"/>
  <c r="H13" i="250" s="1"/>
  <c r="J10" i="250"/>
  <c r="J6" i="250"/>
  <c r="Y77" i="250" s="1"/>
  <c r="G11" i="250" l="1"/>
  <c r="J29" i="250"/>
  <c r="G9" i="250"/>
  <c r="I8" i="250"/>
  <c r="X75" i="250"/>
  <c r="Z75" i="250" s="1"/>
  <c r="X74" i="250"/>
  <c r="Z74" i="250" s="1"/>
  <c r="X72" i="250"/>
  <c r="Z72" i="250" s="1"/>
  <c r="X57" i="250"/>
  <c r="I6" i="250"/>
  <c r="X77" i="250" s="1"/>
  <c r="W62" i="250"/>
  <c r="X62" i="250" s="1"/>
  <c r="Z71" i="250" l="1"/>
  <c r="U16" i="286" l="1"/>
  <c r="U18" i="286" s="1"/>
  <c r="T16" i="286"/>
  <c r="T18" i="286" s="1"/>
  <c r="I16" i="286"/>
  <c r="I18" i="286" s="1"/>
  <c r="H16" i="286"/>
  <c r="H18" i="286" s="1"/>
  <c r="C18" i="286"/>
  <c r="C17" i="286"/>
  <c r="C16" i="286"/>
  <c r="C15" i="286"/>
  <c r="C13" i="286"/>
  <c r="E25" i="232" l="1"/>
  <c r="E28" i="232"/>
  <c r="E16" i="232"/>
  <c r="E65" i="231"/>
  <c r="C16" i="232" s="1"/>
  <c r="D65" i="231"/>
  <c r="B16" i="232" s="1"/>
  <c r="E70" i="231"/>
  <c r="C25" i="232" s="1"/>
  <c r="D70" i="231"/>
  <c r="B25" i="232" s="1"/>
  <c r="E72" i="231"/>
  <c r="C28" i="232" s="1"/>
  <c r="D72" i="231"/>
  <c r="B28" i="232" s="1"/>
  <c r="D74" i="231"/>
  <c r="B30" i="232" s="1"/>
  <c r="E30" i="232"/>
  <c r="D133" i="232" s="1"/>
  <c r="D136" i="232" s="1"/>
  <c r="D139" i="232" s="1"/>
  <c r="D123" i="232"/>
  <c r="D126" i="232" s="1"/>
  <c r="D87" i="231"/>
  <c r="B50" i="232" s="1"/>
  <c r="D86" i="231"/>
  <c r="E87" i="231"/>
  <c r="C50" i="232" s="1"/>
  <c r="E74" i="231"/>
  <c r="C30" i="232" s="1"/>
  <c r="T6" i="298" l="1"/>
  <c r="T7" i="298"/>
  <c r="T8" i="298"/>
  <c r="T9" i="298"/>
  <c r="T10" i="298"/>
  <c r="T11" i="298"/>
  <c r="T12" i="298"/>
  <c r="T13" i="298"/>
  <c r="T14" i="298"/>
  <c r="T15" i="298"/>
  <c r="T16" i="298"/>
  <c r="T17" i="298"/>
  <c r="T18" i="298"/>
  <c r="T19" i="298"/>
  <c r="T20" i="298"/>
  <c r="T21" i="298"/>
  <c r="T22" i="298"/>
  <c r="T23" i="298"/>
  <c r="T24" i="298"/>
  <c r="T25" i="298"/>
  <c r="T26" i="298"/>
  <c r="T27" i="298"/>
  <c r="T28" i="298"/>
  <c r="T29" i="298"/>
  <c r="T30" i="298"/>
  <c r="T31" i="298"/>
  <c r="T32" i="298"/>
  <c r="T33" i="298"/>
  <c r="T34" i="298"/>
  <c r="T5" i="298"/>
  <c r="D122" i="232" l="1"/>
  <c r="D125" i="232" s="1"/>
  <c r="D116" i="232"/>
  <c r="D118" i="232" s="1"/>
  <c r="D120" i="232" s="1"/>
  <c r="D115" i="232"/>
  <c r="D117" i="232" s="1"/>
  <c r="D119" i="232" s="1"/>
  <c r="D121" i="232" s="1"/>
  <c r="D124" i="232" s="1"/>
  <c r="N20" i="279" l="1"/>
  <c r="O20" i="279"/>
  <c r="P20" i="279"/>
  <c r="Q20" i="279"/>
  <c r="R20" i="279"/>
  <c r="S20" i="279"/>
  <c r="T20" i="279"/>
  <c r="U20" i="279"/>
  <c r="M20" i="279"/>
  <c r="Q19" i="279"/>
  <c r="R19" i="279"/>
  <c r="P19" i="279"/>
  <c r="J21" i="279"/>
  <c r="U19" i="279" s="1"/>
  <c r="I21" i="279"/>
  <c r="T19" i="279" s="1"/>
  <c r="H21" i="279"/>
  <c r="S19" i="279" s="1"/>
  <c r="N19" i="279"/>
  <c r="O19" i="279"/>
  <c r="M19" i="279"/>
  <c r="E29" i="232" l="1"/>
  <c r="E101" i="216"/>
  <c r="E120" i="231" s="1"/>
  <c r="C129" i="232" s="1"/>
  <c r="E102" i="216"/>
  <c r="E103" i="216"/>
  <c r="E104" i="216"/>
  <c r="E100" i="216"/>
  <c r="E119" i="231" s="1"/>
  <c r="C127" i="232" s="1"/>
  <c r="E119" i="216"/>
  <c r="E56" i="231"/>
  <c r="D73" i="231"/>
  <c r="B29" i="232" s="1"/>
  <c r="E73" i="231"/>
  <c r="C29" i="232" s="1"/>
  <c r="D75" i="231"/>
  <c r="B31" i="232" s="1"/>
  <c r="I139" i="232"/>
  <c r="I113" i="232"/>
  <c r="C162" i="232"/>
  <c r="E134" i="231" s="1"/>
  <c r="Y8" i="232"/>
  <c r="AB8" i="232" s="1"/>
  <c r="Z12" i="232"/>
  <c r="Y12" i="232"/>
  <c r="Z10" i="232"/>
  <c r="AC10" i="232" s="1"/>
  <c r="Z11" i="232"/>
  <c r="Y11" i="232"/>
  <c r="AB11" i="232" s="1"/>
  <c r="Y10" i="232"/>
  <c r="AB10" i="232" s="1"/>
  <c r="Z9" i="232"/>
  <c r="AC9" i="232" s="1"/>
  <c r="Z8" i="232"/>
  <c r="AC8" i="232" s="1"/>
  <c r="X53" i="278"/>
  <c r="L28" i="278" s="1"/>
  <c r="L32" i="278" s="1"/>
  <c r="L36" i="278" s="1"/>
  <c r="X54" i="278"/>
  <c r="L29" i="278" s="1"/>
  <c r="L33" i="278" s="1"/>
  <c r="L37" i="278" s="1"/>
  <c r="L41" i="278" s="1"/>
  <c r="X55" i="278"/>
  <c r="L30" i="278" s="1"/>
  <c r="L34" i="278" s="1"/>
  <c r="L38" i="278" s="1"/>
  <c r="L42" i="278" s="1"/>
  <c r="X52" i="278"/>
  <c r="L27" i="278" s="1"/>
  <c r="L31" i="278" s="1"/>
  <c r="L35" i="278" s="1"/>
  <c r="L39" i="278" s="1"/>
  <c r="W53" i="278"/>
  <c r="L8" i="278" s="1"/>
  <c r="L12" i="278" s="1"/>
  <c r="L16" i="278" s="1"/>
  <c r="W54" i="278"/>
  <c r="W55" i="278"/>
  <c r="W52" i="278"/>
  <c r="L7" i="278" s="1" a="1"/>
  <c r="L7" i="278" s="1"/>
  <c r="H39" i="221"/>
  <c r="H40" i="221"/>
  <c r="H41" i="221"/>
  <c r="H42" i="221"/>
  <c r="H43" i="221"/>
  <c r="H44" i="221"/>
  <c r="H45" i="221"/>
  <c r="H46" i="221"/>
  <c r="H47" i="221"/>
  <c r="H48" i="221"/>
  <c r="H49" i="221"/>
  <c r="H50" i="221"/>
  <c r="H51" i="221"/>
  <c r="H52" i="221"/>
  <c r="H53" i="221"/>
  <c r="H54" i="221"/>
  <c r="H55" i="221"/>
  <c r="H56" i="221"/>
  <c r="H57" i="221"/>
  <c r="H58" i="221"/>
  <c r="H59" i="221"/>
  <c r="H60" i="221"/>
  <c r="H61" i="221"/>
  <c r="H62" i="221"/>
  <c r="H63" i="221"/>
  <c r="H64" i="221"/>
  <c r="H65" i="221"/>
  <c r="H66" i="221"/>
  <c r="H67" i="221"/>
  <c r="H68" i="221"/>
  <c r="H69" i="221"/>
  <c r="H70" i="221"/>
  <c r="H71" i="221"/>
  <c r="H72" i="221"/>
  <c r="H73" i="221"/>
  <c r="H74" i="221"/>
  <c r="H75" i="221"/>
  <c r="H76" i="221"/>
  <c r="H77" i="221"/>
  <c r="H78" i="221"/>
  <c r="H79" i="221"/>
  <c r="H80" i="221"/>
  <c r="H38" i="221"/>
  <c r="H6" i="221"/>
  <c r="H7" i="221"/>
  <c r="H8" i="221"/>
  <c r="H9" i="221"/>
  <c r="H10" i="221"/>
  <c r="H13" i="221"/>
  <c r="H14" i="221"/>
  <c r="H15" i="221"/>
  <c r="H16" i="221"/>
  <c r="H17" i="221"/>
  <c r="H18" i="221"/>
  <c r="H19" i="221"/>
  <c r="H20" i="221"/>
  <c r="H21" i="221"/>
  <c r="H22" i="221"/>
  <c r="H23" i="221"/>
  <c r="H24" i="221"/>
  <c r="H25" i="221"/>
  <c r="H26" i="221"/>
  <c r="H27" i="221"/>
  <c r="H28" i="221"/>
  <c r="H29" i="221"/>
  <c r="H30" i="221"/>
  <c r="H31" i="221"/>
  <c r="H5" i="221"/>
  <c r="G6" i="288"/>
  <c r="AB12" i="299"/>
  <c r="AB13" i="299"/>
  <c r="Q6" i="260"/>
  <c r="G6" i="260" s="1"/>
  <c r="Q5" i="260"/>
  <c r="G5" i="260"/>
  <c r="Y9" i="232"/>
  <c r="AB9" i="232" s="1"/>
  <c r="E7" i="289"/>
  <c r="D34" i="299"/>
  <c r="D42" i="299" s="1"/>
  <c r="D36" i="299"/>
  <c r="D44" i="299" s="1"/>
  <c r="D38" i="299"/>
  <c r="D46" i="299" s="1"/>
  <c r="D40" i="299"/>
  <c r="D48" i="299" s="1"/>
  <c r="W9" i="299"/>
  <c r="W6" i="299"/>
  <c r="O27" i="299"/>
  <c r="O24" i="299"/>
  <c r="O21" i="299"/>
  <c r="O18" i="299"/>
  <c r="O15" i="299"/>
  <c r="O12" i="299"/>
  <c r="O9" i="299"/>
  <c r="O6" i="299"/>
  <c r="N6" i="299"/>
  <c r="O34" i="299"/>
  <c r="N34" i="299"/>
  <c r="E40" i="299"/>
  <c r="E38" i="299"/>
  <c r="D6" i="299"/>
  <c r="D12" i="299" s="1"/>
  <c r="D9" i="299"/>
  <c r="D15" i="299" s="1"/>
  <c r="D18" i="299"/>
  <c r="D24" i="299" s="1"/>
  <c r="D21" i="299"/>
  <c r="D27" i="299" s="1"/>
  <c r="L9" i="278"/>
  <c r="H6" i="299"/>
  <c r="K6" i="299"/>
  <c r="L6" i="299"/>
  <c r="M6" i="299"/>
  <c r="Q6" i="299"/>
  <c r="X6" i="299" s="1"/>
  <c r="S6" i="299"/>
  <c r="Z6" i="299"/>
  <c r="AA6" i="299" s="1"/>
  <c r="H7" i="299"/>
  <c r="Q7" i="299"/>
  <c r="X7" i="299" s="1"/>
  <c r="Z7" i="299"/>
  <c r="AA7" i="299" s="1"/>
  <c r="H8" i="299"/>
  <c r="Q8" i="299"/>
  <c r="X8" i="299" s="1"/>
  <c r="Z8" i="299"/>
  <c r="H9" i="299"/>
  <c r="K9" i="299"/>
  <c r="L9" i="299"/>
  <c r="M9" i="299"/>
  <c r="N9" i="299"/>
  <c r="Q9" i="299"/>
  <c r="X9" i="299" s="1"/>
  <c r="S9" i="299"/>
  <c r="H10" i="299"/>
  <c r="Q10" i="299"/>
  <c r="X10" i="299"/>
  <c r="W10" i="299"/>
  <c r="H11" i="299"/>
  <c r="Q11" i="299"/>
  <c r="X11" i="299" s="1"/>
  <c r="W11" i="299"/>
  <c r="H12" i="299"/>
  <c r="K12" i="299"/>
  <c r="L12" i="299"/>
  <c r="M12" i="299"/>
  <c r="N12" i="299"/>
  <c r="Q12" i="299"/>
  <c r="X12" i="299" s="1"/>
  <c r="S12" i="299"/>
  <c r="W12" i="299"/>
  <c r="AB14" i="299"/>
  <c r="H13" i="299"/>
  <c r="Q13" i="299"/>
  <c r="X13" i="299" s="1"/>
  <c r="W13" i="299"/>
  <c r="H14" i="299"/>
  <c r="Q14" i="299"/>
  <c r="X14" i="299" s="1"/>
  <c r="W14" i="299"/>
  <c r="H15" i="299"/>
  <c r="K15" i="299"/>
  <c r="L15" i="299"/>
  <c r="M15" i="299"/>
  <c r="N15" i="299"/>
  <c r="Q15" i="299"/>
  <c r="X15" i="299" s="1"/>
  <c r="S15" i="299"/>
  <c r="W15" i="299"/>
  <c r="H16" i="299"/>
  <c r="Q16" i="299"/>
  <c r="X16" i="299" s="1"/>
  <c r="W16" i="299"/>
  <c r="H17" i="299"/>
  <c r="Q17" i="299"/>
  <c r="X17" i="299" s="1"/>
  <c r="W17" i="299"/>
  <c r="H18" i="299"/>
  <c r="K18" i="299"/>
  <c r="L18" i="299"/>
  <c r="M18" i="299"/>
  <c r="N18" i="299"/>
  <c r="Q18" i="299"/>
  <c r="X18" i="299" s="1"/>
  <c r="S18" i="299"/>
  <c r="W18" i="299"/>
  <c r="H19" i="299"/>
  <c r="Q19" i="299"/>
  <c r="X19" i="299" s="1"/>
  <c r="W19" i="299"/>
  <c r="H20" i="299"/>
  <c r="Q20" i="299"/>
  <c r="X20" i="299" s="1"/>
  <c r="W20" i="299"/>
  <c r="H21" i="299"/>
  <c r="K21" i="299"/>
  <c r="L21" i="299"/>
  <c r="M21" i="299"/>
  <c r="N21" i="299"/>
  <c r="Q21" i="299"/>
  <c r="X21" i="299" s="1"/>
  <c r="S21" i="299"/>
  <c r="W21" i="299"/>
  <c r="H22" i="299"/>
  <c r="Q22" i="299"/>
  <c r="X22" i="299" s="1"/>
  <c r="W22" i="299"/>
  <c r="H23" i="299"/>
  <c r="Q23" i="299"/>
  <c r="X23" i="299" s="1"/>
  <c r="W23" i="299"/>
  <c r="H24" i="299"/>
  <c r="K24" i="299"/>
  <c r="L24" i="299"/>
  <c r="M24" i="299"/>
  <c r="N24" i="299"/>
  <c r="Q24" i="299"/>
  <c r="X24" i="299"/>
  <c r="S24" i="299"/>
  <c r="W24" i="299"/>
  <c r="H25" i="299"/>
  <c r="Q25" i="299"/>
  <c r="X25" i="299" s="1"/>
  <c r="W25" i="299"/>
  <c r="H26" i="299"/>
  <c r="Q26" i="299"/>
  <c r="X26" i="299" s="1"/>
  <c r="W26" i="299"/>
  <c r="H27" i="299"/>
  <c r="K27" i="299"/>
  <c r="L27" i="299"/>
  <c r="M27" i="299"/>
  <c r="N27" i="299"/>
  <c r="Q27" i="299"/>
  <c r="X27" i="299"/>
  <c r="S27" i="299"/>
  <c r="W27" i="299"/>
  <c r="H28" i="299"/>
  <c r="Q28" i="299"/>
  <c r="X28" i="299" s="1"/>
  <c r="W28" i="299"/>
  <c r="H29" i="299"/>
  <c r="Q29" i="299"/>
  <c r="X29" i="299" s="1"/>
  <c r="W29" i="299"/>
  <c r="H34" i="299"/>
  <c r="K34" i="299"/>
  <c r="L34" i="299"/>
  <c r="M34" i="299"/>
  <c r="Q34" i="299"/>
  <c r="S34" i="299"/>
  <c r="V34" i="299"/>
  <c r="Y34" i="299"/>
  <c r="H35" i="299"/>
  <c r="Q35" i="299"/>
  <c r="V35" i="299"/>
  <c r="Y35" i="299"/>
  <c r="Z35" i="299" s="1"/>
  <c r="H36" i="299"/>
  <c r="K36" i="299"/>
  <c r="L36" i="299"/>
  <c r="M36" i="299"/>
  <c r="N36" i="299"/>
  <c r="O36" i="299"/>
  <c r="Q36" i="299"/>
  <c r="W36" i="299"/>
  <c r="S36" i="299"/>
  <c r="V36" i="299"/>
  <c r="AA36" i="299"/>
  <c r="H37" i="299"/>
  <c r="Q37" i="299"/>
  <c r="V37" i="299"/>
  <c r="H38" i="299"/>
  <c r="K38" i="299"/>
  <c r="L38" i="299"/>
  <c r="M38" i="299"/>
  <c r="N38" i="299"/>
  <c r="O38" i="299"/>
  <c r="Q38" i="299"/>
  <c r="W38" i="299" s="1"/>
  <c r="S38" i="299"/>
  <c r="V38" i="299"/>
  <c r="H39" i="299"/>
  <c r="Q39" i="299"/>
  <c r="V39" i="299"/>
  <c r="H40" i="299"/>
  <c r="K40" i="299"/>
  <c r="L40" i="299"/>
  <c r="M40" i="299"/>
  <c r="N40" i="299"/>
  <c r="O40" i="299"/>
  <c r="S40" i="299"/>
  <c r="V40" i="299"/>
  <c r="W40" i="299"/>
  <c r="H41" i="299"/>
  <c r="V41" i="299"/>
  <c r="W41" i="299"/>
  <c r="H42" i="299"/>
  <c r="K42" i="299"/>
  <c r="L42" i="299"/>
  <c r="M42" i="299"/>
  <c r="N42" i="299"/>
  <c r="O42" i="299"/>
  <c r="Q42" i="299"/>
  <c r="W42" i="299" s="1"/>
  <c r="W43" i="299"/>
  <c r="S42" i="299"/>
  <c r="V42" i="299"/>
  <c r="H43" i="299"/>
  <c r="Q43" i="299"/>
  <c r="V43" i="299"/>
  <c r="H44" i="299"/>
  <c r="K44" i="299"/>
  <c r="L44" i="299"/>
  <c r="M44" i="299"/>
  <c r="N44" i="299"/>
  <c r="O44" i="299"/>
  <c r="Q44" i="299"/>
  <c r="W44" i="299" s="1"/>
  <c r="S44" i="299"/>
  <c r="V44" i="299"/>
  <c r="H45" i="299"/>
  <c r="Q45" i="299"/>
  <c r="V45" i="299"/>
  <c r="H46" i="299"/>
  <c r="K46" i="299"/>
  <c r="L46" i="299"/>
  <c r="M46" i="299"/>
  <c r="N46" i="299"/>
  <c r="O46" i="299"/>
  <c r="Q46" i="299"/>
  <c r="W47" i="299" s="1"/>
  <c r="W46" i="299"/>
  <c r="S46" i="299"/>
  <c r="V46" i="299"/>
  <c r="H47" i="299"/>
  <c r="Q47" i="299"/>
  <c r="V47" i="299"/>
  <c r="H48" i="299"/>
  <c r="K48" i="299"/>
  <c r="L48" i="299"/>
  <c r="M48" i="299"/>
  <c r="N48" i="299"/>
  <c r="O48" i="299"/>
  <c r="S48" i="299"/>
  <c r="V48" i="299"/>
  <c r="W48" i="299"/>
  <c r="H49" i="299"/>
  <c r="V49" i="299"/>
  <c r="W49" i="299"/>
  <c r="W8" i="299"/>
  <c r="W7" i="299"/>
  <c r="W30" i="299" s="1"/>
  <c r="W37" i="299"/>
  <c r="AA10" i="299"/>
  <c r="D23" i="231"/>
  <c r="B78" i="298"/>
  <c r="H65" i="298" s="1"/>
  <c r="C78" i="298"/>
  <c r="O51" i="298"/>
  <c r="O55" i="298" s="1"/>
  <c r="J149" i="298"/>
  <c r="O50" i="298" s="1"/>
  <c r="O54" i="298" s="1"/>
  <c r="P50" i="298"/>
  <c r="I152" i="298"/>
  <c r="H152" i="298"/>
  <c r="O151" i="298"/>
  <c r="N151" i="298"/>
  <c r="M151" i="298"/>
  <c r="P51" i="298" s="1"/>
  <c r="L151" i="298"/>
  <c r="K151" i="298"/>
  <c r="J151" i="298"/>
  <c r="I151" i="298"/>
  <c r="H151" i="298"/>
  <c r="F151" i="298"/>
  <c r="O150" i="298"/>
  <c r="N150" i="298"/>
  <c r="M150" i="298"/>
  <c r="P49" i="298" s="1"/>
  <c r="L150" i="298"/>
  <c r="K150" i="298"/>
  <c r="J150" i="298"/>
  <c r="O49" i="298" s="1"/>
  <c r="O53" i="298" s="1"/>
  <c r="I150" i="298"/>
  <c r="H150" i="298"/>
  <c r="O149" i="298"/>
  <c r="N149" i="298"/>
  <c r="M149" i="298"/>
  <c r="L149" i="298"/>
  <c r="K149" i="298"/>
  <c r="I149" i="298"/>
  <c r="H149" i="298"/>
  <c r="Q138" i="298"/>
  <c r="O152" i="298" s="1"/>
  <c r="P138" i="298"/>
  <c r="N152" i="298" s="1"/>
  <c r="O138" i="298"/>
  <c r="M152" i="298"/>
  <c r="P52" i="298" s="1"/>
  <c r="Q130" i="298"/>
  <c r="L152" i="298" s="1"/>
  <c r="P130" i="298"/>
  <c r="K152" i="298" s="1"/>
  <c r="O130" i="298"/>
  <c r="J152" i="298" s="1"/>
  <c r="O52" i="298" s="1"/>
  <c r="O56" i="298" s="1"/>
  <c r="E118" i="298"/>
  <c r="E117" i="298"/>
  <c r="E116" i="298"/>
  <c r="F152" i="298"/>
  <c r="G152" i="298" s="1"/>
  <c r="E114" i="298"/>
  <c r="F150" i="298" s="1"/>
  <c r="G150" i="298" s="1"/>
  <c r="E113" i="298"/>
  <c r="F149" i="298" s="1"/>
  <c r="G149" i="298" s="1"/>
  <c r="W97" i="298"/>
  <c r="W96" i="298"/>
  <c r="W95" i="298"/>
  <c r="W94" i="298"/>
  <c r="W93" i="298"/>
  <c r="W92" i="298"/>
  <c r="W91" i="298"/>
  <c r="W90" i="298"/>
  <c r="H10" i="286"/>
  <c r="C140" i="232"/>
  <c r="C53" i="232"/>
  <c r="C143" i="232"/>
  <c r="C146" i="232"/>
  <c r="C149" i="232"/>
  <c r="B149" i="232"/>
  <c r="B146" i="232"/>
  <c r="B143" i="232"/>
  <c r="B53" i="232"/>
  <c r="B140" i="232"/>
  <c r="C5" i="298"/>
  <c r="C16" i="298" s="1"/>
  <c r="D49" i="298"/>
  <c r="D53" i="298" s="1"/>
  <c r="D50" i="298"/>
  <c r="D54" i="298" s="1"/>
  <c r="D51" i="298"/>
  <c r="D55" i="298" s="1"/>
  <c r="D52" i="298"/>
  <c r="D56" i="298" s="1"/>
  <c r="C50" i="298"/>
  <c r="C54" i="298" s="1"/>
  <c r="C51" i="298"/>
  <c r="C55" i="298" s="1"/>
  <c r="C52" i="298"/>
  <c r="C56" i="298" s="1"/>
  <c r="C49" i="298"/>
  <c r="C53" i="298" s="1"/>
  <c r="D5" i="298"/>
  <c r="D16" i="298" s="1"/>
  <c r="D6" i="298"/>
  <c r="D17" i="298" s="1"/>
  <c r="D7" i="298"/>
  <c r="D18" i="298" s="1"/>
  <c r="D8" i="298"/>
  <c r="D19" i="298" s="1"/>
  <c r="D9" i="298"/>
  <c r="D20" i="298" s="1"/>
  <c r="D10" i="298"/>
  <c r="D21" i="298" s="1"/>
  <c r="D11" i="298"/>
  <c r="D22" i="298" s="1"/>
  <c r="D12" i="298"/>
  <c r="D23" i="298" s="1"/>
  <c r="D13" i="298"/>
  <c r="D24" i="298" s="1"/>
  <c r="D14" i="298"/>
  <c r="D25" i="298" s="1"/>
  <c r="D15" i="298"/>
  <c r="D26" i="298" s="1"/>
  <c r="C6" i="298"/>
  <c r="C17" i="298" s="1"/>
  <c r="C7" i="298"/>
  <c r="C18" i="298" s="1"/>
  <c r="C8" i="298"/>
  <c r="C19" i="298" s="1"/>
  <c r="C9" i="298"/>
  <c r="C20" i="298" s="1"/>
  <c r="C10" i="298"/>
  <c r="C21" i="298" s="1"/>
  <c r="C11" i="298"/>
  <c r="C22" i="298" s="1"/>
  <c r="C12" i="298"/>
  <c r="C23" i="298" s="1"/>
  <c r="C13" i="298"/>
  <c r="C24" i="298" s="1"/>
  <c r="C14" i="298"/>
  <c r="C25" i="298" s="1"/>
  <c r="C15" i="298"/>
  <c r="C26" i="298" s="1"/>
  <c r="D65" i="298"/>
  <c r="D67" i="298" s="1"/>
  <c r="C67" i="298"/>
  <c r="D31" i="298"/>
  <c r="D32" i="298"/>
  <c r="D33" i="298"/>
  <c r="D34" i="298"/>
  <c r="C34" i="298"/>
  <c r="C32" i="298"/>
  <c r="C33" i="298"/>
  <c r="C31" i="298"/>
  <c r="D27" i="298"/>
  <c r="D28" i="298"/>
  <c r="D29" i="298"/>
  <c r="D30" i="298"/>
  <c r="C28" i="298"/>
  <c r="C29" i="298"/>
  <c r="C30" i="298"/>
  <c r="C27" i="298"/>
  <c r="L66" i="298"/>
  <c r="L68" i="298" s="1"/>
  <c r="G50" i="298"/>
  <c r="I50" i="298" s="1"/>
  <c r="M50" i="298"/>
  <c r="K50" i="298"/>
  <c r="J50" i="298"/>
  <c r="F53" i="298"/>
  <c r="N53" i="298"/>
  <c r="Q53" i="298"/>
  <c r="R53" i="298"/>
  <c r="F54" i="298"/>
  <c r="N54" i="298"/>
  <c r="P54" i="298"/>
  <c r="G54" i="298" s="1"/>
  <c r="Q54" i="298"/>
  <c r="R54" i="298"/>
  <c r="F55" i="298"/>
  <c r="N55" i="298"/>
  <c r="Q55" i="298"/>
  <c r="R55" i="298"/>
  <c r="F56" i="298"/>
  <c r="N56" i="298"/>
  <c r="Q56" i="298"/>
  <c r="R56" i="298"/>
  <c r="B17" i="232"/>
  <c r="D85" i="231"/>
  <c r="D84" i="231"/>
  <c r="D88" i="231"/>
  <c r="E84" i="231"/>
  <c r="E85" i="231"/>
  <c r="E86" i="231"/>
  <c r="E88" i="231"/>
  <c r="E83" i="231"/>
  <c r="C17" i="232" s="1"/>
  <c r="D143" i="231"/>
  <c r="Q46" i="232" s="1"/>
  <c r="S20" i="286"/>
  <c r="L20" i="286"/>
  <c r="AN6" i="232"/>
  <c r="AO6" i="232" s="1"/>
  <c r="AO7" i="232"/>
  <c r="AO8" i="232"/>
  <c r="AO9" i="232"/>
  <c r="AO10" i="232"/>
  <c r="AO11" i="232"/>
  <c r="AO13" i="232"/>
  <c r="AP14" i="232"/>
  <c r="AO14" i="232" s="1"/>
  <c r="AN16" i="232"/>
  <c r="BG9" i="232"/>
  <c r="AQ12" i="232" s="1"/>
  <c r="AQ16" i="232" s="1"/>
  <c r="BG11" i="232"/>
  <c r="AO12" i="232" s="1"/>
  <c r="D4" i="294"/>
  <c r="T46" i="232"/>
  <c r="E143" i="231"/>
  <c r="R46" i="232" s="1"/>
  <c r="D157" i="232"/>
  <c r="E157" i="232" s="1"/>
  <c r="D114" i="216" s="1"/>
  <c r="S53" i="278" s="1"/>
  <c r="D152" i="232"/>
  <c r="E152" i="232" s="1"/>
  <c r="D109" i="216" s="1"/>
  <c r="E7" i="278" s="1"/>
  <c r="T29" i="296"/>
  <c r="L14" i="296"/>
  <c r="I13" i="296" s="1"/>
  <c r="D14" i="296"/>
  <c r="T35" i="296"/>
  <c r="V40" i="296"/>
  <c r="V41" i="296"/>
  <c r="W43" i="296"/>
  <c r="W41" i="296" s="1"/>
  <c r="X43" i="296"/>
  <c r="X41" i="296" s="1"/>
  <c r="W44" i="296"/>
  <c r="X44" i="296"/>
  <c r="X40" i="296" s="1"/>
  <c r="Q103" i="296"/>
  <c r="Q104" i="296"/>
  <c r="Q105" i="296"/>
  <c r="Q106" i="296"/>
  <c r="Q107" i="296"/>
  <c r="Q108" i="296"/>
  <c r="Q109" i="296"/>
  <c r="Q110" i="296"/>
  <c r="Q111" i="296"/>
  <c r="Q112" i="296"/>
  <c r="Q113" i="296"/>
  <c r="Q114" i="296"/>
  <c r="Q115" i="296"/>
  <c r="W40" i="296"/>
  <c r="T38" i="296"/>
  <c r="T39" i="296" s="1"/>
  <c r="D64" i="231"/>
  <c r="B14" i="232" s="1"/>
  <c r="E17" i="232"/>
  <c r="D128" i="232" s="1"/>
  <c r="D114" i="231"/>
  <c r="B114" i="232" s="1"/>
  <c r="E114" i="232" s="1"/>
  <c r="E114" i="231"/>
  <c r="C114" i="232" s="1"/>
  <c r="K14" i="286"/>
  <c r="D91" i="216"/>
  <c r="D101" i="216" s="1"/>
  <c r="D120" i="231" s="1"/>
  <c r="B129" i="232" s="1"/>
  <c r="E129" i="232" s="1"/>
  <c r="D92" i="216"/>
  <c r="D102" i="216" s="1"/>
  <c r="D121" i="231" s="1"/>
  <c r="B131" i="232" s="1"/>
  <c r="E131" i="232" s="1"/>
  <c r="D93" i="216"/>
  <c r="D103" i="216" s="1"/>
  <c r="D122" i="231" s="1"/>
  <c r="B134" i="232" s="1"/>
  <c r="E134" i="232" s="1"/>
  <c r="D94" i="216"/>
  <c r="D104" i="216" s="1"/>
  <c r="D123" i="231" s="1"/>
  <c r="B137" i="232" s="1"/>
  <c r="E137" i="232" s="1"/>
  <c r="D90" i="216"/>
  <c r="D100" i="216" s="1"/>
  <c r="D119" i="231" s="1"/>
  <c r="B127" i="232" s="1"/>
  <c r="E127" i="232" s="1"/>
  <c r="E13" i="232"/>
  <c r="D63" i="231"/>
  <c r="B13" i="232" s="1"/>
  <c r="E63" i="231"/>
  <c r="C13" i="232" s="1"/>
  <c r="E64" i="231"/>
  <c r="C14" i="232" s="1"/>
  <c r="E118" i="231"/>
  <c r="C124" i="232" s="1"/>
  <c r="D74" i="216"/>
  <c r="D118" i="231"/>
  <c r="B124" i="232" s="1"/>
  <c r="E124" i="232" s="1"/>
  <c r="E117" i="231"/>
  <c r="C120" i="232" s="1"/>
  <c r="D73" i="216"/>
  <c r="D117" i="231"/>
  <c r="B120" i="232" s="1"/>
  <c r="E120" i="232" s="1"/>
  <c r="E116" i="231"/>
  <c r="C118" i="232" s="1"/>
  <c r="D72" i="216"/>
  <c r="D116" i="231"/>
  <c r="B118" i="232" s="1"/>
  <c r="E118" i="232" s="1"/>
  <c r="E115" i="231"/>
  <c r="C116" i="232" s="1"/>
  <c r="D71" i="216"/>
  <c r="D115" i="231"/>
  <c r="B116" i="232" s="1"/>
  <c r="E116" i="232" s="1"/>
  <c r="D70" i="216"/>
  <c r="E7" i="291" s="1"/>
  <c r="E121" i="231"/>
  <c r="C131" i="232" s="1"/>
  <c r="E122" i="231"/>
  <c r="C134" i="232" s="1"/>
  <c r="E123" i="231"/>
  <c r="C137" i="232" s="1"/>
  <c r="B157" i="232"/>
  <c r="D129" i="231" s="1"/>
  <c r="B161" i="232"/>
  <c r="D133" i="231" s="1"/>
  <c r="C161" i="232"/>
  <c r="E133" i="231" s="1"/>
  <c r="B160" i="232"/>
  <c r="D132" i="231" s="1"/>
  <c r="C160" i="232"/>
  <c r="E132" i="231" s="1"/>
  <c r="B159" i="232"/>
  <c r="D131" i="231" s="1"/>
  <c r="C159" i="232"/>
  <c r="E131" i="231" s="1"/>
  <c r="B158" i="232"/>
  <c r="D130" i="231" s="1"/>
  <c r="C158" i="232"/>
  <c r="E130" i="231" s="1"/>
  <c r="C157" i="232"/>
  <c r="E129" i="231" s="1"/>
  <c r="E8" i="232"/>
  <c r="E57" i="231"/>
  <c r="C8" i="232" s="1"/>
  <c r="D57" i="231"/>
  <c r="B8" i="232" s="1"/>
  <c r="J14" i="286"/>
  <c r="J16" i="286" s="1"/>
  <c r="J18" i="286" s="1"/>
  <c r="E36" i="232"/>
  <c r="E80" i="231"/>
  <c r="C36" i="232" s="1"/>
  <c r="D80" i="231"/>
  <c r="B36" i="232" s="1"/>
  <c r="E32" i="232"/>
  <c r="D80" i="232" s="1"/>
  <c r="D82" i="232" s="1"/>
  <c r="D84" i="232" s="1"/>
  <c r="D86" i="232" s="1"/>
  <c r="E76" i="231"/>
  <c r="C32" i="232" s="1"/>
  <c r="D76" i="231"/>
  <c r="B32" i="232" s="1"/>
  <c r="D88" i="296"/>
  <c r="F30" i="296" s="1"/>
  <c r="F28" i="296" s="1"/>
  <c r="D26" i="296"/>
  <c r="E26" i="296"/>
  <c r="F26" i="296"/>
  <c r="G26" i="296"/>
  <c r="H26" i="296"/>
  <c r="I26" i="296"/>
  <c r="J26" i="296"/>
  <c r="D24" i="296"/>
  <c r="E24" i="296"/>
  <c r="F24" i="296"/>
  <c r="G24" i="296"/>
  <c r="H24" i="296"/>
  <c r="I24" i="296"/>
  <c r="J24" i="296"/>
  <c r="K8" i="260"/>
  <c r="K9" i="260"/>
  <c r="Q8" i="260"/>
  <c r="D25" i="296"/>
  <c r="C68" i="296"/>
  <c r="D8" i="296"/>
  <c r="D13" i="296" s="1"/>
  <c r="C72" i="296" s="1"/>
  <c r="E8" i="296"/>
  <c r="E13" i="296" s="1"/>
  <c r="F8" i="296"/>
  <c r="G8" i="296"/>
  <c r="G13" i="296" s="1"/>
  <c r="H8" i="296"/>
  <c r="I8" i="296"/>
  <c r="J8" i="296"/>
  <c r="J13" i="296" s="1"/>
  <c r="D68" i="296"/>
  <c r="D69" i="296" s="1"/>
  <c r="E68" i="296"/>
  <c r="E70" i="296" s="1"/>
  <c r="F68" i="296"/>
  <c r="F69" i="296"/>
  <c r="G68" i="296"/>
  <c r="G70" i="296"/>
  <c r="H68" i="296"/>
  <c r="H70" i="296" s="1"/>
  <c r="I68" i="296"/>
  <c r="I70" i="296" s="1"/>
  <c r="H69" i="296"/>
  <c r="J33" i="296"/>
  <c r="I33" i="296"/>
  <c r="H33" i="296"/>
  <c r="G33" i="296"/>
  <c r="F33" i="296"/>
  <c r="E33" i="296"/>
  <c r="D33" i="296"/>
  <c r="J25" i="296"/>
  <c r="I25" i="296"/>
  <c r="H25" i="296"/>
  <c r="G25" i="296"/>
  <c r="F25" i="296"/>
  <c r="E25" i="296"/>
  <c r="J16" i="296"/>
  <c r="I16" i="296"/>
  <c r="H16" i="296"/>
  <c r="G16" i="296"/>
  <c r="F16" i="296"/>
  <c r="E16" i="296"/>
  <c r="D16" i="296"/>
  <c r="J15" i="296"/>
  <c r="I15" i="296"/>
  <c r="H15" i="296"/>
  <c r="G15" i="296"/>
  <c r="F15" i="296"/>
  <c r="E15" i="296"/>
  <c r="D15" i="296"/>
  <c r="J14" i="296"/>
  <c r="I14" i="296"/>
  <c r="H14" i="296"/>
  <c r="G14" i="296"/>
  <c r="F14" i="296"/>
  <c r="E14" i="296"/>
  <c r="S6" i="250"/>
  <c r="G6" i="250" s="1"/>
  <c r="P16" i="260"/>
  <c r="Q16" i="260"/>
  <c r="P17" i="260"/>
  <c r="Q17" i="260"/>
  <c r="D31" i="232"/>
  <c r="E31" i="232"/>
  <c r="E75" i="231"/>
  <c r="C31" i="232" s="1"/>
  <c r="S54" i="278"/>
  <c r="E15" i="278"/>
  <c r="D61" i="231"/>
  <c r="B11" i="232" s="1"/>
  <c r="E11" i="232"/>
  <c r="E61" i="231"/>
  <c r="C11" i="232" s="1"/>
  <c r="S56" i="278"/>
  <c r="E23" i="278"/>
  <c r="E120" i="216"/>
  <c r="E121" i="216"/>
  <c r="E122" i="216"/>
  <c r="E123" i="216"/>
  <c r="E117" i="216"/>
  <c r="E118" i="216"/>
  <c r="E110" i="216"/>
  <c r="E111" i="216"/>
  <c r="E112" i="216"/>
  <c r="E113" i="216"/>
  <c r="E114" i="216"/>
  <c r="E115" i="216"/>
  <c r="E116" i="216"/>
  <c r="E109" i="216"/>
  <c r="B153" i="232"/>
  <c r="D125" i="231" s="1"/>
  <c r="C153" i="232"/>
  <c r="E125" i="231" s="1"/>
  <c r="D153" i="232"/>
  <c r="E153" i="232" s="1"/>
  <c r="D110" i="216" s="1"/>
  <c r="B154" i="232"/>
  <c r="D126" i="231" s="1"/>
  <c r="C154" i="232"/>
  <c r="E126" i="231" s="1"/>
  <c r="D154" i="232"/>
  <c r="E154" i="232" s="1"/>
  <c r="D111" i="216" s="1"/>
  <c r="B155" i="232"/>
  <c r="D127" i="231" s="1"/>
  <c r="C155" i="232"/>
  <c r="E127" i="231" s="1"/>
  <c r="D155" i="232"/>
  <c r="E155" i="232" s="1"/>
  <c r="D112" i="216" s="1"/>
  <c r="B156" i="232"/>
  <c r="D128" i="231" s="1"/>
  <c r="C156" i="232"/>
  <c r="E128" i="231" s="1"/>
  <c r="D156" i="232"/>
  <c r="E156" i="232" s="1"/>
  <c r="D113" i="216" s="1"/>
  <c r="D158" i="232"/>
  <c r="E158" i="232" s="1"/>
  <c r="D115" i="216" s="1"/>
  <c r="D159" i="232"/>
  <c r="E159" i="232" s="1"/>
  <c r="D116" i="216" s="1"/>
  <c r="D160" i="232"/>
  <c r="E160" i="232" s="1"/>
  <c r="D117" i="216" s="1"/>
  <c r="D161" i="232"/>
  <c r="E161" i="232" s="1"/>
  <c r="D118" i="216" s="1"/>
  <c r="B162" i="232"/>
  <c r="D134" i="231" s="1"/>
  <c r="D162" i="232"/>
  <c r="E162" i="232" s="1"/>
  <c r="D119" i="216" s="1"/>
  <c r="E19" i="278" s="1"/>
  <c r="B163" i="232"/>
  <c r="D135" i="231" s="1"/>
  <c r="C163" i="232"/>
  <c r="E135" i="231" s="1"/>
  <c r="D163" i="232"/>
  <c r="E163" i="232" s="1"/>
  <c r="D120" i="216" s="1"/>
  <c r="B164" i="232"/>
  <c r="D136" i="231" s="1"/>
  <c r="C164" i="232"/>
  <c r="E136" i="231" s="1"/>
  <c r="D164" i="232"/>
  <c r="E164" i="232" s="1"/>
  <c r="D121" i="216" s="1"/>
  <c r="B165" i="232"/>
  <c r="D137" i="231" s="1"/>
  <c r="C165" i="232"/>
  <c r="E137" i="231" s="1"/>
  <c r="D165" i="232"/>
  <c r="E165" i="232" s="1"/>
  <c r="D122" i="216" s="1"/>
  <c r="B166" i="232"/>
  <c r="D138" i="231" s="1"/>
  <c r="C166" i="232"/>
  <c r="E138" i="231" s="1"/>
  <c r="D166" i="232"/>
  <c r="E166" i="232" s="1"/>
  <c r="D123" i="216" s="1"/>
  <c r="C152" i="232"/>
  <c r="E124" i="231" s="1"/>
  <c r="B152" i="232"/>
  <c r="D124" i="231" s="1"/>
  <c r="I9" i="290"/>
  <c r="I8" i="290"/>
  <c r="I10" i="290" s="1"/>
  <c r="E9" i="290"/>
  <c r="E7" i="290"/>
  <c r="L23" i="278"/>
  <c r="L24" i="278"/>
  <c r="L25" i="278"/>
  <c r="L26" i="278"/>
  <c r="AQ7" i="278"/>
  <c r="AQ49" i="278"/>
  <c r="AQ77" i="278"/>
  <c r="J62" i="278"/>
  <c r="AD31" i="278"/>
  <c r="E9" i="289"/>
  <c r="L10" i="278"/>
  <c r="AP62" i="278"/>
  <c r="AP70" i="278" s="1"/>
  <c r="AP63" i="278"/>
  <c r="AP71" i="278" s="1"/>
  <c r="AP64" i="278"/>
  <c r="AP67" i="278"/>
  <c r="AP68" i="278"/>
  <c r="AQ68" i="278"/>
  <c r="AR68" i="278"/>
  <c r="AP69" i="278"/>
  <c r="AQ75" i="278"/>
  <c r="AQ78" i="278"/>
  <c r="AQ79" i="278"/>
  <c r="AJ21" i="281"/>
  <c r="AI21" i="281"/>
  <c r="K7" i="281"/>
  <c r="H54" i="278"/>
  <c r="AE10" i="281"/>
  <c r="AE11" i="281"/>
  <c r="AE12" i="281"/>
  <c r="AF19" i="281"/>
  <c r="AI19" i="281"/>
  <c r="AJ19" i="281"/>
  <c r="L9" i="289"/>
  <c r="G9" i="289" s="1"/>
  <c r="G19" i="281"/>
  <c r="G12" i="281"/>
  <c r="S13" i="250"/>
  <c r="S12" i="250"/>
  <c r="S10" i="250"/>
  <c r="S9" i="250"/>
  <c r="Q10" i="260"/>
  <c r="D7" i="294"/>
  <c r="D10" i="294"/>
  <c r="D9" i="294"/>
  <c r="D11" i="294"/>
  <c r="D12" i="294"/>
  <c r="S10" i="286"/>
  <c r="L10" i="286"/>
  <c r="O10" i="286"/>
  <c r="P10" i="286"/>
  <c r="R10" i="286"/>
  <c r="Q10" i="286"/>
  <c r="G10" i="286"/>
  <c r="F10" i="286"/>
  <c r="E10" i="286"/>
  <c r="D10" i="286"/>
  <c r="C14" i="286"/>
  <c r="C12" i="286"/>
  <c r="D13" i="294"/>
  <c r="D14" i="294"/>
  <c r="D15" i="294"/>
  <c r="D16" i="294"/>
  <c r="D17" i="294"/>
  <c r="AH29" i="268"/>
  <c r="AH32" i="268" s="1"/>
  <c r="AF29" i="268"/>
  <c r="AF31" i="268" s="1"/>
  <c r="AI32" i="268"/>
  <c r="AD32" i="268"/>
  <c r="AG29" i="268"/>
  <c r="AE29" i="268"/>
  <c r="AE31" i="268" s="1"/>
  <c r="AI31" i="268"/>
  <c r="AD31" i="268"/>
  <c r="AL22" i="268"/>
  <c r="AC2" i="268"/>
  <c r="AH14" i="268"/>
  <c r="D6" i="232"/>
  <c r="D59" i="231"/>
  <c r="B6" i="232" s="1"/>
  <c r="H57" i="278"/>
  <c r="H60" i="278"/>
  <c r="H59" i="278"/>
  <c r="H58" i="278"/>
  <c r="H55" i="278"/>
  <c r="H56" i="278"/>
  <c r="H53" i="278"/>
  <c r="L62" i="278"/>
  <c r="K62" i="278"/>
  <c r="F29" i="280"/>
  <c r="L30" i="280" s="1"/>
  <c r="F17" i="280"/>
  <c r="G5" i="282"/>
  <c r="F5" i="282"/>
  <c r="I5" i="281"/>
  <c r="AS55" i="278"/>
  <c r="AR55" i="278"/>
  <c r="AQ55" i="278"/>
  <c r="AP55" i="278"/>
  <c r="AS54" i="278"/>
  <c r="AR54" i="278"/>
  <c r="AQ54" i="278"/>
  <c r="AP54" i="278"/>
  <c r="AS53" i="278"/>
  <c r="AR53" i="278"/>
  <c r="AQ53" i="278"/>
  <c r="AP53" i="278"/>
  <c r="AV53" i="278" s="1"/>
  <c r="AS52" i="278"/>
  <c r="AR52" i="278"/>
  <c r="AQ52" i="278"/>
  <c r="AW52" i="278" s="1"/>
  <c r="AP52" i="278"/>
  <c r="AV52" i="278" s="1"/>
  <c r="AS51" i="278"/>
  <c r="AR51" i="278"/>
  <c r="AX51" i="278" s="1"/>
  <c r="AQ51" i="278"/>
  <c r="AP51" i="278"/>
  <c r="AV51" i="278" s="1"/>
  <c r="AS50" i="278"/>
  <c r="AR50" i="278"/>
  <c r="AQ50" i="278"/>
  <c r="AP50" i="278"/>
  <c r="AV50" i="278" s="1"/>
  <c r="AS49" i="278"/>
  <c r="AR49" i="278"/>
  <c r="AP49" i="278"/>
  <c r="AV49" i="278" s="1"/>
  <c r="AS43" i="278"/>
  <c r="AR43" i="278"/>
  <c r="AQ43" i="278"/>
  <c r="AP43" i="278"/>
  <c r="AS42" i="278"/>
  <c r="AR42" i="278"/>
  <c r="AQ42" i="278"/>
  <c r="AP42" i="278"/>
  <c r="AS41" i="278"/>
  <c r="AR41" i="278"/>
  <c r="AQ41" i="278"/>
  <c r="AP41" i="278"/>
  <c r="AS40" i="278"/>
  <c r="AR40" i="278"/>
  <c r="AQ40" i="278"/>
  <c r="AP40" i="278"/>
  <c r="AS39" i="278"/>
  <c r="AR39" i="278"/>
  <c r="AQ39" i="278"/>
  <c r="AP39" i="278"/>
  <c r="AS38" i="278"/>
  <c r="AR38" i="278"/>
  <c r="AQ38" i="278"/>
  <c r="AW38" i="278" s="1"/>
  <c r="AP38" i="278"/>
  <c r="AS32" i="278"/>
  <c r="AR32" i="278"/>
  <c r="AQ32" i="278"/>
  <c r="AS31" i="278"/>
  <c r="AR31" i="278"/>
  <c r="AQ31" i="278"/>
  <c r="AS30" i="278"/>
  <c r="AR30" i="278"/>
  <c r="AQ30" i="278"/>
  <c r="AS29" i="278"/>
  <c r="AR29" i="278"/>
  <c r="AQ29" i="278"/>
  <c r="AS28" i="278"/>
  <c r="AR28" i="278"/>
  <c r="AQ28" i="278"/>
  <c r="AS27" i="278"/>
  <c r="AR27" i="278"/>
  <c r="AQ27" i="278"/>
  <c r="AS26" i="278"/>
  <c r="AR26" i="278"/>
  <c r="AQ26" i="278"/>
  <c r="AS25" i="278"/>
  <c r="AR25" i="278"/>
  <c r="AQ25" i="278"/>
  <c r="AS24" i="278"/>
  <c r="AR24" i="278"/>
  <c r="AQ24" i="278"/>
  <c r="AS23" i="278"/>
  <c r="AR23" i="278"/>
  <c r="AQ23" i="278"/>
  <c r="AS22" i="278"/>
  <c r="AR22" i="278"/>
  <c r="AQ22" i="278"/>
  <c r="AS21" i="278"/>
  <c r="AR21" i="278"/>
  <c r="AQ21" i="278"/>
  <c r="AS20" i="278"/>
  <c r="AR20" i="278"/>
  <c r="AQ20" i="278"/>
  <c r="AS19" i="278"/>
  <c r="AR19" i="278"/>
  <c r="AQ19" i="278"/>
  <c r="AS18" i="278"/>
  <c r="AR18" i="278"/>
  <c r="AQ18" i="278"/>
  <c r="AS17" i="278"/>
  <c r="AR17" i="278"/>
  <c r="AQ17" i="278"/>
  <c r="AS16" i="278"/>
  <c r="AR16" i="278"/>
  <c r="AQ16" i="278"/>
  <c r="AS15" i="278"/>
  <c r="AR15" i="278"/>
  <c r="AQ15" i="278"/>
  <c r="AS14" i="278"/>
  <c r="AR14" i="278"/>
  <c r="AQ14" i="278"/>
  <c r="AS13" i="278"/>
  <c r="AR13" i="278"/>
  <c r="AQ13" i="278"/>
  <c r="AS12" i="278"/>
  <c r="AR12" i="278"/>
  <c r="AQ12" i="278"/>
  <c r="AS11" i="278"/>
  <c r="AR11" i="278"/>
  <c r="AQ11" i="278"/>
  <c r="AS10" i="278"/>
  <c r="AR10" i="278"/>
  <c r="AQ10" i="278"/>
  <c r="AS9" i="278"/>
  <c r="AR9" i="278"/>
  <c r="AQ9" i="278"/>
  <c r="AS8" i="278"/>
  <c r="AR8" i="278"/>
  <c r="AQ8" i="278"/>
  <c r="AS7" i="278"/>
  <c r="AR7" i="278"/>
  <c r="V17" i="291"/>
  <c r="AI25" i="281"/>
  <c r="E13" i="250"/>
  <c r="E9" i="250"/>
  <c r="D6" i="250"/>
  <c r="D8" i="250"/>
  <c r="D9" i="250"/>
  <c r="D10" i="250"/>
  <c r="D12" i="250"/>
  <c r="D13" i="250"/>
  <c r="E7" i="282"/>
  <c r="E6" i="282"/>
  <c r="D7" i="282"/>
  <c r="C6" i="282"/>
  <c r="C7" i="282"/>
  <c r="AF24" i="281"/>
  <c r="AF25" i="281"/>
  <c r="AF23" i="281"/>
  <c r="AF20" i="281"/>
  <c r="H61" i="281"/>
  <c r="G61" i="281"/>
  <c r="F61" i="281"/>
  <c r="E61" i="281"/>
  <c r="D61" i="281"/>
  <c r="H60" i="281"/>
  <c r="G60" i="281"/>
  <c r="F60" i="281"/>
  <c r="E60" i="281"/>
  <c r="D60" i="281"/>
  <c r="H59" i="281"/>
  <c r="G59" i="281"/>
  <c r="F59" i="281"/>
  <c r="E59" i="281"/>
  <c r="D59" i="281"/>
  <c r="H58" i="281"/>
  <c r="G58" i="281"/>
  <c r="F58" i="281"/>
  <c r="E58" i="281"/>
  <c r="D58" i="281"/>
  <c r="H57" i="281"/>
  <c r="G57" i="281"/>
  <c r="F57" i="281"/>
  <c r="E57" i="281"/>
  <c r="D57" i="281"/>
  <c r="H56" i="281"/>
  <c r="G56" i="281"/>
  <c r="F56" i="281"/>
  <c r="AK12" i="281" s="1"/>
  <c r="E56" i="281"/>
  <c r="D56" i="281"/>
  <c r="H55" i="281"/>
  <c r="G55" i="281"/>
  <c r="F55" i="281"/>
  <c r="D55" i="281"/>
  <c r="H54" i="281"/>
  <c r="G54" i="281"/>
  <c r="F54" i="281"/>
  <c r="E54" i="281"/>
  <c r="D54" i="281"/>
  <c r="H53" i="281"/>
  <c r="G53" i="281"/>
  <c r="F53" i="281"/>
  <c r="E53" i="281"/>
  <c r="D53" i="281"/>
  <c r="H52" i="281"/>
  <c r="G52" i="281"/>
  <c r="F52" i="281"/>
  <c r="E52" i="281"/>
  <c r="D52" i="281"/>
  <c r="H51" i="281"/>
  <c r="G51" i="281"/>
  <c r="F51" i="281"/>
  <c r="E51" i="281"/>
  <c r="D51" i="281"/>
  <c r="H50" i="281"/>
  <c r="G50" i="281"/>
  <c r="F50" i="281"/>
  <c r="E50" i="281"/>
  <c r="D50" i="281"/>
  <c r="H49" i="281"/>
  <c r="G49" i="281"/>
  <c r="F49" i="281"/>
  <c r="E49" i="281"/>
  <c r="D49" i="281"/>
  <c r="H48" i="281"/>
  <c r="G48" i="281"/>
  <c r="F48" i="281"/>
  <c r="D48" i="281"/>
  <c r="H47" i="281"/>
  <c r="G47" i="281"/>
  <c r="F47" i="281"/>
  <c r="E47" i="281"/>
  <c r="H46" i="281"/>
  <c r="G46" i="281"/>
  <c r="F46" i="281"/>
  <c r="E46" i="281"/>
  <c r="H45" i="281"/>
  <c r="G45" i="281"/>
  <c r="F45" i="281"/>
  <c r="E45" i="281"/>
  <c r="H44" i="281"/>
  <c r="G44" i="281"/>
  <c r="F44" i="281"/>
  <c r="E44" i="281"/>
  <c r="H43" i="281"/>
  <c r="G43" i="281"/>
  <c r="F43" i="281"/>
  <c r="E43" i="281"/>
  <c r="H42" i="281"/>
  <c r="G42" i="281"/>
  <c r="F42" i="281"/>
  <c r="E42" i="281"/>
  <c r="H41" i="281"/>
  <c r="G41" i="281"/>
  <c r="F41" i="281"/>
  <c r="AK6" i="281" s="1"/>
  <c r="E41" i="281"/>
  <c r="H40" i="281"/>
  <c r="G40" i="281"/>
  <c r="F40" i="281"/>
  <c r="E40" i="281"/>
  <c r="H39" i="281"/>
  <c r="G39" i="281"/>
  <c r="F39" i="281"/>
  <c r="D39" i="281"/>
  <c r="H38" i="281"/>
  <c r="G38" i="281"/>
  <c r="F38" i="281"/>
  <c r="H37" i="281"/>
  <c r="G37" i="281"/>
  <c r="F37" i="281"/>
  <c r="H36" i="281"/>
  <c r="G36" i="281"/>
  <c r="F36" i="281"/>
  <c r="H35" i="281"/>
  <c r="G35" i="281"/>
  <c r="F35" i="281"/>
  <c r="H34" i="281"/>
  <c r="G34" i="281"/>
  <c r="F34" i="281"/>
  <c r="H33" i="281"/>
  <c r="G33" i="281"/>
  <c r="F33" i="281"/>
  <c r="H32" i="281"/>
  <c r="G32" i="281"/>
  <c r="F32" i="281"/>
  <c r="H31" i="281"/>
  <c r="G31" i="281"/>
  <c r="F31" i="281"/>
  <c r="H30" i="281"/>
  <c r="G30" i="281"/>
  <c r="F30" i="281"/>
  <c r="D30" i="281"/>
  <c r="D26" i="281"/>
  <c r="E38" i="281"/>
  <c r="E37" i="281"/>
  <c r="E36" i="281"/>
  <c r="E35" i="281"/>
  <c r="E34" i="281"/>
  <c r="E33" i="281"/>
  <c r="E32" i="281"/>
  <c r="E31" i="281"/>
  <c r="F18" i="281"/>
  <c r="F19" i="281"/>
  <c r="F17" i="281"/>
  <c r="F10" i="281"/>
  <c r="F16" i="281"/>
  <c r="F15" i="281"/>
  <c r="F14" i="281"/>
  <c r="F13" i="281"/>
  <c r="F6" i="281"/>
  <c r="F11" i="281"/>
  <c r="F12" i="281"/>
  <c r="F9" i="281"/>
  <c r="F8" i="281"/>
  <c r="F7" i="281"/>
  <c r="D13" i="281"/>
  <c r="D15" i="281"/>
  <c r="D17" i="281"/>
  <c r="D6" i="281"/>
  <c r="D8" i="281"/>
  <c r="D10" i="281"/>
  <c r="E23" i="292"/>
  <c r="E21" i="292"/>
  <c r="E18" i="292"/>
  <c r="E12" i="292"/>
  <c r="E10" i="292"/>
  <c r="E7" i="292"/>
  <c r="D10" i="292"/>
  <c r="D12" i="292"/>
  <c r="D15" i="292"/>
  <c r="D18" i="292"/>
  <c r="D21" i="292"/>
  <c r="D23" i="292"/>
  <c r="D26" i="292"/>
  <c r="D7" i="292"/>
  <c r="D43" i="278"/>
  <c r="D39" i="278"/>
  <c r="D35" i="278"/>
  <c r="D31" i="278"/>
  <c r="D27" i="278"/>
  <c r="D23" i="278"/>
  <c r="D19" i="278"/>
  <c r="D15" i="278"/>
  <c r="D11" i="278"/>
  <c r="D7" i="278"/>
  <c r="C10" i="260"/>
  <c r="B7" i="282"/>
  <c r="C9" i="289"/>
  <c r="C13" i="250"/>
  <c r="C23" i="292"/>
  <c r="C10" i="292"/>
  <c r="C7" i="292"/>
  <c r="C43" i="278"/>
  <c r="C15" i="278"/>
  <c r="B124" i="293"/>
  <c r="B123" i="293"/>
  <c r="C122" i="293"/>
  <c r="B121" i="293"/>
  <c r="B120" i="293"/>
  <c r="C119" i="293"/>
  <c r="B118" i="293"/>
  <c r="B117" i="293"/>
  <c r="B116" i="293"/>
  <c r="C115" i="293"/>
  <c r="B114" i="293"/>
  <c r="B113" i="293"/>
  <c r="B112" i="293"/>
  <c r="C111" i="293"/>
  <c r="B106" i="293"/>
  <c r="B105" i="293"/>
  <c r="C104" i="293"/>
  <c r="B101" i="293"/>
  <c r="B100" i="293"/>
  <c r="C99" i="293"/>
  <c r="B97" i="293"/>
  <c r="B96" i="293"/>
  <c r="B95" i="293"/>
  <c r="B94" i="293"/>
  <c r="C93" i="293"/>
  <c r="K84" i="293"/>
  <c r="I84" i="293"/>
  <c r="G84" i="293"/>
  <c r="E84" i="293"/>
  <c r="K83" i="293"/>
  <c r="I83" i="293"/>
  <c r="G83" i="293"/>
  <c r="E83" i="293"/>
  <c r="K82" i="293"/>
  <c r="I82" i="293"/>
  <c r="G82" i="293"/>
  <c r="E82" i="293"/>
  <c r="K81" i="293"/>
  <c r="I81" i="293"/>
  <c r="G81" i="293"/>
  <c r="E81" i="293"/>
  <c r="R35" i="293" s="1"/>
  <c r="K80" i="293"/>
  <c r="I80" i="293"/>
  <c r="G80" i="293"/>
  <c r="E80" i="293"/>
  <c r="K79" i="293"/>
  <c r="I79" i="293"/>
  <c r="G79" i="293"/>
  <c r="E79" i="293"/>
  <c r="K78" i="293"/>
  <c r="I78" i="293"/>
  <c r="G78" i="293"/>
  <c r="E78" i="293"/>
  <c r="K77" i="293"/>
  <c r="I77" i="293"/>
  <c r="G77" i="293"/>
  <c r="E77" i="293"/>
  <c r="K76" i="293"/>
  <c r="I76" i="293"/>
  <c r="V38" i="293"/>
  <c r="G76" i="293"/>
  <c r="E76" i="293"/>
  <c r="K75" i="293"/>
  <c r="I75" i="293"/>
  <c r="G75" i="293"/>
  <c r="E75" i="293"/>
  <c r="R37" i="293" s="1"/>
  <c r="K74" i="293"/>
  <c r="I74" i="293"/>
  <c r="G74" i="293"/>
  <c r="T36" i="293" s="1"/>
  <c r="E74" i="293"/>
  <c r="R36" i="293" s="1"/>
  <c r="K73" i="293"/>
  <c r="X35" i="293" s="1"/>
  <c r="I73" i="293"/>
  <c r="G73" i="293"/>
  <c r="E73" i="293"/>
  <c r="K72" i="293"/>
  <c r="I72" i="293"/>
  <c r="G72" i="293"/>
  <c r="E72" i="293"/>
  <c r="K71" i="293"/>
  <c r="I71" i="293"/>
  <c r="G71" i="293"/>
  <c r="E71" i="293"/>
  <c r="K70" i="293"/>
  <c r="I70" i="293"/>
  <c r="V32" i="293" s="1"/>
  <c r="G70" i="293"/>
  <c r="E70" i="293"/>
  <c r="K69" i="293"/>
  <c r="I69" i="293"/>
  <c r="G69" i="293"/>
  <c r="E69" i="293"/>
  <c r="K68" i="293"/>
  <c r="I68" i="293"/>
  <c r="V34" i="293" s="1"/>
  <c r="G68" i="293"/>
  <c r="E68" i="293"/>
  <c r="R34" i="293" s="1"/>
  <c r="K67" i="293"/>
  <c r="I67" i="293"/>
  <c r="V33" i="293" s="1"/>
  <c r="G67" i="293"/>
  <c r="T33" i="293" s="1"/>
  <c r="E67" i="293"/>
  <c r="K66" i="293"/>
  <c r="X32" i="293" s="1"/>
  <c r="I66" i="293"/>
  <c r="G66" i="293"/>
  <c r="T32" i="293" s="1"/>
  <c r="E66" i="293"/>
  <c r="R32" i="293" s="1"/>
  <c r="K65" i="293"/>
  <c r="I65" i="293"/>
  <c r="V31" i="293" s="1"/>
  <c r="G65" i="293"/>
  <c r="T31" i="293" s="1"/>
  <c r="E65" i="293"/>
  <c r="R31" i="293" s="1"/>
  <c r="K64" i="293"/>
  <c r="I64" i="293"/>
  <c r="G64" i="293"/>
  <c r="E64" i="293"/>
  <c r="K63" i="293"/>
  <c r="I63" i="293"/>
  <c r="G63" i="293"/>
  <c r="E63" i="293"/>
  <c r="K62" i="293"/>
  <c r="I62" i="293"/>
  <c r="G62" i="293"/>
  <c r="E62" i="293"/>
  <c r="K61" i="293"/>
  <c r="I61" i="293"/>
  <c r="V26" i="293" s="1"/>
  <c r="G61" i="293"/>
  <c r="E61" i="293"/>
  <c r="K60" i="293"/>
  <c r="I60" i="293"/>
  <c r="G60" i="293"/>
  <c r="E60" i="293"/>
  <c r="K59" i="293"/>
  <c r="I59" i="293"/>
  <c r="G59" i="293"/>
  <c r="E59" i="293"/>
  <c r="W58" i="293"/>
  <c r="X58" i="293" s="1"/>
  <c r="U58" i="293"/>
  <c r="V58" i="293" s="1"/>
  <c r="S58" i="293"/>
  <c r="T58" i="293" s="1"/>
  <c r="Q58" i="293"/>
  <c r="R58" i="293" s="1"/>
  <c r="K58" i="293"/>
  <c r="I58" i="293"/>
  <c r="G58" i="293"/>
  <c r="E58" i="293"/>
  <c r="Z57" i="293"/>
  <c r="T57" i="293" s="1"/>
  <c r="K57" i="293"/>
  <c r="I57" i="293"/>
  <c r="G57" i="293"/>
  <c r="E57" i="293"/>
  <c r="Z56" i="293"/>
  <c r="V56" i="293" s="1"/>
  <c r="K56" i="293"/>
  <c r="X29" i="293"/>
  <c r="I56" i="293"/>
  <c r="V29" i="293" s="1"/>
  <c r="G56" i="293"/>
  <c r="T29" i="293" s="1"/>
  <c r="E56" i="293"/>
  <c r="R29" i="293" s="1"/>
  <c r="Z55" i="293"/>
  <c r="T55" i="293" s="1"/>
  <c r="K55" i="293"/>
  <c r="I55" i="293"/>
  <c r="G55" i="293"/>
  <c r="T28" i="293" s="1"/>
  <c r="E55" i="293"/>
  <c r="R28" i="293"/>
  <c r="Z54" i="293"/>
  <c r="R54" i="293" s="1"/>
  <c r="X54" i="293"/>
  <c r="K54" i="293"/>
  <c r="I54" i="293"/>
  <c r="V27" i="293" s="1"/>
  <c r="G54" i="293"/>
  <c r="E54" i="293"/>
  <c r="R27" i="293" s="1"/>
  <c r="Z53" i="293"/>
  <c r="T53" i="293" s="1"/>
  <c r="K53" i="293"/>
  <c r="X26" i="293" s="1"/>
  <c r="I53" i="293"/>
  <c r="G53" i="293"/>
  <c r="T26" i="293" s="1"/>
  <c r="E53" i="293"/>
  <c r="Z52" i="293"/>
  <c r="K52" i="293"/>
  <c r="X25" i="293" s="1"/>
  <c r="I52" i="293"/>
  <c r="G52" i="293"/>
  <c r="E52" i="293"/>
  <c r="Z51" i="293"/>
  <c r="K51" i="293"/>
  <c r="I51" i="293"/>
  <c r="G51" i="293"/>
  <c r="E51" i="293"/>
  <c r="Z50" i="293"/>
  <c r="X50" i="293" s="1"/>
  <c r="K50" i="293"/>
  <c r="I50" i="293"/>
  <c r="G50" i="293"/>
  <c r="E50" i="293"/>
  <c r="K49" i="293"/>
  <c r="X22" i="293" s="1"/>
  <c r="I49" i="293"/>
  <c r="G49" i="293"/>
  <c r="E49" i="293"/>
  <c r="K48" i="293"/>
  <c r="I48" i="293"/>
  <c r="G48" i="293"/>
  <c r="E48" i="293"/>
  <c r="K47" i="293"/>
  <c r="I47" i="293"/>
  <c r="G47" i="293"/>
  <c r="E47" i="293"/>
  <c r="K46" i="293"/>
  <c r="X23" i="293" s="1"/>
  <c r="I46" i="293"/>
  <c r="V23" i="293" s="1"/>
  <c r="G46" i="293"/>
  <c r="T23" i="293" s="1"/>
  <c r="E46" i="293"/>
  <c r="K45" i="293"/>
  <c r="I45" i="293"/>
  <c r="V22" i="293" s="1"/>
  <c r="G45" i="293"/>
  <c r="T22" i="293" s="1"/>
  <c r="E45" i="293"/>
  <c r="R22" i="293" s="1"/>
  <c r="K44" i="293"/>
  <c r="I44" i="293"/>
  <c r="G44" i="293"/>
  <c r="E44" i="293"/>
  <c r="K43" i="293"/>
  <c r="I43" i="293"/>
  <c r="G43" i="293"/>
  <c r="E43" i="293"/>
  <c r="K42" i="293"/>
  <c r="I42" i="293"/>
  <c r="G42" i="293"/>
  <c r="E42" i="293"/>
  <c r="K41" i="293"/>
  <c r="I41" i="293"/>
  <c r="G41" i="293"/>
  <c r="E41" i="293"/>
  <c r="K40" i="293"/>
  <c r="I40" i="293"/>
  <c r="G40" i="293"/>
  <c r="E40" i="293"/>
  <c r="K39" i="293"/>
  <c r="I39" i="293"/>
  <c r="G39" i="293"/>
  <c r="E39" i="293"/>
  <c r="W38" i="293"/>
  <c r="U38" i="293"/>
  <c r="T38" i="293"/>
  <c r="S38" i="293"/>
  <c r="Q38" i="293"/>
  <c r="K38" i="293"/>
  <c r="I38" i="293"/>
  <c r="G38" i="293"/>
  <c r="E38" i="293"/>
  <c r="W37" i="293"/>
  <c r="U37" i="293"/>
  <c r="S37" i="293"/>
  <c r="Q37" i="293"/>
  <c r="K37" i="293"/>
  <c r="I37" i="293"/>
  <c r="G37" i="293"/>
  <c r="E37" i="293"/>
  <c r="W36" i="293"/>
  <c r="U36" i="293"/>
  <c r="S36" i="293"/>
  <c r="Q36" i="293"/>
  <c r="K36" i="293"/>
  <c r="I36" i="293"/>
  <c r="G36" i="293"/>
  <c r="T20" i="293" s="1"/>
  <c r="E36" i="293"/>
  <c r="R20" i="293" s="1"/>
  <c r="W35" i="293"/>
  <c r="U35" i="293"/>
  <c r="S35" i="293"/>
  <c r="Q35" i="293"/>
  <c r="K35" i="293"/>
  <c r="I35" i="293"/>
  <c r="V19" i="293" s="1"/>
  <c r="G35" i="293"/>
  <c r="E35" i="293"/>
  <c r="W34" i="293"/>
  <c r="U34" i="293"/>
  <c r="S34" i="293"/>
  <c r="Q34" i="293"/>
  <c r="K34" i="293"/>
  <c r="X18" i="293" s="1"/>
  <c r="I34" i="293"/>
  <c r="V18" i="293"/>
  <c r="G34" i="293"/>
  <c r="E34" i="293"/>
  <c r="W33" i="293"/>
  <c r="U33" i="293"/>
  <c r="S33" i="293"/>
  <c r="Q33" i="293"/>
  <c r="K33" i="293"/>
  <c r="I33" i="293"/>
  <c r="G33" i="293"/>
  <c r="T17" i="293" s="1"/>
  <c r="E33" i="293"/>
  <c r="W32" i="293"/>
  <c r="U32" i="293"/>
  <c r="S32" i="293"/>
  <c r="Q32" i="293"/>
  <c r="K32" i="293"/>
  <c r="I32" i="293"/>
  <c r="G32" i="293"/>
  <c r="E32" i="293"/>
  <c r="W31" i="293"/>
  <c r="U31" i="293"/>
  <c r="S31" i="293"/>
  <c r="Q31" i="293"/>
  <c r="K31" i="293"/>
  <c r="I31" i="293"/>
  <c r="G31" i="293"/>
  <c r="E31" i="293"/>
  <c r="K30" i="293"/>
  <c r="I30" i="293"/>
  <c r="V14" i="293" s="1"/>
  <c r="G30" i="293"/>
  <c r="E30" i="293"/>
  <c r="W29" i="293"/>
  <c r="U29" i="293"/>
  <c r="S29" i="293"/>
  <c r="Q29" i="293"/>
  <c r="K29" i="293"/>
  <c r="X13" i="293" s="1"/>
  <c r="I29" i="293"/>
  <c r="G29" i="293"/>
  <c r="E29" i="293"/>
  <c r="W28" i="293"/>
  <c r="U28" i="293"/>
  <c r="S28" i="293"/>
  <c r="Q28" i="293"/>
  <c r="K28" i="293"/>
  <c r="I28" i="293"/>
  <c r="G28" i="293"/>
  <c r="E28" i="293"/>
  <c r="W27" i="293"/>
  <c r="U27" i="293"/>
  <c r="S27" i="293"/>
  <c r="Q27" i="293"/>
  <c r="K27" i="293"/>
  <c r="I27" i="293"/>
  <c r="G27" i="293"/>
  <c r="E27" i="293"/>
  <c r="W26" i="293"/>
  <c r="U26" i="293"/>
  <c r="S26" i="293"/>
  <c r="Q26" i="293"/>
  <c r="K26" i="293"/>
  <c r="X14" i="293" s="1"/>
  <c r="I26" i="293"/>
  <c r="G26" i="293"/>
  <c r="T14" i="293"/>
  <c r="E26" i="293"/>
  <c r="W25" i="293"/>
  <c r="U25" i="293"/>
  <c r="S25" i="293"/>
  <c r="Q25" i="293"/>
  <c r="K25" i="293"/>
  <c r="I25" i="293"/>
  <c r="G25" i="293"/>
  <c r="T13" i="293" s="1"/>
  <c r="E25" i="293"/>
  <c r="W24" i="293"/>
  <c r="U24" i="293"/>
  <c r="S24" i="293"/>
  <c r="Q24" i="293"/>
  <c r="K24" i="293"/>
  <c r="I24" i="293"/>
  <c r="G24" i="293"/>
  <c r="E24" i="293"/>
  <c r="W23" i="293"/>
  <c r="U23" i="293"/>
  <c r="S23" i="293"/>
  <c r="Q23" i="293"/>
  <c r="K23" i="293"/>
  <c r="I23" i="293"/>
  <c r="G23" i="293"/>
  <c r="E23" i="293"/>
  <c r="W22" i="293"/>
  <c r="U22" i="293"/>
  <c r="S22" i="293"/>
  <c r="Q22" i="293"/>
  <c r="Q30" i="293" s="1"/>
  <c r="K22" i="293"/>
  <c r="I22" i="293"/>
  <c r="G22" i="293"/>
  <c r="E22" i="293"/>
  <c r="K21" i="293"/>
  <c r="I21" i="293"/>
  <c r="V9" i="293" s="1"/>
  <c r="G21" i="293"/>
  <c r="E21" i="293"/>
  <c r="R9" i="293" s="1"/>
  <c r="W20" i="293"/>
  <c r="AD15" i="293" s="1"/>
  <c r="U20" i="293"/>
  <c r="S20" i="293"/>
  <c r="Q20" i="293"/>
  <c r="K20" i="293"/>
  <c r="I20" i="293"/>
  <c r="G20" i="293"/>
  <c r="E20" i="293"/>
  <c r="W19" i="293"/>
  <c r="AD14" i="293" s="1"/>
  <c r="U19" i="293"/>
  <c r="S19" i="293"/>
  <c r="Q19" i="293"/>
  <c r="K19" i="293"/>
  <c r="I19" i="293"/>
  <c r="G19" i="293"/>
  <c r="E19" i="293"/>
  <c r="W18" i="293"/>
  <c r="U18" i="293"/>
  <c r="S18" i="293"/>
  <c r="Q18" i="293"/>
  <c r="AC13" i="293" s="1"/>
  <c r="K18" i="293"/>
  <c r="I18" i="293"/>
  <c r="G18" i="293"/>
  <c r="E18" i="293"/>
  <c r="W17" i="293"/>
  <c r="AD12" i="293" s="1"/>
  <c r="AE12" i="293" s="1"/>
  <c r="U17" i="293"/>
  <c r="AC12" i="293" s="1"/>
  <c r="S17" i="293"/>
  <c r="Q17" i="293"/>
  <c r="K17" i="293"/>
  <c r="I17" i="293"/>
  <c r="G17" i="293"/>
  <c r="E17" i="293"/>
  <c r="W16" i="293"/>
  <c r="U16" i="293"/>
  <c r="S16" i="293"/>
  <c r="AD10" i="293" s="1"/>
  <c r="Q16" i="293"/>
  <c r="AC10" i="293" s="1"/>
  <c r="K16" i="293"/>
  <c r="I16" i="293"/>
  <c r="V12" i="293" s="1"/>
  <c r="G16" i="293"/>
  <c r="E16" i="293"/>
  <c r="W15" i="293"/>
  <c r="U15" i="293"/>
  <c r="S15" i="293"/>
  <c r="Q15" i="293"/>
  <c r="AC9" i="293" s="1"/>
  <c r="K15" i="293"/>
  <c r="I15" i="293"/>
  <c r="G15" i="293"/>
  <c r="T11" i="293" s="1"/>
  <c r="E15" i="293"/>
  <c r="R11" i="293" s="1"/>
  <c r="W14" i="293"/>
  <c r="U14" i="293"/>
  <c r="S14" i="293"/>
  <c r="Q14" i="293"/>
  <c r="K14" i="293"/>
  <c r="X10" i="293" s="1"/>
  <c r="I14" i="293"/>
  <c r="G14" i="293"/>
  <c r="E14" i="293"/>
  <c r="R10" i="293" s="1"/>
  <c r="W13" i="293"/>
  <c r="U13" i="293"/>
  <c r="S13" i="293"/>
  <c r="Q13" i="293"/>
  <c r="K13" i="293"/>
  <c r="X9" i="293" s="1"/>
  <c r="I13" i="293"/>
  <c r="G13" i="293"/>
  <c r="E13" i="293"/>
  <c r="W12" i="293"/>
  <c r="U12" i="293"/>
  <c r="S12" i="293"/>
  <c r="Q12" i="293"/>
  <c r="K12" i="293"/>
  <c r="X8" i="293" s="1"/>
  <c r="I12" i="293"/>
  <c r="G12" i="293"/>
  <c r="E12" i="293"/>
  <c r="W11" i="293"/>
  <c r="U11" i="293"/>
  <c r="S11" i="293"/>
  <c r="Q11" i="293"/>
  <c r="K11" i="293"/>
  <c r="I11" i="293"/>
  <c r="G11" i="293"/>
  <c r="E11" i="293"/>
  <c r="W10" i="293"/>
  <c r="V10" i="293"/>
  <c r="U10" i="293"/>
  <c r="S10" i="293"/>
  <c r="Q10" i="293"/>
  <c r="K10" i="293"/>
  <c r="I10" i="293"/>
  <c r="G10" i="293"/>
  <c r="E10" i="293"/>
  <c r="W9" i="293"/>
  <c r="U9" i="293"/>
  <c r="S9" i="293"/>
  <c r="Q9" i="293"/>
  <c r="K9" i="293"/>
  <c r="I9" i="293"/>
  <c r="G9" i="293"/>
  <c r="E9" i="293"/>
  <c r="W8" i="293"/>
  <c r="U8" i="293"/>
  <c r="S8" i="293"/>
  <c r="Q8" i="293"/>
  <c r="K8" i="293"/>
  <c r="I8" i="293"/>
  <c r="V8" i="293" s="1"/>
  <c r="G8" i="293"/>
  <c r="E8" i="293"/>
  <c r="R8" i="293" s="1"/>
  <c r="W7" i="293"/>
  <c r="U7" i="293"/>
  <c r="S7" i="293"/>
  <c r="Q7" i="293"/>
  <c r="K7" i="293"/>
  <c r="X7" i="293" s="1"/>
  <c r="I7" i="293"/>
  <c r="V7" i="293" s="1"/>
  <c r="G7" i="293"/>
  <c r="T7" i="293" s="1"/>
  <c r="E7" i="293"/>
  <c r="W6" i="293"/>
  <c r="U6" i="293"/>
  <c r="S6" i="293"/>
  <c r="Q6" i="293"/>
  <c r="K6" i="293"/>
  <c r="X6" i="293" s="1"/>
  <c r="I6" i="293"/>
  <c r="G6" i="293"/>
  <c r="E6" i="293"/>
  <c r="W5" i="293"/>
  <c r="U5" i="293"/>
  <c r="S5" i="293"/>
  <c r="Q5" i="293"/>
  <c r="K5" i="293"/>
  <c r="I5" i="293"/>
  <c r="G5" i="293"/>
  <c r="E5" i="293"/>
  <c r="T8" i="293"/>
  <c r="R53" i="293"/>
  <c r="T12" i="293"/>
  <c r="V15" i="293"/>
  <c r="R18" i="293"/>
  <c r="V28" i="293"/>
  <c r="AI24" i="281"/>
  <c r="T18" i="293"/>
  <c r="AJ23" i="281"/>
  <c r="AJ26" i="281" s="1"/>
  <c r="V24" i="293"/>
  <c r="X12" i="293"/>
  <c r="V16" i="293"/>
  <c r="V54" i="293"/>
  <c r="X28" i="293"/>
  <c r="T50" i="293"/>
  <c r="V53" i="293"/>
  <c r="O6" i="278"/>
  <c r="P6" i="278"/>
  <c r="Q6" i="278"/>
  <c r="R6" i="278"/>
  <c r="S6" i="278"/>
  <c r="T6" i="278"/>
  <c r="U6" i="278"/>
  <c r="V6" i="278"/>
  <c r="W6" i="278"/>
  <c r="N6" i="278"/>
  <c r="F17" i="272"/>
  <c r="F18" i="272"/>
  <c r="F16" i="272"/>
  <c r="I11" i="291"/>
  <c r="Q8" i="292"/>
  <c r="K15" i="292"/>
  <c r="K12" i="292"/>
  <c r="K23" i="292" s="1"/>
  <c r="H11" i="292"/>
  <c r="H22" i="292" s="1"/>
  <c r="H10" i="292"/>
  <c r="H21" i="292" s="1"/>
  <c r="H9" i="292"/>
  <c r="H8" i="292"/>
  <c r="H19" i="292" s="1"/>
  <c r="H7" i="292"/>
  <c r="Q7" i="292" s="1"/>
  <c r="G23" i="292"/>
  <c r="G10" i="292"/>
  <c r="G7" i="292"/>
  <c r="O26" i="292"/>
  <c r="K26" i="292"/>
  <c r="O23" i="292"/>
  <c r="O21" i="292"/>
  <c r="O18" i="292"/>
  <c r="O15" i="292"/>
  <c r="O12" i="292"/>
  <c r="O10" i="292"/>
  <c r="O7" i="292"/>
  <c r="D11" i="291"/>
  <c r="D14" i="291"/>
  <c r="D18" i="291"/>
  <c r="D7" i="291"/>
  <c r="D7" i="290"/>
  <c r="D9" i="290" s="1"/>
  <c r="D9" i="289"/>
  <c r="D7" i="289"/>
  <c r="D16" i="288"/>
  <c r="D13" i="288"/>
  <c r="D9" i="288"/>
  <c r="D6" i="288"/>
  <c r="I20" i="291"/>
  <c r="I19" i="291"/>
  <c r="O18" i="291"/>
  <c r="L18" i="291"/>
  <c r="I18" i="291"/>
  <c r="I17" i="291"/>
  <c r="I16" i="291"/>
  <c r="I15" i="291"/>
  <c r="O14" i="291"/>
  <c r="L14" i="291"/>
  <c r="I14" i="291"/>
  <c r="I13" i="291"/>
  <c r="I12" i="291"/>
  <c r="O11" i="291"/>
  <c r="I10" i="291"/>
  <c r="I9" i="291"/>
  <c r="I8" i="291"/>
  <c r="O7" i="291"/>
  <c r="I7" i="291"/>
  <c r="O9" i="289"/>
  <c r="I9" i="289"/>
  <c r="Q9" i="289" s="1"/>
  <c r="I8" i="289"/>
  <c r="I10" i="289" s="1"/>
  <c r="Q10" i="289" s="1"/>
  <c r="O7" i="289"/>
  <c r="E74" i="288"/>
  <c r="K15" i="288" s="1"/>
  <c r="D74" i="288"/>
  <c r="K7" i="288" s="1"/>
  <c r="C74" i="288"/>
  <c r="K13" i="288" s="1"/>
  <c r="D71" i="288"/>
  <c r="K12" i="288" s="1"/>
  <c r="C71" i="288"/>
  <c r="K17" i="288"/>
  <c r="H39" i="288"/>
  <c r="I36" i="288" s="1"/>
  <c r="K19" i="288"/>
  <c r="H19" i="288"/>
  <c r="H18" i="288"/>
  <c r="H17" i="288"/>
  <c r="J16" i="288"/>
  <c r="H16" i="288"/>
  <c r="G16" i="288"/>
  <c r="J13" i="288"/>
  <c r="G13" i="288"/>
  <c r="H12" i="288"/>
  <c r="R12" i="288" s="1"/>
  <c r="H11" i="288"/>
  <c r="K10" i="288"/>
  <c r="H10" i="288"/>
  <c r="T9" i="288"/>
  <c r="O9" i="288"/>
  <c r="O16" i="288"/>
  <c r="J9" i="288"/>
  <c r="H9" i="288"/>
  <c r="R9" i="288" s="1"/>
  <c r="G9" i="288"/>
  <c r="T8" i="288"/>
  <c r="T7" i="288"/>
  <c r="T6" i="288"/>
  <c r="L6" i="288" s="1"/>
  <c r="C79" i="288" s="1"/>
  <c r="O6" i="288"/>
  <c r="O13" i="288" s="1"/>
  <c r="J6" i="288"/>
  <c r="I38" i="288"/>
  <c r="H8" i="288" s="1"/>
  <c r="Q11" i="292"/>
  <c r="O13" i="286"/>
  <c r="E36" i="282"/>
  <c r="E35" i="282"/>
  <c r="E34" i="282"/>
  <c r="E33" i="282"/>
  <c r="E32" i="282"/>
  <c r="E31" i="282"/>
  <c r="E30" i="282"/>
  <c r="E29" i="282"/>
  <c r="E28" i="282"/>
  <c r="E27" i="282"/>
  <c r="E26" i="282"/>
  <c r="E25" i="282"/>
  <c r="H16" i="282"/>
  <c r="G7" i="282" s="1"/>
  <c r="H15" i="282"/>
  <c r="N7" i="282"/>
  <c r="J7" i="282"/>
  <c r="K7" i="282"/>
  <c r="N6" i="282"/>
  <c r="J6" i="282"/>
  <c r="K6" i="282" s="1"/>
  <c r="F68" i="281"/>
  <c r="AY17" i="281"/>
  <c r="I17" i="281" s="1"/>
  <c r="AX17" i="281"/>
  <c r="I10" i="281" s="1"/>
  <c r="M17" i="281"/>
  <c r="K17" i="281"/>
  <c r="K18" i="281"/>
  <c r="K19" i="281" s="1"/>
  <c r="M15" i="281"/>
  <c r="K15" i="281"/>
  <c r="K16" i="281" s="1"/>
  <c r="K14" i="281"/>
  <c r="M13" i="281"/>
  <c r="K13" i="281"/>
  <c r="M10" i="281"/>
  <c r="AI11" i="281" s="1"/>
  <c r="K10" i="281"/>
  <c r="K11" i="281" s="1"/>
  <c r="K12" i="281" s="1"/>
  <c r="AY9" i="281"/>
  <c r="I15" i="281" s="1"/>
  <c r="AX9" i="281"/>
  <c r="I6" i="281" s="1"/>
  <c r="M8" i="281"/>
  <c r="K8" i="281"/>
  <c r="K9" i="281" s="1"/>
  <c r="M6" i="281"/>
  <c r="K6" i="281"/>
  <c r="I41" i="280"/>
  <c r="F38" i="280"/>
  <c r="F28" i="280"/>
  <c r="F14" i="280"/>
  <c r="F16" i="280" s="1"/>
  <c r="P18" i="280" s="1"/>
  <c r="AO72" i="279"/>
  <c r="AY48" i="278"/>
  <c r="AX48" i="278"/>
  <c r="AW48" i="278"/>
  <c r="AD38" i="278"/>
  <c r="AY37" i="278"/>
  <c r="AX37" i="278"/>
  <c r="AW37" i="278"/>
  <c r="AD37" i="278"/>
  <c r="AD36" i="278"/>
  <c r="AD33" i="278"/>
  <c r="AV32" i="278"/>
  <c r="AD32" i="278"/>
  <c r="AV31" i="278"/>
  <c r="AV30" i="278"/>
  <c r="AV29" i="278"/>
  <c r="AV28" i="278"/>
  <c r="AV27" i="278"/>
  <c r="AV26" i="278"/>
  <c r="AV25" i="278"/>
  <c r="AV24" i="278"/>
  <c r="AV23" i="278"/>
  <c r="AV22" i="278"/>
  <c r="AV21" i="278"/>
  <c r="AV20" i="278"/>
  <c r="AV19" i="278"/>
  <c r="AV18" i="278"/>
  <c r="AV17" i="278"/>
  <c r="AV16" i="278"/>
  <c r="AV15" i="278"/>
  <c r="BJ14" i="278"/>
  <c r="AV14" i="278"/>
  <c r="BK13" i="278"/>
  <c r="BL13" i="278" s="1"/>
  <c r="BM13" i="278" s="1"/>
  <c r="BN13" i="278" s="1"/>
  <c r="AV13" i="278"/>
  <c r="AV12" i="278"/>
  <c r="AV11" i="278"/>
  <c r="AV10" i="278"/>
  <c r="AV9" i="278"/>
  <c r="AV8" i="278"/>
  <c r="AV7" i="278"/>
  <c r="F6" i="282"/>
  <c r="X6" i="282"/>
  <c r="F7" i="282"/>
  <c r="Y6" i="282" s="1"/>
  <c r="G6" i="282"/>
  <c r="AW49" i="278"/>
  <c r="AW50" i="278"/>
  <c r="E38" i="272"/>
  <c r="C7" i="272"/>
  <c r="O10" i="275"/>
  <c r="H12" i="292" s="1"/>
  <c r="O12" i="275"/>
  <c r="H14" i="292"/>
  <c r="O11" i="275"/>
  <c r="H13" i="292"/>
  <c r="L10" i="275"/>
  <c r="L9" i="275"/>
  <c r="L20" i="275"/>
  <c r="L21" i="275"/>
  <c r="N21" i="275" s="1"/>
  <c r="I19" i="275"/>
  <c r="F21" i="275"/>
  <c r="F20" i="275"/>
  <c r="F19" i="275" s="1"/>
  <c r="C20" i="275"/>
  <c r="C16" i="275"/>
  <c r="G12" i="292" s="1"/>
  <c r="C15" i="275"/>
  <c r="E15" i="275" s="1"/>
  <c r="J27" i="277"/>
  <c r="Q11" i="277"/>
  <c r="L10" i="292" s="1"/>
  <c r="L21" i="292" s="1"/>
  <c r="I27" i="277"/>
  <c r="Q10" i="277"/>
  <c r="L7" i="292"/>
  <c r="L18" i="292" s="1"/>
  <c r="O10" i="277"/>
  <c r="K11" i="277"/>
  <c r="L11" i="277" s="1"/>
  <c r="K10" i="292" s="1"/>
  <c r="K21" i="292" s="1"/>
  <c r="K10" i="277"/>
  <c r="L10" i="277" s="1"/>
  <c r="K7" i="292" s="1"/>
  <c r="K18" i="292" s="1"/>
  <c r="O11" i="277"/>
  <c r="E27" i="277"/>
  <c r="E26" i="277"/>
  <c r="E16" i="275"/>
  <c r="I11" i="275"/>
  <c r="E10" i="275"/>
  <c r="F10" i="275"/>
  <c r="F9" i="275"/>
  <c r="E9" i="275"/>
  <c r="L7" i="275" s="1"/>
  <c r="H15" i="275" s="1"/>
  <c r="G26" i="292"/>
  <c r="L8" i="275"/>
  <c r="I10" i="275"/>
  <c r="D36" i="272"/>
  <c r="K8" i="291"/>
  <c r="K7" i="291"/>
  <c r="K14" i="291" s="1"/>
  <c r="E36" i="272"/>
  <c r="K9" i="291"/>
  <c r="F36" i="272"/>
  <c r="K10" i="291" s="1"/>
  <c r="R10" i="272"/>
  <c r="R9" i="272"/>
  <c r="D30" i="272"/>
  <c r="F30" i="272" s="1"/>
  <c r="H18" i="291"/>
  <c r="H11" i="291"/>
  <c r="N8" i="272"/>
  <c r="N9" i="272"/>
  <c r="N10" i="272"/>
  <c r="N11" i="272"/>
  <c r="N12" i="272"/>
  <c r="N7" i="272"/>
  <c r="Q12" i="268"/>
  <c r="Q11" i="268"/>
  <c r="F9" i="250"/>
  <c r="F13" i="250"/>
  <c r="F12" i="250"/>
  <c r="F10" i="250"/>
  <c r="F8" i="250"/>
  <c r="F6" i="250"/>
  <c r="F6" i="260"/>
  <c r="F10" i="260"/>
  <c r="B120" i="251"/>
  <c r="Q24" i="251"/>
  <c r="Q13" i="268"/>
  <c r="R23" i="268"/>
  <c r="R25" i="268" s="1"/>
  <c r="S23" i="268"/>
  <c r="R24" i="268"/>
  <c r="S24" i="268"/>
  <c r="Q24" i="268"/>
  <c r="Q23" i="268"/>
  <c r="R11" i="268"/>
  <c r="R13" i="268" s="1"/>
  <c r="S11" i="268"/>
  <c r="S13" i="268" s="1"/>
  <c r="R12" i="268"/>
  <c r="S12" i="268"/>
  <c r="AD9" i="268"/>
  <c r="AD8" i="268"/>
  <c r="AD7" i="268"/>
  <c r="AD6" i="268"/>
  <c r="AD5" i="268"/>
  <c r="AF12" i="268" s="1"/>
  <c r="AI12" i="268" s="1"/>
  <c r="G13" i="250"/>
  <c r="V37" i="256"/>
  <c r="V38" i="256"/>
  <c r="V39" i="256"/>
  <c r="T38" i="256"/>
  <c r="J45" i="256"/>
  <c r="J46" i="256"/>
  <c r="T39" i="256"/>
  <c r="S39" i="256"/>
  <c r="S38" i="256"/>
  <c r="C9" i="250"/>
  <c r="E6" i="232"/>
  <c r="E59" i="231"/>
  <c r="C6" i="232" s="1"/>
  <c r="D58" i="231"/>
  <c r="B9" i="232" s="1"/>
  <c r="P21" i="260"/>
  <c r="K11" i="260"/>
  <c r="T28" i="256"/>
  <c r="S28" i="256"/>
  <c r="I61" i="256"/>
  <c r="J8" i="250"/>
  <c r="I60" i="256"/>
  <c r="J12" i="250"/>
  <c r="R47" i="233"/>
  <c r="S47" i="233"/>
  <c r="Q47" i="233"/>
  <c r="O49" i="256"/>
  <c r="P49" i="256" s="1"/>
  <c r="O48" i="256"/>
  <c r="J51" i="256"/>
  <c r="J52" i="256" s="1"/>
  <c r="J53" i="256" s="1"/>
  <c r="J54" i="256" s="1"/>
  <c r="K31" i="256"/>
  <c r="O39" i="256"/>
  <c r="Q38" i="233"/>
  <c r="Q37" i="233"/>
  <c r="Q20" i="256"/>
  <c r="Q22" i="260"/>
  <c r="P22" i="260"/>
  <c r="H19" i="260" s="1"/>
  <c r="I19" i="260" s="1"/>
  <c r="Q21" i="260"/>
  <c r="H18" i="260"/>
  <c r="I18" i="260"/>
  <c r="W79" i="260"/>
  <c r="P79" i="260"/>
  <c r="P78" i="260"/>
  <c r="X80" i="260"/>
  <c r="W26" i="260" s="1"/>
  <c r="E11" i="260"/>
  <c r="E9" i="260"/>
  <c r="X79" i="260"/>
  <c r="W86" i="260"/>
  <c r="W87" i="260" s="1"/>
  <c r="L29" i="256"/>
  <c r="M44" i="256" s="1"/>
  <c r="J43" i="256"/>
  <c r="H12" i="250" s="1"/>
  <c r="W63" i="250" s="1"/>
  <c r="X63" i="250" s="1"/>
  <c r="K29" i="256"/>
  <c r="M43" i="256" s="1"/>
  <c r="J42" i="256"/>
  <c r="M60" i="233"/>
  <c r="E14" i="251"/>
  <c r="E89" i="231"/>
  <c r="E90" i="231"/>
  <c r="E91" i="231"/>
  <c r="E92" i="231"/>
  <c r="E93" i="231"/>
  <c r="E94" i="231"/>
  <c r="E95" i="231"/>
  <c r="E96" i="231"/>
  <c r="E97" i="231"/>
  <c r="E98" i="231"/>
  <c r="E99" i="231"/>
  <c r="E100" i="231"/>
  <c r="E101" i="231"/>
  <c r="E102" i="231"/>
  <c r="E103" i="231"/>
  <c r="E109" i="231"/>
  <c r="E110" i="231"/>
  <c r="E111" i="231"/>
  <c r="E112" i="231"/>
  <c r="E113" i="231"/>
  <c r="D90" i="231"/>
  <c r="D91" i="231"/>
  <c r="D92" i="231"/>
  <c r="D93" i="231"/>
  <c r="D94" i="231"/>
  <c r="D95" i="231"/>
  <c r="D96" i="231"/>
  <c r="D97" i="231"/>
  <c r="D98" i="231"/>
  <c r="D99" i="231"/>
  <c r="D100" i="231"/>
  <c r="D101" i="231"/>
  <c r="D102" i="231"/>
  <c r="D103" i="231"/>
  <c r="D109" i="231"/>
  <c r="D110" i="231"/>
  <c r="D111" i="231"/>
  <c r="D112" i="231"/>
  <c r="D113" i="231"/>
  <c r="D89" i="231"/>
  <c r="D79" i="216"/>
  <c r="D78" i="216"/>
  <c r="D77" i="216"/>
  <c r="D76" i="216"/>
  <c r="D75" i="216"/>
  <c r="E13" i="288" s="1"/>
  <c r="Q13" i="251"/>
  <c r="M61" i="233"/>
  <c r="Y48" i="260"/>
  <c r="Y49" i="260"/>
  <c r="Q79" i="260"/>
  <c r="Q78" i="260"/>
  <c r="X81" i="260"/>
  <c r="W81" i="260"/>
  <c r="W80" i="260"/>
  <c r="Z87" i="260"/>
  <c r="E5" i="251"/>
  <c r="R5" i="251" s="1"/>
  <c r="G5" i="251"/>
  <c r="T5" i="251" s="1"/>
  <c r="I5" i="251"/>
  <c r="K5" i="251"/>
  <c r="Q5" i="251"/>
  <c r="S5" i="251"/>
  <c r="U5" i="251"/>
  <c r="W5" i="251"/>
  <c r="E6" i="251"/>
  <c r="G6" i="251"/>
  <c r="T6" i="251" s="1"/>
  <c r="I6" i="251"/>
  <c r="K6" i="251"/>
  <c r="Q6" i="251"/>
  <c r="S6" i="251"/>
  <c r="U6" i="251"/>
  <c r="W6" i="251"/>
  <c r="E7" i="251"/>
  <c r="G7" i="251"/>
  <c r="I7" i="251"/>
  <c r="K7" i="251"/>
  <c r="Q7" i="251"/>
  <c r="S7" i="251"/>
  <c r="U7" i="251"/>
  <c r="W7" i="251"/>
  <c r="E8" i="251"/>
  <c r="R8" i="251" s="1"/>
  <c r="G8" i="251"/>
  <c r="I8" i="251"/>
  <c r="K8" i="251"/>
  <c r="Q8" i="251"/>
  <c r="S8" i="251"/>
  <c r="U8" i="251"/>
  <c r="W8" i="251"/>
  <c r="E9" i="251"/>
  <c r="G9" i="251"/>
  <c r="I9" i="251"/>
  <c r="K9" i="251"/>
  <c r="Q9" i="251"/>
  <c r="S9" i="251"/>
  <c r="U9" i="251"/>
  <c r="W9" i="251"/>
  <c r="E10" i="251"/>
  <c r="G10" i="251"/>
  <c r="I10" i="251"/>
  <c r="K10" i="251"/>
  <c r="Q10" i="251"/>
  <c r="S10" i="251"/>
  <c r="U10" i="251"/>
  <c r="W10" i="251"/>
  <c r="E11" i="251"/>
  <c r="G11" i="251"/>
  <c r="I11" i="251"/>
  <c r="K11" i="251"/>
  <c r="Q11" i="251"/>
  <c r="S11" i="251"/>
  <c r="U11" i="251"/>
  <c r="W11" i="251"/>
  <c r="E12" i="251"/>
  <c r="G12" i="251"/>
  <c r="T8" i="251" s="1"/>
  <c r="I12" i="251"/>
  <c r="K12" i="251"/>
  <c r="Q12" i="251"/>
  <c r="S12" i="251"/>
  <c r="U12" i="251"/>
  <c r="W12" i="251"/>
  <c r="E13" i="251"/>
  <c r="R9" i="251" s="1"/>
  <c r="G13" i="251"/>
  <c r="I13" i="251"/>
  <c r="K13" i="251"/>
  <c r="S13" i="251"/>
  <c r="U13" i="251"/>
  <c r="W13" i="251"/>
  <c r="AD7" i="251" s="1"/>
  <c r="G14" i="251"/>
  <c r="T10" i="251" s="1"/>
  <c r="I14" i="251"/>
  <c r="K14" i="251"/>
  <c r="X10" i="251" s="1"/>
  <c r="Q14" i="251"/>
  <c r="S14" i="251"/>
  <c r="U14" i="251"/>
  <c r="W14" i="251"/>
  <c r="AD8" i="251" s="1"/>
  <c r="E15" i="251"/>
  <c r="G15" i="251"/>
  <c r="I15" i="251"/>
  <c r="V11" i="251" s="1"/>
  <c r="K15" i="251"/>
  <c r="Q15" i="251"/>
  <c r="S15" i="251"/>
  <c r="U15" i="251"/>
  <c r="AC9" i="251" s="1"/>
  <c r="AE9" i="251" s="1"/>
  <c r="W15" i="251"/>
  <c r="E16" i="251"/>
  <c r="G16" i="251"/>
  <c r="I16" i="251"/>
  <c r="K16" i="251"/>
  <c r="X12" i="251" s="1"/>
  <c r="Q16" i="251"/>
  <c r="AC10" i="251" s="1"/>
  <c r="S16" i="251"/>
  <c r="AD10" i="251" s="1"/>
  <c r="U16" i="251"/>
  <c r="W16" i="251"/>
  <c r="E17" i="251"/>
  <c r="G17" i="251"/>
  <c r="I17" i="251"/>
  <c r="K17" i="251"/>
  <c r="Q17" i="251"/>
  <c r="AC12" i="251" s="1"/>
  <c r="S17" i="251"/>
  <c r="AD12" i="251" s="1"/>
  <c r="U17" i="251"/>
  <c r="W17" i="251"/>
  <c r="E18" i="251"/>
  <c r="G18" i="251"/>
  <c r="I18" i="251"/>
  <c r="K18" i="251"/>
  <c r="X6" i="251" s="1"/>
  <c r="Q18" i="251"/>
  <c r="S18" i="251"/>
  <c r="U18" i="251"/>
  <c r="AC13" i="251" s="1"/>
  <c r="W18" i="251"/>
  <c r="E19" i="251"/>
  <c r="G19" i="251"/>
  <c r="I19" i="251"/>
  <c r="K19" i="251"/>
  <c r="X7" i="251" s="1"/>
  <c r="Q19" i="251"/>
  <c r="S19" i="251"/>
  <c r="U19" i="251"/>
  <c r="AC14" i="251" s="1"/>
  <c r="W19" i="251"/>
  <c r="E20" i="251"/>
  <c r="G20" i="251"/>
  <c r="I20" i="251"/>
  <c r="V8" i="251"/>
  <c r="K20" i="251"/>
  <c r="Q20" i="251"/>
  <c r="S20" i="251"/>
  <c r="U20" i="251"/>
  <c r="AC15" i="251" s="1"/>
  <c r="W20" i="251"/>
  <c r="E21" i="251"/>
  <c r="G21" i="251"/>
  <c r="I21" i="251"/>
  <c r="V9" i="251" s="1"/>
  <c r="K21" i="251"/>
  <c r="X9" i="251"/>
  <c r="E22" i="251"/>
  <c r="G22" i="251"/>
  <c r="I22" i="251"/>
  <c r="K22" i="251"/>
  <c r="Q22" i="251"/>
  <c r="S22" i="251"/>
  <c r="U22" i="251"/>
  <c r="W22" i="251"/>
  <c r="E23" i="251"/>
  <c r="G23" i="251"/>
  <c r="I23" i="251"/>
  <c r="K23" i="251"/>
  <c r="Q23" i="251"/>
  <c r="AC28" i="251" s="1"/>
  <c r="S23" i="251"/>
  <c r="U23" i="251"/>
  <c r="U30" i="251" s="1"/>
  <c r="W23" i="251"/>
  <c r="E24" i="251"/>
  <c r="G24" i="251"/>
  <c r="I24" i="251"/>
  <c r="K24" i="251"/>
  <c r="S24" i="251"/>
  <c r="U24" i="251"/>
  <c r="W24" i="251"/>
  <c r="E25" i="251"/>
  <c r="G25" i="251"/>
  <c r="I25" i="251"/>
  <c r="K25" i="251"/>
  <c r="Q25" i="251"/>
  <c r="S25" i="251"/>
  <c r="U25" i="251"/>
  <c r="W25" i="251"/>
  <c r="E26" i="251"/>
  <c r="R14" i="251" s="1"/>
  <c r="G26" i="251"/>
  <c r="I26" i="251"/>
  <c r="K26" i="251"/>
  <c r="Q26" i="251"/>
  <c r="S26" i="251"/>
  <c r="U26" i="251"/>
  <c r="W26" i="251"/>
  <c r="E27" i="251"/>
  <c r="G27" i="251"/>
  <c r="T15" i="251" s="1"/>
  <c r="I27" i="251"/>
  <c r="K27" i="251"/>
  <c r="Q27" i="251"/>
  <c r="S27" i="251"/>
  <c r="U27" i="251"/>
  <c r="W27" i="251"/>
  <c r="E28" i="251"/>
  <c r="G28" i="251"/>
  <c r="T16" i="251" s="1"/>
  <c r="I28" i="251"/>
  <c r="K28" i="251"/>
  <c r="Q28" i="251"/>
  <c r="S28" i="251"/>
  <c r="U28" i="251"/>
  <c r="W28" i="251"/>
  <c r="E29" i="251"/>
  <c r="G29" i="251"/>
  <c r="I29" i="251"/>
  <c r="K29" i="251"/>
  <c r="Q29" i="251"/>
  <c r="S29" i="251"/>
  <c r="AE29" i="251" s="1"/>
  <c r="U29" i="251"/>
  <c r="W29" i="251"/>
  <c r="E30" i="251"/>
  <c r="G30" i="251"/>
  <c r="T14" i="251" s="1"/>
  <c r="I30" i="251"/>
  <c r="V14" i="251" s="1"/>
  <c r="K30" i="251"/>
  <c r="E31" i="251"/>
  <c r="G31" i="251"/>
  <c r="I31" i="251"/>
  <c r="K31" i="251"/>
  <c r="Q31" i="251"/>
  <c r="S31" i="251"/>
  <c r="U31" i="251"/>
  <c r="W31" i="251"/>
  <c r="E32" i="251"/>
  <c r="G32" i="251"/>
  <c r="I32" i="251"/>
  <c r="K32" i="251"/>
  <c r="Q32" i="251"/>
  <c r="S32" i="251"/>
  <c r="U32" i="251"/>
  <c r="W32" i="251"/>
  <c r="E33" i="251"/>
  <c r="G33" i="251"/>
  <c r="I33" i="251"/>
  <c r="V17" i="251" s="1"/>
  <c r="K33" i="251"/>
  <c r="Q33" i="251"/>
  <c r="S33" i="251"/>
  <c r="S39" i="251" s="1"/>
  <c r="U33" i="251"/>
  <c r="W33" i="251"/>
  <c r="E34" i="251"/>
  <c r="R18" i="251" s="1"/>
  <c r="G34" i="251"/>
  <c r="T18" i="251" s="1"/>
  <c r="I34" i="251"/>
  <c r="V18" i="251" s="1"/>
  <c r="K34" i="251"/>
  <c r="Q34" i="251"/>
  <c r="S34" i="251"/>
  <c r="U34" i="251"/>
  <c r="W34" i="251"/>
  <c r="E35" i="251"/>
  <c r="G35" i="251"/>
  <c r="I35" i="251"/>
  <c r="V19" i="251" s="1"/>
  <c r="K35" i="251"/>
  <c r="Q35" i="251"/>
  <c r="S35" i="251"/>
  <c r="U35" i="251"/>
  <c r="W35" i="251"/>
  <c r="E36" i="251"/>
  <c r="G36" i="251"/>
  <c r="I36" i="251"/>
  <c r="V20" i="251" s="1"/>
  <c r="K36" i="251"/>
  <c r="Q36" i="251"/>
  <c r="S36" i="251"/>
  <c r="U36" i="251"/>
  <c r="W36" i="251"/>
  <c r="E37" i="251"/>
  <c r="G37" i="251"/>
  <c r="I37" i="251"/>
  <c r="K37" i="251"/>
  <c r="Q37" i="251"/>
  <c r="S37" i="251"/>
  <c r="U37" i="251"/>
  <c r="W37" i="251"/>
  <c r="E38" i="251"/>
  <c r="G38" i="251"/>
  <c r="I38" i="251"/>
  <c r="K38" i="251"/>
  <c r="Q38" i="251"/>
  <c r="S38" i="251"/>
  <c r="U38" i="251"/>
  <c r="W38" i="251"/>
  <c r="E39" i="251"/>
  <c r="G39" i="251"/>
  <c r="I39" i="251"/>
  <c r="K39" i="251"/>
  <c r="E40" i="251"/>
  <c r="R16" i="251" s="1"/>
  <c r="G40" i="251"/>
  <c r="I40" i="251"/>
  <c r="K40" i="251"/>
  <c r="E41" i="251"/>
  <c r="G41" i="251"/>
  <c r="I41" i="251"/>
  <c r="K41" i="251"/>
  <c r="E42" i="251"/>
  <c r="G42" i="251"/>
  <c r="I42" i="251"/>
  <c r="K42" i="251"/>
  <c r="E43" i="251"/>
  <c r="G43" i="251"/>
  <c r="T19" i="251" s="1"/>
  <c r="I43" i="251"/>
  <c r="K43" i="251"/>
  <c r="X19" i="251" s="1"/>
  <c r="E44" i="251"/>
  <c r="G44" i="251"/>
  <c r="I44" i="251"/>
  <c r="K44" i="251"/>
  <c r="E45" i="251"/>
  <c r="R22" i="251" s="1"/>
  <c r="G45" i="251"/>
  <c r="I45" i="251"/>
  <c r="K45" i="251"/>
  <c r="E46" i="251"/>
  <c r="G46" i="251"/>
  <c r="I46" i="251"/>
  <c r="V23" i="251" s="1"/>
  <c r="K46" i="251"/>
  <c r="X23" i="251" s="1"/>
  <c r="E47" i="251"/>
  <c r="G47" i="251"/>
  <c r="I47" i="251"/>
  <c r="K47" i="251"/>
  <c r="E48" i="251"/>
  <c r="R25" i="251" s="1"/>
  <c r="G48" i="251"/>
  <c r="I48" i="251"/>
  <c r="K48" i="251"/>
  <c r="E49" i="251"/>
  <c r="G49" i="251"/>
  <c r="I49" i="251"/>
  <c r="K49" i="251"/>
  <c r="E50" i="251"/>
  <c r="G50" i="251"/>
  <c r="I50" i="251"/>
  <c r="K50" i="251"/>
  <c r="Z50" i="251"/>
  <c r="T50" i="251" s="1"/>
  <c r="E51" i="251"/>
  <c r="R24" i="251" s="1"/>
  <c r="G51" i="251"/>
  <c r="I51" i="251"/>
  <c r="K51" i="251"/>
  <c r="Z51" i="251"/>
  <c r="R51" i="251" s="1"/>
  <c r="E52" i="251"/>
  <c r="G52" i="251"/>
  <c r="I52" i="251"/>
  <c r="K52" i="251"/>
  <c r="Z52" i="251"/>
  <c r="V52" i="251" s="1"/>
  <c r="E53" i="251"/>
  <c r="G53" i="251"/>
  <c r="I53" i="251"/>
  <c r="K53" i="251"/>
  <c r="X26" i="251" s="1"/>
  <c r="Z53" i="251"/>
  <c r="T53" i="251" s="1"/>
  <c r="E54" i="251"/>
  <c r="G54" i="251"/>
  <c r="I54" i="251"/>
  <c r="K54" i="251"/>
  <c r="Z54" i="251"/>
  <c r="X54" i="251"/>
  <c r="E55" i="251"/>
  <c r="R28" i="251" s="1"/>
  <c r="G55" i="251"/>
  <c r="I55" i="251"/>
  <c r="K55" i="251"/>
  <c r="Z55" i="251"/>
  <c r="R55" i="251" s="1"/>
  <c r="E56" i="251"/>
  <c r="R29" i="251" s="1"/>
  <c r="G56" i="251"/>
  <c r="T29" i="251" s="1"/>
  <c r="I56" i="251"/>
  <c r="V29" i="251" s="1"/>
  <c r="K56" i="251"/>
  <c r="Z56" i="251"/>
  <c r="T56" i="251"/>
  <c r="E57" i="251"/>
  <c r="G57" i="251"/>
  <c r="I57" i="251"/>
  <c r="K57" i="251"/>
  <c r="Z57" i="251"/>
  <c r="T57" i="251" s="1"/>
  <c r="E58" i="251"/>
  <c r="G58" i="251"/>
  <c r="I58" i="251"/>
  <c r="K58" i="251"/>
  <c r="Q58" i="251"/>
  <c r="R58" i="251" s="1"/>
  <c r="S58" i="251"/>
  <c r="T58" i="251" s="1"/>
  <c r="U58" i="251"/>
  <c r="V58" i="251"/>
  <c r="W58" i="251"/>
  <c r="X58" i="251"/>
  <c r="E59" i="251"/>
  <c r="G59" i="251"/>
  <c r="I59" i="251"/>
  <c r="K59" i="251"/>
  <c r="E60" i="251"/>
  <c r="G60" i="251"/>
  <c r="I60" i="251"/>
  <c r="K60" i="251"/>
  <c r="E61" i="251"/>
  <c r="G61" i="251"/>
  <c r="I61" i="251"/>
  <c r="V26" i="251" s="1"/>
  <c r="K61" i="251"/>
  <c r="E62" i="251"/>
  <c r="G62" i="251"/>
  <c r="I62" i="251"/>
  <c r="V27" i="251" s="1"/>
  <c r="K62" i="251"/>
  <c r="E63" i="251"/>
  <c r="G63" i="251"/>
  <c r="I63" i="251"/>
  <c r="K63" i="251"/>
  <c r="E64" i="251"/>
  <c r="G64" i="251"/>
  <c r="I64" i="251"/>
  <c r="K64" i="251"/>
  <c r="E65" i="251"/>
  <c r="G65" i="251"/>
  <c r="I65" i="251"/>
  <c r="K65" i="251"/>
  <c r="E66" i="251"/>
  <c r="R32" i="251" s="1"/>
  <c r="G66" i="251"/>
  <c r="I66" i="251"/>
  <c r="K66" i="251"/>
  <c r="E67" i="251"/>
  <c r="R33" i="251" s="1"/>
  <c r="G67" i="251"/>
  <c r="T33" i="251" s="1"/>
  <c r="I67" i="251"/>
  <c r="K67" i="251"/>
  <c r="E68" i="251"/>
  <c r="G68" i="251"/>
  <c r="I68" i="251"/>
  <c r="K68" i="251"/>
  <c r="E69" i="251"/>
  <c r="G69" i="251"/>
  <c r="I69" i="251"/>
  <c r="K69" i="251"/>
  <c r="E70" i="251"/>
  <c r="G70" i="251"/>
  <c r="I70" i="251"/>
  <c r="K70" i="251"/>
  <c r="E71" i="251"/>
  <c r="G71" i="251"/>
  <c r="I71" i="251"/>
  <c r="K71" i="251"/>
  <c r="E72" i="251"/>
  <c r="G72" i="251"/>
  <c r="I72" i="251"/>
  <c r="K72" i="251"/>
  <c r="E73" i="251"/>
  <c r="G73" i="251"/>
  <c r="I73" i="251"/>
  <c r="V35" i="251" s="1"/>
  <c r="K73" i="251"/>
  <c r="E74" i="251"/>
  <c r="G74" i="251"/>
  <c r="I74" i="251"/>
  <c r="V36" i="251" s="1"/>
  <c r="K74" i="251"/>
  <c r="E75" i="251"/>
  <c r="G75" i="251"/>
  <c r="I75" i="251"/>
  <c r="K75" i="251"/>
  <c r="E76" i="251"/>
  <c r="G76" i="251"/>
  <c r="T38" i="251" s="1"/>
  <c r="I76" i="251"/>
  <c r="K76" i="251"/>
  <c r="E77" i="251"/>
  <c r="G77" i="251"/>
  <c r="I77" i="251"/>
  <c r="K77" i="251"/>
  <c r="E78" i="251"/>
  <c r="G78" i="251"/>
  <c r="I78" i="251"/>
  <c r="K78" i="251"/>
  <c r="E79" i="251"/>
  <c r="G79" i="251"/>
  <c r="I79" i="251"/>
  <c r="K79" i="251"/>
  <c r="E80" i="251"/>
  <c r="G80" i="251"/>
  <c r="I80" i="251"/>
  <c r="K80" i="251"/>
  <c r="E81" i="251"/>
  <c r="G81" i="251"/>
  <c r="I81" i="251"/>
  <c r="K81" i="251"/>
  <c r="E82" i="251"/>
  <c r="R36" i="251" s="1"/>
  <c r="G82" i="251"/>
  <c r="I82" i="251"/>
  <c r="K82" i="251"/>
  <c r="E83" i="251"/>
  <c r="G83" i="251"/>
  <c r="I83" i="251"/>
  <c r="K83" i="251"/>
  <c r="X37" i="251" s="1"/>
  <c r="E84" i="251"/>
  <c r="G84" i="251"/>
  <c r="I84" i="251"/>
  <c r="K84" i="251"/>
  <c r="C93" i="251"/>
  <c r="B94" i="251"/>
  <c r="B95" i="251"/>
  <c r="B96" i="251"/>
  <c r="B97" i="251"/>
  <c r="C99" i="251"/>
  <c r="B100" i="251"/>
  <c r="B101" i="251"/>
  <c r="C104" i="251"/>
  <c r="B105" i="251"/>
  <c r="B106" i="251"/>
  <c r="C111" i="251"/>
  <c r="B112" i="251"/>
  <c r="B113" i="251"/>
  <c r="B114" i="251"/>
  <c r="C115" i="251"/>
  <c r="B116" i="251"/>
  <c r="B117" i="251"/>
  <c r="B118" i="251"/>
  <c r="C119" i="251"/>
  <c r="B121" i="251"/>
  <c r="C122" i="251"/>
  <c r="B123" i="251"/>
  <c r="B124" i="251"/>
  <c r="D7" i="232"/>
  <c r="E7" i="232"/>
  <c r="D9" i="232"/>
  <c r="E9" i="232"/>
  <c r="D10" i="232"/>
  <c r="E10" i="232"/>
  <c r="D12" i="232"/>
  <c r="D13" i="232" s="1"/>
  <c r="E12" i="232"/>
  <c r="E14" i="232"/>
  <c r="D20" i="232"/>
  <c r="E20" i="232"/>
  <c r="E23" i="232"/>
  <c r="E26" i="232"/>
  <c r="D32" i="232"/>
  <c r="D35" i="232"/>
  <c r="D36" i="232" s="1"/>
  <c r="E35" i="232"/>
  <c r="D90" i="232" s="1"/>
  <c r="D92" i="232" s="1"/>
  <c r="D94" i="232" s="1"/>
  <c r="D96" i="232" s="1"/>
  <c r="E37" i="232"/>
  <c r="D8" i="260"/>
  <c r="F8" i="260"/>
  <c r="D5" i="260"/>
  <c r="F5" i="260"/>
  <c r="D56" i="231"/>
  <c r="B7" i="232" s="1"/>
  <c r="C7" i="232"/>
  <c r="E58" i="231"/>
  <c r="C9" i="232" s="1"/>
  <c r="D60" i="231"/>
  <c r="B10" i="232" s="1"/>
  <c r="E60" i="231"/>
  <c r="C10" i="232" s="1"/>
  <c r="D62" i="231"/>
  <c r="B12" i="232" s="1"/>
  <c r="E62" i="231"/>
  <c r="C12" i="232" s="1"/>
  <c r="D66" i="231"/>
  <c r="B20" i="232" s="1"/>
  <c r="E66" i="231"/>
  <c r="C20" i="232" s="1"/>
  <c r="D69" i="231"/>
  <c r="B23" i="232" s="1"/>
  <c r="E69" i="231"/>
  <c r="C23" i="232" s="1"/>
  <c r="D71" i="231"/>
  <c r="B26" i="232" s="1"/>
  <c r="E71" i="231"/>
  <c r="C26" i="232" s="1"/>
  <c r="D79" i="231"/>
  <c r="B35" i="232" s="1"/>
  <c r="E79" i="231"/>
  <c r="C35" i="232" s="1"/>
  <c r="D81" i="231"/>
  <c r="B37" i="232" s="1"/>
  <c r="E81" i="231"/>
  <c r="C37" i="232" s="1"/>
  <c r="X24" i="251"/>
  <c r="V10" i="251"/>
  <c r="T54" i="251"/>
  <c r="AD9" i="251"/>
  <c r="T23" i="251"/>
  <c r="X28" i="251"/>
  <c r="X31" i="251"/>
  <c r="V54" i="251"/>
  <c r="X34" i="251"/>
  <c r="R54" i="251"/>
  <c r="V28" i="251"/>
  <c r="X27" i="251"/>
  <c r="T17" i="251"/>
  <c r="R6" i="251"/>
  <c r="X38" i="251"/>
  <c r="X32" i="251"/>
  <c r="T55" i="251"/>
  <c r="X55" i="251"/>
  <c r="V55" i="251"/>
  <c r="X17" i="251"/>
  <c r="T28" i="251"/>
  <c r="R26" i="251"/>
  <c r="V5" i="251"/>
  <c r="X29" i="251"/>
  <c r="R15" i="251"/>
  <c r="R56" i="251"/>
  <c r="V56" i="251"/>
  <c r="X56" i="251"/>
  <c r="R12" i="251"/>
  <c r="O62" i="278"/>
  <c r="AY52" i="278"/>
  <c r="BG52" i="278" s="1"/>
  <c r="BL14" i="278"/>
  <c r="AW7" i="278" s="1"/>
  <c r="O30" i="280"/>
  <c r="K30" i="280"/>
  <c r="AJ20" i="281"/>
  <c r="AJ24" i="281"/>
  <c r="AI20" i="281"/>
  <c r="AJ25" i="281"/>
  <c r="I13" i="250"/>
  <c r="X7" i="282"/>
  <c r="AI23" i="281"/>
  <c r="AI26" i="281"/>
  <c r="C7" i="289"/>
  <c r="C16" i="288"/>
  <c r="C18" i="292"/>
  <c r="C12" i="292"/>
  <c r="C18" i="291"/>
  <c r="C11" i="291"/>
  <c r="B6" i="282"/>
  <c r="C8" i="260"/>
  <c r="C39" i="278"/>
  <c r="C8" i="281"/>
  <c r="C15" i="281"/>
  <c r="C35" i="278"/>
  <c r="C23" i="278"/>
  <c r="C7" i="290"/>
  <c r="C9" i="290"/>
  <c r="C21" i="292"/>
  <c r="I9" i="250"/>
  <c r="C9" i="288"/>
  <c r="C19" i="278"/>
  <c r="C11" i="278"/>
  <c r="C31" i="278"/>
  <c r="C13" i="288"/>
  <c r="C6" i="288"/>
  <c r="C7" i="291"/>
  <c r="C14" i="291"/>
  <c r="C15" i="292"/>
  <c r="C26" i="292"/>
  <c r="C17" i="281"/>
  <c r="C10" i="281"/>
  <c r="C27" i="278"/>
  <c r="C7" i="278"/>
  <c r="C6" i="250"/>
  <c r="C10" i="250"/>
  <c r="C5" i="260"/>
  <c r="C6" i="260"/>
  <c r="C6" i="281"/>
  <c r="C13" i="281"/>
  <c r="C12" i="250"/>
  <c r="C8" i="250"/>
  <c r="F70" i="296"/>
  <c r="I30" i="296"/>
  <c r="I28" i="296" s="1"/>
  <c r="E30" i="296"/>
  <c r="E28" i="296"/>
  <c r="F29" i="296"/>
  <c r="F34" i="296"/>
  <c r="I69" i="296"/>
  <c r="E69" i="296"/>
  <c r="H30" i="296"/>
  <c r="H28" i="296" s="1"/>
  <c r="D30" i="296"/>
  <c r="D28" i="296" s="1"/>
  <c r="D34" i="296" s="1"/>
  <c r="G30" i="296"/>
  <c r="G28" i="296" s="1"/>
  <c r="G69" i="296"/>
  <c r="J30" i="296"/>
  <c r="J28" i="296"/>
  <c r="J29" i="296"/>
  <c r="D29" i="296"/>
  <c r="S78" i="260"/>
  <c r="R79" i="260"/>
  <c r="V26" i="260"/>
  <c r="BK76" i="278"/>
  <c r="L14" i="278"/>
  <c r="L18" i="278" s="1"/>
  <c r="E35" i="278"/>
  <c r="E46" i="299"/>
  <c r="C38" i="299"/>
  <c r="D36" i="231" s="1"/>
  <c r="E48" i="299"/>
  <c r="C40" i="299"/>
  <c r="C48" i="299" s="1"/>
  <c r="K16" i="286" l="1"/>
  <c r="K18" i="286"/>
  <c r="BK74" i="278"/>
  <c r="BL74" i="278" s="1"/>
  <c r="D81" i="232"/>
  <c r="D83" i="232" s="1"/>
  <c r="D85" i="232" s="1"/>
  <c r="D87" i="232" s="1"/>
  <c r="D91" i="232"/>
  <c r="D93" i="232" s="1"/>
  <c r="D95" i="232" s="1"/>
  <c r="D97" i="232" s="1"/>
  <c r="E8" i="250"/>
  <c r="E11" i="250"/>
  <c r="E7" i="250"/>
  <c r="Q23" i="256"/>
  <c r="J9" i="250"/>
  <c r="J13" i="250"/>
  <c r="H6" i="288"/>
  <c r="Q6" i="288" s="1"/>
  <c r="H13" i="288"/>
  <c r="R13" i="288" s="1"/>
  <c r="I12" i="250"/>
  <c r="G29" i="296"/>
  <c r="G34" i="296"/>
  <c r="P53" i="298"/>
  <c r="G53" i="298" s="1"/>
  <c r="G49" i="298"/>
  <c r="AC20" i="251"/>
  <c r="AL6" i="281"/>
  <c r="AG6" i="281"/>
  <c r="X22" i="251"/>
  <c r="X30" i="251" s="1"/>
  <c r="X25" i="251"/>
  <c r="X15" i="251"/>
  <c r="K8" i="288"/>
  <c r="I37" i="288"/>
  <c r="H7" i="288" s="1"/>
  <c r="Q7" i="288" s="1"/>
  <c r="V50" i="293"/>
  <c r="AD20" i="293"/>
  <c r="AR63" i="278" s="1"/>
  <c r="X31" i="293"/>
  <c r="AF32" i="268"/>
  <c r="D70" i="296"/>
  <c r="Y43" i="296"/>
  <c r="Y7" i="282"/>
  <c r="V15" i="251"/>
  <c r="R19" i="251"/>
  <c r="T7" i="251"/>
  <c r="R20" i="251"/>
  <c r="R15" i="293"/>
  <c r="I8" i="281"/>
  <c r="AG7" i="281" s="1"/>
  <c r="V37" i="251"/>
  <c r="V38" i="251"/>
  <c r="V31" i="251"/>
  <c r="I13" i="281"/>
  <c r="T25" i="251"/>
  <c r="R23" i="251"/>
  <c r="AD15" i="251"/>
  <c r="AE15" i="251" s="1"/>
  <c r="T19" i="293"/>
  <c r="AI10" i="281"/>
  <c r="R37" i="251"/>
  <c r="R38" i="251"/>
  <c r="Q25" i="268"/>
  <c r="K6" i="288"/>
  <c r="AD7" i="293"/>
  <c r="AD17" i="293" s="1"/>
  <c r="K10" i="260"/>
  <c r="E19" i="260"/>
  <c r="AD18" i="251"/>
  <c r="Q8" i="288"/>
  <c r="P30" i="280"/>
  <c r="X36" i="251"/>
  <c r="X51" i="251"/>
  <c r="W39" i="251"/>
  <c r="V12" i="251"/>
  <c r="V6" i="251"/>
  <c r="K18" i="288"/>
  <c r="X19" i="293"/>
  <c r="T35" i="293"/>
  <c r="AK8" i="281"/>
  <c r="H13" i="296"/>
  <c r="W45" i="299"/>
  <c r="R7" i="293"/>
  <c r="R50" i="293"/>
  <c r="F30" i="280"/>
  <c r="AD63" i="278" s="1"/>
  <c r="V34" i="251"/>
  <c r="V57" i="293"/>
  <c r="AY39" i="278"/>
  <c r="I30" i="280"/>
  <c r="T36" i="251"/>
  <c r="T37" i="251"/>
  <c r="T34" i="251"/>
  <c r="T26" i="251"/>
  <c r="L63" i="251"/>
  <c r="X57" i="293"/>
  <c r="R19" i="293"/>
  <c r="T34" i="293"/>
  <c r="AK10" i="281"/>
  <c r="E18" i="260"/>
  <c r="F18" i="260" s="1"/>
  <c r="F13" i="296"/>
  <c r="D17" i="296"/>
  <c r="G30" i="280"/>
  <c r="T10" i="293"/>
  <c r="R16" i="293"/>
  <c r="AH31" i="268"/>
  <c r="J30" i="280"/>
  <c r="L9" i="288"/>
  <c r="C80" i="288" s="1"/>
  <c r="R35" i="251"/>
  <c r="AD8" i="293"/>
  <c r="AD18" i="293" s="1"/>
  <c r="V35" i="293"/>
  <c r="H30" i="280"/>
  <c r="AE68" i="278" s="1"/>
  <c r="AD14" i="251"/>
  <c r="X5" i="251"/>
  <c r="AR56" i="278"/>
  <c r="N30" i="280"/>
  <c r="X35" i="251"/>
  <c r="X18" i="251"/>
  <c r="U21" i="293"/>
  <c r="F18" i="280"/>
  <c r="AD56" i="278" s="1"/>
  <c r="G151" i="298"/>
  <c r="AE29" i="293"/>
  <c r="W39" i="293"/>
  <c r="X34" i="293"/>
  <c r="S110" i="296"/>
  <c r="L32" i="296" s="1"/>
  <c r="G71" i="296" s="1"/>
  <c r="G73" i="296" s="1"/>
  <c r="AC29" i="293"/>
  <c r="V36" i="293"/>
  <c r="V51" i="251"/>
  <c r="AD13" i="293"/>
  <c r="AE13" i="293" s="1"/>
  <c r="W30" i="293"/>
  <c r="X36" i="293"/>
  <c r="V22" i="251"/>
  <c r="R38" i="293"/>
  <c r="T22" i="251"/>
  <c r="S30" i="251"/>
  <c r="AD13" i="251"/>
  <c r="AE13" i="251" s="1"/>
  <c r="X11" i="251"/>
  <c r="K11" i="288"/>
  <c r="R5" i="293"/>
  <c r="V13" i="293"/>
  <c r="R17" i="293"/>
  <c r="V20" i="293"/>
  <c r="R24" i="293"/>
  <c r="AA11" i="299"/>
  <c r="X20" i="293"/>
  <c r="T16" i="293"/>
  <c r="T24" i="293"/>
  <c r="R26" i="293"/>
  <c r="T11" i="251"/>
  <c r="AD9" i="293"/>
  <c r="AD19" i="293" s="1"/>
  <c r="AR62" i="278" s="1"/>
  <c r="T25" i="256"/>
  <c r="I5" i="260"/>
  <c r="I6" i="260" s="1"/>
  <c r="X33" i="251"/>
  <c r="X39" i="251" s="1"/>
  <c r="AH26" i="281"/>
  <c r="X17" i="293"/>
  <c r="X16" i="293"/>
  <c r="X24" i="293"/>
  <c r="X38" i="293"/>
  <c r="X37" i="293"/>
  <c r="Q10" i="288"/>
  <c r="T32" i="251"/>
  <c r="U21" i="251"/>
  <c r="R7" i="251"/>
  <c r="N20" i="275"/>
  <c r="R57" i="293"/>
  <c r="R12" i="293"/>
  <c r="Z34" i="299"/>
  <c r="Z36" i="299" s="1"/>
  <c r="AA8" i="299"/>
  <c r="AA12" i="299" s="1"/>
  <c r="AC29" i="251"/>
  <c r="T56" i="293"/>
  <c r="V5" i="293"/>
  <c r="AC14" i="293"/>
  <c r="AE14" i="293" s="1"/>
  <c r="Y58" i="293"/>
  <c r="R33" i="293"/>
  <c r="V50" i="299"/>
  <c r="AA9" i="299"/>
  <c r="Z12" i="251"/>
  <c r="V33" i="251"/>
  <c r="R17" i="251"/>
  <c r="V24" i="251"/>
  <c r="V16" i="251"/>
  <c r="X20" i="251"/>
  <c r="X13" i="251"/>
  <c r="AC7" i="251"/>
  <c r="AC17" i="251" s="1"/>
  <c r="T27" i="293"/>
  <c r="U39" i="251"/>
  <c r="T24" i="251"/>
  <c r="V13" i="251"/>
  <c r="J47" i="256"/>
  <c r="J48" i="256" s="1"/>
  <c r="K14" i="288"/>
  <c r="R6" i="293"/>
  <c r="X57" i="251"/>
  <c r="T20" i="251"/>
  <c r="T13" i="251"/>
  <c r="T21" i="251" s="1"/>
  <c r="T9" i="251"/>
  <c r="H18" i="292"/>
  <c r="X53" i="293"/>
  <c r="T6" i="293"/>
  <c r="X27" i="293"/>
  <c r="X30" i="293" s="1"/>
  <c r="V50" i="251"/>
  <c r="R56" i="293"/>
  <c r="V6" i="293"/>
  <c r="T9" i="293"/>
  <c r="L49" i="298"/>
  <c r="K53" i="298"/>
  <c r="J49" i="298"/>
  <c r="J53" i="298"/>
  <c r="I53" i="298"/>
  <c r="D37" i="231"/>
  <c r="E43" i="278"/>
  <c r="L40" i="278"/>
  <c r="AX50" i="278"/>
  <c r="AX53" i="278"/>
  <c r="M30" i="280"/>
  <c r="H18" i="280"/>
  <c r="AE43" i="278" s="1"/>
  <c r="AD65" i="278"/>
  <c r="AD45" i="278"/>
  <c r="AD59" i="278"/>
  <c r="BK73" i="278" a="1"/>
  <c r="BK73" i="278" s="1"/>
  <c r="BL73" i="278" s="1"/>
  <c r="L11" i="278"/>
  <c r="L15" i="278" s="1"/>
  <c r="AY49" i="278"/>
  <c r="BB49" i="278" s="1"/>
  <c r="AD54" i="278"/>
  <c r="AE41" i="278"/>
  <c r="AE57" i="278"/>
  <c r="AD46" i="278"/>
  <c r="AE58" i="278"/>
  <c r="BK14" i="278"/>
  <c r="AD68" i="278"/>
  <c r="AE69" i="278"/>
  <c r="AS33" i="278"/>
  <c r="AX38" i="278"/>
  <c r="AY50" i="278"/>
  <c r="AY38" i="278"/>
  <c r="AY62" i="278" s="1"/>
  <c r="AW39" i="278"/>
  <c r="AZ52" i="278"/>
  <c r="BD52" i="278"/>
  <c r="AQ44" i="278"/>
  <c r="BC52" i="278"/>
  <c r="AR44" i="278"/>
  <c r="AQ33" i="278"/>
  <c r="AW59" i="278" s="1"/>
  <c r="BE52" i="278"/>
  <c r="AX39" i="278"/>
  <c r="AY53" i="278"/>
  <c r="BB52" i="278"/>
  <c r="BC49" i="278"/>
  <c r="BF49" i="278"/>
  <c r="AR61" i="278"/>
  <c r="AG12" i="281"/>
  <c r="AG11" i="281"/>
  <c r="AG26" i="281"/>
  <c r="AG31" i="281" s="1"/>
  <c r="G10" i="250"/>
  <c r="V77" i="250" s="1"/>
  <c r="Z77" i="250" s="1"/>
  <c r="S77" i="260"/>
  <c r="W25" i="260" s="1"/>
  <c r="R78" i="260"/>
  <c r="V25" i="260" s="1"/>
  <c r="H29" i="296"/>
  <c r="H34" i="296"/>
  <c r="AL12" i="281"/>
  <c r="AM12" i="281" s="1"/>
  <c r="R10" i="251"/>
  <c r="L23" i="251"/>
  <c r="AG29" i="251"/>
  <c r="AF29" i="251" s="1"/>
  <c r="G145" i="251" s="1"/>
  <c r="V21" i="251"/>
  <c r="Q39" i="251"/>
  <c r="X16" i="251"/>
  <c r="BO13" i="278"/>
  <c r="BN14" i="278"/>
  <c r="AW9" i="278" s="1"/>
  <c r="I34" i="296"/>
  <c r="I29" i="296"/>
  <c r="H71" i="296"/>
  <c r="H73" i="296" s="1"/>
  <c r="AD19" i="251"/>
  <c r="AG29" i="293"/>
  <c r="AF29" i="293" s="1"/>
  <c r="G145" i="293" s="1"/>
  <c r="C71" i="296"/>
  <c r="C73" i="296" s="1"/>
  <c r="I65" i="298" s="1"/>
  <c r="I67" i="298" s="1"/>
  <c r="AL8" i="281"/>
  <c r="AM8" i="281" s="1"/>
  <c r="AD64" i="278"/>
  <c r="Q21" i="251"/>
  <c r="V57" i="251"/>
  <c r="R57" i="251"/>
  <c r="R9" i="292"/>
  <c r="R8" i="292"/>
  <c r="R7" i="292"/>
  <c r="AH31" i="281"/>
  <c r="V11" i="293"/>
  <c r="H72" i="296"/>
  <c r="I17" i="296"/>
  <c r="X30" i="299"/>
  <c r="R52" i="251"/>
  <c r="T52" i="251"/>
  <c r="AC8" i="251"/>
  <c r="K13" i="291"/>
  <c r="K20" i="291" s="1"/>
  <c r="K17" i="291"/>
  <c r="AE28" i="293"/>
  <c r="S30" i="293"/>
  <c r="L43" i="293"/>
  <c r="T52" i="293"/>
  <c r="V52" i="293"/>
  <c r="R52" i="293"/>
  <c r="X52" i="293"/>
  <c r="I10" i="250"/>
  <c r="L43" i="251"/>
  <c r="K12" i="291"/>
  <c r="K19" i="291" s="1"/>
  <c r="K16" i="291"/>
  <c r="E71" i="296"/>
  <c r="E73" i="296" s="1"/>
  <c r="E29" i="296"/>
  <c r="C46" i="299"/>
  <c r="Z21" i="251"/>
  <c r="AC30" i="251"/>
  <c r="AD17" i="251"/>
  <c r="AE17" i="251" s="1"/>
  <c r="W21" i="251"/>
  <c r="AF11" i="268"/>
  <c r="AI11" i="268" s="1"/>
  <c r="K11" i="291"/>
  <c r="K18" i="291" s="1"/>
  <c r="K15" i="291"/>
  <c r="Z12" i="293"/>
  <c r="R25" i="293"/>
  <c r="L7" i="290"/>
  <c r="G7" i="290" s="1"/>
  <c r="L9" i="290"/>
  <c r="G9" i="290" s="1"/>
  <c r="S21" i="251"/>
  <c r="R34" i="251"/>
  <c r="AY69" i="278"/>
  <c r="AE12" i="251"/>
  <c r="AM6" i="281"/>
  <c r="N37" i="282"/>
  <c r="M37" i="282"/>
  <c r="I71" i="296"/>
  <c r="I73" i="296" s="1"/>
  <c r="AE10" i="293"/>
  <c r="AE14" i="251"/>
  <c r="L15" i="292"/>
  <c r="L12" i="292"/>
  <c r="I15" i="275"/>
  <c r="X50" i="251"/>
  <c r="R50" i="251"/>
  <c r="V30" i="293"/>
  <c r="R39" i="293"/>
  <c r="BB39" i="278"/>
  <c r="BG39" i="278"/>
  <c r="AD41" i="278"/>
  <c r="Z39" i="251"/>
  <c r="K49" i="298"/>
  <c r="AD52" i="278"/>
  <c r="AD53" i="278"/>
  <c r="T35" i="251"/>
  <c r="I9" i="275"/>
  <c r="G15" i="292"/>
  <c r="G31" i="292" s="1"/>
  <c r="AR33" i="278"/>
  <c r="F71" i="296"/>
  <c r="F73" i="296" s="1"/>
  <c r="AD70" i="278"/>
  <c r="AD69" i="278"/>
  <c r="X14" i="251"/>
  <c r="L33" i="296"/>
  <c r="L34" i="296" s="1"/>
  <c r="AC19" i="251"/>
  <c r="R18" i="288"/>
  <c r="L16" i="288"/>
  <c r="Q18" i="288" s="1"/>
  <c r="R17" i="288"/>
  <c r="R16" i="288"/>
  <c r="R19" i="288"/>
  <c r="BA39" i="278"/>
  <c r="T31" i="251"/>
  <c r="W30" i="251"/>
  <c r="D27" i="272" s="1"/>
  <c r="BC39" i="278"/>
  <c r="R31" i="251"/>
  <c r="X55" i="293"/>
  <c r="R55" i="293"/>
  <c r="V55" i="293"/>
  <c r="BF39" i="278"/>
  <c r="AE28" i="251"/>
  <c r="X52" i="251"/>
  <c r="T27" i="251"/>
  <c r="T30" i="251" s="1"/>
  <c r="Z30" i="251"/>
  <c r="H25" i="292"/>
  <c r="H17" i="292"/>
  <c r="H28" i="292" s="1"/>
  <c r="N18" i="280"/>
  <c r="G18" i="280"/>
  <c r="M18" i="280"/>
  <c r="L18" i="280"/>
  <c r="I18" i="280"/>
  <c r="J18" i="280"/>
  <c r="K18" i="280"/>
  <c r="X33" i="293"/>
  <c r="R13" i="251"/>
  <c r="Y58" i="251"/>
  <c r="R27" i="251"/>
  <c r="R30" i="251" s="1"/>
  <c r="V25" i="251"/>
  <c r="O18" i="280"/>
  <c r="R53" i="251"/>
  <c r="V53" i="251"/>
  <c r="X53" i="251"/>
  <c r="W23" i="260"/>
  <c r="U7" i="282"/>
  <c r="K39" i="280"/>
  <c r="J39" i="280"/>
  <c r="L39" i="280"/>
  <c r="N39" i="280"/>
  <c r="I39" i="280"/>
  <c r="M39" i="280"/>
  <c r="F39" i="280"/>
  <c r="O39" i="280"/>
  <c r="H39" i="280"/>
  <c r="P39" i="280"/>
  <c r="G39" i="280"/>
  <c r="T20" i="288"/>
  <c r="BD39" i="278"/>
  <c r="E34" i="296"/>
  <c r="AE10" i="251"/>
  <c r="Z39" i="293"/>
  <c r="Q39" i="293"/>
  <c r="V51" i="293"/>
  <c r="T51" i="293"/>
  <c r="X51" i="293"/>
  <c r="R51" i="293"/>
  <c r="I72" i="296"/>
  <c r="J17" i="296"/>
  <c r="AD42" i="278"/>
  <c r="AD43" i="278"/>
  <c r="AD40" i="278"/>
  <c r="AD47" i="278"/>
  <c r="AD48" i="278"/>
  <c r="AD62" i="278"/>
  <c r="AZ39" i="278"/>
  <c r="BE39" i="278"/>
  <c r="AE56" i="278"/>
  <c r="AE48" i="278"/>
  <c r="AE53" i="278"/>
  <c r="AE42" i="278"/>
  <c r="AE70" i="278"/>
  <c r="AE64" i="278"/>
  <c r="BM14" i="278"/>
  <c r="BF52" i="278"/>
  <c r="H23" i="292"/>
  <c r="H15" i="292"/>
  <c r="H26" i="292" s="1"/>
  <c r="J34" i="296"/>
  <c r="AE46" i="278"/>
  <c r="AE63" i="278"/>
  <c r="AE52" i="278"/>
  <c r="BA52" i="278"/>
  <c r="Q30" i="251"/>
  <c r="C27" i="272" s="1"/>
  <c r="V32" i="251"/>
  <c r="R11" i="251"/>
  <c r="V7" i="251"/>
  <c r="S25" i="268"/>
  <c r="Q9" i="288"/>
  <c r="H15" i="288"/>
  <c r="R15" i="288" s="1"/>
  <c r="U30" i="293"/>
  <c r="AC28" i="293"/>
  <c r="R14" i="293"/>
  <c r="R23" i="293"/>
  <c r="Y41" i="296"/>
  <c r="Z43" i="296"/>
  <c r="C69" i="296"/>
  <c r="C70" i="296"/>
  <c r="V33" i="296"/>
  <c r="R44" i="296"/>
  <c r="V25" i="293"/>
  <c r="AW53" i="278"/>
  <c r="H7" i="291"/>
  <c r="H14" i="291"/>
  <c r="T19" i="288"/>
  <c r="T54" i="293"/>
  <c r="V17" i="293"/>
  <c r="V21" i="293" s="1"/>
  <c r="Q11" i="288"/>
  <c r="L63" i="293"/>
  <c r="Q21" i="293"/>
  <c r="AC7" i="293"/>
  <c r="G52" i="298"/>
  <c r="P56" i="298"/>
  <c r="G56" i="298" s="1"/>
  <c r="G51" i="298"/>
  <c r="P55" i="298"/>
  <c r="G55" i="298" s="1"/>
  <c r="R11" i="292"/>
  <c r="R10" i="292"/>
  <c r="AE32" i="268"/>
  <c r="T12" i="251"/>
  <c r="H16" i="275"/>
  <c r="U6" i="282"/>
  <c r="U8" i="282" s="1"/>
  <c r="T25" i="293"/>
  <c r="T30" i="293" s="1"/>
  <c r="W21" i="293"/>
  <c r="K9" i="288"/>
  <c r="T21" i="288" s="1"/>
  <c r="K16" i="288"/>
  <c r="AG21" i="281"/>
  <c r="AG30" i="281" s="1"/>
  <c r="AG10" i="281"/>
  <c r="T51" i="251"/>
  <c r="X8" i="251"/>
  <c r="L19" i="275"/>
  <c r="R8" i="288"/>
  <c r="R6" i="288"/>
  <c r="Q9" i="292"/>
  <c r="H20" i="292"/>
  <c r="X15" i="293"/>
  <c r="X21" i="293" s="1"/>
  <c r="T15" i="293"/>
  <c r="T37" i="293"/>
  <c r="L7" i="289"/>
  <c r="G7" i="289" s="1"/>
  <c r="AG32" i="268"/>
  <c r="AG31" i="268"/>
  <c r="D75" i="288"/>
  <c r="R10" i="288"/>
  <c r="R11" i="288"/>
  <c r="Q10" i="292"/>
  <c r="V37" i="293"/>
  <c r="AY51" i="278"/>
  <c r="AX49" i="278"/>
  <c r="AX52" i="278"/>
  <c r="W35" i="299"/>
  <c r="W34" i="299"/>
  <c r="W50" i="299" s="1"/>
  <c r="L13" i="288"/>
  <c r="Q13" i="288" s="1"/>
  <c r="AC8" i="293"/>
  <c r="Z30" i="293"/>
  <c r="Q12" i="288"/>
  <c r="AC15" i="293"/>
  <c r="AE15" i="293" s="1"/>
  <c r="AS56" i="278"/>
  <c r="H24" i="292"/>
  <c r="H16" i="292"/>
  <c r="H27" i="292" s="1"/>
  <c r="AI12" i="281"/>
  <c r="J54" i="298"/>
  <c r="M54" i="298"/>
  <c r="I54" i="298"/>
  <c r="L54" i="298"/>
  <c r="K54" i="298"/>
  <c r="H54" i="298"/>
  <c r="S39" i="293"/>
  <c r="T39" i="293"/>
  <c r="U39" i="293"/>
  <c r="V39" i="293"/>
  <c r="AQ56" i="278"/>
  <c r="AW51" i="278"/>
  <c r="J65" i="298"/>
  <c r="R65" i="298" s="1"/>
  <c r="R13" i="293"/>
  <c r="AS44" i="278"/>
  <c r="S21" i="293"/>
  <c r="L23" i="293"/>
  <c r="T21" i="293"/>
  <c r="X39" i="293"/>
  <c r="G72" i="296"/>
  <c r="H17" i="296"/>
  <c r="H14" i="288"/>
  <c r="R14" i="288" s="1"/>
  <c r="T5" i="293"/>
  <c r="F72" i="296"/>
  <c r="G17" i="296"/>
  <c r="AQ80" i="278"/>
  <c r="E72" i="296"/>
  <c r="F17" i="296"/>
  <c r="Z21" i="293"/>
  <c r="X5" i="293"/>
  <c r="X11" i="293"/>
  <c r="D72" i="296"/>
  <c r="E17" i="296"/>
  <c r="BK75" i="278"/>
  <c r="BL75" i="278" s="1"/>
  <c r="L13" i="278"/>
  <c r="L17" i="278" s="1"/>
  <c r="Y44" i="296"/>
  <c r="L50" i="298"/>
  <c r="H50" i="298"/>
  <c r="H67" i="298"/>
  <c r="X56" i="293"/>
  <c r="W39" i="299"/>
  <c r="E10" i="281"/>
  <c r="E27" i="299"/>
  <c r="E11" i="278"/>
  <c r="AP12" i="232"/>
  <c r="AP15" i="232" s="1"/>
  <c r="E6" i="299"/>
  <c r="C6" i="299" s="1"/>
  <c r="D30" i="231" s="1"/>
  <c r="E9" i="288"/>
  <c r="E16" i="288"/>
  <c r="E15" i="281"/>
  <c r="E36" i="299"/>
  <c r="E8" i="281"/>
  <c r="E6" i="288"/>
  <c r="D6" i="282"/>
  <c r="E12" i="299"/>
  <c r="E18" i="291"/>
  <c r="S52" i="278"/>
  <c r="D135" i="232"/>
  <c r="E14" i="291"/>
  <c r="E27" i="278"/>
  <c r="AO15" i="232"/>
  <c r="E39" i="278"/>
  <c r="E6" i="281"/>
  <c r="E21" i="299"/>
  <c r="C21" i="299" s="1"/>
  <c r="E17" i="281"/>
  <c r="E11" i="291"/>
  <c r="E13" i="281"/>
  <c r="E8" i="260"/>
  <c r="E26" i="292"/>
  <c r="E15" i="292"/>
  <c r="E10" i="260"/>
  <c r="E15" i="299"/>
  <c r="E24" i="299"/>
  <c r="E9" i="299"/>
  <c r="C9" i="299" s="1"/>
  <c r="S55" i="278"/>
  <c r="D130" i="232"/>
  <c r="D132" i="232"/>
  <c r="D138" i="232"/>
  <c r="AQ15" i="232"/>
  <c r="E6" i="260"/>
  <c r="E5" i="260"/>
  <c r="E34" i="299"/>
  <c r="E18" i="299"/>
  <c r="C18" i="299" s="1"/>
  <c r="E12" i="250"/>
  <c r="AE8" i="232"/>
  <c r="AO16" i="232"/>
  <c r="AE10" i="232"/>
  <c r="AD51" i="278" l="1"/>
  <c r="X21" i="251"/>
  <c r="G8" i="260"/>
  <c r="F19" i="260"/>
  <c r="V24" i="260"/>
  <c r="AA13" i="299"/>
  <c r="AD21" i="293"/>
  <c r="AR64" i="278" s="1"/>
  <c r="AR70" i="278" s="1"/>
  <c r="AD67" i="278"/>
  <c r="BA49" i="278"/>
  <c r="I49" i="298"/>
  <c r="M49" i="298"/>
  <c r="AD58" i="278"/>
  <c r="AH21" i="281"/>
  <c r="AH30" i="281" s="1"/>
  <c r="AI7" i="281"/>
  <c r="AI6" i="281"/>
  <c r="M53" i="298"/>
  <c r="L53" i="298"/>
  <c r="H53" i="298"/>
  <c r="AD20" i="251"/>
  <c r="AE20" i="251" s="1"/>
  <c r="V23" i="260"/>
  <c r="Y12" i="251"/>
  <c r="AE7" i="251"/>
  <c r="D28" i="272"/>
  <c r="AY68" i="278"/>
  <c r="T39" i="251"/>
  <c r="Y12" i="293"/>
  <c r="Z40" i="251"/>
  <c r="D71" i="296"/>
  <c r="D73" i="296" s="1"/>
  <c r="AD57" i="278"/>
  <c r="Y39" i="293"/>
  <c r="V39" i="251"/>
  <c r="V30" i="251"/>
  <c r="R14" i="292"/>
  <c r="AA14" i="299"/>
  <c r="AC19" i="293"/>
  <c r="H49" i="298"/>
  <c r="R7" i="288"/>
  <c r="AE9" i="293"/>
  <c r="AE59" i="278"/>
  <c r="O23" i="278"/>
  <c r="O27" i="278"/>
  <c r="E31" i="278"/>
  <c r="I31" i="278" s="1"/>
  <c r="O11" i="278"/>
  <c r="AP16" i="232"/>
  <c r="O7" i="278" a="1"/>
  <c r="O7" i="278" s="1"/>
  <c r="I7" i="278"/>
  <c r="BD49" i="278"/>
  <c r="BE49" i="278"/>
  <c r="AZ49" i="278"/>
  <c r="BG49" i="278"/>
  <c r="AE67" i="278"/>
  <c r="AE40" i="278"/>
  <c r="J11" i="278" s="1"/>
  <c r="AE65" i="278"/>
  <c r="AE54" i="278"/>
  <c r="J20" i="278" s="1"/>
  <c r="AY59" i="278"/>
  <c r="AY60" i="278"/>
  <c r="AY72" i="278"/>
  <c r="AE62" i="278"/>
  <c r="AE47" i="278"/>
  <c r="AY63" i="278"/>
  <c r="AE45" i="278"/>
  <c r="AE51" i="278"/>
  <c r="J12" i="278" s="1"/>
  <c r="J37" i="278"/>
  <c r="BA38" i="278"/>
  <c r="BG38" i="278"/>
  <c r="BD11" i="278"/>
  <c r="BJ76" i="278" a="1"/>
  <c r="BJ76" i="278" s="1"/>
  <c r="AE81" i="278" s="1"/>
  <c r="AR71" i="278"/>
  <c r="BB38" i="278"/>
  <c r="BE38" i="278"/>
  <c r="BD38" i="278"/>
  <c r="AZ38" i="278"/>
  <c r="BC38" i="278"/>
  <c r="BF38" i="278"/>
  <c r="AZ50" i="278"/>
  <c r="BE50" i="278"/>
  <c r="BC50" i="278"/>
  <c r="BD50" i="278"/>
  <c r="BG50" i="278"/>
  <c r="BF50" i="278"/>
  <c r="BA50" i="278"/>
  <c r="BB50" i="278"/>
  <c r="BE53" i="278"/>
  <c r="AZ53" i="278"/>
  <c r="BC53" i="278"/>
  <c r="BD53" i="278"/>
  <c r="BF53" i="278"/>
  <c r="BB53" i="278"/>
  <c r="BG53" i="278"/>
  <c r="BA53" i="278"/>
  <c r="AY71" i="278"/>
  <c r="G18" i="291"/>
  <c r="G14" i="291"/>
  <c r="D32" i="296"/>
  <c r="J32" i="296"/>
  <c r="H32" i="296"/>
  <c r="G32" i="296"/>
  <c r="E32" i="296"/>
  <c r="F32" i="296"/>
  <c r="I32" i="296"/>
  <c r="AE7" i="293"/>
  <c r="AC17" i="293"/>
  <c r="AE49" i="278"/>
  <c r="AE82" i="278"/>
  <c r="J46" i="278" s="1"/>
  <c r="AE77" i="278"/>
  <c r="J26" i="278" s="1"/>
  <c r="AE44" i="278"/>
  <c r="J23" i="278" s="1"/>
  <c r="AE66" i="278"/>
  <c r="J25" i="278" s="1"/>
  <c r="AE60" i="278"/>
  <c r="J44" i="278" s="1"/>
  <c r="AE55" i="278"/>
  <c r="J24" i="278" s="1"/>
  <c r="AE71" i="278"/>
  <c r="J45" i="278" s="1"/>
  <c r="AD55" i="278"/>
  <c r="AD77" i="278"/>
  <c r="AD82" i="278"/>
  <c r="AD49" i="278"/>
  <c r="AD44" i="278"/>
  <c r="I23" i="278" s="1"/>
  <c r="AD71" i="278"/>
  <c r="AD66" i="278"/>
  <c r="AD60" i="278"/>
  <c r="I44" i="278" s="1"/>
  <c r="Q10" i="290"/>
  <c r="Q9" i="290"/>
  <c r="Q8" i="290"/>
  <c r="Q7" i="290"/>
  <c r="Z40" i="293"/>
  <c r="AD29" i="293"/>
  <c r="F145" i="293" s="1"/>
  <c r="Y30" i="251"/>
  <c r="C28" i="272"/>
  <c r="AW65" i="278"/>
  <c r="AD9" i="278" s="1"/>
  <c r="N15" i="278" s="1"/>
  <c r="AD7" i="278"/>
  <c r="N11" i="278" s="1"/>
  <c r="AW62" i="278"/>
  <c r="AD8" i="278" s="1"/>
  <c r="N7" i="278" s="1" a="1"/>
  <c r="N7" i="278" s="1"/>
  <c r="AW72" i="278"/>
  <c r="AD16" i="278" s="1"/>
  <c r="N43" i="278" s="1"/>
  <c r="AW60" i="278"/>
  <c r="AD12" i="278" s="1"/>
  <c r="AW71" i="278"/>
  <c r="AD11" i="278" s="1"/>
  <c r="N23" i="278" s="1"/>
  <c r="AW69" i="278"/>
  <c r="AD15" i="278" s="1"/>
  <c r="N39" i="278" s="1"/>
  <c r="AW66" i="278"/>
  <c r="AD14" i="278" s="1"/>
  <c r="AW63" i="278"/>
  <c r="AD13" i="278" s="1"/>
  <c r="N27" i="278" s="1"/>
  <c r="AW68" i="278"/>
  <c r="AD10" i="278" s="1"/>
  <c r="N19" i="278" s="1"/>
  <c r="Y40" i="296"/>
  <c r="Z44" i="296"/>
  <c r="AD73" i="278" a="1"/>
  <c r="AD73" i="278" s="1"/>
  <c r="I14" i="278" s="1"/>
  <c r="AC20" i="293"/>
  <c r="AE30" i="293"/>
  <c r="R21" i="293"/>
  <c r="Y21" i="293"/>
  <c r="AX59" i="278"/>
  <c r="AE7" i="278" s="1"/>
  <c r="AX60" i="278"/>
  <c r="AE12" i="278" s="1"/>
  <c r="AX62" i="278"/>
  <c r="AE8" i="278" s="1"/>
  <c r="AX71" i="278"/>
  <c r="AE11" i="278" s="1"/>
  <c r="AX72" i="278"/>
  <c r="AE16" i="278" s="1"/>
  <c r="O43" i="278" s="1"/>
  <c r="AX69" i="278"/>
  <c r="AE15" i="278" s="1"/>
  <c r="O39" i="278" s="1"/>
  <c r="AX65" i="278"/>
  <c r="AE9" i="278" s="1"/>
  <c r="O15" i="278" s="1"/>
  <c r="AX66" i="278"/>
  <c r="AE14" i="278" s="1"/>
  <c r="O35" i="278" s="1"/>
  <c r="AX63" i="278"/>
  <c r="AE13" i="278" s="1"/>
  <c r="AX68" i="278"/>
  <c r="AE10" i="278" s="1"/>
  <c r="O19" i="278" s="1"/>
  <c r="AE30" i="251"/>
  <c r="R12" i="292"/>
  <c r="Y39" i="251"/>
  <c r="R39" i="251"/>
  <c r="BF51" i="278"/>
  <c r="BE51" i="278"/>
  <c r="BA51" i="278"/>
  <c r="BB51" i="278"/>
  <c r="BD51" i="278"/>
  <c r="BC51" i="278"/>
  <c r="BG51" i="278"/>
  <c r="AZ51" i="278"/>
  <c r="R13" i="292"/>
  <c r="AC18" i="251"/>
  <c r="AE8" i="251"/>
  <c r="R42" i="296"/>
  <c r="L27" i="296" s="1"/>
  <c r="R46" i="296"/>
  <c r="R48" i="296" s="1"/>
  <c r="R50" i="296" s="1"/>
  <c r="Q44" i="296"/>
  <c r="AY65" i="278"/>
  <c r="AG28" i="251"/>
  <c r="AD28" i="251" s="1"/>
  <c r="F144" i="251" s="1"/>
  <c r="L26" i="292"/>
  <c r="G56" i="292" s="1"/>
  <c r="L23" i="292"/>
  <c r="R24" i="292" s="1"/>
  <c r="I16" i="275"/>
  <c r="Z41" i="296"/>
  <c r="AA43" i="296"/>
  <c r="AW8" i="278"/>
  <c r="BP13" i="278"/>
  <c r="BO14" i="278"/>
  <c r="AW10" i="278" s="1"/>
  <c r="T17" i="288"/>
  <c r="R21" i="251"/>
  <c r="Y21" i="251"/>
  <c r="I8" i="260"/>
  <c r="I10" i="260" s="1"/>
  <c r="J67" i="298"/>
  <c r="R67" i="298" s="1"/>
  <c r="R30" i="293"/>
  <c r="Y30" i="293"/>
  <c r="AR69" i="278"/>
  <c r="Q15" i="288"/>
  <c r="AQ62" i="278"/>
  <c r="AE19" i="293"/>
  <c r="AS62" i="278" s="1"/>
  <c r="Q17" i="288"/>
  <c r="Q19" i="288"/>
  <c r="Q16" i="288"/>
  <c r="AD29" i="251"/>
  <c r="F145" i="251" s="1"/>
  <c r="AC18" i="293"/>
  <c r="AE18" i="293" s="1"/>
  <c r="AE8" i="293"/>
  <c r="K55" i="298"/>
  <c r="J55" i="298"/>
  <c r="I55" i="298"/>
  <c r="H55" i="298"/>
  <c r="L55" i="298"/>
  <c r="M55" i="298"/>
  <c r="AC30" i="293"/>
  <c r="AG28" i="293"/>
  <c r="AF28" i="293" s="1"/>
  <c r="G144" i="293" s="1"/>
  <c r="AD28" i="293"/>
  <c r="F144" i="293" s="1"/>
  <c r="Q8" i="289"/>
  <c r="Q7" i="289"/>
  <c r="Q12" i="289" s="1"/>
  <c r="I51" i="298"/>
  <c r="L51" i="298"/>
  <c r="H51" i="298"/>
  <c r="M51" i="298"/>
  <c r="J51" i="298"/>
  <c r="K51" i="298"/>
  <c r="M56" i="298"/>
  <c r="J56" i="298"/>
  <c r="L56" i="298"/>
  <c r="H56" i="298"/>
  <c r="I56" i="298"/>
  <c r="K56" i="298"/>
  <c r="Q14" i="288"/>
  <c r="AY66" i="278"/>
  <c r="M52" i="298"/>
  <c r="J52" i="298"/>
  <c r="H52" i="298"/>
  <c r="L52" i="298"/>
  <c r="K52" i="298"/>
  <c r="I52" i="298"/>
  <c r="AE19" i="251"/>
  <c r="C12" i="299"/>
  <c r="C36" i="299"/>
  <c r="E44" i="299"/>
  <c r="I17" i="278"/>
  <c r="I16" i="278"/>
  <c r="I37" i="278"/>
  <c r="J35" i="278"/>
  <c r="I12" i="278"/>
  <c r="I13" i="278"/>
  <c r="I15" i="278"/>
  <c r="I24" i="278"/>
  <c r="J43" i="278"/>
  <c r="J9" i="278"/>
  <c r="J8" i="278"/>
  <c r="J36" i="278"/>
  <c r="I35" i="278"/>
  <c r="J13" i="278"/>
  <c r="I8" i="278"/>
  <c r="J17" i="278"/>
  <c r="I36" i="278"/>
  <c r="J16" i="278"/>
  <c r="J15" i="278"/>
  <c r="I11" i="278"/>
  <c r="N35" i="278"/>
  <c r="J7" i="278"/>
  <c r="I9" i="278"/>
  <c r="C24" i="299"/>
  <c r="D32" i="231"/>
  <c r="C15" i="299"/>
  <c r="D31" i="231"/>
  <c r="J21" i="278"/>
  <c r="D33" i="231"/>
  <c r="C27" i="299"/>
  <c r="I39" i="278"/>
  <c r="J41" i="278"/>
  <c r="J40" i="278"/>
  <c r="I41" i="278"/>
  <c r="J42" i="278"/>
  <c r="I40" i="278"/>
  <c r="J39" i="278"/>
  <c r="I46" i="278"/>
  <c r="I25" i="278"/>
  <c r="I43" i="278"/>
  <c r="I20" i="278"/>
  <c r="C34" i="299"/>
  <c r="E42" i="299"/>
  <c r="AE11" i="232"/>
  <c r="AE15" i="232"/>
  <c r="J19" i="278"/>
  <c r="AE13" i="232"/>
  <c r="AE9" i="232"/>
  <c r="AE14" i="232" s="1"/>
  <c r="I26" i="278"/>
  <c r="I45" i="278"/>
  <c r="I21" i="278"/>
  <c r="I19" i="278"/>
  <c r="I28" i="278"/>
  <c r="J27" i="278"/>
  <c r="J28" i="278"/>
  <c r="I27" i="278"/>
  <c r="J29" i="278"/>
  <c r="I29" i="278"/>
  <c r="AD80" i="278" l="1"/>
  <c r="I38" i="278" s="1"/>
  <c r="AD79" i="278"/>
  <c r="I30" i="278" s="1"/>
  <c r="J31" i="278"/>
  <c r="N31" i="278"/>
  <c r="I33" i="278"/>
  <c r="O31" i="278"/>
  <c r="I32" i="278"/>
  <c r="AD21" i="251"/>
  <c r="G10" i="260"/>
  <c r="H10" i="260" s="1"/>
  <c r="W24" i="260"/>
  <c r="Q12" i="290"/>
  <c r="H8" i="260"/>
  <c r="J32" i="278"/>
  <c r="J33" i="278"/>
  <c r="AE73" i="278"/>
  <c r="J14" i="278" s="1"/>
  <c r="AE75" i="278"/>
  <c r="J18" i="278" s="1"/>
  <c r="AE78" i="278"/>
  <c r="J34" i="278" s="1"/>
  <c r="AE74" i="278"/>
  <c r="J10" i="278" s="1"/>
  <c r="AE79" i="278"/>
  <c r="J30" i="278" s="1"/>
  <c r="AD81" i="278"/>
  <c r="I42" i="278" s="1"/>
  <c r="BL76" i="278"/>
  <c r="AD76" i="278"/>
  <c r="I22" i="278" s="1"/>
  <c r="AD75" i="278"/>
  <c r="I18" i="278" s="1"/>
  <c r="AD78" i="278"/>
  <c r="I34" i="278" s="1"/>
  <c r="AE80" i="278"/>
  <c r="J38" i="278" s="1"/>
  <c r="AD74" i="278"/>
  <c r="I10" i="278" s="1" a="1"/>
  <c r="I10" i="278" s="1"/>
  <c r="AE76" i="278"/>
  <c r="J22" i="278" s="1"/>
  <c r="N2" i="278"/>
  <c r="G11" i="291"/>
  <c r="G7" i="291"/>
  <c r="AG30" i="293"/>
  <c r="AF30" i="293" s="1"/>
  <c r="BD12" i="278"/>
  <c r="BP14" i="278"/>
  <c r="BQ13" i="278"/>
  <c r="F31" i="296"/>
  <c r="I31" i="296"/>
  <c r="D31" i="296"/>
  <c r="E31" i="296"/>
  <c r="J31" i="296"/>
  <c r="H31" i="296"/>
  <c r="G31" i="296"/>
  <c r="AE18" i="251"/>
  <c r="AE21" i="251" s="1"/>
  <c r="AC21" i="251"/>
  <c r="AQ63" i="278"/>
  <c r="AE20" i="293"/>
  <c r="AS63" i="278" s="1"/>
  <c r="AE17" i="293"/>
  <c r="AQ61" i="278"/>
  <c r="AC21" i="293"/>
  <c r="AQ64" i="278" s="1"/>
  <c r="AA44" i="296"/>
  <c r="Z40" i="296"/>
  <c r="R25" i="292"/>
  <c r="AA41" i="296"/>
  <c r="AB43" i="296"/>
  <c r="H74" i="296"/>
  <c r="I35" i="296"/>
  <c r="F35" i="296"/>
  <c r="E74" i="296"/>
  <c r="R23" i="292"/>
  <c r="G57" i="292"/>
  <c r="E35" i="296"/>
  <c r="D74" i="296"/>
  <c r="F74" i="296"/>
  <c r="G35" i="296"/>
  <c r="H35" i="296"/>
  <c r="G74" i="296"/>
  <c r="AG30" i="251"/>
  <c r="AD30" i="251" s="1"/>
  <c r="I74" i="296"/>
  <c r="J35" i="296"/>
  <c r="D35" i="296"/>
  <c r="C74" i="296"/>
  <c r="S14" i="291"/>
  <c r="S17" i="291"/>
  <c r="S16" i="291"/>
  <c r="S15" i="291"/>
  <c r="AF28" i="251"/>
  <c r="G144" i="251" s="1"/>
  <c r="S18" i="291"/>
  <c r="S19" i="291"/>
  <c r="S20" i="291"/>
  <c r="D35" i="231"/>
  <c r="C44" i="299"/>
  <c r="C42" i="299"/>
  <c r="D34" i="231"/>
  <c r="AE12" i="232"/>
  <c r="AE17" i="232" s="1"/>
  <c r="AE16" i="232"/>
  <c r="AC43" i="296" l="1"/>
  <c r="AB41" i="296"/>
  <c r="BR13" i="278"/>
  <c r="BQ14" i="278"/>
  <c r="AQ69" i="278"/>
  <c r="AQ70" i="278"/>
  <c r="AA40" i="296"/>
  <c r="AB44" i="296"/>
  <c r="BD13" i="278"/>
  <c r="AW11" i="278"/>
  <c r="AS61" i="278"/>
  <c r="AE21" i="293"/>
  <c r="AS64" i="278" s="1"/>
  <c r="AW79" i="278" s="1"/>
  <c r="AW80" i="278" s="1"/>
  <c r="AD30" i="293"/>
  <c r="S10" i="291"/>
  <c r="S7" i="291"/>
  <c r="S9" i="291"/>
  <c r="U17" i="291"/>
  <c r="S8" i="291"/>
  <c r="AQ71" i="278"/>
  <c r="S12" i="291"/>
  <c r="S11" i="291"/>
  <c r="S13" i="291"/>
  <c r="AF30" i="251"/>
  <c r="BK57" i="278" l="1"/>
  <c r="AW91" i="278" s="1"/>
  <c r="AD35" i="278" s="1"/>
  <c r="K27" i="278" s="1"/>
  <c r="BK58" i="278"/>
  <c r="AW88" i="278" s="1"/>
  <c r="AD34" i="278" s="1"/>
  <c r="K31" i="278" s="1"/>
  <c r="AC44" i="296"/>
  <c r="AB40" i="296"/>
  <c r="BJ58" i="278"/>
  <c r="AW87" i="278" s="1"/>
  <c r="AD29" i="278" s="1"/>
  <c r="K11" i="278" s="1"/>
  <c r="AX7" i="278"/>
  <c r="BD14" i="278"/>
  <c r="AW12" i="278"/>
  <c r="BS13" i="278"/>
  <c r="BR14" i="278"/>
  <c r="BJ57" i="278"/>
  <c r="AW90" i="278" s="1"/>
  <c r="AD30" i="278" s="1"/>
  <c r="K7" i="278" s="1" a="1"/>
  <c r="K7" i="278" s="1"/>
  <c r="AC41" i="296"/>
  <c r="AD43" i="296"/>
  <c r="K15" i="278" l="1"/>
  <c r="K19" i="278" s="1"/>
  <c r="K35" i="278"/>
  <c r="J56" i="278"/>
  <c r="J55" i="278"/>
  <c r="J53" i="278"/>
  <c r="J54" i="278"/>
  <c r="K54" i="278"/>
  <c r="K53" i="278"/>
  <c r="K55" i="278"/>
  <c r="K56" i="278"/>
  <c r="AC40" i="296"/>
  <c r="AD44" i="296"/>
  <c r="K60" i="278"/>
  <c r="K59" i="278"/>
  <c r="K58" i="278"/>
  <c r="K57" i="278"/>
  <c r="AE43" i="296"/>
  <c r="AD41" i="296"/>
  <c r="BD15" i="278"/>
  <c r="AX8" i="278"/>
  <c r="AW13" i="278"/>
  <c r="BT13" i="278"/>
  <c r="BS14" i="278"/>
  <c r="J58" i="278"/>
  <c r="J57" i="278"/>
  <c r="J59" i="278"/>
  <c r="J60" i="278"/>
  <c r="AD26" i="278"/>
  <c r="H39" i="278" s="1"/>
  <c r="AD23" i="278"/>
  <c r="H31" i="278" s="1"/>
  <c r="AD24" i="278"/>
  <c r="H27" i="278" s="1"/>
  <c r="AD27" i="278"/>
  <c r="H43" i="278" s="1"/>
  <c r="AD25" i="278"/>
  <c r="H35" i="278" s="1"/>
  <c r="AD18" i="278"/>
  <c r="H11" i="278" s="1"/>
  <c r="AD21" i="278"/>
  <c r="H19" i="278" s="1"/>
  <c r="AD22" i="278"/>
  <c r="H23" i="278" s="1"/>
  <c r="AD20" i="278"/>
  <c r="H15" i="278" s="1"/>
  <c r="AD19" i="278"/>
  <c r="H7" i="278" s="1"/>
  <c r="L53" i="278" l="1"/>
  <c r="L55" i="278"/>
  <c r="L54" i="278"/>
  <c r="K23" i="278"/>
  <c r="Z23" i="278" s="1"/>
  <c r="M53" i="278"/>
  <c r="M54" i="278"/>
  <c r="M56" i="278"/>
  <c r="M55" i="278"/>
  <c r="L56" i="278"/>
  <c r="K39" i="278"/>
  <c r="Z39" i="278" s="1"/>
  <c r="L59" i="278"/>
  <c r="L57" i="278"/>
  <c r="L60" i="278"/>
  <c r="L58" i="278"/>
  <c r="Z35" i="278"/>
  <c r="Z36" i="278"/>
  <c r="Z37" i="278"/>
  <c r="Z38" i="278"/>
  <c r="Z15" i="278"/>
  <c r="Z18" i="278"/>
  <c r="Z16" i="278"/>
  <c r="Z17" i="278"/>
  <c r="N55" i="278"/>
  <c r="O55" i="278" s="1"/>
  <c r="N56" i="278"/>
  <c r="O56" i="278" s="1"/>
  <c r="N54" i="278"/>
  <c r="O54" i="278" s="1"/>
  <c r="N53" i="278"/>
  <c r="O53" i="278" s="1"/>
  <c r="AF43" i="296"/>
  <c r="AF41" i="296" s="1"/>
  <c r="AE41" i="296"/>
  <c r="Z10" i="278" a="1"/>
  <c r="Z10" i="278" s="1"/>
  <c r="Z8" i="278" a="1"/>
  <c r="Z8" i="278" s="1"/>
  <c r="Z7" i="278" a="1"/>
  <c r="Z7" i="278" s="1"/>
  <c r="Z9" i="278"/>
  <c r="BC16" i="278"/>
  <c r="BD16" i="278"/>
  <c r="AX9" i="278"/>
  <c r="AW14" i="278"/>
  <c r="BT14" i="278"/>
  <c r="BU13" i="278"/>
  <c r="Z19" i="278"/>
  <c r="Z21" i="278"/>
  <c r="Z20" i="278"/>
  <c r="Z22" i="278"/>
  <c r="Z30" i="278"/>
  <c r="Z29" i="278"/>
  <c r="Z28" i="278"/>
  <c r="Z27" i="278"/>
  <c r="Z32" i="278"/>
  <c r="Z33" i="278"/>
  <c r="Z34" i="278"/>
  <c r="Z31" i="278"/>
  <c r="Z42" i="278"/>
  <c r="K61" i="278"/>
  <c r="K63" i="278" s="1"/>
  <c r="Z13" i="278"/>
  <c r="Z14" i="278"/>
  <c r="Z12" i="278"/>
  <c r="Z11" i="278"/>
  <c r="J61" i="278"/>
  <c r="AE44" i="296"/>
  <c r="AD40" i="296"/>
  <c r="L61" i="278" l="1"/>
  <c r="L63" i="278" s="1"/>
  <c r="L65" i="278" s="1"/>
  <c r="Z24" i="278"/>
  <c r="Z25" i="278"/>
  <c r="Z26" i="278"/>
  <c r="Z40" i="278"/>
  <c r="Z41" i="278"/>
  <c r="K43" i="278"/>
  <c r="M59" i="278"/>
  <c r="M57" i="278"/>
  <c r="M60" i="278"/>
  <c r="M58" i="278"/>
  <c r="K68" i="278"/>
  <c r="K65" i="278"/>
  <c r="AE40" i="296"/>
  <c r="AF44" i="296"/>
  <c r="AF40" i="296" s="1"/>
  <c r="J63" i="278"/>
  <c r="BU14" i="278"/>
  <c r="BV13" i="278"/>
  <c r="BD17" i="278"/>
  <c r="BC17" i="278"/>
  <c r="AX10" i="278"/>
  <c r="AW15" i="278"/>
  <c r="M61" i="278" l="1"/>
  <c r="N58" i="278"/>
  <c r="O58" i="278" s="1"/>
  <c r="N60" i="278"/>
  <c r="O60" i="278" s="1"/>
  <c r="N59" i="278"/>
  <c r="O59" i="278" s="1"/>
  <c r="N57" i="278"/>
  <c r="Z45" i="278"/>
  <c r="Z44" i="278"/>
  <c r="Z43" i="278"/>
  <c r="Z46" i="278"/>
  <c r="Z48" i="278" s="1"/>
  <c r="BC18" i="278"/>
  <c r="BD18" i="278"/>
  <c r="AX11" i="278"/>
  <c r="AW16" i="278"/>
  <c r="BW13" i="278"/>
  <c r="BV14" i="278"/>
  <c r="J65" i="278"/>
  <c r="J68" i="278"/>
  <c r="Z47" i="278" l="1"/>
  <c r="N61" i="278"/>
  <c r="N63" i="278" s="1"/>
  <c r="N65" i="278" s="1"/>
  <c r="M63" i="278"/>
  <c r="M65" i="278" s="1"/>
  <c r="O57" i="278"/>
  <c r="AY7" i="278"/>
  <c r="BD19" i="278"/>
  <c r="BC19" i="278"/>
  <c r="AX12" i="278"/>
  <c r="AW17" i="278"/>
  <c r="BX13" i="278"/>
  <c r="BW14" i="278"/>
  <c r="O61" i="278" l="1"/>
  <c r="O63" i="278" s="1"/>
  <c r="O65" i="278" s="1"/>
  <c r="BD20" i="278"/>
  <c r="BC20" i="278"/>
  <c r="AY8" i="278"/>
  <c r="AX13" i="278"/>
  <c r="AW18" i="278"/>
  <c r="BX14" i="278"/>
  <c r="BY13" i="278"/>
  <c r="BZ13" i="278" l="1"/>
  <c r="BY14" i="278"/>
  <c r="BC21" i="278"/>
  <c r="BD21" i="278"/>
  <c r="BB21" i="278"/>
  <c r="AY9" i="278"/>
  <c r="AX14" i="278"/>
  <c r="AW19" i="278"/>
  <c r="BD22" i="278" l="1"/>
  <c r="BC22" i="278"/>
  <c r="BB22" i="278"/>
  <c r="AY10" i="278"/>
  <c r="AX15" i="278"/>
  <c r="AW20" i="278"/>
  <c r="CA13" i="278"/>
  <c r="BZ14" i="278"/>
  <c r="BD23" i="278" l="1"/>
  <c r="BB23" i="278"/>
  <c r="BC23" i="278"/>
  <c r="AY11" i="278"/>
  <c r="AX16" i="278"/>
  <c r="AW21" i="278"/>
  <c r="CA14" i="278"/>
  <c r="CB13" i="278"/>
  <c r="CB14" i="278" l="1"/>
  <c r="CC13" i="278"/>
  <c r="BC24" i="278"/>
  <c r="BD24" i="278"/>
  <c r="AZ7" i="278"/>
  <c r="BB24" i="278"/>
  <c r="AY12" i="278"/>
  <c r="AX17" i="278"/>
  <c r="AW22" i="278"/>
  <c r="CC14" i="278" l="1"/>
  <c r="CD13" i="278"/>
  <c r="AZ8" i="278"/>
  <c r="BD25" i="278"/>
  <c r="BC25" i="278"/>
  <c r="BB25" i="278"/>
  <c r="AY13" i="278"/>
  <c r="AX18" i="278"/>
  <c r="AW23" i="278"/>
  <c r="CE13" i="278" l="1"/>
  <c r="CD14" i="278"/>
  <c r="BA26" i="278"/>
  <c r="BD26" i="278"/>
  <c r="BC26" i="278"/>
  <c r="BB26" i="278"/>
  <c r="AZ9" i="278"/>
  <c r="AY14" i="278"/>
  <c r="AX19" i="278"/>
  <c r="AW24" i="278"/>
  <c r="BC27" i="278" l="1"/>
  <c r="BB27" i="278"/>
  <c r="BA27" i="278"/>
  <c r="BD27" i="278"/>
  <c r="AZ10" i="278"/>
  <c r="AY15" i="278"/>
  <c r="AX20" i="278"/>
  <c r="AW25" i="278"/>
  <c r="CE14" i="278"/>
  <c r="CF13" i="278"/>
  <c r="CG13" i="278" l="1"/>
  <c r="CF14" i="278"/>
  <c r="BD28" i="278"/>
  <c r="BC28" i="278"/>
  <c r="BB28" i="278"/>
  <c r="BA28" i="278"/>
  <c r="AZ11" i="278"/>
  <c r="AY16" i="278"/>
  <c r="AX21" i="278"/>
  <c r="AW26" i="278"/>
  <c r="BB29" i="278" l="1"/>
  <c r="BA7" i="278"/>
  <c r="BC29" i="278"/>
  <c r="BA29" i="278"/>
  <c r="BD29" i="278"/>
  <c r="AZ12" i="278"/>
  <c r="AY17" i="278"/>
  <c r="AX22" i="278"/>
  <c r="AW27" i="278"/>
  <c r="CG14" i="278"/>
  <c r="CH13" i="278"/>
  <c r="BA30" i="278" l="1"/>
  <c r="BC30" i="278"/>
  <c r="BB30" i="278"/>
  <c r="BD30" i="278"/>
  <c r="BA8" i="278"/>
  <c r="AZ13" i="278"/>
  <c r="AY18" i="278"/>
  <c r="AX23" i="278"/>
  <c r="AW28" i="278"/>
  <c r="CH14" i="278"/>
  <c r="CI13" i="278"/>
  <c r="CJ13" i="278" l="1"/>
  <c r="CI14" i="278"/>
  <c r="AZ31" i="278"/>
  <c r="BC31" i="278"/>
  <c r="BD31" i="278"/>
  <c r="BA31" i="278"/>
  <c r="BB31" i="278"/>
  <c r="BA9" i="278"/>
  <c r="AZ14" i="278"/>
  <c r="AY19" i="278"/>
  <c r="AX24" i="278"/>
  <c r="AW29" i="278"/>
  <c r="BB32" i="278" l="1"/>
  <c r="AZ32" i="278"/>
  <c r="BC32" i="278"/>
  <c r="BA32" i="278"/>
  <c r="BD32" i="278"/>
  <c r="BA10" i="278"/>
  <c r="AZ15" i="278"/>
  <c r="AY20" i="278"/>
  <c r="AX25" i="278"/>
  <c r="AW30" i="278"/>
  <c r="CJ14" i="278"/>
  <c r="CK13" i="278"/>
  <c r="CK14" i="278" l="1"/>
  <c r="CL13" i="278"/>
  <c r="BA11" i="278"/>
  <c r="AZ16" i="278"/>
  <c r="AY21" i="278"/>
  <c r="AX26" i="278"/>
  <c r="AW31" i="278"/>
  <c r="CL14" i="278" l="1"/>
  <c r="CM13" i="278"/>
  <c r="BB7" i="278"/>
  <c r="BA12" i="278"/>
  <c r="AZ17" i="278"/>
  <c r="AY22" i="278"/>
  <c r="AX27" i="278"/>
  <c r="AW32" i="278"/>
  <c r="AW33" i="278" s="1"/>
  <c r="AZ60" i="278" l="1"/>
  <c r="AF12" i="278" s="1"/>
  <c r="P31" i="278" s="1"/>
  <c r="AZ66" i="278"/>
  <c r="AF14" i="278" s="1"/>
  <c r="P35" i="278" s="1"/>
  <c r="AZ71" i="278"/>
  <c r="AF11" i="278" s="1"/>
  <c r="P23" i="278" s="1"/>
  <c r="AZ72" i="278"/>
  <c r="AF16" i="278" s="1"/>
  <c r="P43" i="278" s="1"/>
  <c r="AZ62" i="278"/>
  <c r="AF8" i="278" s="1"/>
  <c r="P7" i="278" s="1" a="1"/>
  <c r="P7" i="278" s="1"/>
  <c r="AZ68" i="278"/>
  <c r="AF10" i="278" s="1"/>
  <c r="P19" i="278" s="1"/>
  <c r="AZ69" i="278"/>
  <c r="AF15" i="278" s="1"/>
  <c r="P39" i="278" s="1"/>
  <c r="AZ65" i="278"/>
  <c r="AF9" i="278" s="1"/>
  <c r="P15" i="278" s="1"/>
  <c r="AZ59" i="278"/>
  <c r="AF7" i="278" s="1"/>
  <c r="P11" i="278" s="1"/>
  <c r="AZ63" i="278"/>
  <c r="AF13" i="278" s="1"/>
  <c r="P27" i="278" s="1"/>
  <c r="CM14" i="278"/>
  <c r="CN13" i="278"/>
  <c r="BB8" i="278"/>
  <c r="BA13" i="278"/>
  <c r="AZ18" i="278"/>
  <c r="AY23" i="278"/>
  <c r="AX28" i="278"/>
  <c r="BB9" i="278" l="1"/>
  <c r="BA14" i="278"/>
  <c r="AZ19" i="278"/>
  <c r="AY24" i="278"/>
  <c r="AX29" i="278"/>
  <c r="CO13" i="278"/>
  <c r="CN14" i="278"/>
  <c r="BB10" i="278" l="1"/>
  <c r="BA15" i="278"/>
  <c r="AZ20" i="278"/>
  <c r="AY25" i="278"/>
  <c r="AX30" i="278"/>
  <c r="CO14" i="278"/>
  <c r="CP13" i="278"/>
  <c r="CQ13" i="278" l="1"/>
  <c r="CP14" i="278"/>
  <c r="BB11" i="278"/>
  <c r="BA16" i="278"/>
  <c r="AZ21" i="278"/>
  <c r="AY26" i="278"/>
  <c r="AX31" i="278"/>
  <c r="BC7" i="278" l="1"/>
  <c r="BB12" i="278"/>
  <c r="BA17" i="278"/>
  <c r="AZ22" i="278"/>
  <c r="AY27" i="278"/>
  <c r="AX32" i="278"/>
  <c r="AX33" i="278" s="1"/>
  <c r="CR13" i="278"/>
  <c r="CQ14" i="278"/>
  <c r="BC8" i="278" l="1"/>
  <c r="BB13" i="278"/>
  <c r="BA18" i="278"/>
  <c r="AZ23" i="278"/>
  <c r="AY28" i="278"/>
  <c r="CR14" i="278"/>
  <c r="CS13" i="278"/>
  <c r="BA72" i="278"/>
  <c r="AG16" i="278" s="1"/>
  <c r="Q43" i="278" s="1"/>
  <c r="BA71" i="278"/>
  <c r="AG11" i="278" s="1"/>
  <c r="Q23" i="278" s="1"/>
  <c r="BA62" i="278"/>
  <c r="AG8" i="278" s="1"/>
  <c r="Q7" i="278" s="1" a="1"/>
  <c r="Q7" i="278" s="1"/>
  <c r="BA59" i="278"/>
  <c r="AG7" i="278" s="1"/>
  <c r="Q11" i="278" s="1"/>
  <c r="BA65" i="278"/>
  <c r="AG9" i="278" s="1"/>
  <c r="Q15" i="278" s="1"/>
  <c r="BA66" i="278"/>
  <c r="AG14" i="278" s="1"/>
  <c r="Q35" i="278" s="1"/>
  <c r="BA69" i="278"/>
  <c r="AG15" i="278" s="1"/>
  <c r="Q39" i="278" s="1"/>
  <c r="BA63" i="278"/>
  <c r="AG13" i="278" s="1"/>
  <c r="Q27" i="278" s="1"/>
  <c r="BA60" i="278"/>
  <c r="AG12" i="278" s="1"/>
  <c r="Q31" i="278" s="1"/>
  <c r="BA68" i="278"/>
  <c r="AG10" i="278" s="1"/>
  <c r="Q19" i="278" s="1"/>
  <c r="CT13" i="278" l="1"/>
  <c r="CS14" i="278"/>
  <c r="BC9" i="278"/>
  <c r="BB14" i="278"/>
  <c r="BA19" i="278"/>
  <c r="AZ24" i="278"/>
  <c r="AY29" i="278"/>
  <c r="BC10" i="278" l="1"/>
  <c r="BB15" i="278"/>
  <c r="BA20" i="278"/>
  <c r="AZ25" i="278"/>
  <c r="AY30" i="278"/>
  <c r="CU13" i="278"/>
  <c r="CT14" i="278"/>
  <c r="BC11" i="278" l="1"/>
  <c r="BB16" i="278"/>
  <c r="BA21" i="278"/>
  <c r="AZ26" i="278"/>
  <c r="AY31" i="278"/>
  <c r="CU14" i="278"/>
  <c r="CV13" i="278"/>
  <c r="CV14" i="278" l="1"/>
  <c r="CW13" i="278"/>
  <c r="BD7" i="278"/>
  <c r="BC12" i="278"/>
  <c r="BB17" i="278"/>
  <c r="BA22" i="278"/>
  <c r="AZ27" i="278"/>
  <c r="AY32" i="278"/>
  <c r="AY33" i="278" s="1"/>
  <c r="BB62" i="278" l="1"/>
  <c r="AH8" i="278" s="1"/>
  <c r="R7" i="278" s="1" a="1"/>
  <c r="R7" i="278" s="1"/>
  <c r="BB60" i="278"/>
  <c r="AH12" i="278" s="1"/>
  <c r="R31" i="278" s="1"/>
  <c r="BB66" i="278"/>
  <c r="AH14" i="278" s="1"/>
  <c r="R35" i="278" s="1"/>
  <c r="BB68" i="278"/>
  <c r="AH10" i="278" s="1"/>
  <c r="R19" i="278" s="1"/>
  <c r="BB63" i="278"/>
  <c r="AH13" i="278" s="1"/>
  <c r="R27" i="278" s="1"/>
  <c r="BB72" i="278"/>
  <c r="AH16" i="278" s="1"/>
  <c r="R43" i="278" s="1"/>
  <c r="BB59" i="278"/>
  <c r="AH7" i="278" s="1"/>
  <c r="R11" i="278" s="1"/>
  <c r="BB65" i="278"/>
  <c r="AH9" i="278" s="1"/>
  <c r="R15" i="278" s="1"/>
  <c r="BB71" i="278"/>
  <c r="AH11" i="278" s="1"/>
  <c r="R23" i="278" s="1"/>
  <c r="BB69" i="278"/>
  <c r="AH15" i="278" s="1"/>
  <c r="R39" i="278" s="1"/>
  <c r="CW14" i="278"/>
  <c r="CX13" i="278"/>
  <c r="CX14" i="278" s="1"/>
  <c r="BD8" i="278"/>
  <c r="BC13" i="278"/>
  <c r="BB18" i="278"/>
  <c r="BA23" i="278"/>
  <c r="AZ28" i="278"/>
  <c r="BD9" i="278" l="1"/>
  <c r="BC14" i="278"/>
  <c r="BB19" i="278"/>
  <c r="BA24" i="278"/>
  <c r="AZ29" i="278"/>
  <c r="BD10" i="278"/>
  <c r="BC15" i="278"/>
  <c r="BC33" i="278" s="1"/>
  <c r="BB20" i="278"/>
  <c r="BB33" i="278" s="1"/>
  <c r="BA25" i="278"/>
  <c r="BA33" i="278" s="1"/>
  <c r="AZ30" i="278"/>
  <c r="AZ33" i="278" s="1"/>
  <c r="BD33" i="278" l="1"/>
  <c r="BG69" i="278"/>
  <c r="AM15" i="278" s="1"/>
  <c r="W39" i="278" s="1"/>
  <c r="BG68" i="278"/>
  <c r="AM10" i="278" s="1"/>
  <c r="W19" i="278" s="1"/>
  <c r="BG59" i="278"/>
  <c r="AM7" i="278" s="1"/>
  <c r="W11" i="278" s="1"/>
  <c r="BG66" i="278"/>
  <c r="AM14" i="278" s="1"/>
  <c r="W35" i="278" s="1"/>
  <c r="BG72" i="278"/>
  <c r="AM16" i="278" s="1"/>
  <c r="W43" i="278" s="1"/>
  <c r="BG65" i="278"/>
  <c r="AM9" i="278" s="1"/>
  <c r="W15" i="278" s="1"/>
  <c r="BG71" i="278"/>
  <c r="AM11" i="278" s="1"/>
  <c r="W23" i="278" s="1"/>
  <c r="BG62" i="278"/>
  <c r="AM8" i="278" s="1"/>
  <c r="W7" i="278" s="1" a="1"/>
  <c r="W7" i="278" s="1"/>
  <c r="BG60" i="278"/>
  <c r="AM12" i="278" s="1"/>
  <c r="W31" i="278" s="1"/>
  <c r="BG63" i="278"/>
  <c r="AM13" i="278" s="1"/>
  <c r="W27" i="278" s="1"/>
  <c r="BC59" i="278"/>
  <c r="AI7" i="278" s="1"/>
  <c r="S11" i="278" s="1"/>
  <c r="BC68" i="278"/>
  <c r="AI10" i="278" s="1"/>
  <c r="S19" i="278" s="1"/>
  <c r="BC62" i="278"/>
  <c r="AI8" i="278" s="1"/>
  <c r="S7" i="278" s="1" a="1"/>
  <c r="S7" i="278" s="1"/>
  <c r="BC66" i="278"/>
  <c r="AI14" i="278" s="1"/>
  <c r="S35" i="278" s="1"/>
  <c r="BC72" i="278"/>
  <c r="AI16" i="278" s="1"/>
  <c r="S43" i="278" s="1"/>
  <c r="BC60" i="278"/>
  <c r="AI12" i="278" s="1"/>
  <c r="S31" i="278" s="1"/>
  <c r="BC63" i="278"/>
  <c r="AI13" i="278" s="1"/>
  <c r="S27" i="278" s="1"/>
  <c r="BC71" i="278"/>
  <c r="AI11" i="278" s="1"/>
  <c r="S23" i="278" s="1"/>
  <c r="BC69" i="278"/>
  <c r="AI15" i="278" s="1"/>
  <c r="S39" i="278" s="1"/>
  <c r="BC65" i="278"/>
  <c r="AI9" i="278" s="1"/>
  <c r="S15" i="278" s="1"/>
  <c r="BD63" i="278"/>
  <c r="AJ13" i="278" s="1"/>
  <c r="T27" i="278" s="1"/>
  <c r="BD71" i="278"/>
  <c r="AJ11" i="278" s="1"/>
  <c r="T23" i="278" s="1"/>
  <c r="BD72" i="278"/>
  <c r="AJ16" i="278" s="1"/>
  <c r="T43" i="278" s="1"/>
  <c r="BD62" i="278"/>
  <c r="AJ8" i="278" s="1"/>
  <c r="T7" i="278" s="1" a="1"/>
  <c r="T7" i="278" s="1"/>
  <c r="BD68" i="278"/>
  <c r="AJ10" i="278" s="1"/>
  <c r="T19" i="278" s="1"/>
  <c r="BD65" i="278"/>
  <c r="AJ9" i="278" s="1"/>
  <c r="T15" i="278" s="1"/>
  <c r="BD66" i="278"/>
  <c r="AJ14" i="278" s="1"/>
  <c r="T35" i="278" s="1"/>
  <c r="BD69" i="278"/>
  <c r="AJ15" i="278" s="1"/>
  <c r="T39" i="278" s="1"/>
  <c r="BD60" i="278"/>
  <c r="AJ12" i="278" s="1"/>
  <c r="T31" i="278" s="1"/>
  <c r="BD59" i="278"/>
  <c r="AJ7" i="278" s="1"/>
  <c r="T11" i="278" s="1"/>
  <c r="BE65" i="278"/>
  <c r="AK9" i="278" s="1"/>
  <c r="U15" i="278" s="1"/>
  <c r="BE72" i="278"/>
  <c r="AK16" i="278" s="1"/>
  <c r="U43" i="278" s="1"/>
  <c r="BE66" i="278"/>
  <c r="AK14" i="278" s="1"/>
  <c r="U35" i="278" s="1"/>
  <c r="BE71" i="278"/>
  <c r="AK11" i="278" s="1"/>
  <c r="U23" i="278" s="1"/>
  <c r="BE63" i="278"/>
  <c r="AK13" i="278" s="1"/>
  <c r="U27" i="278" s="1"/>
  <c r="BE60" i="278"/>
  <c r="AK12" i="278" s="1"/>
  <c r="U31" i="278" s="1"/>
  <c r="BE69" i="278"/>
  <c r="AK15" i="278" s="1"/>
  <c r="U39" i="278" s="1"/>
  <c r="BE68" i="278"/>
  <c r="AK10" i="278" s="1"/>
  <c r="U19" i="278" s="1"/>
  <c r="BE59" i="278"/>
  <c r="AK7" i="278" s="1"/>
  <c r="U11" i="278" s="1"/>
  <c r="BE62" i="278"/>
  <c r="AK8" i="278" s="1"/>
  <c r="U7" i="278" s="1" a="1"/>
  <c r="U7" i="278" s="1"/>
  <c r="BF71" i="278"/>
  <c r="AL11" i="278" s="1"/>
  <c r="V23" i="278" s="1"/>
  <c r="BF66" i="278"/>
  <c r="AL14" i="278" s="1"/>
  <c r="V35" i="278" s="1"/>
  <c r="BF68" i="278"/>
  <c r="AL10" i="278" s="1"/>
  <c r="V19" i="278" s="1"/>
  <c r="BF63" i="278"/>
  <c r="AL13" i="278" s="1"/>
  <c r="V27" i="278" s="1"/>
  <c r="BF69" i="278"/>
  <c r="AL15" i="278" s="1"/>
  <c r="V39" i="278" s="1"/>
  <c r="BF62" i="278"/>
  <c r="AL8" i="278" s="1"/>
  <c r="V7" i="278" s="1" a="1"/>
  <c r="V7" i="278" s="1"/>
  <c r="BF59" i="278"/>
  <c r="AL7" i="278" s="1"/>
  <c r="V11" i="278" s="1"/>
  <c r="BF65" i="278"/>
  <c r="AL9" i="278" s="1"/>
  <c r="V15" i="278" s="1"/>
  <c r="BF72" i="278"/>
  <c r="AL16" i="278" s="1"/>
  <c r="V43" i="278" s="1"/>
  <c r="BF60" i="278"/>
  <c r="AL12" i="278" s="1"/>
  <c r="V31" i="278" s="1"/>
  <c r="B47" i="2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7" authorId="0" shapeId="0" xr:uid="{00000000-0006-0000-0200-000001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8" authorId="0" shapeId="0" xr:uid="{00000000-0006-0000-0200-000002000000}">
      <text>
        <r>
          <rPr>
            <b/>
            <sz val="8"/>
            <color indexed="81"/>
            <rFont val="Tahoma"/>
            <family val="2"/>
          </rPr>
          <t>Author:</t>
        </r>
        <r>
          <rPr>
            <sz val="8"/>
            <color indexed="81"/>
            <rFont val="Tahoma"/>
            <family val="2"/>
          </rPr>
          <t xml:space="preserve">
Petroleum, gas/dieselolie og fuelolie
</t>
        </r>
      </text>
    </comment>
    <comment ref="AN8" authorId="0" shapeId="0" xr:uid="{00000000-0006-0000-0200-000003000000}">
      <text>
        <r>
          <rPr>
            <b/>
            <sz val="8"/>
            <color indexed="81"/>
            <rFont val="Tahoma"/>
            <family val="2"/>
          </rPr>
          <t>Author:</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11" authorId="0" shapeId="0" xr:uid="{00000000-0006-0000-0200-000004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16" authorId="0" shapeId="0" xr:uid="{00000000-0006-0000-0200-000005000000}">
      <text>
        <r>
          <rPr>
            <b/>
            <sz val="8"/>
            <color indexed="81"/>
            <rFont val="Tahoma"/>
            <family val="2"/>
          </rPr>
          <t>Author:</t>
        </r>
        <r>
          <rPr>
            <sz val="8"/>
            <color indexed="81"/>
            <rFont val="Tahoma"/>
            <family val="2"/>
          </rPr>
          <t xml:space="preserve">
Petroleum, gas/dieselolie og fuelolie
</t>
        </r>
      </text>
    </comment>
    <comment ref="C26" authorId="0" shapeId="0" xr:uid="{00000000-0006-0000-0200-000006000000}">
      <text>
        <r>
          <rPr>
            <b/>
            <sz val="8"/>
            <color indexed="81"/>
            <rFont val="Tahoma"/>
            <family val="2"/>
          </rPr>
          <t>Author:</t>
        </r>
        <r>
          <rPr>
            <sz val="8"/>
            <color indexed="81"/>
            <rFont val="Tahoma"/>
            <family val="2"/>
          </rPr>
          <t xml:space="preserve">
Petroleum, gas/dieselolie og fuelolie
</t>
        </r>
      </text>
    </comment>
    <comment ref="C29" authorId="0" shapeId="0" xr:uid="{00000000-0006-0000-0200-000007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35" authorId="0" shapeId="0" xr:uid="{00000000-0006-0000-0200-000008000000}">
      <text>
        <r>
          <rPr>
            <b/>
            <sz val="8"/>
            <color indexed="81"/>
            <rFont val="Tahoma"/>
            <family val="2"/>
          </rPr>
          <t>Author:</t>
        </r>
        <r>
          <rPr>
            <sz val="8"/>
            <color indexed="81"/>
            <rFont val="Tahoma"/>
            <family val="2"/>
          </rPr>
          <t xml:space="preserve">
Petroleum, gas/dieselolie og fuelolie
</t>
        </r>
      </text>
    </comment>
    <comment ref="C38" authorId="0" shapeId="0" xr:uid="{00000000-0006-0000-0200-000009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C43" authorId="0" shapeId="0" xr:uid="{00000000-0006-0000-0200-00000A000000}">
      <text>
        <r>
          <rPr>
            <b/>
            <sz val="8"/>
            <color indexed="81"/>
            <rFont val="Tahoma"/>
            <family val="2"/>
          </rPr>
          <t>Author:</t>
        </r>
        <r>
          <rPr>
            <sz val="8"/>
            <color indexed="81"/>
            <rFont val="Tahoma"/>
            <family val="2"/>
          </rPr>
          <t xml:space="preserve">
Petroleum, gas/dieselolie og fuelolie
</t>
        </r>
      </text>
    </comment>
    <comment ref="AN43" authorId="0" shapeId="0" xr:uid="{00000000-0006-0000-0200-00000B000000}">
      <text>
        <r>
          <rPr>
            <b/>
            <sz val="8"/>
            <color indexed="81"/>
            <rFont val="Tahoma"/>
            <family val="2"/>
          </rPr>
          <t>Author:</t>
        </r>
        <r>
          <rPr>
            <sz val="8"/>
            <color indexed="81"/>
            <rFont val="Tahoma"/>
            <family val="2"/>
          </rPr>
          <t xml:space="preserve">
Dette antages at svare til Kaj Jørgensen varebiler 3,5-6 tons. </t>
        </r>
      </text>
    </comment>
    <comment ref="C50" authorId="0" shapeId="0" xr:uid="{00000000-0006-0000-0200-00000C000000}">
      <text>
        <r>
          <rPr>
            <b/>
            <sz val="8"/>
            <color indexed="81"/>
            <rFont val="Tahoma"/>
            <family val="2"/>
          </rPr>
          <t>Author:</t>
        </r>
        <r>
          <rPr>
            <sz val="8"/>
            <color indexed="81"/>
            <rFont val="Tahoma"/>
            <family val="2"/>
          </rPr>
          <t xml:space="preserve">
Petroleum, gas/dieselolie og fuelolie
</t>
        </r>
      </text>
    </comment>
    <comment ref="AK50" authorId="0" shapeId="0" xr:uid="{00000000-0006-0000-0200-00000D000000}">
      <text>
        <r>
          <rPr>
            <b/>
            <sz val="8"/>
            <color indexed="81"/>
            <rFont val="Tahoma"/>
            <family val="2"/>
          </rPr>
          <t>Author: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 ref="C56" authorId="0" shapeId="0" xr:uid="{00000000-0006-0000-0200-00000E000000}">
      <text>
        <r>
          <rPr>
            <b/>
            <sz val="8"/>
            <color indexed="81"/>
            <rFont val="Tahoma"/>
            <family val="2"/>
          </rPr>
          <t>Author:</t>
        </r>
        <r>
          <rPr>
            <sz val="8"/>
            <color indexed="81"/>
            <rFont val="Tahoma"/>
            <family val="2"/>
          </rPr>
          <t xml:space="preserve">
Gas/dieselolie, petroleum og motorbenzin. De sidste to stort set nul. </t>
        </r>
      </text>
    </comment>
    <comment ref="C61" authorId="0" shapeId="0" xr:uid="{00000000-0006-0000-0200-00000F000000}">
      <text>
        <r>
          <rPr>
            <b/>
            <sz val="8"/>
            <color indexed="81"/>
            <rFont val="Tahoma"/>
            <family val="2"/>
          </rPr>
          <t>Author:</t>
        </r>
        <r>
          <rPr>
            <sz val="8"/>
            <color indexed="81"/>
            <rFont val="Tahoma"/>
            <family val="2"/>
          </rPr>
          <t xml:space="preserve">
Alle lokal banetog er tilsyneladende diesel  drevne tog (mange er af typen LINT), og altovervejende beregnet til person transport iflg diverse lokal baners hjemmesider.</t>
        </r>
      </text>
    </comment>
    <comment ref="C63" authorId="0" shapeId="0" xr:uid="{00000000-0006-0000-0200-000010000000}">
      <text>
        <r>
          <rPr>
            <b/>
            <sz val="8"/>
            <color indexed="81"/>
            <rFont val="Tahoma"/>
            <family val="2"/>
          </rPr>
          <t>Author:</t>
        </r>
        <r>
          <rPr>
            <sz val="8"/>
            <color indexed="81"/>
            <rFont val="Tahoma"/>
            <family val="2"/>
          </rPr>
          <t xml:space="preserve">
Gas/dieselolie, petroleum og motorbenzin. De sidste to stort set nul. </t>
        </r>
      </text>
    </comment>
    <comment ref="C66" authorId="0" shapeId="0" xr:uid="{00000000-0006-0000-0200-000011000000}">
      <text>
        <r>
          <rPr>
            <b/>
            <sz val="8"/>
            <color indexed="81"/>
            <rFont val="Tahoma"/>
            <family val="2"/>
          </rPr>
          <t>Author:</t>
        </r>
        <r>
          <rPr>
            <sz val="8"/>
            <color indexed="81"/>
            <rFont val="Tahoma"/>
            <family val="2"/>
          </rPr>
          <t xml:space="preserve">
Gas/dieselolie, petroleum og LPG</t>
        </r>
      </text>
    </comment>
    <comment ref="C69" authorId="0" shapeId="0" xr:uid="{00000000-0006-0000-0200-000012000000}">
      <text>
        <r>
          <rPr>
            <b/>
            <sz val="8"/>
            <color indexed="81"/>
            <rFont val="Tahoma"/>
            <family val="2"/>
          </rPr>
          <t>Author:</t>
        </r>
        <r>
          <rPr>
            <sz val="8"/>
            <color indexed="81"/>
            <rFont val="Tahoma"/>
            <family val="2"/>
          </rPr>
          <t xml:space="preserve">
Gas/dieselolie, petroleum og LPG</t>
        </r>
      </text>
    </comment>
    <comment ref="C72" authorId="0" shapeId="0" xr:uid="{00000000-0006-0000-0200-000013000000}">
      <text>
        <r>
          <rPr>
            <b/>
            <sz val="8"/>
            <color indexed="81"/>
            <rFont val="Tahoma"/>
            <family val="2"/>
          </rPr>
          <t>Author:</t>
        </r>
        <r>
          <rPr>
            <sz val="8"/>
            <color indexed="81"/>
            <rFont val="Tahoma"/>
            <family val="2"/>
          </rPr>
          <t xml:space="preserve">
Gas/dieselolie, petroleum og LPG</t>
        </r>
      </text>
    </comment>
    <comment ref="C76" authorId="0" shapeId="0" xr:uid="{00000000-0006-0000-0200-000014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 ref="C79" authorId="0" shapeId="0" xr:uid="{00000000-0006-0000-0200-000015000000}">
      <text>
        <r>
          <rPr>
            <b/>
            <sz val="8"/>
            <color indexed="81"/>
            <rFont val="Tahoma"/>
            <family val="2"/>
          </rPr>
          <t>Author:</t>
        </r>
        <r>
          <rPr>
            <sz val="8"/>
            <color indexed="81"/>
            <rFont val="Tahoma"/>
            <family val="2"/>
          </rPr>
          <t xml:space="preserve">
Petroleum, LPG og motorbenzin. Meget små forbrug af de øvrige brændsler som går til transport i lufthavnen og ikke i fly.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9" authorId="0" shapeId="0" xr:uid="{00000000-0006-0000-0500-000001000000}">
      <text>
        <r>
          <rPr>
            <b/>
            <sz val="9"/>
            <color indexed="8"/>
            <rFont val="Arial"/>
            <family val="2"/>
          </rPr>
          <t>Author:</t>
        </r>
        <r>
          <rPr>
            <sz val="9"/>
            <color indexed="8"/>
            <rFont val="Arial"/>
            <family val="2"/>
          </rPr>
          <t xml:space="preserve">
Letbaner
</t>
        </r>
      </text>
    </comment>
    <comment ref="AA12" authorId="0" shapeId="0" xr:uid="{00000000-0006-0000-0500-000002000000}">
      <text>
        <r>
          <rPr>
            <b/>
            <sz val="9"/>
            <color indexed="81"/>
            <rFont val="Tahoma"/>
            <family val="2"/>
          </rPr>
          <t>Author:</t>
        </r>
        <r>
          <rPr>
            <sz val="9"/>
            <color indexed="81"/>
            <rFont val="Tahoma"/>
            <family val="2"/>
          </rPr>
          <t xml:space="preserve">
New line is being built already and LTM forecasts this to be te demand in 2030</t>
        </r>
      </text>
    </comment>
    <comment ref="AQ12" authorId="0" shapeId="0" xr:uid="{00000000-0006-0000-0500-000003000000}">
      <text>
        <r>
          <rPr>
            <b/>
            <sz val="9"/>
            <color indexed="8"/>
            <rFont val="Tahoma"/>
            <family val="2"/>
          </rPr>
          <t>Author:</t>
        </r>
        <r>
          <rPr>
            <sz val="9"/>
            <color indexed="8"/>
            <rFont val="Tahoma"/>
            <family val="2"/>
          </rPr>
          <t xml:space="preserve">
omkostninger til elektrificering og signal, der ikke medtages I disse beregninger</t>
        </r>
      </text>
    </comment>
    <comment ref="I113" authorId="0" shapeId="0" xr:uid="{00000000-0006-0000-0500-000004000000}">
      <text>
        <r>
          <rPr>
            <b/>
            <sz val="9"/>
            <color indexed="81"/>
            <rFont val="Tahoma"/>
            <family val="2"/>
          </rPr>
          <t>Author:</t>
        </r>
        <r>
          <rPr>
            <sz val="9"/>
            <color indexed="81"/>
            <rFont val="Tahoma"/>
            <family val="2"/>
          </rPr>
          <t xml:space="preserve">
From VT_SUP calculation on mixing Hydrogen into Gas grid e.g. 15 % volumen</t>
        </r>
      </text>
    </comment>
    <comment ref="I139" authorId="0" shapeId="0" xr:uid="{00000000-0006-0000-0500-000005000000}">
      <text>
        <r>
          <rPr>
            <b/>
            <sz val="9"/>
            <color indexed="81"/>
            <rFont val="Tahoma"/>
            <family val="2"/>
          </rPr>
          <t>Author:</t>
        </r>
        <r>
          <rPr>
            <sz val="9"/>
            <color indexed="81"/>
            <rFont val="Tahoma"/>
            <family val="2"/>
          </rPr>
          <t xml:space="preserve">
From VT_SUP calculation on mixing Hydrogen into Gas grid e.g. 15 % volumen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P32" authorId="0" shapeId="0" xr:uid="{00000000-0006-0000-0600-000001000000}">
      <text>
        <r>
          <rPr>
            <b/>
            <sz val="9"/>
            <color indexed="81"/>
            <rFont val="Tahoma"/>
            <family val="2"/>
            <charset val="204"/>
          </rPr>
          <t>Author:</t>
        </r>
        <r>
          <rPr>
            <sz val="9"/>
            <color indexed="81"/>
            <rFont val="Tahoma"/>
            <family val="2"/>
            <charset val="204"/>
          </rPr>
          <t xml:space="preserve">
All cars above 24 years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6" authorId="0" shapeId="0" xr:uid="{00000000-0006-0000-0900-000001000000}">
      <text>
        <r>
          <rPr>
            <b/>
            <sz val="9"/>
            <color indexed="81"/>
            <rFont val="Tahoma"/>
            <family val="2"/>
          </rPr>
          <t>Author:</t>
        </r>
        <r>
          <rPr>
            <sz val="9"/>
            <color indexed="81"/>
            <rFont val="Tahoma"/>
            <family val="2"/>
          </rPr>
          <t xml:space="preserve">
For these efficiency it has been assumed that short-trips are urban, medium are rural and long are on highwaty. In this way we have used values from the Danish emissions inventory, by Aarhus University</t>
        </r>
      </text>
    </comment>
    <comment ref="O6" authorId="0" shapeId="0" xr:uid="{00000000-0006-0000-0900-000002000000}">
      <text>
        <r>
          <rPr>
            <b/>
            <sz val="9"/>
            <color indexed="81"/>
            <rFont val="Tahoma"/>
            <family val="2"/>
          </rPr>
          <t>Author:</t>
        </r>
        <r>
          <rPr>
            <sz val="9"/>
            <color indexed="81"/>
            <rFont val="Tahoma"/>
            <family val="2"/>
          </rPr>
          <t xml:space="preserve">
Assumption</t>
        </r>
      </text>
    </comment>
    <comment ref="T21" authorId="0" shapeId="0" xr:uid="{00000000-0006-0000-0900-000003000000}">
      <text>
        <r>
          <rPr>
            <b/>
            <sz val="9"/>
            <color indexed="81"/>
            <rFont val="Tahoma"/>
            <family val="2"/>
          </rPr>
          <t>Author:</t>
        </r>
        <r>
          <rPr>
            <sz val="9"/>
            <color indexed="81"/>
            <rFont val="Tahoma"/>
            <family val="2"/>
          </rPr>
          <t xml:space="preserve">
it is lower because it doesn't include moped30</t>
        </r>
      </text>
    </comment>
    <comment ref="B34" authorId="0" shapeId="0" xr:uid="{00000000-0006-0000-0900-000004000000}">
      <text>
        <r>
          <rPr>
            <b/>
            <sz val="9"/>
            <color indexed="81"/>
            <rFont val="Tahoma"/>
            <family val="2"/>
          </rPr>
          <t>Author:</t>
        </r>
        <r>
          <rPr>
            <sz val="9"/>
            <color indexed="81"/>
            <rFont val="Tahoma"/>
            <family val="2"/>
          </rPr>
          <t xml:space="preserve">
Statistiks Denmnark Table PKM1
</t>
        </r>
      </text>
    </comment>
    <comment ref="B67" authorId="0" shapeId="0" xr:uid="{00000000-0006-0000-0900-000005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 ref="C80" authorId="0" shapeId="0" xr:uid="{00000000-0006-0000-0900-000006000000}">
      <text>
        <r>
          <rPr>
            <b/>
            <sz val="9"/>
            <color indexed="81"/>
            <rFont val="Tahoma"/>
            <family val="2"/>
          </rPr>
          <t>Author:</t>
        </r>
        <r>
          <rPr>
            <sz val="9"/>
            <color indexed="81"/>
            <rFont val="Tahoma"/>
            <family val="2"/>
          </rPr>
          <t xml:space="preserve">
This value is much lower than 1266, given from the Danish Inventory. The reason is that this value is calculated accounting only the stock of 45-mopeds, while the consumtpion is related also to 30-mopeds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7" authorId="0" shapeId="0" xr:uid="{00000000-0006-0000-0A00-000001000000}">
      <text>
        <r>
          <rPr>
            <b/>
            <sz val="9"/>
            <color indexed="81"/>
            <rFont val="Tahoma"/>
            <family val="2"/>
          </rPr>
          <t>Author:</t>
        </r>
        <r>
          <rPr>
            <sz val="9"/>
            <color indexed="81"/>
            <rFont val="Tahoma"/>
            <family val="2"/>
          </rPr>
          <t xml:space="preserve">
http://www.cycling-embassy.dk/facts-about-cycling-in-denmark/statistics/ says that in 2013 about 5000 bikes were bought. Considering that in base year tehre were 4.3 million bikes, buying 50000 every year takes 8 years to have a new stock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B3" authorId="0" shapeId="0" xr:uid="{00000000-0006-0000-0C00-000001000000}">
      <text>
        <r>
          <rPr>
            <b/>
            <sz val="9"/>
            <color indexed="81"/>
            <rFont val="Tahoma"/>
            <family val="2"/>
          </rPr>
          <t>Author:</t>
        </r>
        <r>
          <rPr>
            <sz val="9"/>
            <color indexed="81"/>
            <rFont val="Tahoma"/>
            <family val="2"/>
          </rPr>
          <t xml:space="preserve">
From TU survey figures on website http://www.modelcenter.transport.dtu.dk/english/TU/Hovedresultater</t>
        </r>
      </text>
    </comment>
    <comment ref="AI11" authorId="0" shapeId="0" xr:uid="{00000000-0006-0000-0C00-000002000000}">
      <text>
        <r>
          <rPr>
            <b/>
            <sz val="9"/>
            <color indexed="81"/>
            <rFont val="Tahoma"/>
            <family val="2"/>
          </rPr>
          <t>Author:</t>
        </r>
        <r>
          <rPr>
            <sz val="9"/>
            <color indexed="81"/>
            <rFont val="Tahoma"/>
            <family val="2"/>
          </rPr>
          <t xml:space="preserve">
According to the Ministry of Transport - The Danish transport system, facts and figures, pag27, this amount is more than 800 km </t>
        </r>
      </text>
    </comment>
    <comment ref="AE29" authorId="0" shapeId="0" xr:uid="{00000000-0006-0000-0C00-000003000000}">
      <text>
        <r>
          <rPr>
            <b/>
            <sz val="9"/>
            <color indexed="81"/>
            <rFont val="Tahoma"/>
            <family val="2"/>
          </rPr>
          <t>Author:</t>
        </r>
        <r>
          <rPr>
            <sz val="9"/>
            <color indexed="81"/>
            <rFont val="Tahoma"/>
            <family val="2"/>
          </rPr>
          <t xml:space="preserve">
Only 90% of Danes have bike</t>
        </r>
      </text>
    </comment>
    <comment ref="AF29" authorId="0" shapeId="0" xr:uid="{00000000-0006-0000-0C00-000004000000}">
      <text>
        <r>
          <rPr>
            <b/>
            <sz val="9"/>
            <color indexed="81"/>
            <rFont val="Tahoma"/>
            <family val="2"/>
          </rPr>
          <t>Author:</t>
        </r>
        <r>
          <rPr>
            <sz val="9"/>
            <color indexed="81"/>
            <rFont val="Tahoma"/>
            <family val="2"/>
          </rPr>
          <t xml:space="preserve">
70% of people who have bike ride it</t>
        </r>
      </text>
    </comment>
    <comment ref="AG29" authorId="0" shapeId="0" xr:uid="{00000000-0006-0000-0C00-000005000000}">
      <text>
        <r>
          <rPr>
            <b/>
            <sz val="9"/>
            <color indexed="81"/>
            <rFont val="Tahoma"/>
            <family val="2"/>
          </rPr>
          <t>Author:</t>
        </r>
        <r>
          <rPr>
            <sz val="9"/>
            <color indexed="81"/>
            <rFont val="Tahoma"/>
            <family val="2"/>
          </rPr>
          <t xml:space="preserve">
Only 50% of people who have bike ride it regularly</t>
        </r>
      </text>
    </comment>
    <comment ref="AH29" authorId="0" shapeId="0" xr:uid="{00000000-0006-0000-0C00-000006000000}">
      <text>
        <r>
          <rPr>
            <b/>
            <sz val="9"/>
            <color indexed="81"/>
            <rFont val="Tahoma"/>
            <family val="2"/>
          </rPr>
          <t>Author:</t>
        </r>
        <r>
          <rPr>
            <sz val="9"/>
            <color indexed="81"/>
            <rFont val="Tahoma"/>
            <family val="2"/>
          </rPr>
          <t xml:space="preserve">
30% of people who have bike ride it</t>
        </r>
      </text>
    </comment>
    <comment ref="AI29" authorId="0" shapeId="0" xr:uid="{00000000-0006-0000-0C00-000007000000}">
      <text>
        <r>
          <rPr>
            <b/>
            <sz val="9"/>
            <color indexed="81"/>
            <rFont val="Tahoma"/>
            <family val="2"/>
          </rPr>
          <t>Author:</t>
        </r>
        <r>
          <rPr>
            <sz val="9"/>
            <color indexed="81"/>
            <rFont val="Tahoma"/>
            <family val="2"/>
          </rPr>
          <t xml:space="preserve">
daily mileage equal to average bike trip from TU survey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7" authorId="0" shapeId="0" xr:uid="{00000000-0006-0000-0D00-000001000000}">
      <text>
        <r>
          <rPr>
            <b/>
            <sz val="9"/>
            <color indexed="81"/>
            <rFont val="Tahoma"/>
            <family val="2"/>
          </rPr>
          <t>Author:</t>
        </r>
        <r>
          <rPr>
            <sz val="9"/>
            <color indexed="81"/>
            <rFont val="Tahoma"/>
            <family val="2"/>
          </rPr>
          <t xml:space="preserve">
From Alternativdrivmodellen, same as 2015</t>
        </r>
      </text>
    </comment>
    <comment ref="O11" authorId="0" shapeId="0" xr:uid="{00000000-0006-0000-0D00-000002000000}">
      <text>
        <r>
          <rPr>
            <b/>
            <sz val="9"/>
            <color indexed="81"/>
            <rFont val="Tahoma"/>
            <family val="2"/>
          </rPr>
          <t>Author:</t>
        </r>
        <r>
          <rPr>
            <sz val="9"/>
            <color indexed="81"/>
            <rFont val="Tahoma"/>
            <family val="2"/>
          </rPr>
          <t xml:space="preserve">
From Alternativdrivmodellen, same as 2015</t>
        </r>
      </text>
    </comment>
    <comment ref="O14" authorId="0" shapeId="0" xr:uid="{00000000-0006-0000-0D00-000003000000}">
      <text>
        <r>
          <rPr>
            <b/>
            <sz val="9"/>
            <color indexed="81"/>
            <rFont val="Tahoma"/>
            <family val="2"/>
          </rPr>
          <t>Author:</t>
        </r>
        <r>
          <rPr>
            <sz val="9"/>
            <color indexed="81"/>
            <rFont val="Tahoma"/>
            <family val="2"/>
          </rPr>
          <t xml:space="preserve">
From Alternativdrivmodellen, same as 2015</t>
        </r>
      </text>
    </comment>
    <comment ref="O18" authorId="0" shapeId="0" xr:uid="{00000000-0006-0000-0D00-000004000000}">
      <text>
        <r>
          <rPr>
            <b/>
            <sz val="9"/>
            <color indexed="81"/>
            <rFont val="Tahoma"/>
            <family val="2"/>
          </rPr>
          <t>Author:</t>
        </r>
        <r>
          <rPr>
            <sz val="9"/>
            <color indexed="81"/>
            <rFont val="Tahoma"/>
            <family val="2"/>
          </rPr>
          <t xml:space="preserve">
From Alternativdrivmodellen, same as 2015</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6" authorId="0" shapeId="0" xr:uid="{00000000-0006-0000-0E00-000001000000}">
      <text>
        <r>
          <rPr>
            <b/>
            <sz val="9"/>
            <color indexed="81"/>
            <rFont val="Tahoma"/>
            <family val="2"/>
          </rPr>
          <t>Author:</t>
        </r>
        <r>
          <rPr>
            <sz val="9"/>
            <color indexed="81"/>
            <rFont val="Tahoma"/>
            <family val="2"/>
          </rPr>
          <t xml:space="preserve">
For calculating the share has been followed a similar procedure to that used in the old VT file</t>
        </r>
      </text>
    </comment>
    <comment ref="B33" authorId="0" shapeId="0" xr:uid="{00000000-0006-0000-0E00-000002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63" authorId="0" shapeId="0" xr:uid="{00000000-0006-0000-12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L63" authorId="0" shapeId="0" xr:uid="{00000000-0006-0000-1200-000002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K65" authorId="0" shapeId="0" xr:uid="{00000000-0006-0000-1200-000003000000}">
      <text>
        <r>
          <rPr>
            <b/>
            <sz val="9"/>
            <color indexed="81"/>
            <rFont val="Tahoma"/>
            <family val="2"/>
          </rPr>
          <t>Author:</t>
        </r>
        <r>
          <rPr>
            <sz val="9"/>
            <color indexed="81"/>
            <rFont val="Tahoma"/>
            <family val="2"/>
          </rPr>
          <t xml:space="preserve">
We assume that the travel demand of international ships given by model (?) includes only the km travelled within Danish borders. At the same time, we assume that the fuel consumption registered by Danish Statistics includes only fuel  onsumed within the borders. In this way the fact that DSl is much higher than HFO becaause the ships within the boarder swtich fuel to DSL in order to comply with regulation. Therefore, we assume same share-i for international and national ships
</t>
        </r>
      </text>
    </comment>
    <comment ref="O65" authorId="0" shapeId="0" xr:uid="{00000000-0006-0000-1200-000004000000}">
      <text>
        <r>
          <rPr>
            <b/>
            <sz val="9"/>
            <color indexed="81"/>
            <rFont val="Tahoma"/>
            <family val="2"/>
          </rPr>
          <t>Author:</t>
        </r>
        <r>
          <rPr>
            <sz val="9"/>
            <color indexed="81"/>
            <rFont val="Tahoma"/>
            <family val="2"/>
          </rPr>
          <t xml:space="preserve">
assumed average lifetime of total 28 years</t>
        </r>
      </text>
    </comment>
    <comment ref="O67" authorId="0" shapeId="0" xr:uid="{00000000-0006-0000-1200-000005000000}">
      <text>
        <r>
          <rPr>
            <b/>
            <sz val="9"/>
            <color indexed="81"/>
            <rFont val="Tahoma"/>
            <family val="2"/>
          </rPr>
          <t>Author:</t>
        </r>
        <r>
          <rPr>
            <sz val="9"/>
            <color indexed="81"/>
            <rFont val="Tahoma"/>
            <family val="2"/>
          </rPr>
          <t xml:space="preserve">
assumed average lifetime of total 28 years</t>
        </r>
      </text>
    </comment>
    <comment ref="O69" authorId="0" shapeId="0" xr:uid="{00000000-0006-0000-1200-000006000000}">
      <text>
        <r>
          <rPr>
            <b/>
            <sz val="9"/>
            <color indexed="81"/>
            <rFont val="Tahoma"/>
            <family val="2"/>
          </rPr>
          <t>Author:</t>
        </r>
        <r>
          <rPr>
            <sz val="9"/>
            <color indexed="81"/>
            <rFont val="Tahoma"/>
            <family val="2"/>
          </rPr>
          <t xml:space="preserve">
assumed average lifetime of total 28 years</t>
        </r>
      </text>
    </comment>
    <comment ref="O71" authorId="0" shapeId="0" xr:uid="{00000000-0006-0000-1200-000007000000}">
      <text>
        <r>
          <rPr>
            <b/>
            <sz val="9"/>
            <color indexed="81"/>
            <rFont val="Tahoma"/>
            <family val="2"/>
          </rPr>
          <t>Author:</t>
        </r>
        <r>
          <rPr>
            <sz val="9"/>
            <color indexed="81"/>
            <rFont val="Tahoma"/>
            <family val="2"/>
          </rPr>
          <t xml:space="preserve">
assumed average lifetime of total 28 years</t>
        </r>
      </text>
    </comment>
    <comment ref="E115" authorId="0" shapeId="0" xr:uid="{00000000-0006-0000-1200-000008000000}">
      <text>
        <r>
          <rPr>
            <b/>
            <sz val="9"/>
            <color indexed="81"/>
            <rFont val="Tahoma"/>
            <family val="2"/>
          </rPr>
          <t>Author:</t>
        </r>
        <r>
          <rPr>
            <sz val="9"/>
            <color indexed="81"/>
            <rFont val="Tahoma"/>
            <family val="2"/>
          </rPr>
          <t xml:space="preserve">
From the Ship calculation scheme, based on a 2800 TEU ship</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13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L4" authorId="0" shapeId="0" xr:uid="{00000000-0006-0000-1300-000002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J6" authorId="0" shapeId="0" xr:uid="{00000000-0006-0000-1300-000003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J10" authorId="0" shapeId="0" xr:uid="{00000000-0006-0000-1300-000004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K15" authorId="0" shapeId="0" xr:uid="{00000000-0006-0000-1300-000005000000}">
      <text>
        <r>
          <rPr>
            <b/>
            <sz val="9"/>
            <color indexed="81"/>
            <rFont val="Tahoma"/>
            <family val="2"/>
          </rPr>
          <t>Author:</t>
        </r>
        <r>
          <rPr>
            <sz val="9"/>
            <color indexed="81"/>
            <rFont val="Tahoma"/>
            <family val="2"/>
          </rPr>
          <t xml:space="preserve">
We assume that the travel demand of international ships given by model (?) includes only the km travelled within Danish borders. At the same time, we assume that the fuel consumption registered by Danish Statistics includes only fuel  onsumed within the borders. In this way the fact that DSl is much higher than HFO becaause the ships within the boarder swtich fuel to DSL in order to comply with regulation. Therefore, we assume same share-i for international and national ships
</t>
        </r>
      </text>
    </comment>
    <comment ref="J19" authorId="0" shapeId="0" xr:uid="{00000000-0006-0000-1300-000006000000}">
      <text>
        <r>
          <rPr>
            <b/>
            <sz val="9"/>
            <color indexed="81"/>
            <rFont val="Tahoma"/>
            <family val="2"/>
          </rPr>
          <t>Author:</t>
        </r>
        <r>
          <rPr>
            <sz val="9"/>
            <color indexed="81"/>
            <rFont val="Tahoma"/>
            <family val="2"/>
          </rPr>
          <t xml:space="preserve">
The value makes sense: considering a typical speed of 25 km/h this distance is travelled in 300 days 14 hours per day </t>
        </r>
      </text>
    </comment>
    <comment ref="P19" authorId="0" shapeId="0" xr:uid="{00000000-0006-0000-1300-000007000000}">
      <text>
        <r>
          <rPr>
            <b/>
            <sz val="9"/>
            <color indexed="81"/>
            <rFont val="Tahoma"/>
            <family val="2"/>
          </rPr>
          <t>Author:</t>
        </r>
        <r>
          <rPr>
            <sz val="9"/>
            <color indexed="81"/>
            <rFont val="Tahoma"/>
            <family val="2"/>
          </rPr>
          <t xml:space="preserve">
From http://www.eutransportghg2050.eu/cms/assets/EU-Transport-GHG-2050-Report-IV-Factors-that-limit-new-technology+concepts-04-01-10-FINAL.pdf  
Instead Adrivmodellen says 20 years</t>
        </r>
      </text>
    </comment>
    <comment ref="F20" authorId="0" shapeId="0" xr:uid="{00000000-0006-0000-1300-000008000000}">
      <text>
        <r>
          <rPr>
            <b/>
            <sz val="9"/>
            <color indexed="81"/>
            <rFont val="Tahoma"/>
            <family val="2"/>
          </rPr>
          <t>Author:</t>
        </r>
        <r>
          <rPr>
            <sz val="9"/>
            <color indexed="81"/>
            <rFont val="Tahoma"/>
            <family val="2"/>
          </rPr>
          <t xml:space="preserve">
Ferries transport also goods. If ferry doesn't run any more it must be substituted by a cargo ship</t>
        </r>
      </text>
    </comment>
    <comment ref="I27" authorId="0" shapeId="0" xr:uid="{00000000-0006-0000-1300-00000A000000}">
      <text>
        <r>
          <rPr>
            <b/>
            <sz val="9"/>
            <color indexed="81"/>
            <rFont val="Tahoma"/>
            <family val="2"/>
          </rPr>
          <t>Author:</t>
        </r>
        <r>
          <rPr>
            <sz val="9"/>
            <color indexed="81"/>
            <rFont val="Tahoma"/>
            <family val="2"/>
          </rPr>
          <t xml:space="preserve">
Used in the Demand sheet; includes demand for passangers</t>
        </r>
      </text>
    </comment>
    <comment ref="X56" authorId="0" shapeId="0" xr:uid="{00000000-0006-0000-1300-000009000000}">
      <text>
        <r>
          <rPr>
            <b/>
            <sz val="9"/>
            <color indexed="81"/>
            <rFont val="Tahoma"/>
            <family val="2"/>
          </rPr>
          <t>Author:</t>
        </r>
        <r>
          <rPr>
            <sz val="9"/>
            <color indexed="81"/>
            <rFont val="Tahoma"/>
            <family val="2"/>
          </rPr>
          <t xml:space="preserve">
They are consistent with the Alternativdrivmodellen</t>
        </r>
      </text>
    </comment>
    <comment ref="X72" authorId="0" shapeId="0" xr:uid="{00000000-0006-0000-1300-00000B000000}">
      <text>
        <r>
          <rPr>
            <b/>
            <sz val="9"/>
            <color indexed="81"/>
            <rFont val="Tahoma"/>
            <family val="2"/>
          </rPr>
          <t>Jacopo Tattini: The starting pont is the efficiency of national airplnaes, which is easily calculated from national consumption of kerosene and Mvkm travelled. This starting effciiency is multiplied by a factor, equal for passenger and freight, in order to match the energy statistics from DEA. The efficiency of international airplanes is higher than national, as expected</t>
        </r>
      </text>
    </comment>
    <comment ref="W74" authorId="0" shapeId="0" xr:uid="{00000000-0006-0000-1300-00000C000000}">
      <text>
        <r>
          <rPr>
            <b/>
            <sz val="9"/>
            <color indexed="81"/>
            <rFont val="Tahoma"/>
            <family val="2"/>
          </rPr>
          <t>Author:</t>
        </r>
        <r>
          <rPr>
            <sz val="9"/>
            <color indexed="81"/>
            <rFont val="Tahoma"/>
            <family val="2"/>
          </rPr>
          <t xml:space="preserve">
Boeing 747</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6" authorId="0" shapeId="0" xr:uid="{00000000-0006-0000-1500-000001000000}">
      <text>
        <r>
          <rPr>
            <b/>
            <sz val="9"/>
            <color indexed="81"/>
            <rFont val="Tahoma"/>
            <family val="2"/>
            <charset val="204"/>
          </rPr>
          <t xml:space="preserve">Stefan: </t>
        </r>
        <r>
          <rPr>
            <sz val="9"/>
            <color indexed="81"/>
            <rFont val="Tahoma"/>
            <family val="2"/>
          </rPr>
          <t>From Energy efficientRoadTransport</t>
        </r>
      </text>
    </comment>
    <comment ref="N10" authorId="0" shapeId="0" xr:uid="{00000000-0006-0000-1500-000002000000}">
      <text>
        <r>
          <rPr>
            <b/>
            <sz val="9"/>
            <color indexed="81"/>
            <rFont val="Tahoma"/>
            <family val="2"/>
          </rPr>
          <t>Author:</t>
        </r>
        <r>
          <rPr>
            <sz val="9"/>
            <color indexed="81"/>
            <rFont val="Tahoma"/>
            <family val="2"/>
          </rPr>
          <t xml:space="preserve">
The same as in SubRes from ADmodel</t>
        </r>
      </text>
    </comment>
    <comment ref="K13" authorId="0" shapeId="0" xr:uid="{00000000-0006-0000-1500-000003000000}">
      <text>
        <r>
          <rPr>
            <b/>
            <sz val="9"/>
            <color indexed="81"/>
            <rFont val="Tahoma"/>
            <family val="2"/>
            <charset val="204"/>
          </rPr>
          <t xml:space="preserve">Stefan: </t>
        </r>
        <r>
          <rPr>
            <sz val="9"/>
            <color indexed="81"/>
            <rFont val="Tahoma"/>
            <family val="2"/>
          </rPr>
          <t>From Energy efficientRoadTransport</t>
        </r>
      </text>
    </comment>
    <comment ref="AA23" authorId="0" shapeId="0" xr:uid="{00000000-0006-0000-1500-000004000000}">
      <text>
        <r>
          <rPr>
            <b/>
            <sz val="9"/>
            <color indexed="81"/>
            <rFont val="Tahoma"/>
            <family val="2"/>
          </rPr>
          <t>Author:</t>
        </r>
        <r>
          <rPr>
            <sz val="9"/>
            <color indexed="81"/>
            <rFont val="Tahoma"/>
            <family val="2"/>
          </rPr>
          <t xml:space="preserve">
From the Italian model. Values are for cars.</t>
        </r>
      </text>
    </comment>
    <comment ref="Q53" authorId="0" shapeId="0" xr:uid="{00000000-0006-0000-1500-000005000000}">
      <text>
        <r>
          <rPr>
            <b/>
            <sz val="8"/>
            <color indexed="81"/>
            <rFont val="Tahoma"/>
            <family val="2"/>
          </rPr>
          <t>Author:</t>
        </r>
        <r>
          <rPr>
            <sz val="8"/>
            <color indexed="81"/>
            <rFont val="Tahoma"/>
            <family val="2"/>
          </rPr>
          <t xml:space="preserve">
Petroleum, gas/dieselolie og fuelolie
</t>
        </r>
      </text>
    </comment>
    <comment ref="Q56" authorId="0" shapeId="0" xr:uid="{00000000-0006-0000-1500-000006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Q62" authorId="0" shapeId="0" xr:uid="{00000000-0006-0000-1500-000007000000}">
      <text>
        <r>
          <rPr>
            <b/>
            <sz val="8"/>
            <color indexed="81"/>
            <rFont val="Tahoma"/>
            <family val="2"/>
          </rPr>
          <t>Author:</t>
        </r>
        <r>
          <rPr>
            <sz val="8"/>
            <color indexed="81"/>
            <rFont val="Tahoma"/>
            <family val="2"/>
          </rPr>
          <t xml:space="preserve">
Petroleum, gas/dieselolie og fuelolie
</t>
        </r>
      </text>
    </comment>
    <comment ref="Q65" authorId="0" shapeId="0" xr:uid="{00000000-0006-0000-1500-000008000000}">
      <text>
        <r>
          <rPr>
            <b/>
            <sz val="8"/>
            <color indexed="81"/>
            <rFont val="Tahoma"/>
            <family val="2"/>
          </rPr>
          <t>Author:</t>
        </r>
        <r>
          <rPr>
            <sz val="8"/>
            <color indexed="81"/>
            <rFont val="Tahoma"/>
            <family val="2"/>
          </rPr>
          <t xml:space="preserve">
Energieffektivitet for køretøjer der ren bioethanol (for eksempel flexifuelmotor på E85)</t>
        </r>
      </text>
    </comment>
    <comment ref="Q70" authorId="0" shapeId="0" xr:uid="{00000000-0006-0000-1500-000009000000}">
      <text>
        <r>
          <rPr>
            <b/>
            <sz val="8"/>
            <color indexed="81"/>
            <rFont val="Tahoma"/>
            <family val="2"/>
          </rPr>
          <t>Author:</t>
        </r>
        <r>
          <rPr>
            <sz val="8"/>
            <color indexed="81"/>
            <rFont val="Tahoma"/>
            <family val="2"/>
          </rPr>
          <t xml:space="preserve">
Petroleum, gas/dieselolie og fuelolie
</t>
        </r>
      </text>
    </comment>
    <comment ref="BP70" authorId="0" shapeId="0" xr:uid="{00000000-0006-0000-1500-00000A000000}">
      <text>
        <r>
          <rPr>
            <b/>
            <sz val="8"/>
            <color indexed="81"/>
            <rFont val="Tahoma"/>
            <family val="2"/>
          </rPr>
          <t>Author:</t>
        </r>
        <r>
          <rPr>
            <sz val="8"/>
            <color indexed="81"/>
            <rFont val="Tahoma"/>
            <family val="2"/>
          </rPr>
          <t xml:space="preserve">
Dette antages at svare til Kaj Jørgensen varebiler 3,5-6 tons. </t>
        </r>
      </text>
    </comment>
    <comment ref="Q77" authorId="0" shapeId="0" xr:uid="{00000000-0006-0000-1500-00000B000000}">
      <text>
        <r>
          <rPr>
            <b/>
            <sz val="8"/>
            <color indexed="81"/>
            <rFont val="Tahoma"/>
            <family val="2"/>
          </rPr>
          <t>Author:</t>
        </r>
        <r>
          <rPr>
            <sz val="8"/>
            <color indexed="81"/>
            <rFont val="Tahoma"/>
            <family val="2"/>
          </rPr>
          <t xml:space="preserve">
Petroleum, gas/dieselolie og fuelolie
</t>
        </r>
      </text>
    </comment>
    <comment ref="BM77" authorId="0" shapeId="0" xr:uid="{00000000-0006-0000-1500-00000C000000}">
      <text>
        <r>
          <rPr>
            <b/>
            <sz val="8"/>
            <color indexed="81"/>
            <rFont val="Tahoma"/>
            <family val="2"/>
          </rPr>
          <t>Author: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6" authorId="0" shapeId="0" xr:uid="{00000000-0006-0000-1600-000001000000}">
      <text>
        <r>
          <rPr>
            <b/>
            <sz val="9"/>
            <color indexed="81"/>
            <rFont val="Tahoma"/>
            <family val="2"/>
          </rPr>
          <t>Author:</t>
        </r>
        <r>
          <rPr>
            <sz val="9"/>
            <color indexed="81"/>
            <rFont val="Tahoma"/>
            <family val="2"/>
          </rPr>
          <t xml:space="preserve">
From EnergyEfficient roadTransport</t>
        </r>
      </text>
    </comment>
    <comment ref="K25" authorId="0" shapeId="0" xr:uid="{00000000-0006-0000-1600-000002000000}">
      <text>
        <r>
          <rPr>
            <b/>
            <sz val="8"/>
            <color indexed="81"/>
            <rFont val="Tahoma"/>
            <family val="2"/>
          </rPr>
          <t>Author:</t>
        </r>
        <r>
          <rPr>
            <sz val="8"/>
            <color indexed="81"/>
            <rFont val="Tahoma"/>
            <family val="2"/>
          </rPr>
          <t xml:space="preserve">
Gas/dieselolie, petroleum og motorbenzin. De sidste to stort set nul.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00000000-0006-0000-1700-000001000000}">
      <text>
        <r>
          <rPr>
            <b/>
            <sz val="9"/>
            <color indexed="81"/>
            <rFont val="Tahoma"/>
            <family val="2"/>
          </rPr>
          <t>Author:</t>
        </r>
        <r>
          <rPr>
            <sz val="9"/>
            <color indexed="81"/>
            <rFont val="Tahoma"/>
            <family val="2"/>
          </rPr>
          <t xml:space="preserve">
Boeing 747</t>
        </r>
      </text>
    </comment>
    <comment ref="G8" authorId="0" shapeId="0" xr:uid="{00000000-0006-0000-1700-000002000000}">
      <text>
        <r>
          <rPr>
            <b/>
            <sz val="9"/>
            <color indexed="81"/>
            <rFont val="Tahoma"/>
            <family val="2"/>
          </rPr>
          <t>Author:</t>
        </r>
        <r>
          <rPr>
            <sz val="9"/>
            <color indexed="81"/>
            <rFont val="Tahoma"/>
            <family val="2"/>
          </rPr>
          <t xml:space="preserve">
It only includes danish ships that transport goods internationally, not foreign ships coming to DK</t>
        </r>
      </text>
    </comment>
    <comment ref="U22" authorId="0" shapeId="0" xr:uid="{00000000-0006-0000-1700-000003000000}">
      <text>
        <r>
          <rPr>
            <b/>
            <sz val="9"/>
            <color indexed="81"/>
            <rFont val="Tahoma"/>
            <family val="2"/>
          </rPr>
          <t>Author:</t>
        </r>
        <r>
          <rPr>
            <sz val="9"/>
            <color indexed="81"/>
            <rFont val="Tahoma"/>
            <family val="2"/>
          </rPr>
          <t xml:space="preserve">
Used in the Demand sheet; includes demand for freight</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11" authorId="0" shapeId="0" xr:uid="{00000000-0006-0000-1800-000001000000}">
      <text>
        <r>
          <rPr>
            <b/>
            <sz val="9"/>
            <color indexed="81"/>
            <rFont val="Tahoma"/>
            <family val="2"/>
          </rPr>
          <t>Author:</t>
        </r>
        <r>
          <rPr>
            <sz val="9"/>
            <color indexed="81"/>
            <rFont val="Tahoma"/>
            <family val="2"/>
          </rPr>
          <t xml:space="preserve">
Denmark and Greenland</t>
        </r>
      </text>
    </comment>
    <comment ref="N16" authorId="0" shapeId="0" xr:uid="{00000000-0006-0000-1800-000002000000}">
      <text>
        <r>
          <rPr>
            <b/>
            <sz val="9"/>
            <color indexed="81"/>
            <rFont val="Tahoma"/>
            <family val="2"/>
          </rPr>
          <t>Author:</t>
        </r>
        <r>
          <rPr>
            <sz val="9"/>
            <color indexed="81"/>
            <rFont val="Tahoma"/>
            <family val="2"/>
          </rPr>
          <t xml:space="preserve">
danish registred ships that have international routes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18" authorId="0" shapeId="0" xr:uid="{00000000-0006-0000-1900-000001000000}">
      <text>
        <r>
          <rPr>
            <b/>
            <sz val="9"/>
            <color indexed="81"/>
            <rFont val="Tahoma"/>
            <family val="2"/>
          </rPr>
          <t>Author:</t>
        </r>
        <r>
          <rPr>
            <sz val="9"/>
            <color indexed="81"/>
            <rFont val="Tahoma"/>
            <family val="2"/>
          </rPr>
          <t xml:space="preserve">
From Alternativdrivmodellen DEA</t>
        </r>
      </text>
    </comment>
    <comment ref="R27" authorId="0" shapeId="0" xr:uid="{00000000-0006-0000-1900-000002000000}">
      <text>
        <r>
          <rPr>
            <b/>
            <sz val="9"/>
            <color indexed="81"/>
            <rFont val="Tahoma"/>
            <family val="2"/>
          </rPr>
          <t>Author:</t>
        </r>
        <r>
          <rPr>
            <sz val="9"/>
            <color indexed="81"/>
            <rFont val="Tahoma"/>
            <family val="2"/>
          </rPr>
          <t xml:space="preserve">
FLYV11</t>
        </r>
      </text>
    </comment>
    <comment ref="H31" authorId="0" shapeId="0" xr:uid="{00000000-0006-0000-1900-000003000000}">
      <text>
        <r>
          <rPr>
            <b/>
            <sz val="9"/>
            <color indexed="81"/>
            <rFont val="Tahoma"/>
            <family val="2"/>
          </rPr>
          <t>Author:</t>
        </r>
        <r>
          <rPr>
            <sz val="9"/>
            <color indexed="81"/>
            <rFont val="Tahoma"/>
            <family val="2"/>
          </rPr>
          <t xml:space="preserve">
FLYV3</t>
        </r>
      </text>
    </comment>
    <comment ref="H39" authorId="0" shapeId="0" xr:uid="{00000000-0006-0000-1900-000004000000}">
      <text>
        <r>
          <rPr>
            <b/>
            <sz val="9"/>
            <color indexed="81"/>
            <rFont val="Tahoma"/>
            <family val="2"/>
          </rPr>
          <t>Author:</t>
        </r>
        <r>
          <rPr>
            <sz val="9"/>
            <color indexed="81"/>
            <rFont val="Tahoma"/>
            <family val="2"/>
          </rPr>
          <t xml:space="preserve">
FLY21: total numbr of national and international flights</t>
        </r>
      </text>
    </comment>
    <comment ref="H57" authorId="0" shapeId="0" xr:uid="{00000000-0006-0000-1900-000005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H58" authorId="0" shapeId="0" xr:uid="{00000000-0006-0000-1900-000006000000}">
      <text>
        <r>
          <rPr>
            <b/>
            <sz val="9"/>
            <color indexed="81"/>
            <rFont val="Tahoma"/>
            <family val="2"/>
          </rPr>
          <t>Author:</t>
        </r>
        <r>
          <rPr>
            <sz val="9"/>
            <color indexed="81"/>
            <rFont val="Tahoma"/>
            <family val="2"/>
          </rPr>
          <t xml:space="preserve">
https://it.answers.yahoo.com/question/index?qid=20090109060126AAiU7HD</t>
        </r>
      </text>
    </comment>
    <comment ref="H59" authorId="0" shapeId="0" xr:uid="{00000000-0006-0000-1900-000007000000}">
      <text>
        <r>
          <rPr>
            <b/>
            <sz val="9"/>
            <color indexed="81"/>
            <rFont val="Tahoma"/>
            <family val="2"/>
          </rPr>
          <t>Author:</t>
        </r>
        <r>
          <rPr>
            <sz val="9"/>
            <color indexed="81"/>
            <rFont val="Tahoma"/>
            <family val="2"/>
          </rPr>
          <t xml:space="preserve">
https://it.answers.yahoo.com/question/index?qid=20090109060126AAiU7HD</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4" authorId="0" shapeId="0" xr:uid="{00000000-0006-0000-1A00-000001000000}">
      <text>
        <r>
          <rPr>
            <b/>
            <sz val="9"/>
            <color indexed="8"/>
            <rFont val="Tahoma"/>
            <family val="2"/>
          </rPr>
          <t xml:space="preserve">Total DKE demand
</t>
        </r>
      </text>
    </comment>
    <comment ref="F4" authorId="0" shapeId="0" xr:uid="{00000000-0006-0000-1A00-000002000000}">
      <text>
        <r>
          <rPr>
            <b/>
            <sz val="9"/>
            <color indexed="8"/>
            <rFont val="Tahoma"/>
            <family val="2"/>
          </rPr>
          <t xml:space="preserve">Total DKE demand
</t>
        </r>
      </text>
    </comment>
    <comment ref="D27" authorId="0" shapeId="0" xr:uid="{00000000-0006-0000-1A00-000003000000}">
      <text>
        <r>
          <rPr>
            <b/>
            <sz val="9"/>
            <color indexed="8"/>
            <rFont val="Tahoma"/>
            <family val="2"/>
          </rPr>
          <t>Author:</t>
        </r>
        <r>
          <rPr>
            <sz val="9"/>
            <color indexed="8"/>
            <rFont val="Tahoma"/>
            <family val="2"/>
          </rPr>
          <t xml:space="preserve">
From Danish energy statistics, because Danish statistics considers pkm and tkm also for airplanes not registred in DK. This value summed with E15 gives the total international fuel</t>
        </r>
      </text>
    </comment>
    <comment ref="E37" authorId="0" shapeId="0" xr:uid="{00000000-0006-0000-1A00-000004000000}">
      <text>
        <r>
          <rPr>
            <b/>
            <sz val="9"/>
            <color indexed="8"/>
            <rFont val="Tahoma"/>
            <family val="2"/>
          </rPr>
          <t xml:space="preserve">Total DKE demand
</t>
        </r>
      </text>
    </comment>
    <comment ref="F37" authorId="0" shapeId="0" xr:uid="{00000000-0006-0000-1A00-000005000000}">
      <text>
        <r>
          <rPr>
            <b/>
            <sz val="9"/>
            <color indexed="8"/>
            <rFont val="Tahoma"/>
            <family val="2"/>
          </rPr>
          <t xml:space="preserve">Total DKE demand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8" authorId="0" shapeId="0" xr:uid="{00000000-0006-0000-1B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1B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1B00-000003000000}">
      <text>
        <r>
          <rPr>
            <b/>
            <sz val="9"/>
            <color indexed="81"/>
            <rFont val="Tahoma"/>
            <family val="2"/>
          </rPr>
          <t>Author:</t>
        </r>
        <r>
          <rPr>
            <sz val="9"/>
            <color indexed="81"/>
            <rFont val="Tahoma"/>
            <family val="2"/>
          </rPr>
          <t xml:space="preserve">
Antagelse: 100% el</t>
        </r>
      </text>
    </comment>
    <comment ref="B105" authorId="0" shapeId="0" xr:uid="{00000000-0006-0000-1B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1B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1B00-000006000000}">
      <text>
        <r>
          <rPr>
            <b/>
            <sz val="9"/>
            <color indexed="81"/>
            <rFont val="Tahoma"/>
            <family val="2"/>
          </rPr>
          <t>Author:</t>
        </r>
        <r>
          <rPr>
            <sz val="9"/>
            <color indexed="81"/>
            <rFont val="Tahoma"/>
            <family val="2"/>
          </rPr>
          <t xml:space="preserve">
Alt kører på el</t>
        </r>
      </text>
    </comment>
    <comment ref="B130" authorId="0" shapeId="0" xr:uid="{00000000-0006-0000-1B00-000007000000}">
      <text>
        <r>
          <rPr>
            <b/>
            <sz val="9"/>
            <color indexed="81"/>
            <rFont val="Tahoma"/>
            <family val="2"/>
          </rPr>
          <t>Author:</t>
        </r>
        <r>
          <rPr>
            <sz val="9"/>
            <color indexed="81"/>
            <rFont val="Tahoma"/>
            <family val="2"/>
          </rPr>
          <t xml:space="preserve">
Assumed that the unit is M tkm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98" authorId="0" shapeId="0" xr:uid="{00000000-0006-0000-1D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1D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1D00-000003000000}">
      <text>
        <r>
          <rPr>
            <b/>
            <sz val="9"/>
            <color indexed="81"/>
            <rFont val="Tahoma"/>
            <family val="2"/>
          </rPr>
          <t>Author:</t>
        </r>
        <r>
          <rPr>
            <sz val="9"/>
            <color indexed="81"/>
            <rFont val="Tahoma"/>
            <family val="2"/>
          </rPr>
          <t xml:space="preserve">
Antagelse: 100% el</t>
        </r>
      </text>
    </comment>
    <comment ref="B105" authorId="0" shapeId="0" xr:uid="{00000000-0006-0000-1D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1D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1D00-000006000000}">
      <text>
        <r>
          <rPr>
            <b/>
            <sz val="9"/>
            <color indexed="81"/>
            <rFont val="Tahoma"/>
            <family val="2"/>
          </rPr>
          <t>Author:</t>
        </r>
        <r>
          <rPr>
            <sz val="9"/>
            <color indexed="81"/>
            <rFont val="Tahoma"/>
            <family val="2"/>
          </rPr>
          <t xml:space="preserve">
Alt kører på el</t>
        </r>
      </text>
    </comment>
    <comment ref="B130" authorId="0" shapeId="0" xr:uid="{00000000-0006-0000-1D00-000007000000}">
      <text>
        <r>
          <rPr>
            <b/>
            <sz val="9"/>
            <color indexed="81"/>
            <rFont val="Tahoma"/>
            <family val="2"/>
          </rPr>
          <t>Author:</t>
        </r>
        <r>
          <rPr>
            <sz val="9"/>
            <color indexed="81"/>
            <rFont val="Tahoma"/>
            <family val="2"/>
          </rPr>
          <t xml:space="preserve">
Assumed that the unit is M tkm</t>
        </r>
      </text>
    </comment>
  </commentList>
</comments>
</file>

<file path=xl/sharedStrings.xml><?xml version="1.0" encoding="utf-8"?>
<sst xmlns="http://schemas.openxmlformats.org/spreadsheetml/2006/main" count="6396" uniqueCount="1923">
  <si>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</si>
  <si>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</si>
  <si>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</si>
  <si>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</si>
  <si>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</si>
  <si>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</si>
  <si>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</si>
  <si>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</si>
  <si>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</si>
  <si>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</si>
  <si>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</si>
  <si>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</si>
  <si>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</si>
  <si>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</si>
  <si>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</si>
  <si>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</si>
  <si>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</si>
  <si>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</si>
  <si>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</si>
  <si>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</si>
  <si>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</si>
  <si>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</si>
  <si>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</si>
  <si>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</si>
  <si>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</si>
  <si>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</si>
  <si>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</si>
  <si>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</si>
  <si>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</si>
  <si>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</si>
  <si>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</si>
  <si>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</si>
  <si>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</si>
  <si>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</si>
  <si>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</si>
  <si>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</si>
  <si>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</si>
  <si>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</si>
  <si>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</si>
  <si>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</si>
  <si>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</si>
  <si>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</si>
  <si>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</si>
  <si>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</si>
  <si>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</si>
  <si>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</si>
  <si>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DEMAND~DKE</t>
  </si>
  <si>
    <t>DEMAND~DKW</t>
  </si>
  <si>
    <t>NRG</t>
  </si>
  <si>
    <t>PRE</t>
  </si>
  <si>
    <t>Pja</t>
  </si>
  <si>
    <t>Electricity</t>
  </si>
  <si>
    <t>TJ</t>
  </si>
  <si>
    <t>LPG</t>
  </si>
  <si>
    <t>Biodiesel</t>
  </si>
  <si>
    <t>LIFE</t>
  </si>
  <si>
    <t>Year</t>
  </si>
  <si>
    <t>DAYNITE</t>
  </si>
  <si>
    <t>ELC</t>
  </si>
  <si>
    <t>ENV</t>
  </si>
  <si>
    <t>kt</t>
  </si>
  <si>
    <t>TRACO2</t>
  </si>
  <si>
    <t>TRANGA</t>
  </si>
  <si>
    <t>TRADSL</t>
  </si>
  <si>
    <t>TRAGSL</t>
  </si>
  <si>
    <t>TRALPG</t>
  </si>
  <si>
    <t>TRAELC</t>
  </si>
  <si>
    <t>TRACO2A</t>
  </si>
  <si>
    <t>TRACO2N</t>
  </si>
  <si>
    <t>CO2 Transport Aviation</t>
  </si>
  <si>
    <t>CO2 Transport Navigation</t>
  </si>
  <si>
    <t>CO2 Transport (no aviation and navigation)</t>
  </si>
  <si>
    <t>Mpass-km</t>
  </si>
  <si>
    <t>Mt-km</t>
  </si>
  <si>
    <t>TPCS</t>
  </si>
  <si>
    <t>TPCM</t>
  </si>
  <si>
    <t>TPCL</t>
  </si>
  <si>
    <t>Max km per year</t>
  </si>
  <si>
    <t>Minimum share</t>
  </si>
  <si>
    <t>TPSN</t>
  </si>
  <si>
    <t>TPSI</t>
  </si>
  <si>
    <t>TPAI</t>
  </si>
  <si>
    <t>TFVL</t>
  </si>
  <si>
    <t>Transport Freight Sea International</t>
  </si>
  <si>
    <t>Transport Freight Sea National</t>
  </si>
  <si>
    <t>Transport Freight Vans Long distance (&gt;50 km)</t>
  </si>
  <si>
    <t>Formål</t>
  </si>
  <si>
    <t>Turkædelængde</t>
  </si>
  <si>
    <t>Trspmiddel</t>
  </si>
  <si>
    <t>Homr</t>
  </si>
  <si>
    <t>%</t>
  </si>
  <si>
    <t>Østjylland</t>
  </si>
  <si>
    <t>Øvr østdk+B</t>
  </si>
  <si>
    <t>Øvr Vestdk</t>
  </si>
  <si>
    <t>Arbejdsplads</t>
  </si>
  <si>
    <t>under  10 km</t>
  </si>
  <si>
    <t>10-50 km</t>
  </si>
  <si>
    <t>50-100 km</t>
  </si>
  <si>
    <t>over 100 km</t>
  </si>
  <si>
    <t>Erhverv</t>
  </si>
  <si>
    <t>Fritid</t>
  </si>
  <si>
    <t>Uddannelsessted</t>
  </si>
  <si>
    <t>Ærinde</t>
  </si>
  <si>
    <t>Sum</t>
  </si>
  <si>
    <t>Int</t>
  </si>
  <si>
    <t>I denne tabel er opdelt efter områder (grupper af nye kommuner). Definition ses på fanen "geogrupper".</t>
  </si>
  <si>
    <t>Østjylland er defineret som hos By- &amp; Landskabsstyrelsen (og Transportministeriets strategiske analysearbejde)</t>
  </si>
  <si>
    <t>National bus</t>
  </si>
  <si>
    <t>&lt; 5km</t>
  </si>
  <si>
    <t>5-25 km</t>
  </si>
  <si>
    <t>25-50km</t>
  </si>
  <si>
    <t>&gt;50 km</t>
  </si>
  <si>
    <t>International bus</t>
  </si>
  <si>
    <t>Mio pkm</t>
  </si>
  <si>
    <t>From Per's Transport Model. Source: unclear.</t>
  </si>
  <si>
    <t>Shares</t>
  </si>
  <si>
    <t>East</t>
  </si>
  <si>
    <t>West</t>
  </si>
  <si>
    <t>&lt;100 km</t>
  </si>
  <si>
    <t>&gt;100 km</t>
  </si>
  <si>
    <t>Total</t>
  </si>
  <si>
    <t>National rail</t>
  </si>
  <si>
    <t>National rail (diesel)</t>
  </si>
  <si>
    <t>National rail (electricity)</t>
  </si>
  <si>
    <t>International rail (electricity)</t>
  </si>
  <si>
    <t>National air</t>
  </si>
  <si>
    <t>International air</t>
  </si>
  <si>
    <t>International air (1-1000km)</t>
  </si>
  <si>
    <t>International air (&gt;1000km)</t>
  </si>
  <si>
    <t>National sea</t>
  </si>
  <si>
    <t>International sea</t>
  </si>
  <si>
    <t>Passengers</t>
  </si>
  <si>
    <t>Freight</t>
  </si>
  <si>
    <t>National truck</t>
  </si>
  <si>
    <t>&lt;50km</t>
  </si>
  <si>
    <t>50-200km</t>
  </si>
  <si>
    <t>&gt;200km</t>
  </si>
  <si>
    <t>International truck</t>
  </si>
  <si>
    <t>Vans (2-6 t)</t>
  </si>
  <si>
    <t>&gt;50km</t>
  </si>
  <si>
    <t xml:space="preserve">National rail </t>
  </si>
  <si>
    <t>National cargo air</t>
  </si>
  <si>
    <t>Internationa cargo air</t>
  </si>
  <si>
    <t>National cargo sea</t>
  </si>
  <si>
    <t>International cargo sea</t>
  </si>
  <si>
    <t>DKE</t>
  </si>
  <si>
    <t>DKW</t>
  </si>
  <si>
    <t>Transport Freight Sea International - Existing</t>
  </si>
  <si>
    <t>kvehicles</t>
  </si>
  <si>
    <t>Region Hovedstaden</t>
  </si>
  <si>
    <t>Region Sjælland</t>
  </si>
  <si>
    <t>Region Syddanmark</t>
  </si>
  <si>
    <t>Region Midtjylland</t>
  </si>
  <si>
    <t>Region Nordjylland</t>
  </si>
  <si>
    <t>Data source: http://www.statistikbanken.dk/</t>
  </si>
  <si>
    <t>STOCK</t>
  </si>
  <si>
    <t>Age</t>
  </si>
  <si>
    <t>ACTFLO~DEMO</t>
  </si>
  <si>
    <t>Transport Freight Air International</t>
  </si>
  <si>
    <t>S-tog</t>
  </si>
  <si>
    <t>VEHICLES ON THE ROAD TOTAL</t>
  </si>
  <si>
    <t>Bicycles/Mopeds max. 30 km/h</t>
  </si>
  <si>
    <t>Motor vehicles total</t>
  </si>
  <si>
    <t>Private cars and vans under 2.001 kg.</t>
  </si>
  <si>
    <t>Vans over 2.000 kg.</t>
  </si>
  <si>
    <t>Taxis</t>
  </si>
  <si>
    <t>Motorcycles</t>
  </si>
  <si>
    <t>Mopeds max. 45 km/h</t>
  </si>
  <si>
    <t>Buses and coaches total</t>
  </si>
  <si>
    <t>Sceduled buses</t>
  </si>
  <si>
    <t>..</t>
  </si>
  <si>
    <t>Coaches and other buses</t>
  </si>
  <si>
    <t>Train</t>
  </si>
  <si>
    <t>Ship</t>
  </si>
  <si>
    <t>Aeroplane</t>
  </si>
  <si>
    <t>Passenger transport performance by means of transport and time</t>
  </si>
  <si>
    <t>Revision of statistics for buses is on-going. The figures are subject to uncertainty. In August 2011 The Danish Road Directorate revised several data on road transport statistics. For further information on methodology: please refer to The Danish Road Directorate's homepage: www.vd.dk. Source: The Danish Road Directorate (road traffic) and Statistics Denmark (train, ship and plane).</t>
  </si>
  <si>
    <t>.. indicates that the observation is missing or fall under the limit of discretion/uncertainty.</t>
  </si>
  <si>
    <t>Unit : million passenger-km</t>
  </si>
  <si>
    <t>Goods road transport (factual data) by unit, type of transport and time</t>
  </si>
  <si>
    <t>2010Q1</t>
  </si>
  <si>
    <t>2010Q2</t>
  </si>
  <si>
    <t>2010Q3</t>
  </si>
  <si>
    <t>2010Q4</t>
  </si>
  <si>
    <t>2011Q1</t>
  </si>
  <si>
    <t>2011Q2</t>
  </si>
  <si>
    <t>2011Q3</t>
  </si>
  <si>
    <t>2011Q4</t>
  </si>
  <si>
    <t>2012Q1</t>
  </si>
  <si>
    <t>2012Q2</t>
  </si>
  <si>
    <t>2012Q3</t>
  </si>
  <si>
    <t>2012Q4</t>
  </si>
  <si>
    <t>Weight of goods loaded, 1000 tonnes</t>
  </si>
  <si>
    <t>ALL TYPES OF TRANSPORT</t>
  </si>
  <si>
    <t>National transport</t>
  </si>
  <si>
    <t>For hire or reward</t>
  </si>
  <si>
    <t>For own account</t>
  </si>
  <si>
    <t>International transport, total</t>
  </si>
  <si>
    <t>To Denmark from abroad</t>
  </si>
  <si>
    <t>From Denmark to abroad</t>
  </si>
  <si>
    <t>Other international transport</t>
  </si>
  <si>
    <t>Transport performance, mio. tonne-km</t>
  </si>
  <si>
    <t>Covers Danish goods road vehicles over 6 tonnes of permissible laden weight</t>
  </si>
  <si>
    <t>AIRPORT TOTAL</t>
  </si>
  <si>
    <t>Copenhagen</t>
  </si>
  <si>
    <t>Billund</t>
  </si>
  <si>
    <t>Aarhus</t>
  </si>
  <si>
    <t>Aalborg</t>
  </si>
  <si>
    <t>Karup</t>
  </si>
  <si>
    <t>Esbjerg</t>
  </si>
  <si>
    <t>Bornholm</t>
  </si>
  <si>
    <t>Sønderborg</t>
  </si>
  <si>
    <t>Roskilde</t>
  </si>
  <si>
    <t>Thisted</t>
  </si>
  <si>
    <t>Odense</t>
  </si>
  <si>
    <t>Other airports</t>
  </si>
  <si>
    <t>National</t>
  </si>
  <si>
    <t>International</t>
  </si>
  <si>
    <t>Source: Civil Aviation Administration. From 2004 only bigger airports are included, i.e. airport with scheduled flights or with at least 50,000 flight operations annually. For Copenhagen goods with air bill transported by road is included up to 2007. From 2008 goods loaded and unloaded is included.</t>
  </si>
  <si>
    <t>Unit : 100 tonnes</t>
  </si>
  <si>
    <t>Air transport of goods via manned Danish airports by type of transport, airport and time</t>
  </si>
  <si>
    <t>Transport Freight Rail All</t>
  </si>
  <si>
    <t>Transport Freight Vans Short Distance (&lt;50 km)</t>
  </si>
  <si>
    <t>TFVS</t>
  </si>
  <si>
    <t>VEHICLES TOTAL</t>
  </si>
  <si>
    <t>Private cars</t>
  </si>
  <si>
    <t>Private cars with a petrol engine, total</t>
  </si>
  <si>
    <t>Private cars with diesel engine etc., total</t>
  </si>
  <si>
    <t>Vans total</t>
  </si>
  <si>
    <t>Vans with a petrol engine, total</t>
  </si>
  <si>
    <t>Vans with a petrol engine, total weight under 2,001 kg</t>
  </si>
  <si>
    <t>Vans with a petrol engine, total weight 2,001-3,500 kg</t>
  </si>
  <si>
    <t>Vans with diesel engine etc., total</t>
  </si>
  <si>
    <t>Vans with diesel engine etc., total weight under 2,001 kg</t>
  </si>
  <si>
    <t>Vans with diesel engine etc., total weight 2,001-3,500 kg</t>
  </si>
  <si>
    <t>Lorries, total</t>
  </si>
  <si>
    <t>Road tractos, total</t>
  </si>
  <si>
    <t>Buses for public transportation</t>
  </si>
  <si>
    <t>Buses for other purposes</t>
  </si>
  <si>
    <t>Source: Road Directorate. From 2001 new methodology based on odometer reading data has been applied. The motor vehicle traffic 2005-2009 is mainly estimated on basis of the development in the motor vehicle traffic index of the Road Directorate. The Road Directorate has revised the traffic data in Sep. 2010 and March 2011. Further information is presented on www.vd.dk.</t>
  </si>
  <si>
    <t>Unit : Million vehicle-km</t>
  </si>
  <si>
    <t>Road traffic of Dannish vehicles on Danish roads by means of transport and time</t>
  </si>
  <si>
    <t>Transport Passengers Sea International - Existing</t>
  </si>
  <si>
    <t>Domestic transport by ferry by unit, ferry route and time</t>
  </si>
  <si>
    <t>FERRY ROUTES TOTAL</t>
  </si>
  <si>
    <t>Korsør-Nyborg, DSB</t>
  </si>
  <si>
    <t>Korsør-Nyborg, Vognmandsruten</t>
  </si>
  <si>
    <t>Halsskov-Knudshoved</t>
  </si>
  <si>
    <t>Kalundborg-Juelsminde</t>
  </si>
  <si>
    <t>Kalundborg-Aarhus</t>
  </si>
  <si>
    <t>Sjællands Odde-Ebeltoft</t>
  </si>
  <si>
    <t>Sjællands Odde-Aarhus</t>
  </si>
  <si>
    <t>Hundested-Grenaa</t>
  </si>
  <si>
    <t>Korsør-Lohals</t>
  </si>
  <si>
    <t>København-Aarhus</t>
  </si>
  <si>
    <t>København-Rønne</t>
  </si>
  <si>
    <t>Kastrup-Rønne</t>
  </si>
  <si>
    <t>Køge-Rønne</t>
  </si>
  <si>
    <t>Hundested-Rørvig</t>
  </si>
  <si>
    <t>Havnsø-Sejerø</t>
  </si>
  <si>
    <t>Frederikssund-Roskilde</t>
  </si>
  <si>
    <t>Holbæk-Orø</t>
  </si>
  <si>
    <t>Kalundborg-Samsø</t>
  </si>
  <si>
    <t>Stigsnæs-Agersø</t>
  </si>
  <si>
    <t>Stigsnæs-Omø</t>
  </si>
  <si>
    <t>Stubbekøbing-Bogø</t>
  </si>
  <si>
    <t>Bandholm-Askø</t>
  </si>
  <si>
    <t>Fejø-Kragenæs</t>
  </si>
  <si>
    <t>Femø-Kragenæs</t>
  </si>
  <si>
    <t>Tårs-Spodsbjerg</t>
  </si>
  <si>
    <t>Fåborg-Søby</t>
  </si>
  <si>
    <t>Fåborg-Avernakø-Lyø</t>
  </si>
  <si>
    <t>Svendborg-Ærøskøbing</t>
  </si>
  <si>
    <t>Svendborg-Skarø-Drejø</t>
  </si>
  <si>
    <t>Rudkøbing-Marstal</t>
  </si>
  <si>
    <t>Rudkøbing-Strynø</t>
  </si>
  <si>
    <t>Assens-Baagø</t>
  </si>
  <si>
    <t>Søby-Mommark</t>
  </si>
  <si>
    <t>Søby-Fynshav</t>
  </si>
  <si>
    <t>Bøjden-Fynshav</t>
  </si>
  <si>
    <t>Ballebro-Hardeshøj</t>
  </si>
  <si>
    <t>Aarø-Aarøsund</t>
  </si>
  <si>
    <t>Horsens-Endelave</t>
  </si>
  <si>
    <t>Hov-Samsø</t>
  </si>
  <si>
    <t>Hov-Tunø</t>
  </si>
  <si>
    <t>Grenaa-Anholt</t>
  </si>
  <si>
    <t>Hals-Egense</t>
  </si>
  <si>
    <t>Frederikshavn-Læsø</t>
  </si>
  <si>
    <t>Feggesund overfart</t>
  </si>
  <si>
    <t>Næssund overfart</t>
  </si>
  <si>
    <t>Hvalpsund-Sundsøre</t>
  </si>
  <si>
    <t>Branden-Fur</t>
  </si>
  <si>
    <t>Kleppen-Venø</t>
  </si>
  <si>
    <t>Thyborøn-Agger</t>
  </si>
  <si>
    <t>Esbjerg-Fanø</t>
  </si>
  <si>
    <t>Transport performance, 1000 tonne-kilometres</t>
  </si>
  <si>
    <t>For som lines lorries include trailers and semi-trailers. Prior to 1996 bycycles are only made up for the summer season (April - September)</t>
  </si>
  <si>
    <t>International transport by ferry by unit, ferry route and time</t>
  </si>
  <si>
    <t>København-Malmö</t>
  </si>
  <si>
    <t>København-Landskrona</t>
  </si>
  <si>
    <t>København-Helsingborg</t>
  </si>
  <si>
    <t>København-Göteborg</t>
  </si>
  <si>
    <t>Københavns Frihavn-Helsingborg</t>
  </si>
  <si>
    <t>Tuborg Havn-Landskorna</t>
  </si>
  <si>
    <t>Tuborg Havn-Helsingborg</t>
  </si>
  <si>
    <t>Dragør-Limhamn</t>
  </si>
  <si>
    <t>Kastrup-Malmö</t>
  </si>
  <si>
    <t>Helsingør-Helsingborg</t>
  </si>
  <si>
    <t>Helsingør-Halmstad</t>
  </si>
  <si>
    <t>Hundested-Helsingborg</t>
  </si>
  <si>
    <t>Snekkersten-Helsingborg</t>
  </si>
  <si>
    <t>Rønne-Ystad</t>
  </si>
  <si>
    <t>Allinge-Simrishamn</t>
  </si>
  <si>
    <t>Frederikshavn-Göteborg</t>
  </si>
  <si>
    <t>Skagen-Kungsham</t>
  </si>
  <si>
    <t>Skagen-Marstrand</t>
  </si>
  <si>
    <t>Grenå-Varberg</t>
  </si>
  <si>
    <t>Grenå-Halmstad</t>
  </si>
  <si>
    <t>København-Oslo</t>
  </si>
  <si>
    <t>Frederikshavn-Oslo</t>
  </si>
  <si>
    <t>Frederikshavn-Larvik</t>
  </si>
  <si>
    <t>Frederikshavn-Larvik-Moss</t>
  </si>
  <si>
    <t>Frederikshavn-Moss</t>
  </si>
  <si>
    <t>Frederikshavn-Langesund</t>
  </si>
  <si>
    <t>Skagen-Larvik</t>
  </si>
  <si>
    <t>Hirtshals-Oslo</t>
  </si>
  <si>
    <t>Hirtshals-Larvik</t>
  </si>
  <si>
    <t>Hirtshals-Langesund</t>
  </si>
  <si>
    <t>Hirtshals-Kristiansand</t>
  </si>
  <si>
    <t>Hirtshals-Moss</t>
  </si>
  <si>
    <t>Hirtshals-Stavanger-Bergen</t>
  </si>
  <si>
    <t>Hanstholm-Egersund-Bergen</t>
  </si>
  <si>
    <t>Hanstholm-Kristiansand</t>
  </si>
  <si>
    <t>København-Swinoujscie</t>
  </si>
  <si>
    <t>København-Gdansk</t>
  </si>
  <si>
    <t>Rønne-Swinoujscie</t>
  </si>
  <si>
    <t>Nexø-Polen</t>
  </si>
  <si>
    <t>Korsør-Kiel</t>
  </si>
  <si>
    <t>Gedser-Warnemünde</t>
  </si>
  <si>
    <t>Gedser-Rostock</t>
  </si>
  <si>
    <t>Gedser-Travemünde</t>
  </si>
  <si>
    <t>Rødby Færgehavn-Puttgarden</t>
  </si>
  <si>
    <t>Rønne-Mukran</t>
  </si>
  <si>
    <t>Rønne-Fährhafen Sassnitz</t>
  </si>
  <si>
    <t>Rønne-Travemünde</t>
  </si>
  <si>
    <t>Fåborg-Gelting</t>
  </si>
  <si>
    <t>Bagenkop-Kiel</t>
  </si>
  <si>
    <t>Havneby-List</t>
  </si>
  <si>
    <t>Esbjerg-Harwich</t>
  </si>
  <si>
    <t>Esbjerg-Newcastle</t>
  </si>
  <si>
    <t>Hirtshals-Torshavn</t>
  </si>
  <si>
    <t>Hanstholm-Torshavn</t>
  </si>
  <si>
    <t>Esbjerg-Torshavn</t>
  </si>
  <si>
    <t>Transport Freight Truck Short Distance (&lt;50 km)</t>
  </si>
  <si>
    <t>Transport Freight Truck Long Distance National (&gt;50 km)</t>
  </si>
  <si>
    <t>Transport Freight Truck Long Distance International (&gt;50 km)</t>
  </si>
  <si>
    <t>TRAHFO</t>
  </si>
  <si>
    <t>TRAKER</t>
  </si>
  <si>
    <t>TRAGSB</t>
  </si>
  <si>
    <t>TRADSB</t>
  </si>
  <si>
    <t>TRASNG</t>
  </si>
  <si>
    <t>TRAKRB</t>
  </si>
  <si>
    <t>Diesel TRA</t>
  </si>
  <si>
    <t>Gasoline TRA</t>
  </si>
  <si>
    <t>Nat. Gas TRA</t>
  </si>
  <si>
    <t>Liquid petrol gas TRA</t>
  </si>
  <si>
    <t>Electricity TRA</t>
  </si>
  <si>
    <t>Kerosene TRA</t>
  </si>
  <si>
    <t>Heavy Fuel Oil TRA</t>
  </si>
  <si>
    <t>Biokerosene TRA</t>
  </si>
  <si>
    <t>Source</t>
  </si>
  <si>
    <t>Annual driving values</t>
  </si>
  <si>
    <t>Vehicle type</t>
  </si>
  <si>
    <t>km</t>
  </si>
  <si>
    <t>Car</t>
  </si>
  <si>
    <t>Bus</t>
  </si>
  <si>
    <t>Truck</t>
  </si>
  <si>
    <t>ad_beregningsmodel_version_2_1_maj_2013 (4)</t>
  </si>
  <si>
    <t>COWI, Alternative drivmidler, Maj 2013</t>
  </si>
  <si>
    <t>Persontransport</t>
  </si>
  <si>
    <t>Godstransport</t>
  </si>
  <si>
    <t>Personbiler</t>
  </si>
  <si>
    <t>Benzin</t>
  </si>
  <si>
    <t xml:space="preserve">Diesel </t>
  </si>
  <si>
    <t>Naturgas</t>
  </si>
  <si>
    <t>Biogas</t>
  </si>
  <si>
    <t xml:space="preserve">Bioethanol </t>
  </si>
  <si>
    <t xml:space="preserve">Elektricitet </t>
  </si>
  <si>
    <t>Brint</t>
  </si>
  <si>
    <t>Busser</t>
  </si>
  <si>
    <t>Knallerter (30 og 45)</t>
  </si>
  <si>
    <t>Motorcykler</t>
  </si>
  <si>
    <t>Varebiler u. 2 t</t>
  </si>
  <si>
    <t>Varebiler 2-3,5 t</t>
  </si>
  <si>
    <t>Små lastbiler 3,5-6 t</t>
  </si>
  <si>
    <t>Lastbiler o. 6 t (inkl. sættevognstrækkere)</t>
  </si>
  <si>
    <t>I alt</t>
  </si>
  <si>
    <t>I alt fra Energistatistik2010 (PJ)</t>
  </si>
  <si>
    <t>I alt fra Energistatistik2010 (TJ)</t>
  </si>
  <si>
    <t>FORSKEL (TJ)</t>
  </si>
  <si>
    <t>Historiske energiforbrug - ENS</t>
  </si>
  <si>
    <t>&lt;5 km</t>
  </si>
  <si>
    <t>25-50 km</t>
  </si>
  <si>
    <t>Work</t>
  </si>
  <si>
    <t>Leasure</t>
  </si>
  <si>
    <t>Workplace</t>
  </si>
  <si>
    <t>Free time</t>
  </si>
  <si>
    <t>Metro</t>
  </si>
  <si>
    <t>Andre tog (lokal baner mv.)</t>
  </si>
  <si>
    <t>Fjern- og regionaltog</t>
  </si>
  <si>
    <t>Målt i MJ/km</t>
  </si>
  <si>
    <t>År</t>
  </si>
  <si>
    <t>Kategori</t>
  </si>
  <si>
    <t>Primært drivmiddel</t>
  </si>
  <si>
    <r>
      <t xml:space="preserve">Tabel 7: </t>
    </r>
    <r>
      <rPr>
        <sz val="10"/>
        <rFont val="Arial"/>
        <family val="2"/>
      </rPr>
      <t>Transport activities divided by journey's primary purpose group,  overall length and location (residence)</t>
    </r>
  </si>
  <si>
    <t>Education</t>
  </si>
  <si>
    <t>Buisness</t>
  </si>
  <si>
    <t>Currier</t>
  </si>
  <si>
    <t>light</t>
  </si>
  <si>
    <t>other</t>
  </si>
  <si>
    <t>car</t>
  </si>
  <si>
    <t>collective</t>
  </si>
  <si>
    <t xml:space="preserve">Rail </t>
  </si>
  <si>
    <t>Motor Gasoline</t>
  </si>
  <si>
    <t>Other Kerosene</t>
  </si>
  <si>
    <t>Gas-/Diesel Oil</t>
  </si>
  <si>
    <t>Direct Energy Contents [TJ]</t>
  </si>
  <si>
    <t>Observed Consumption</t>
  </si>
  <si>
    <t>Transport</t>
  </si>
  <si>
    <t>Aviation Gasoline</t>
  </si>
  <si>
    <t>JP4</t>
  </si>
  <si>
    <t>JP1</t>
  </si>
  <si>
    <t>Fuel Oil</t>
  </si>
  <si>
    <t>Bioethanol</t>
  </si>
  <si>
    <t xml:space="preserve">Road </t>
  </si>
  <si>
    <t>Domestic Sea Transport</t>
  </si>
  <si>
    <t>Domestic Aviation</t>
  </si>
  <si>
    <t>International Aviation</t>
  </si>
  <si>
    <t>Military Transport</t>
  </si>
  <si>
    <t>Energieffektivitetstal</t>
  </si>
  <si>
    <t>Energiforbrug per kilometer</t>
  </si>
  <si>
    <t>Personbiler (inkl. taxi)</t>
  </si>
  <si>
    <t>Godstog</t>
  </si>
  <si>
    <t>Kilde: Bemærk særligt at energiintensiteter for køretøjer til vejtransport pr. 30. august 2012 er baseret på egne modelberegninger udviklet og gennemført for Energistyrelsen. For data for motorcykler og knallerter er der dog tale om DMU-data (fra Annex 2B-6 i NERI Technical Report no. 821 2011).</t>
  </si>
  <si>
    <t>Final Energy Consumption in Transport sheet from Danish Energy Statistics</t>
  </si>
  <si>
    <t>E</t>
  </si>
  <si>
    <t>W</t>
  </si>
  <si>
    <t xml:space="preserve">National </t>
  </si>
  <si>
    <t>copied from PassangersFreightSea sheet</t>
  </si>
  <si>
    <t>copied from PassangersFreightAir sheet</t>
  </si>
  <si>
    <t>Passenger transport activity (toe/Mpkm)</t>
  </si>
  <si>
    <t>Road transport</t>
  </si>
  <si>
    <t>Public road transport</t>
  </si>
  <si>
    <t>Rail</t>
  </si>
  <si>
    <t>Aviation</t>
  </si>
  <si>
    <t>Inland navigation</t>
  </si>
  <si>
    <t>Freight transport activity (toe/Mtkm)</t>
  </si>
  <si>
    <t>Trucks</t>
  </si>
  <si>
    <t>Denmark:Baseline with adopted measures</t>
  </si>
  <si>
    <t>TRANSPORT SECTOR</t>
  </si>
  <si>
    <t>'00-'10</t>
  </si>
  <si>
    <t>'10-'20</t>
  </si>
  <si>
    <t>'20-'30</t>
  </si>
  <si>
    <t>'30-'40</t>
  </si>
  <si>
    <t>'40-'50</t>
  </si>
  <si>
    <t>Annual % Change</t>
  </si>
  <si>
    <t>toe/Mtkm</t>
  </si>
  <si>
    <t>PJ/Mtkm</t>
  </si>
  <si>
    <t>Mtkm/PJ</t>
  </si>
  <si>
    <t>Final Energy Demand (in ktoe)</t>
  </si>
  <si>
    <t>By transport mean</t>
  </si>
  <si>
    <t>By transport activity</t>
  </si>
  <si>
    <t>Passenger transport</t>
  </si>
  <si>
    <t>Freight transport</t>
  </si>
  <si>
    <t>ktoe</t>
  </si>
  <si>
    <t>copied from Energy Statistics</t>
  </si>
  <si>
    <t>1000 tkm</t>
  </si>
  <si>
    <t>Sea National freight</t>
  </si>
  <si>
    <t>Sea International freight</t>
  </si>
  <si>
    <t>ships national</t>
  </si>
  <si>
    <t>ships international</t>
  </si>
  <si>
    <t>airplane national</t>
  </si>
  <si>
    <t>airplane international</t>
  </si>
  <si>
    <t>Frieght is only beung transported by Rail, aviation, inland navigation</t>
  </si>
  <si>
    <t>Passanger demand share</t>
  </si>
  <si>
    <t>Freight demand share</t>
  </si>
  <si>
    <t>2010</t>
  </si>
  <si>
    <t>2011</t>
  </si>
  <si>
    <t>Total energy (ktoe)</t>
  </si>
  <si>
    <t>Total energy (PJ)</t>
  </si>
  <si>
    <t>Ship freight shares</t>
  </si>
  <si>
    <t>100 t</t>
  </si>
  <si>
    <t>Airplane National Freight</t>
  </si>
  <si>
    <t>Airplane International freight</t>
  </si>
  <si>
    <t>DKE freight share</t>
  </si>
  <si>
    <t>DKW freight share</t>
  </si>
  <si>
    <t>Mio tkm</t>
  </si>
  <si>
    <t>All Denmark</t>
  </si>
  <si>
    <t>MJ/km</t>
  </si>
  <si>
    <t>Mvehicle*km/PJ</t>
  </si>
  <si>
    <t>Airplane passanger shares</t>
  </si>
  <si>
    <t>freight demand shares</t>
  </si>
  <si>
    <t>passanger demand shares</t>
  </si>
  <si>
    <t>Long</t>
  </si>
  <si>
    <t>Short</t>
  </si>
  <si>
    <t>Share interpolation rule</t>
  </si>
  <si>
    <t>*Description</t>
  </si>
  <si>
    <t>Søfart, indenrigs persontransport</t>
  </si>
  <si>
    <t>Fuelolie</t>
  </si>
  <si>
    <t>Søfart, indenrigs godstransport ekskl. platforme i Nordsøen</t>
  </si>
  <si>
    <t>Søfart, indenrigs godstransport, oliepatforme i Nordsøen</t>
  </si>
  <si>
    <t>Luftfart, indenrigs persontransport</t>
  </si>
  <si>
    <t>Flyvebenzin</t>
  </si>
  <si>
    <t>Øvrige</t>
  </si>
  <si>
    <t xml:space="preserve">Luftfart, indenrigs godstransport </t>
  </si>
  <si>
    <t>Luftfart, udenrigs persontransport</t>
  </si>
  <si>
    <t xml:space="preserve">Luftfart, udenrigs godstransport </t>
  </si>
  <si>
    <t>DSB1</t>
  </si>
  <si>
    <t>DSB2</t>
  </si>
  <si>
    <t>Share~UP</t>
  </si>
  <si>
    <t>Start</t>
  </si>
  <si>
    <t>Share~LO</t>
  </si>
  <si>
    <t>GSB1</t>
  </si>
  <si>
    <t>GSB2</t>
  </si>
  <si>
    <t>KRB1</t>
  </si>
  <si>
    <t>KRB2</t>
  </si>
  <si>
    <t>FT-TRADSBLD1</t>
  </si>
  <si>
    <t>FT-TRADSBLD4</t>
  </si>
  <si>
    <t>FT-TRADSBLD3</t>
  </si>
  <si>
    <t>FT-TRADSBLD2</t>
  </si>
  <si>
    <t>FT-TRAGSBLD1</t>
  </si>
  <si>
    <t>FT-TRAGSBLD4</t>
  </si>
  <si>
    <t>FT-TRAGSBLD3</t>
  </si>
  <si>
    <t>FT-TRAGSBLD2</t>
  </si>
  <si>
    <t>SNG1</t>
  </si>
  <si>
    <t>SNG2</t>
  </si>
  <si>
    <t>FT-TRANGBLD1</t>
  </si>
  <si>
    <t>FT-TRANGBLD2</t>
  </si>
  <si>
    <t>FT-TRANGBLD3</t>
  </si>
  <si>
    <t>FT-TRANGBLD4</t>
  </si>
  <si>
    <t>TRADSBL1</t>
  </si>
  <si>
    <t>TRADSBL2</t>
  </si>
  <si>
    <t>TRADSBL3</t>
  </si>
  <si>
    <t>TRADSBL4</t>
  </si>
  <si>
    <t>TRANGBL1</t>
  </si>
  <si>
    <t>TRANGBL2</t>
  </si>
  <si>
    <t>TRANGBL3</t>
  </si>
  <si>
    <t>TRANGBL4</t>
  </si>
  <si>
    <t>FT-TRADSBLD5</t>
  </si>
  <si>
    <t>TRADSBL5</t>
  </si>
  <si>
    <t>FT-TRAGSBLD5</t>
  </si>
  <si>
    <t>FT-TRANGBLD5</t>
  </si>
  <si>
    <t>TRANGBL5</t>
  </si>
  <si>
    <t>TRAGSBL1</t>
  </si>
  <si>
    <t>TRAGSBL2</t>
  </si>
  <si>
    <t>TRAGSBL3</t>
  </si>
  <si>
    <t>TRAGSBL4</t>
  </si>
  <si>
    <t>TRAGSBL5</t>
  </si>
  <si>
    <t>Biodiesel (1G &amp; 2G) TRA</t>
  </si>
  <si>
    <t>Bioethanol (1G &amp; 2G) TRA</t>
  </si>
  <si>
    <t>Bio Synt. Nat. Gas (1G &amp; 2G) TRA</t>
  </si>
  <si>
    <t>Blended Fuel - Diesel &amp; Biodiesel - level 1 - TRA</t>
  </si>
  <si>
    <t>Blended Fuel - Diesel &amp; Biodiesel - level 2 - TRA</t>
  </si>
  <si>
    <t>Blended Fuel - Diesel &amp; Biodiesel - level 3 - TRA</t>
  </si>
  <si>
    <t>Blended Fuel - Diesel &amp; Biodiesel - level 4 - TRA</t>
  </si>
  <si>
    <t>Blended Fuel - Diesel &amp; Biodiesel - level 5 - TRA</t>
  </si>
  <si>
    <t>Blended Fuel - Gasoline &amp; Bioethanol - level 1 - TRA</t>
  </si>
  <si>
    <t>Blended Fuel - Gasoline &amp; Bioethanol - level 2 - TRA</t>
  </si>
  <si>
    <t>Blended Fuel - Gasoline &amp; Bioethanol - level 3 - TRA</t>
  </si>
  <si>
    <t>Blended Fuel - Gasoline &amp; Bioethanol - level 4 - TRA</t>
  </si>
  <si>
    <t>Blended Fuel - Gasoline &amp; Bioethanol - level 5 - TRA</t>
  </si>
  <si>
    <t>Blended Fuel - NGA &amp; SNG - level 1 - TRA</t>
  </si>
  <si>
    <t>Blended Fuel - NGA &amp; SNG - level 2 - TRA</t>
  </si>
  <si>
    <t>Blended Fuel - NGA &amp; SNG - level 3 - TRA</t>
  </si>
  <si>
    <t>Blended Fuel - NGA &amp; SNG - level 4 - TRA</t>
  </si>
  <si>
    <t>Blended Fuel - NGA &amp; SNG - level 5 - TRA</t>
  </si>
  <si>
    <t>Transport Passengers Cars - Diesel Engine - Blending 1 - Average size - Existing</t>
  </si>
  <si>
    <t>Transport Passengers Cars - Otto Engine - Blending 1 - Average size - Existing</t>
  </si>
  <si>
    <t>Transport Passengers Cars - LPG - Average size - Existing</t>
  </si>
  <si>
    <t>Transport Passengers Cars - Gas Engine - Blending 1 - Average size - Existing</t>
  </si>
  <si>
    <t>Transport Passengers Air National - Blending 1 - Existing</t>
  </si>
  <si>
    <t>Transport Freight Train - Diesel Engine - Blending 1 - Existing</t>
  </si>
  <si>
    <t>Transport Freight Train - Electric - Existing</t>
  </si>
  <si>
    <t>Transport Freight Air International - Blending 1 - Existing</t>
  </si>
  <si>
    <t>Fuel Technology Diesel &amp; Biodiesel Blending - level 1</t>
  </si>
  <si>
    <t>Fuel Technology Diesel &amp; Biodiesel Blending - level 5</t>
  </si>
  <si>
    <t>Fuel Technology Diesel &amp; Biodiesel Blending - level 2</t>
  </si>
  <si>
    <t>Fuel Technology Diesel &amp; Biodiesel Blending - level 3</t>
  </si>
  <si>
    <t>Fuel Technology Diesel &amp; Biodiesel Blending - level 4</t>
  </si>
  <si>
    <t>Fuel Technology Gasoline &amp; Bioethanol Blending - level 1</t>
  </si>
  <si>
    <t>Fuel Technology Gasoline &amp; Bioethanol Blending - level 2</t>
  </si>
  <si>
    <t>Fuel Technology Gasoline &amp; Bioethanol Blending - level 3</t>
  </si>
  <si>
    <t>Fuel Technology Gasoline &amp; Bioethanol Blending - level 4</t>
  </si>
  <si>
    <t>Fuel Technology Gasoline &amp; Bioethanol Blending - level 5</t>
  </si>
  <si>
    <t>Fuel Technology Kerosene &amp; Biokerosene Blending - level 1</t>
  </si>
  <si>
    <t>Fuel Technology Kerosene &amp; Biokerosene Blending - level 2</t>
  </si>
  <si>
    <t>Fuel Technology Kerosene &amp; Biokerosene Blending - level 3</t>
  </si>
  <si>
    <t>Fuel Technology Kerosene &amp; Biokerosene Blending - level 4</t>
  </si>
  <si>
    <t>Fuel Technology Kerosene &amp; Biokerosene Blending - level 5</t>
  </si>
  <si>
    <t>Share~UP~0</t>
  </si>
  <si>
    <t>Share~LO~0</t>
  </si>
  <si>
    <t>AFA</t>
  </si>
  <si>
    <t>Transport Passengers Sea National</t>
  </si>
  <si>
    <t>Transport Passengers Sea International</t>
  </si>
  <si>
    <t>Transport Passengers Air National</t>
  </si>
  <si>
    <t>Transport Passengers Air International</t>
  </si>
  <si>
    <t>East-West split for cars, mpk</t>
  </si>
  <si>
    <t>East-West split for public transport, mpk</t>
  </si>
  <si>
    <t>STOCK~2010</t>
  </si>
  <si>
    <t>Transportvane undersoegelsen from 2010</t>
  </si>
  <si>
    <t>Unknown</t>
  </si>
  <si>
    <t>2014</t>
  </si>
  <si>
    <t>2012</t>
  </si>
  <si>
    <t>2013</t>
  </si>
  <si>
    <t>Unit: 1000</t>
  </si>
  <si>
    <t>Departing passengers from bigger, public, manned airports by flight, type of transport, airport and time</t>
  </si>
  <si>
    <t>Units: 100 tonnes</t>
  </si>
  <si>
    <t>Danish ships 1st January by unit, ship`s register, type of vessel and time</t>
  </si>
  <si>
    <t>Units: -</t>
  </si>
  <si>
    <t>2015</t>
  </si>
  <si>
    <t>Number of ships</t>
  </si>
  <si>
    <t>SHIPS TOTAL</t>
  </si>
  <si>
    <t>CARGO VESSELS TOTAL</t>
  </si>
  <si>
    <t>PASSENGER SHIPS AND FERRIES</t>
  </si>
  <si>
    <t>FISHING VESSELS</t>
  </si>
  <si>
    <t>OTHER SHIPS</t>
  </si>
  <si>
    <t>Danish Register of Shipping</t>
  </si>
  <si>
    <t>Danish International Register of Shipping (DIS)</t>
  </si>
  <si>
    <t>SKIB31</t>
  </si>
  <si>
    <t>Airplanes</t>
  </si>
  <si>
    <t>Seats</t>
  </si>
  <si>
    <t>Aircrafts, total</t>
  </si>
  <si>
    <t>Jet, 2 engines</t>
  </si>
  <si>
    <t>Jet, 3-4 engines</t>
  </si>
  <si>
    <t>Turbo-propeller, 2 engines</t>
  </si>
  <si>
    <t>Turbo-propeller,4 engines</t>
  </si>
  <si>
    <t>Propeller, 1 engine</t>
  </si>
  <si>
    <t>Propeller, 2 engines</t>
  </si>
  <si>
    <t>Helicopter</t>
  </si>
  <si>
    <t>Departing passengers</t>
  </si>
  <si>
    <t>AIRPORT TOT</t>
  </si>
  <si>
    <t>Average seats per airplane</t>
  </si>
  <si>
    <t>Average energy consumption airplane</t>
  </si>
  <si>
    <t>Average energy consumption airplane per seat</t>
  </si>
  <si>
    <t>per airplane</t>
  </si>
  <si>
    <t>per seat</t>
  </si>
  <si>
    <t>Seats per flight on Sas ariplane</t>
  </si>
  <si>
    <t>Passenger transport performance by air by time and type of transport</t>
  </si>
  <si>
    <t>Unit. Mpkm</t>
  </si>
  <si>
    <t>Airplane National freight</t>
  </si>
  <si>
    <t>Airplane freight shares</t>
  </si>
  <si>
    <t>unit:100 tonns</t>
  </si>
  <si>
    <t>1000 t</t>
  </si>
  <si>
    <t>occupancy factor</t>
  </si>
  <si>
    <t>Average occupancy factor on SASA airplanes, from Adrivenmodellen</t>
  </si>
  <si>
    <t>total flights arriving and departing</t>
  </si>
  <si>
    <t>Number of flights arriving and departing in total</t>
  </si>
  <si>
    <t>Total passengers in danish airports</t>
  </si>
  <si>
    <t>Total freight in Danish airports</t>
  </si>
  <si>
    <t>Total national passengers</t>
  </si>
  <si>
    <t>Total international passengers</t>
  </si>
  <si>
    <t>Arriving passengers</t>
  </si>
  <si>
    <t>Occupancy factors</t>
  </si>
  <si>
    <t>International airplanes</t>
  </si>
  <si>
    <t>National airplanes</t>
  </si>
  <si>
    <t>pkm</t>
  </si>
  <si>
    <t>pkm/flight</t>
  </si>
  <si>
    <t>km/flight</t>
  </si>
  <si>
    <t>Number of kilometers per all airplanes</t>
  </si>
  <si>
    <t>number of hours flying per year</t>
  </si>
  <si>
    <t>average speed km/h</t>
  </si>
  <si>
    <t>Days at sea/total voyage time</t>
  </si>
  <si>
    <t>ratio</t>
  </si>
  <si>
    <t>Cruise Speed</t>
  </si>
  <si>
    <t>knots</t>
  </si>
  <si>
    <t>Length of nautical mile</t>
  </si>
  <si>
    <t>km/nm</t>
  </si>
  <si>
    <t>Data from AletrnativDrivmodellen</t>
  </si>
  <si>
    <t>Maximum km per year</t>
  </si>
  <si>
    <t>Hours per year</t>
  </si>
  <si>
    <t>Speed national</t>
  </si>
  <si>
    <t>km/h</t>
  </si>
  <si>
    <t>Speed international</t>
  </si>
  <si>
    <t>h/y</t>
  </si>
  <si>
    <t>National max km/y</t>
  </si>
  <si>
    <t>International max km/h</t>
  </si>
  <si>
    <t>km/y</t>
  </si>
  <si>
    <t>Demand MVkm</t>
  </si>
  <si>
    <t xml:space="preserve">Demand </t>
  </si>
  <si>
    <t>EFFICIENCIES</t>
  </si>
  <si>
    <t>Demand 2010 (Pkm)</t>
  </si>
  <si>
    <t>Demand 2010 (Tkm)</t>
  </si>
  <si>
    <t>Tankers</t>
  </si>
  <si>
    <t>Dry cargo vessels</t>
  </si>
  <si>
    <t>Airplane freight sums</t>
  </si>
  <si>
    <t>ship freight sums</t>
  </si>
  <si>
    <t>Mpkm, Mtkm</t>
  </si>
  <si>
    <t>Loads (tons per vehicle)</t>
  </si>
  <si>
    <t xml:space="preserve">Mvehicle*km/PJ  </t>
  </si>
  <si>
    <t>Passengers/vehicle</t>
  </si>
  <si>
    <t>Share-I~FX~2010</t>
  </si>
  <si>
    <t>Aviation gasoline TRA</t>
  </si>
  <si>
    <t>Transport Passengers Air National - Aviation gasoline - Existing</t>
  </si>
  <si>
    <t>AVGSL</t>
  </si>
  <si>
    <t>KEBL</t>
  </si>
  <si>
    <t>Number of airplanes</t>
  </si>
  <si>
    <t>Number of seats</t>
  </si>
  <si>
    <t>TPAN KRS</t>
  </si>
  <si>
    <t>TPAN AVGSL</t>
  </si>
  <si>
    <t>Average national occupancy according to TEMA</t>
  </si>
  <si>
    <t>Calibrated occupancy factor</t>
  </si>
  <si>
    <t>Share-I~FX~0</t>
  </si>
  <si>
    <t>FromRegion</t>
  </si>
  <si>
    <t>FromUrbanization</t>
  </si>
  <si>
    <t>DistanceInterval</t>
  </si>
  <si>
    <t>PersonTripsPrWD</t>
  </si>
  <si>
    <t>PKM_WD</t>
  </si>
  <si>
    <t>PM_WD</t>
  </si>
  <si>
    <t>PersonTripsPrYear</t>
  </si>
  <si>
    <t>PKM</t>
  </si>
  <si>
    <t>PM</t>
  </si>
  <si>
    <t>AvgTotalSpeed</t>
  </si>
  <si>
    <t>DKO</t>
  </si>
  <si>
    <t>Urban</t>
  </si>
  <si>
    <t>Bike travel demand (Pkm)</t>
  </si>
  <si>
    <t>Medium</t>
  </si>
  <si>
    <t>Suburban</t>
  </si>
  <si>
    <t>Rural</t>
  </si>
  <si>
    <t>DKV</t>
  </si>
  <si>
    <t>Total DKE</t>
  </si>
  <si>
    <t>Total DKW</t>
  </si>
  <si>
    <t>Walk travel demand (Pkm)</t>
  </si>
  <si>
    <t>TPBIS</t>
  </si>
  <si>
    <t>TPWS</t>
  </si>
  <si>
    <t>Other</t>
  </si>
  <si>
    <t>Bicycle</t>
  </si>
  <si>
    <t>Walk</t>
  </si>
  <si>
    <t>Bus, public transport</t>
  </si>
  <si>
    <t>Car passenger</t>
  </si>
  <si>
    <t>Car driver</t>
  </si>
  <si>
    <t>10-17 years</t>
  </si>
  <si>
    <t>18-29 years</t>
  </si>
  <si>
    <t>30-59 year</t>
  </si>
  <si>
    <t>60-69 years</t>
  </si>
  <si>
    <t>70-85 years</t>
  </si>
  <si>
    <t>Weights</t>
  </si>
  <si>
    <t>Population ()</t>
  </si>
  <si>
    <t>Average daily transport per age class</t>
  </si>
  <si>
    <t>Max km per year bike</t>
  </si>
  <si>
    <t>Max km per year walk</t>
  </si>
  <si>
    <t>Average km/(day*person) by bike Denmark</t>
  </si>
  <si>
    <t>Average km/(day*person) on foot Denmark</t>
  </si>
  <si>
    <t>Forecastyear</t>
  </si>
  <si>
    <t>Mode</t>
  </si>
  <si>
    <t>Bike</t>
  </si>
  <si>
    <t>Transport Passengers - Bike - Existing</t>
  </si>
  <si>
    <t>Transport Passengers - Walk - Existing</t>
  </si>
  <si>
    <t>Demand</t>
  </si>
  <si>
    <t>Total number of bicycles according to Minitry of Transport</t>
  </si>
  <si>
    <t>Motorcycles, total</t>
  </si>
  <si>
    <t>45-mopeds, total</t>
  </si>
  <si>
    <t>Units</t>
  </si>
  <si>
    <t>Transport Passengers Motorbikes - Gasoline Engine - Blending 1 - Existing</t>
  </si>
  <si>
    <t>Transport Passengers Mopeds - Gasoline Engine - Blending 1 - Existing</t>
  </si>
  <si>
    <t>Demand: million passenger-km</t>
  </si>
  <si>
    <t>Motorcycles Demand (Pkm)</t>
  </si>
  <si>
    <t>Mopeds max. 45 km/h Demand (Pkm)</t>
  </si>
  <si>
    <t>Mopeds max. 45 km/h Demand (Vkm)</t>
  </si>
  <si>
    <t>Motorcycles demand (Vkm)</t>
  </si>
  <si>
    <t>equal to 0.9 bikes per person in this age</t>
  </si>
  <si>
    <t>From LTM</t>
  </si>
  <si>
    <t>Demand (Pkm) 2010</t>
  </si>
  <si>
    <t>Share-O~FX~0</t>
  </si>
  <si>
    <t>Transport Passengers Cars - Electricity BEV- Average size - Existing</t>
  </si>
  <si>
    <t>Share</t>
  </si>
  <si>
    <t>Share-I~FX</t>
  </si>
  <si>
    <t>Share-O~FX</t>
  </si>
  <si>
    <t>Mopeds</t>
  </si>
  <si>
    <t>Motorbikes</t>
  </si>
  <si>
    <t>TPPBM</t>
  </si>
  <si>
    <t>TPPBS</t>
  </si>
  <si>
    <t>TPPBL</t>
  </si>
  <si>
    <t>Coaches demands</t>
  </si>
  <si>
    <t>Share East-West</t>
  </si>
  <si>
    <t>numbers</t>
  </si>
  <si>
    <t>Passenger capacity</t>
  </si>
  <si>
    <t>In schduled service</t>
  </si>
  <si>
    <t>In non-scheduled service</t>
  </si>
  <si>
    <t>Stock on buses per 1 January by gross weight, propellant and time</t>
  </si>
  <si>
    <t>Total propellant</t>
  </si>
  <si>
    <t>Petrol</t>
  </si>
  <si>
    <t>Diesel</t>
  </si>
  <si>
    <t>Gas</t>
  </si>
  <si>
    <t>Others</t>
  </si>
  <si>
    <t>Unit : Number</t>
  </si>
  <si>
    <t>Occupancy (persons per vehicle)</t>
  </si>
  <si>
    <t>Transport Passengers Public Buses - Diesel Engine - Blending 1 - Existing</t>
  </si>
  <si>
    <t>Transport Passengers Coaches - Diesel Engine - Blending 1 - Existing</t>
  </si>
  <si>
    <t>Stock on buses per 1 January by seats, unit, use and time</t>
  </si>
  <si>
    <t>Average 2010</t>
  </si>
  <si>
    <t>Utilisation</t>
  </si>
  <si>
    <t>Efficiency  MJ/km</t>
  </si>
  <si>
    <t>Calibration</t>
  </si>
  <si>
    <t>Calculated</t>
  </si>
  <si>
    <t>Statistics</t>
  </si>
  <si>
    <t>Average number of seats</t>
  </si>
  <si>
    <t>Annex 7: Fuel consumption factors in 2010</t>
  </si>
  <si>
    <t>Highway</t>
  </si>
  <si>
    <t>Buses (MJ/km)</t>
  </si>
  <si>
    <t>Buses (Mvheic*km/PJ)</t>
  </si>
  <si>
    <t>Efficiency weighted with shares</t>
  </si>
  <si>
    <t xml:space="preserve">Efficiency </t>
  </si>
  <si>
    <t>Mopeds (MJ/km)</t>
  </si>
  <si>
    <t>Mopeds (Mvheic*km/PJ)</t>
  </si>
  <si>
    <t>Motorbikes (MJ/km)</t>
  </si>
  <si>
    <t>Motorbikes (Mvheic*km/PJ)</t>
  </si>
  <si>
    <t>Motorbikes efficiency weighted with shares</t>
  </si>
  <si>
    <t>Efficiencies from calibration with Energy Statistics</t>
  </si>
  <si>
    <t>Mvheic*km/PJ</t>
  </si>
  <si>
    <t>Mpkm</t>
  </si>
  <si>
    <t>CEFF-O</t>
  </si>
  <si>
    <t>Units: Number</t>
  </si>
  <si>
    <t>RAILWAY NETWORK, TOTAL</t>
  </si>
  <si>
    <t>S-trains</t>
  </si>
  <si>
    <t>National network, total</t>
  </si>
  <si>
    <t>East of Great Belt</t>
  </si>
  <si>
    <t>West of Great Belt</t>
  </si>
  <si>
    <t>Across Great Belt</t>
  </si>
  <si>
    <t>International traffic, total</t>
  </si>
  <si>
    <t>COPENHAGEN METRO</t>
  </si>
  <si>
    <t>OTHER RAILWAY NETWORKS</t>
  </si>
  <si>
    <t>Transport Passengers Rail Metro - Electric  - Existing</t>
  </si>
  <si>
    <t>Transport Passengers Rail Other train - Electric - Existing</t>
  </si>
  <si>
    <t>Transport Passengers Rail Other train - Diesel - Existing</t>
  </si>
  <si>
    <t>diesel</t>
  </si>
  <si>
    <t>eletrical</t>
  </si>
  <si>
    <t>Tot</t>
  </si>
  <si>
    <t>Rikke's estimates</t>
  </si>
  <si>
    <t>Mvehic*km/PJ</t>
  </si>
  <si>
    <t>Km/year</t>
  </si>
  <si>
    <t>Transport Passengers Rail S-train - Electric - Existing</t>
  </si>
  <si>
    <t>From: TEMA Teknisk Rapport 2015</t>
  </si>
  <si>
    <t>S-train</t>
  </si>
  <si>
    <t>ACTFLO</t>
  </si>
  <si>
    <t>Overall EFF Mvkm/PJ</t>
  </si>
  <si>
    <t>TPPAIKEBL1E</t>
  </si>
  <si>
    <t>TFFAIKEBL1E</t>
  </si>
  <si>
    <t>VAROM</t>
  </si>
  <si>
    <t>Mkr/(kvehicle*km)</t>
  </si>
  <si>
    <t>PJ mt</t>
  </si>
  <si>
    <t>PJ mp</t>
  </si>
  <si>
    <t>pkm mt</t>
  </si>
  <si>
    <t>pkm mp</t>
  </si>
  <si>
    <t>Share-O~UP~2010</t>
  </si>
  <si>
    <t>Share-O~UP~0</t>
  </si>
  <si>
    <t>From: Danish Statistics, Table BANE52</t>
  </si>
  <si>
    <t>S-Train</t>
  </si>
  <si>
    <t>Total number of seats</t>
  </si>
  <si>
    <t>From: Danish Statistics, Table BANE51</t>
  </si>
  <si>
    <t>Stock  2010</t>
  </si>
  <si>
    <t>Trainsets</t>
  </si>
  <si>
    <t xml:space="preserve">Wagons </t>
  </si>
  <si>
    <t>Wagon/trainset</t>
  </si>
  <si>
    <t>Train type</t>
  </si>
  <si>
    <t>kWh/trainkm</t>
  </si>
  <si>
    <t>PJ/Mtrainkm</t>
  </si>
  <si>
    <t xml:space="preserve">Mvehic*km/PJ
</t>
  </si>
  <si>
    <t>Occupancy</t>
  </si>
  <si>
    <t>Passengers/train</t>
  </si>
  <si>
    <t>N vehicles</t>
  </si>
  <si>
    <t>km/year</t>
  </si>
  <si>
    <t>km/day</t>
  </si>
  <si>
    <t>From: Danish Statistics, Table BANE31</t>
  </si>
  <si>
    <t>Total trainkm</t>
  </si>
  <si>
    <t>From: Danish Statistics, Table BANE21</t>
  </si>
  <si>
    <t xml:space="preserve">Railways' rolling stock 1st January </t>
  </si>
  <si>
    <t>Diesel trainsets, total</t>
  </si>
  <si>
    <t>Diesel trainsets, belonging to DSB</t>
  </si>
  <si>
    <t>Diesel trainsets, belonging to other operators</t>
  </si>
  <si>
    <t>Electric trainsets, others belonging to DSB</t>
  </si>
  <si>
    <t>Wagons in stock</t>
  </si>
  <si>
    <t>Electro</t>
  </si>
  <si>
    <t>Total trainkm*1000   2010</t>
  </si>
  <si>
    <t>Mpkm     2010</t>
  </si>
  <si>
    <t>Demand train Mpkm</t>
  </si>
  <si>
    <t>Km/day</t>
  </si>
  <si>
    <t>Train east</t>
  </si>
  <si>
    <t>Train west</t>
  </si>
  <si>
    <t>Stock</t>
  </si>
  <si>
    <t>Diesel train East</t>
  </si>
  <si>
    <t>Diesel train West</t>
  </si>
  <si>
    <t>Electro train East</t>
  </si>
  <si>
    <t>Electro train West</t>
  </si>
  <si>
    <t>Driving pattern train</t>
  </si>
  <si>
    <t>Railway Travel Demand 2010, Mpkm</t>
  </si>
  <si>
    <t>data from DSB environmental report</t>
  </si>
  <si>
    <t>2010 TJ</t>
  </si>
  <si>
    <t>Diesel DSB</t>
  </si>
  <si>
    <t>Electricity DSB</t>
  </si>
  <si>
    <t>Summary of Input Data for Cars</t>
  </si>
  <si>
    <t>Sourced Data for Cars</t>
  </si>
  <si>
    <t>Estimated Data for Cars</t>
  </si>
  <si>
    <t>ACTFLO~DEMO~2010</t>
  </si>
  <si>
    <t>CEFF-O~2010</t>
  </si>
  <si>
    <t>CEFF-O~2012</t>
  </si>
  <si>
    <t>AFA~2010</t>
  </si>
  <si>
    <t>Share-O~LO~0</t>
  </si>
  <si>
    <t>STOCK~2012</t>
  </si>
  <si>
    <t>STOCK~2015</t>
  </si>
  <si>
    <t>STOCK~2020</t>
  </si>
  <si>
    <t>STOCK~2025</t>
  </si>
  <si>
    <t>STOCK~2030</t>
  </si>
  <si>
    <t>STOCK~2035</t>
  </si>
  <si>
    <t>STOCK~2040</t>
  </si>
  <si>
    <t>STOCK~2045</t>
  </si>
  <si>
    <t>STOCK~2050</t>
  </si>
  <si>
    <t>Fuel</t>
  </si>
  <si>
    <t>Car stock by age and  year, average annual values</t>
  </si>
  <si>
    <t>Projection of existing stock depending on car age in 2014, number of vehicles</t>
  </si>
  <si>
    <t>Input</t>
  </si>
  <si>
    <t>Output</t>
  </si>
  <si>
    <t>Occupancy (ppv)</t>
  </si>
  <si>
    <t>Max km/year</t>
  </si>
  <si>
    <t>Interpolation rule</t>
  </si>
  <si>
    <t>Car stock by region, fuel type and year (thousand vehicles)</t>
  </si>
  <si>
    <t>Age in 2014</t>
  </si>
  <si>
    <t>Helge's scrapping model: EU project</t>
  </si>
  <si>
    <t>What is the exact source</t>
  </si>
  <si>
    <t>DK-East</t>
  </si>
  <si>
    <t>Weibull parameters for car lifetime</t>
  </si>
  <si>
    <t>λ</t>
  </si>
  <si>
    <t>NG</t>
  </si>
  <si>
    <t>k</t>
  </si>
  <si>
    <t>θ</t>
  </si>
  <si>
    <t>DK-West</t>
  </si>
  <si>
    <t>Car age</t>
  </si>
  <si>
    <t>Residual stock</t>
  </si>
  <si>
    <t>Average occupancy (passengers per vehicle)</t>
  </si>
  <si>
    <t>Maximum annual mileage (km)</t>
  </si>
  <si>
    <t>Car stock by region, average annual values</t>
  </si>
  <si>
    <t>Regional share of car stock (statistics and projection)</t>
  </si>
  <si>
    <t>DK East</t>
  </si>
  <si>
    <t>Energy efficiency for trips under 25 km (million vehicle km per PJ)</t>
  </si>
  <si>
    <t>DK West</t>
  </si>
  <si>
    <t>Calculated energy demand (PJ) versus energy statistics for cars in 2010</t>
  </si>
  <si>
    <t>TIMES Fuel</t>
  </si>
  <si>
    <t>Gasoline</t>
  </si>
  <si>
    <t>Natural Gas</t>
  </si>
  <si>
    <t>Electric</t>
  </si>
  <si>
    <t>Car stock by fuel type, average annual values</t>
  </si>
  <si>
    <t>Car stock share by fuel (statistics and projection)</t>
  </si>
  <si>
    <t>Energy efficiency for trips 25-50 km  (million vehicle km per PJ)</t>
  </si>
  <si>
    <t>1) Calculating average km per year for different car types for year 2010 based on stock and mio. vehicle km. traveled</t>
  </si>
  <si>
    <t>Difference:</t>
  </si>
  <si>
    <t>Intermediate results</t>
  </si>
  <si>
    <t>Car stock by region and fuel (vehicle)</t>
  </si>
  <si>
    <t>Transport work mio. km 2010</t>
  </si>
  <si>
    <t>Calibration check:</t>
  </si>
  <si>
    <t>Transport work by trip length in 2010, Mpkm</t>
  </si>
  <si>
    <t>Trip length</t>
  </si>
  <si>
    <t>Energy efficiency for trips over 50 km  (million vehicle km per PJ)</t>
  </si>
  <si>
    <t>&lt;25 km</t>
  </si>
  <si>
    <t>Adjusted efficiency</t>
  </si>
  <si>
    <t xml:space="preserve">Difference between norm and energy demand associated with real drivning behaviour </t>
  </si>
  <si>
    <t xml:space="preserve">&lt;= We use this number to calibrate the model with respect to energy statistics </t>
  </si>
  <si>
    <t>3) Adjustning efficiency parameters to replicate energy statistics in base year (2010)</t>
  </si>
  <si>
    <t xml:space="preserve">Efficency </t>
  </si>
  <si>
    <t>Share of trafic work</t>
  </si>
  <si>
    <t>Weighted share</t>
  </si>
  <si>
    <t>National transport work by vehicle type, Mkm</t>
  </si>
  <si>
    <t>Personal cars</t>
  </si>
  <si>
    <t>Taxi</t>
  </si>
  <si>
    <t>Annual mileage (km per vehicle)</t>
  </si>
  <si>
    <t>Data source:</t>
  </si>
  <si>
    <t>http://www.statbank.dk/BIL707</t>
  </si>
  <si>
    <t>http://vejdirektoratet.dk/DA/viden_og_data/statistik/trafikken%20i%20tal/Noegletal_om_vejtransport/Sider/default.aspx</t>
  </si>
  <si>
    <t>BIL707: Stock of vehicles per 1 January by region and type of vehicle</t>
  </si>
  <si>
    <t>TA2: Nationalt trafikarbejde fordelt på køretøjstyper, 2001 - 2014</t>
  </si>
  <si>
    <t>Passenger cars, total</t>
  </si>
  <si>
    <t>Transportmiddel</t>
  </si>
  <si>
    <t>Unit: Mio. km</t>
  </si>
  <si>
    <t>Note: Extracted 2015-12-01</t>
  </si>
  <si>
    <t>Unit: Number</t>
  </si>
  <si>
    <t>Note: Extracted 2015-08-09</t>
  </si>
  <si>
    <t>http://www.statbank.dk/BIL8</t>
  </si>
  <si>
    <t xml:space="preserve">BIL8: Stock of vehicles per 1 January by type of vehicle and age </t>
  </si>
  <si>
    <t>0 year</t>
  </si>
  <si>
    <t>1 year</t>
  </si>
  <si>
    <t>2 years</t>
  </si>
  <si>
    <t>3 years</t>
  </si>
  <si>
    <t>4 years</t>
  </si>
  <si>
    <t>5 years</t>
  </si>
  <si>
    <t>6 years</t>
  </si>
  <si>
    <t>7 years</t>
  </si>
  <si>
    <t>8 years</t>
  </si>
  <si>
    <t>9 years</t>
  </si>
  <si>
    <t>10 years</t>
  </si>
  <si>
    <t>11 years</t>
  </si>
  <si>
    <t>12 years</t>
  </si>
  <si>
    <t>13 years</t>
  </si>
  <si>
    <t>14 years</t>
  </si>
  <si>
    <t>15 years</t>
  </si>
  <si>
    <t>16 years</t>
  </si>
  <si>
    <t>17 years</t>
  </si>
  <si>
    <t>18 years</t>
  </si>
  <si>
    <t>19 years</t>
  </si>
  <si>
    <t>20 years</t>
  </si>
  <si>
    <t>21 years</t>
  </si>
  <si>
    <t>22 years</t>
  </si>
  <si>
    <t>23 years</t>
  </si>
  <si>
    <t>24 years</t>
  </si>
  <si>
    <t>24 years and over</t>
  </si>
  <si>
    <t>Average age per. year</t>
  </si>
  <si>
    <t>Note: Extracted 2015-06-01</t>
  </si>
  <si>
    <t>http://www.statbank.dk/BIL10</t>
  </si>
  <si>
    <t>Bil10: Stock of passenger cars per 1 January by tare, propellant and time</t>
  </si>
  <si>
    <t>N-gas</t>
  </si>
  <si>
    <t>Kerosene</t>
  </si>
  <si>
    <t>Other propellant</t>
  </si>
  <si>
    <t>Centrale beregningsforudsætninger</t>
  </si>
  <si>
    <t>Centrale beregningsforudsætninger for den gennemsnitlige personbil</t>
  </si>
  <si>
    <t>Benzinbil</t>
  </si>
  <si>
    <t>Kilde:Transportøkonomiske enhedspriser</t>
  </si>
  <si>
    <t>http://www.modelcenter.transport.dtu.dk/Publikationer/Transportoekonomiske-Enhedspriser</t>
  </si>
  <si>
    <t>Brændstofforbrug i hele bilparken</t>
  </si>
  <si>
    <t>km/l</t>
  </si>
  <si>
    <t>Energy statistics 2013</t>
  </si>
  <si>
    <t>http://www.ens.dk/sites/ens.dk/files/info/tal-kort/statistik-noegletal/aarlig-energistatistik/energistatistik2013.pdf</t>
  </si>
  <si>
    <t>Vægtfylde motorbenzin</t>
  </si>
  <si>
    <t>kg/l</t>
  </si>
  <si>
    <t>Brændværdi</t>
  </si>
  <si>
    <t>MJ/kg</t>
  </si>
  <si>
    <t>Realitetsfaktor</t>
  </si>
  <si>
    <t>Dieselbil</t>
  </si>
  <si>
    <t>Elbil</t>
  </si>
  <si>
    <t>Elforbrug</t>
  </si>
  <si>
    <t>km/kWh</t>
  </si>
  <si>
    <t>Konverting fra kWh -&gt; MJ</t>
  </si>
  <si>
    <t>MJ/kWh</t>
  </si>
  <si>
    <t>Share relax coeff</t>
  </si>
  <si>
    <t>dye-out percentages</t>
  </si>
  <si>
    <t>Calibration Check</t>
  </si>
  <si>
    <t>Share-O~LO</t>
  </si>
  <si>
    <t>Input Demand</t>
  </si>
  <si>
    <t>Calculated Demand</t>
  </si>
  <si>
    <t>Load (tonnes per vehicle)</t>
  </si>
  <si>
    <t>Energy Statistics (PJ)</t>
  </si>
  <si>
    <t>Energy calculated (PJ)</t>
  </si>
  <si>
    <t>Stock of vehicles per 1 January by time, type of vehicle and region</t>
  </si>
  <si>
    <t>Vans, total</t>
  </si>
  <si>
    <t>Van, total for private goods</t>
  </si>
  <si>
    <t>Vans, gross weight 0-2,000 kg, total</t>
  </si>
  <si>
    <t>Vans 0-2,000 kg gross weight for private goods</t>
  </si>
  <si>
    <t>Vans, gross weight 2,001-3,000 kg, total</t>
  </si>
  <si>
    <t>Vans 2,001-3,000 kg gross weight for private goods</t>
  </si>
  <si>
    <t>Vans, gross weight 3,001-3,500 kg, total</t>
  </si>
  <si>
    <t>Vans 3,001-3,500 kg gross weight for private goods</t>
  </si>
  <si>
    <t>Calculated (Mt-km)</t>
  </si>
  <si>
    <t>Statistics (Mt-km)</t>
  </si>
  <si>
    <t>Lorries, gross weight 3,501-6,000 kg</t>
  </si>
  <si>
    <t>Lorries 3,501-6,000 kg weight for hire or reward</t>
  </si>
  <si>
    <t>Lorries 3,501-6,000 kg gross weight for own account</t>
  </si>
  <si>
    <t>SUM</t>
  </si>
  <si>
    <t>Lorries 3,501-6,000 kg gross weight for other driving</t>
  </si>
  <si>
    <t>Lorries above 6,000 kg gross weight</t>
  </si>
  <si>
    <t>Efficiency coefficients</t>
  </si>
  <si>
    <t>Lorries above 6,000 kg gross weight for hire or reward</t>
  </si>
  <si>
    <t>Lorries above 6,000 kg gross weight for own account</t>
  </si>
  <si>
    <t>Lorries above 6,000 kg gross weight for other driving</t>
  </si>
  <si>
    <t>Stock on lorries by gross weight, numbers of axles, propellant and time</t>
  </si>
  <si>
    <t>Totalvægt i alt</t>
  </si>
  <si>
    <t>Vans</t>
  </si>
  <si>
    <t>Total number of axles</t>
  </si>
  <si>
    <t>STOCK~DKE</t>
  </si>
  <si>
    <t>STOCK~DKW</t>
  </si>
  <si>
    <t>ACTFLO~DEMO~DKE</t>
  </si>
  <si>
    <t>ACTFLO~DEMO~DKW</t>
  </si>
  <si>
    <t>EFF~DKE</t>
  </si>
  <si>
    <t>EFF~DKW</t>
  </si>
  <si>
    <t>AFA~DKE</t>
  </si>
  <si>
    <t>AFA~DKW</t>
  </si>
  <si>
    <t>Mvehicles*km/PJ</t>
  </si>
  <si>
    <t>energy calculated (PJ)</t>
  </si>
  <si>
    <t>Transport work (Mtkm)</t>
  </si>
  <si>
    <t xml:space="preserve">Statistics </t>
  </si>
  <si>
    <t>SUM freight trains</t>
  </si>
  <si>
    <t>Railways' rolling stock 1st January by type of rolling stock and time</t>
  </si>
  <si>
    <t>This needds to sum up to total trains when passanger trains are added</t>
  </si>
  <si>
    <t>2010average</t>
  </si>
  <si>
    <t>LOCOMOTIVES, TOTAL</t>
  </si>
  <si>
    <t>Diesel locomotives</t>
  </si>
  <si>
    <t>Electric locomotives</t>
  </si>
  <si>
    <t>PJ/Mpkm</t>
  </si>
  <si>
    <t>Rail transport of goods by type of goods, unit, time and type of</t>
  </si>
  <si>
    <t>transport</t>
  </si>
  <si>
    <t>International transport</t>
  </si>
  <si>
    <t>GOODS TOTAL</t>
  </si>
  <si>
    <t>M t-km</t>
  </si>
  <si>
    <t>energy (PJ)</t>
  </si>
  <si>
    <t>copied from Denmark:Baseline with adopted measures</t>
  </si>
  <si>
    <t xml:space="preserve">Detailed Analytical Results, Primes Ver. 4 Energy Model </t>
  </si>
  <si>
    <t>Commodity Emissions</t>
  </si>
  <si>
    <t>kg/GJ = kt/PJ</t>
  </si>
  <si>
    <t>Nat. Gas</t>
  </si>
  <si>
    <t>Heavy Fuel Oil</t>
  </si>
  <si>
    <t>~COMEMI</t>
  </si>
  <si>
    <t>*Units</t>
  </si>
  <si>
    <t>kg/GJ</t>
  </si>
  <si>
    <t>Hydrogen TRA</t>
  </si>
  <si>
    <t>BIOCO2</t>
  </si>
  <si>
    <t>Synthetic Natural Gas</t>
  </si>
  <si>
    <t>Biokerosene</t>
  </si>
  <si>
    <t>Assumptions</t>
  </si>
  <si>
    <t>Data from COWI (2014)</t>
  </si>
  <si>
    <t>SNG</t>
  </si>
  <si>
    <t>Same emissions as for methane (NGA)</t>
  </si>
  <si>
    <t>Data from http://www.biomassenergycentre.org.uk/</t>
  </si>
  <si>
    <t>TPPBXS</t>
  </si>
  <si>
    <t>Extra Short</t>
  </si>
  <si>
    <t>Maximum share</t>
  </si>
  <si>
    <t>Maximum share interpolation</t>
  </si>
  <si>
    <t>Driving pattern</t>
  </si>
  <si>
    <t>Extra Short &lt;5 km</t>
  </si>
  <si>
    <t>Short 5-25 km</t>
  </si>
  <si>
    <t>Medium 25-50 km</t>
  </si>
  <si>
    <t>Long &gt;50 km</t>
  </si>
  <si>
    <t>Driving pattern S-train</t>
  </si>
  <si>
    <t>Driving pattern Metro</t>
  </si>
  <si>
    <t>TPCX</t>
  </si>
  <si>
    <t>Energy efficiency for trips under 5 km (million vehicle km per PJ)</t>
  </si>
  <si>
    <t>TRAAGSL</t>
  </si>
  <si>
    <t>The fact is that not everyone walks and goes by bike. The number above is calculated as if everyone in Denmark would make equal use of bike and walkk</t>
  </si>
  <si>
    <t>But some people do not bike at all, while those who move biking run more km/day than number calculated above</t>
  </si>
  <si>
    <t>Such values can be determined by TU survey (Master)</t>
  </si>
  <si>
    <t>I consider that km/day travelled by people in Denmark is equal to average bike trip length from TU survey</t>
  </si>
  <si>
    <t>I consider that km/day travelled by people in Denmark is equal to average walk trip length from TU survey</t>
  </si>
  <si>
    <t>invcost</t>
  </si>
  <si>
    <t>varom</t>
  </si>
  <si>
    <t xml:space="preserve">lifetime </t>
  </si>
  <si>
    <t>years</t>
  </si>
  <si>
    <t>p/v</t>
  </si>
  <si>
    <t>DKK/pkm</t>
  </si>
  <si>
    <t>Sensitivity analysis on cost of bike depending on mileage</t>
  </si>
  <si>
    <t>Mkr/kveh</t>
  </si>
  <si>
    <t>Mkr/(kveh*km)</t>
  </si>
  <si>
    <t>Date</t>
  </si>
  <si>
    <t>Name</t>
  </si>
  <si>
    <t>Sheet Name</t>
  </si>
  <si>
    <t>Cells</t>
  </si>
  <si>
    <t>Comments</t>
  </si>
  <si>
    <t>Olexandr Balyk</t>
  </si>
  <si>
    <t>BIKE</t>
  </si>
  <si>
    <t>Removed input commodity and efficiency =&gt; no need to track movement</t>
  </si>
  <si>
    <t>WALK</t>
  </si>
  <si>
    <t>Commodities</t>
  </si>
  <si>
    <t>Removed TRAMOV commodity specification from this table</t>
  </si>
  <si>
    <t>Processes</t>
  </si>
  <si>
    <t>Removed FT-TRAMOV process specification from this table</t>
  </si>
  <si>
    <t>TRA_Fuel</t>
  </si>
  <si>
    <t>Removed FT-TRAMOV process definition from this table</t>
  </si>
  <si>
    <t>Emis</t>
  </si>
  <si>
    <t>Linked commodity names in the emission table to the commodity definition table</t>
  </si>
  <si>
    <t>Freight_Road</t>
  </si>
  <si>
    <t>Error fix: TRAGSBL1 instead of TRADSBL1</t>
  </si>
  <si>
    <t>MJ/L</t>
  </si>
  <si>
    <t>Mikkel Bosack Simonsen</t>
  </si>
  <si>
    <t>CarMoreData</t>
  </si>
  <si>
    <t>Changede unit</t>
  </si>
  <si>
    <t>Cars</t>
  </si>
  <si>
    <t>Same efficiency for EVs independently of the trip length</t>
  </si>
  <si>
    <t>Kilder: Dieselbiler: egne beregninger baseret på bestandsdata og nysalget i 2014 samt en simpel årgangsmodel. For 2010-2014 er kilden Vejdirektoratet.</t>
  </si>
  <si>
    <t xml:space="preserve">For elbiler er andelen dog baseret på oplysninger fra Energistyrelsen 2015 (elbilsbestand på 6000 i 2020/2021 stigende til 10000 i 2025). </t>
  </si>
  <si>
    <t>Endvidere er det antaget, at små elbiler kører 10.000 km om året, mens de store kører 20.000 km om året.</t>
  </si>
  <si>
    <t xml:space="preserve">De centrale beregningsforudsætninger omfatter energieffektiviteten for de fire centrale biltyper samt deres andele af trafikarbejdet. Energieffektiviteten for 2015 er er vurderet af Cowi 2016 i Opdatering af kørselsomkostninger i transportøkonomiske enhedspriser, og den fremtidige udvikling er baseret på Energistyrelsens fremskrivning fra december 2015  (Danmarks Energi- og Klimafremskrivning 2015, Baggrundsrapport D: Transport). De officielle tal er korrigeret til virkeligt kørsel ved brug af resultater fra International Council on Clean Transportation (ICCT), med Spritmonitor som primær kilde. Andelene af trafikarbejdet er baseret på Vejdirektoratets statistik historisk, mens den fremtidige udvikling er baseret på sammensætning af nybilssalget i 2014 og en simpel årgangsmodel. Dog er Energistyrelsens antagelser anvendt for elbiler, og for hybridbiler er der blot antaget uændrede andele.                                                                                                                                                                                                                                                                                                                                                       </t>
  </si>
  <si>
    <t>Updated values according to latest update in the "Transportekonomiske-Enhedpriser"</t>
  </si>
  <si>
    <t xml:space="preserve">Updated reality factors according to statistics </t>
  </si>
  <si>
    <t>TRAELCEV</t>
  </si>
  <si>
    <t>Electricity TRA for electric cars</t>
  </si>
  <si>
    <t>FT-TRAELCEV</t>
  </si>
  <si>
    <t>Fuel Technology Electricity TRA for EV</t>
  </si>
  <si>
    <t>TPXS</t>
  </si>
  <si>
    <t>Transport passenger extra short distance (&lt;5 km)</t>
  </si>
  <si>
    <t>TPS</t>
  </si>
  <si>
    <t>Transport passenger short distance (5-25 km)</t>
  </si>
  <si>
    <t>TPM</t>
  </si>
  <si>
    <t>Transport passenger medium distance (25-50 km)</t>
  </si>
  <si>
    <t>TPL</t>
  </si>
  <si>
    <t>Transport passenger long distance (&gt;50 km)</t>
  </si>
  <si>
    <t>TPPSN</t>
  </si>
  <si>
    <t>TPPSI</t>
  </si>
  <si>
    <t>TPPAN</t>
  </si>
  <si>
    <t>TPPAI</t>
  </si>
  <si>
    <t>TFTS</t>
  </si>
  <si>
    <t>TFTN</t>
  </si>
  <si>
    <t>TFTI</t>
  </si>
  <si>
    <t>TFRA</t>
  </si>
  <si>
    <t>TFFSN</t>
  </si>
  <si>
    <t>TFFSI</t>
  </si>
  <si>
    <t>TFFAI</t>
  </si>
  <si>
    <t>TIME</t>
  </si>
  <si>
    <t>Travel time commodity</t>
  </si>
  <si>
    <t>Mhs</t>
  </si>
  <si>
    <t>TIMECXS</t>
  </si>
  <si>
    <t>Travel time car extra short</t>
  </si>
  <si>
    <t>TIMECS</t>
  </si>
  <si>
    <t>Travel time car short</t>
  </si>
  <si>
    <t>TIMECM</t>
  </si>
  <si>
    <t>Travel time car medium</t>
  </si>
  <si>
    <t>TIMECL</t>
  </si>
  <si>
    <t>Travel time car long</t>
  </si>
  <si>
    <t>TIMEMTS</t>
  </si>
  <si>
    <t>Travel time motorbike short</t>
  </si>
  <si>
    <t>TIMEMTM</t>
  </si>
  <si>
    <t>Travel time motorbike medium</t>
  </si>
  <si>
    <t>TIMEMTL</t>
  </si>
  <si>
    <t>Travel time motorbike long</t>
  </si>
  <si>
    <t>TIMEMPXS</t>
  </si>
  <si>
    <t>Travel time moped extra short</t>
  </si>
  <si>
    <t>TIMEMPS</t>
  </si>
  <si>
    <t>Travel time moped short</t>
  </si>
  <si>
    <t>TIMEMPM</t>
  </si>
  <si>
    <t>Travel time moped medium</t>
  </si>
  <si>
    <t>TIMEMPL</t>
  </si>
  <si>
    <t>Travel time moped long</t>
  </si>
  <si>
    <t>TIMEBIXS</t>
  </si>
  <si>
    <t>Travel time bike extra short</t>
  </si>
  <si>
    <t>TIMEBIS</t>
  </si>
  <si>
    <t>Travel time bike short</t>
  </si>
  <si>
    <t>TIMEBIM</t>
  </si>
  <si>
    <t>Travel time bike medium</t>
  </si>
  <si>
    <t>TIMEWXS</t>
  </si>
  <si>
    <t>Travel time walk short</t>
  </si>
  <si>
    <t>TIMEWS</t>
  </si>
  <si>
    <t>Travel time walk extra short</t>
  </si>
  <si>
    <t>TIMEBXS</t>
  </si>
  <si>
    <t>Travel time bus extra short</t>
  </si>
  <si>
    <t>TIMEBS</t>
  </si>
  <si>
    <t>Travel time bus short</t>
  </si>
  <si>
    <t>TIMEBM</t>
  </si>
  <si>
    <t>Travel time bus medium</t>
  </si>
  <si>
    <t>TIMEBL</t>
  </si>
  <si>
    <t>Travel time bus long</t>
  </si>
  <si>
    <t>TIMETS</t>
  </si>
  <si>
    <t>Travel time train short</t>
  </si>
  <si>
    <t>TIMETM</t>
  </si>
  <si>
    <t>Travel time train medium</t>
  </si>
  <si>
    <t>TIMETL</t>
  </si>
  <si>
    <t>Travel time train long</t>
  </si>
  <si>
    <t>TIMEMEXS</t>
  </si>
  <si>
    <t>Travel time metro extra short</t>
  </si>
  <si>
    <t>TIMEMES</t>
  </si>
  <si>
    <t>Travel time metro short</t>
  </si>
  <si>
    <t>TIMESTXS</t>
  </si>
  <si>
    <t>Travel time S-train extra short</t>
  </si>
  <si>
    <t>TIMESTS</t>
  </si>
  <si>
    <t>Travel time S-train short</t>
  </si>
  <si>
    <t>TIMESTM</t>
  </si>
  <si>
    <t>Travel time S-train medium</t>
  </si>
  <si>
    <t>INFRA</t>
  </si>
  <si>
    <t>Infrastructure commodity availability</t>
  </si>
  <si>
    <t>INFROAD</t>
  </si>
  <si>
    <t>Infrastructure road use</t>
  </si>
  <si>
    <t>INFBIKE</t>
  </si>
  <si>
    <t>Infrastructure bike use</t>
  </si>
  <si>
    <t>INFTRAIN</t>
  </si>
  <si>
    <t>Infrastructure train use</t>
  </si>
  <si>
    <t>INFSTRAIN</t>
  </si>
  <si>
    <t>Infrastructure strain use</t>
  </si>
  <si>
    <t>INFMETRO</t>
  </si>
  <si>
    <t>Infrastructure metro use</t>
  </si>
  <si>
    <t>TPCADSBL1E</t>
  </si>
  <si>
    <t>TPCAGSBL1E</t>
  </si>
  <si>
    <t>TPCALPGX1E</t>
  </si>
  <si>
    <t>TPCANGBL1E</t>
  </si>
  <si>
    <t>TPCAELCX1E</t>
  </si>
  <si>
    <t>TPRSELCX1E</t>
  </si>
  <si>
    <t>TPRMELCX1E</t>
  </si>
  <si>
    <t>TPROELCX1E</t>
  </si>
  <si>
    <t>TPRODSBL1E</t>
  </si>
  <si>
    <t>TPBUDSBL1E</t>
  </si>
  <si>
    <t>TPCODSBL1E</t>
  </si>
  <si>
    <t>TPMTGSBL1E</t>
  </si>
  <si>
    <t>TPMPGSBL1E</t>
  </si>
  <si>
    <t>TPANAGSL1E</t>
  </si>
  <si>
    <t>TPBIKINGX1E</t>
  </si>
  <si>
    <t>TPWALKXX1E</t>
  </si>
  <si>
    <t>TFRLDSBL1E</t>
  </si>
  <si>
    <t>TFRLELCX1E</t>
  </si>
  <si>
    <t>TFAIKEBL1E</t>
  </si>
  <si>
    <t>FT-CAR</t>
  </si>
  <si>
    <t>Dummy technology for cars</t>
  </si>
  <si>
    <t>Mhsa</t>
  </si>
  <si>
    <t>FT-BUS</t>
  </si>
  <si>
    <t>Dummy technology for buses</t>
  </si>
  <si>
    <t>FT-TRAIN</t>
  </si>
  <si>
    <t>Dummy technology for trains</t>
  </si>
  <si>
    <t>FT-STRAIN</t>
  </si>
  <si>
    <t>Dummy technology for S-trains</t>
  </si>
  <si>
    <t>FT-METRO</t>
  </si>
  <si>
    <t>Dummy technology for metro</t>
  </si>
  <si>
    <t>FT-MOTO</t>
  </si>
  <si>
    <t>Dummy technology for motorbikes</t>
  </si>
  <si>
    <t>FT-MOPED</t>
  </si>
  <si>
    <t>Dummy technology for mopeds</t>
  </si>
  <si>
    <t>FT-BIKE</t>
  </si>
  <si>
    <t>Dummy technology for bikes</t>
  </si>
  <si>
    <t>FT-WALK</t>
  </si>
  <si>
    <t>Dummy technology for walk</t>
  </si>
  <si>
    <t>MIN</t>
  </si>
  <si>
    <t>MINTTB</t>
  </si>
  <si>
    <t>Travel time budget</t>
  </si>
  <si>
    <t>MININF</t>
  </si>
  <si>
    <t>Infrastructure availability</t>
  </si>
  <si>
    <t>INFSROADE</t>
  </si>
  <si>
    <t>Existing Road infrastructure</t>
  </si>
  <si>
    <t>Mpkma</t>
  </si>
  <si>
    <t>INFSBIKEE</t>
  </si>
  <si>
    <t>Existing Bike infrastructure</t>
  </si>
  <si>
    <t>INFSTRAINE</t>
  </si>
  <si>
    <t>Existing Train infrastructure</t>
  </si>
  <si>
    <t>INFSSTRAINE</t>
  </si>
  <si>
    <t>Existing S-train infrastructure</t>
  </si>
  <si>
    <t>INFSMETROE</t>
  </si>
  <si>
    <t>Existing Metro infrastructure</t>
  </si>
  <si>
    <t>INFSROADN</t>
  </si>
  <si>
    <t>New Road infrastructure</t>
  </si>
  <si>
    <t>INFSBIKEN</t>
  </si>
  <si>
    <t>New Bike infrastructure</t>
  </si>
  <si>
    <t>INFSTRAINN</t>
  </si>
  <si>
    <t>New Train infrastructure</t>
  </si>
  <si>
    <t>INFSSTRAINN</t>
  </si>
  <si>
    <t>New S-train infrastructure</t>
  </si>
  <si>
    <t>INFSMETRON</t>
  </si>
  <si>
    <t>New Metro infrastructure</t>
  </si>
  <si>
    <t>CURR</t>
  </si>
  <si>
    <t>START</t>
  </si>
  <si>
    <t>STOCK~2030~DKE</t>
  </si>
  <si>
    <t>STOCK~2060~DKE</t>
  </si>
  <si>
    <t>STOCK~2060~DKW</t>
  </si>
  <si>
    <t>INVCOST</t>
  </si>
  <si>
    <t>FIXOM</t>
  </si>
  <si>
    <t>Mkr/Mpkm</t>
  </si>
  <si>
    <t>Mkr/Mpkma</t>
  </si>
  <si>
    <t>MKr14</t>
  </si>
  <si>
    <t>Transport Passengers Extra Short Distance (&lt;2 km)</t>
  </si>
  <si>
    <t>Transport Passengers Short Distance (&lt;25 km)</t>
  </si>
  <si>
    <t>Transport Passengers Medium Distance (25-50 km)</t>
  </si>
  <si>
    <t>Transport Passengers Long Distance (&gt;50 km)</t>
  </si>
  <si>
    <t>BIKEcom</t>
  </si>
  <si>
    <t>Dummy commodity for bike/walk</t>
  </si>
  <si>
    <t>Saturation Factor</t>
  </si>
  <si>
    <t>OTHER DEMANDS</t>
  </si>
  <si>
    <t>TPCXS</t>
  </si>
  <si>
    <t>Transport Passengers Cars Extra Short Distance (&lt;5 km)</t>
  </si>
  <si>
    <t>Transport Passengers Cars Short Distance (5-25 km)</t>
  </si>
  <si>
    <t>Transport Passengers Cars Medium Distance (25-50 km)</t>
  </si>
  <si>
    <t>Transport Passengers Cars Long Distance (&gt;50 km)</t>
  </si>
  <si>
    <t>TPMTS</t>
  </si>
  <si>
    <t>Transport Passengers Motorbike Short Distance</t>
  </si>
  <si>
    <t>TPMTM</t>
  </si>
  <si>
    <t>Transport Passengers Motorbike Medium Distance</t>
  </si>
  <si>
    <t>TPMTL</t>
  </si>
  <si>
    <t>Transport Passengers Motorbike Long Distance</t>
  </si>
  <si>
    <t>TPMPXS</t>
  </si>
  <si>
    <t>Transport Passengers Moped 45 Extra Short Distance</t>
  </si>
  <si>
    <t>TPMPS</t>
  </si>
  <si>
    <t>Transport Passengers Moped 45 Short Distance</t>
  </si>
  <si>
    <t>TPMPM</t>
  </si>
  <si>
    <t>Transport Passengers Moped 45 Medium Distance</t>
  </si>
  <si>
    <t>TPMPL</t>
  </si>
  <si>
    <t>Transport Passengers Moped 45 Long Distance</t>
  </si>
  <si>
    <t>TPBIXS</t>
  </si>
  <si>
    <t>Transport Passengers bicycles Extra Short Distance (&lt;5 km)</t>
  </si>
  <si>
    <t>Transport Passengers bicycles Short Distance (&lt;25 km)</t>
  </si>
  <si>
    <t>TPWXS</t>
  </si>
  <si>
    <t xml:space="preserve">Transport Passengers Walk Extra Short Distance </t>
  </si>
  <si>
    <t xml:space="preserve">Transport Passengers Walk Short Distance </t>
  </si>
  <si>
    <t>Transport Passengers Public Bus Extra Short Distance (&lt;5 km)</t>
  </si>
  <si>
    <t>Transport Passengers Public Bus Short Distance (&lt;25 km)</t>
  </si>
  <si>
    <t>Transport Passengers Public Bus Medium Distance (25-50 km)</t>
  </si>
  <si>
    <t>Transport Passengers Public Bus Long distance (&gt;50 km)</t>
  </si>
  <si>
    <t>TPPCOS</t>
  </si>
  <si>
    <t>Transport Passengers Coach Short Distance (&lt;50 km)</t>
  </si>
  <si>
    <t>TPPCOM</t>
  </si>
  <si>
    <t>Transport Passengers Coach Medium Distance (25-50 km)</t>
  </si>
  <si>
    <t>TPPCOL</t>
  </si>
  <si>
    <t>Transport Passengers Coach Long distance (&gt;50 km)</t>
  </si>
  <si>
    <t>TPPRMXS</t>
  </si>
  <si>
    <t>Transport Passengers Metro Extra Short Distance</t>
  </si>
  <si>
    <t>TPPRMS</t>
  </si>
  <si>
    <t>Transport Passengers Metro Short Distance</t>
  </si>
  <si>
    <t>TPPRSXS</t>
  </si>
  <si>
    <t>Transport Passengers S-Train Extra Short Distance</t>
  </si>
  <si>
    <t>TPPRSS</t>
  </si>
  <si>
    <t>Transport Passengers S-Train Short Distance</t>
  </si>
  <si>
    <t>TPPRSM</t>
  </si>
  <si>
    <t>Transport Passengers S-Train Medium Distance</t>
  </si>
  <si>
    <t>TPPROS</t>
  </si>
  <si>
    <t>Transport Passengers Train Short Distance</t>
  </si>
  <si>
    <t>TPPROM</t>
  </si>
  <si>
    <t>Transport Passengers Train Medium Distance</t>
  </si>
  <si>
    <t>TPPROL</t>
  </si>
  <si>
    <t>Transport Passengers Train Long Distance</t>
  </si>
  <si>
    <t>Total from LTM</t>
  </si>
  <si>
    <t>(note: see demand profile)</t>
  </si>
  <si>
    <t>FT-TRAELCEVC</t>
  </si>
  <si>
    <t>TRAELCEVC</t>
  </si>
  <si>
    <t>Fuel Technology Electricity TRA for EV cars</t>
  </si>
  <si>
    <t>Electricity TRA for electric EV</t>
  </si>
  <si>
    <t>Cars+TRA_Fuel</t>
  </si>
  <si>
    <t>Applied fuel technology for cars only</t>
  </si>
  <si>
    <t>Liquid petrol gas TRA Cars</t>
  </si>
  <si>
    <t>TRALPGC</t>
  </si>
  <si>
    <t xml:space="preserve">National Ferry transport </t>
  </si>
  <si>
    <t>Personkm, mio</t>
  </si>
  <si>
    <t>Færgegods i alt, mio ton</t>
  </si>
  <si>
    <t>Transportarbejde, mio tonkm</t>
  </si>
  <si>
    <t>Internation ferry transport</t>
  </si>
  <si>
    <t>total ferry</t>
  </si>
  <si>
    <t>Fuel consumption</t>
  </si>
  <si>
    <t>Cruise ships</t>
  </si>
  <si>
    <t>total number in habour</t>
  </si>
  <si>
    <t>estimate on mio. pkm</t>
  </si>
  <si>
    <t xml:space="preserve">National transport </t>
  </si>
  <si>
    <t>mio. ton</t>
  </si>
  <si>
    <t>mio. tonkm</t>
  </si>
  <si>
    <t>fuel consumption</t>
  </si>
  <si>
    <t>average international distance allocated to DK</t>
  </si>
  <si>
    <t>estimate fuel consumption</t>
  </si>
  <si>
    <t>Total frieght</t>
  </si>
  <si>
    <t>From the danish energi statistisk 2016</t>
  </si>
  <si>
    <t>Energiforbrug til persontransport fordelt på transportmidler</t>
  </si>
  <si>
    <t>Ændring i pct.</t>
  </si>
  <si>
    <t>[PJ]</t>
  </si>
  <si>
    <t>'10</t>
  </si>
  <si>
    <t>'15</t>
  </si>
  <si>
    <t>'16</t>
  </si>
  <si>
    <t>1980-2016</t>
  </si>
  <si>
    <t>1990-2016</t>
  </si>
  <si>
    <t>2015-2016</t>
  </si>
  <si>
    <t>Personbiler og varebiler u. 2 ton</t>
  </si>
  <si>
    <t xml:space="preserve">Tohjulere (mc og knallert) </t>
  </si>
  <si>
    <t>Tog, S-tog og metro</t>
  </si>
  <si>
    <t>Lufttransport, indenrigs</t>
  </si>
  <si>
    <t>Lufttransport, udenrigs</t>
  </si>
  <si>
    <t>Søfart, indenrigs</t>
  </si>
  <si>
    <t>Energiforbrug til godstransport fordelt på transportform</t>
  </si>
  <si>
    <t>Lastbiler</t>
  </si>
  <si>
    <t>Varebiler 2-6 ton</t>
  </si>
  <si>
    <t>Søtransport (indenrigs)</t>
  </si>
  <si>
    <t>Tog</t>
  </si>
  <si>
    <t>Luftfart</t>
  </si>
  <si>
    <t>Ship passenger shares</t>
  </si>
  <si>
    <t>Average passenger</t>
  </si>
  <si>
    <t>Data from the danish energy statistics (energy) and Statistikbanken (transport), 23/3-18</t>
  </si>
  <si>
    <t>SKIB32</t>
  </si>
  <si>
    <t>SKIB35</t>
  </si>
  <si>
    <t>SKIB481</t>
  </si>
  <si>
    <t>SKIB431</t>
  </si>
  <si>
    <t>National goods transport</t>
  </si>
  <si>
    <t>Internation goods transport</t>
  </si>
  <si>
    <t xml:space="preserve">average value of shipping fuel consumption </t>
  </si>
  <si>
    <t>PJ fuel/mio. tonkm</t>
  </si>
  <si>
    <t>adjusted fuel consumption</t>
  </si>
  <si>
    <t>average mio. tonkm</t>
  </si>
  <si>
    <t>average fuel consumption</t>
  </si>
  <si>
    <t>International ferries total fuel</t>
  </si>
  <si>
    <t>National ferries total fuel</t>
  </si>
  <si>
    <t>fuel allocated to ferries and cargo ships from transport (PJ)</t>
  </si>
  <si>
    <t>National ferries</t>
  </si>
  <si>
    <t>mio. Tonkm (excl. ferry)</t>
  </si>
  <si>
    <t>Distance mio. km</t>
  </si>
  <si>
    <t>Average tonage per Ship</t>
  </si>
  <si>
    <t>Assumptions made by Jacopo</t>
  </si>
  <si>
    <t>assumed national cargo is transported by ships at 23 % of the internation size</t>
  </si>
  <si>
    <t>National maximum distance for cargo ships</t>
  </si>
  <si>
    <t>Share-I~LO~0</t>
  </si>
  <si>
    <t>All containing Ships</t>
  </si>
  <si>
    <t>Updated structure for ships including new demand setup, with international shipping demand as a scenario file</t>
  </si>
  <si>
    <t>Assumption of higher fuel efficiency on international shipping due to larger vessels</t>
  </si>
  <si>
    <t>Source: https://www.ncdot.gov/download/business/committees/logistics/maritime/tmvesselsizevscost_final.pdf</t>
  </si>
  <si>
    <t>Internation shipping</t>
  </si>
  <si>
    <t>Total goods freight ship</t>
  </si>
  <si>
    <t>Ferry goods</t>
  </si>
  <si>
    <t>Fossil fuels</t>
  </si>
  <si>
    <t>Renewable fuels</t>
  </si>
  <si>
    <t>Shipping type</t>
  </si>
  <si>
    <t>DBK</t>
  </si>
  <si>
    <t>LBK</t>
  </si>
  <si>
    <t>LCNT</t>
  </si>
  <si>
    <t>OTH</t>
  </si>
  <si>
    <t>RO_MNSP</t>
  </si>
  <si>
    <t>RO_MSP</t>
  </si>
  <si>
    <t>From Till thesis</t>
  </si>
  <si>
    <t>average distance (km)</t>
  </si>
  <si>
    <t>Cargo average (t)</t>
  </si>
  <si>
    <t>ktkm</t>
  </si>
  <si>
    <t>Share of total shipping</t>
  </si>
  <si>
    <t>Total average distance of shipping</t>
  </si>
  <si>
    <t>TRAHFON</t>
  </si>
  <si>
    <t>Heavy Fuel Oil TRA Navigation</t>
  </si>
  <si>
    <t>Diesel Shipping</t>
  </si>
  <si>
    <t>TRADSLN</t>
  </si>
  <si>
    <t>Diesel TRA Navigation</t>
  </si>
  <si>
    <t>DSL</t>
  </si>
  <si>
    <t>TRANGAN</t>
  </si>
  <si>
    <t>Nat. Gas TRA Navigation</t>
  </si>
  <si>
    <t>Nat.Gas Shipping</t>
  </si>
  <si>
    <t>TRAOILBL1N</t>
  </si>
  <si>
    <t>TRAOILBL2N</t>
  </si>
  <si>
    <t>TRAOILBL3N</t>
  </si>
  <si>
    <t>TRAOILBL4N</t>
  </si>
  <si>
    <t>TRAOILBL5N</t>
  </si>
  <si>
    <t>Blended Fuel - Oil products bio and renewable - level 1 - TRA Navigation</t>
  </si>
  <si>
    <t>Blended Fuel - Oil products bio and renewable - level 2 - TRA Navigation</t>
  </si>
  <si>
    <t>Blended Fuel - Oil products bio and renewable - level 3 - TRA Navigation</t>
  </si>
  <si>
    <t>Blended Fuel - Oil products bio and renewable - level 4 - TRA Navigation</t>
  </si>
  <si>
    <t>Blended Fuel - Oil products bio and renewable - level 5 - TRA Navigation</t>
  </si>
  <si>
    <t>TRASNGN</t>
  </si>
  <si>
    <t>Bio Synt. Nat. Gas (1G &amp; 2G) TRA Navigation</t>
  </si>
  <si>
    <t>Månedsstatistik: Fuelolie</t>
  </si>
  <si>
    <t>Monthly Statistics: Fuel Oil</t>
  </si>
  <si>
    <t>Enhed: Ton</t>
  </si>
  <si>
    <t>Unit: Tonnes</t>
  </si>
  <si>
    <t>Produktion, netto</t>
  </si>
  <si>
    <t>Import</t>
  </si>
  <si>
    <t>Eksport</t>
  </si>
  <si>
    <t>Bunkring</t>
  </si>
  <si>
    <t>Lagertræk</t>
  </si>
  <si>
    <t>Salg/Forbrug</t>
  </si>
  <si>
    <t>Lagerbeholdning, ultimo</t>
  </si>
  <si>
    <t>Salg/Forbrug, TJ</t>
  </si>
  <si>
    <t>Production</t>
  </si>
  <si>
    <t>Imports</t>
  </si>
  <si>
    <t>Exports</t>
  </si>
  <si>
    <t>Marine Bunkers</t>
  </si>
  <si>
    <t>Stock Change</t>
  </si>
  <si>
    <t>Sales/Consumption</t>
  </si>
  <si>
    <t>Stock, Closing</t>
  </si>
  <si>
    <t>from danish energy statistics Fuel oil consumption</t>
  </si>
  <si>
    <t xml:space="preserve">TJ Marine fuel oil </t>
  </si>
  <si>
    <t>Average annual fuel oil consumption in danish harbours for marine bunkering</t>
  </si>
  <si>
    <t>Average gross tonnage cargo/tanker ships (for freight) national</t>
  </si>
  <si>
    <t>Tonage international ships</t>
  </si>
  <si>
    <t>Ratio to national ships</t>
  </si>
  <si>
    <t>x</t>
  </si>
  <si>
    <t>t aditional cargo</t>
  </si>
  <si>
    <t>y</t>
  </si>
  <si>
    <t>increase in fuel</t>
  </si>
  <si>
    <t>adjusted fuel eff</t>
  </si>
  <si>
    <t>Based on assumption that for every increase of a factor 3 in tonage the fuel increases by 2 and an efficiency factor og 0.25 as int ships does not have the same amount of start/stops</t>
  </si>
  <si>
    <t>calculated fuel consumption OBS! Can´t be used, is only a messurement for comparisson</t>
  </si>
  <si>
    <t>Effeciency for int ferries</t>
  </si>
  <si>
    <t>International goods ferries</t>
  </si>
  <si>
    <t>International passenger ferries</t>
  </si>
  <si>
    <t>*TFFSI</t>
  </si>
  <si>
    <t>*TFFAI</t>
  </si>
  <si>
    <t>IMP</t>
  </si>
  <si>
    <t>Adjusted S train to cover light rail in Odense and Aarhus as well</t>
  </si>
  <si>
    <t>Infrastuktur fra flerårsbudgettet (Finanslovens afsnit 28 om transport) 2019</t>
  </si>
  <si>
    <t>Udgifter til drift og vedligeholdelse fordelt efter vejtyper</t>
  </si>
  <si>
    <t>Beskrivelse</t>
  </si>
  <si>
    <t xml:space="preserve">Total estimat </t>
  </si>
  <si>
    <t>Drift estimat</t>
  </si>
  <si>
    <t>Anlægsomkostninger estimatat</t>
  </si>
  <si>
    <t>indkøb af jernbane trafik (tilhøre delvist drift)</t>
  </si>
  <si>
    <t>Fællesudgifter</t>
  </si>
  <si>
    <t>2015 prisniveau (mio. kr.)</t>
  </si>
  <si>
    <t>Veje</t>
  </si>
  <si>
    <t>Jernbane trafik</t>
  </si>
  <si>
    <t>Tabel 4</t>
  </si>
  <si>
    <t>Statsveje</t>
  </si>
  <si>
    <t>Amtsveje</t>
  </si>
  <si>
    <t>Kommuneveje</t>
  </si>
  <si>
    <t>Samlede</t>
  </si>
  <si>
    <t>Kollektiv trafik</t>
  </si>
  <si>
    <t>ekskl. fællesbroer</t>
  </si>
  <si>
    <t xml:space="preserve"> udgifter</t>
  </si>
  <si>
    <t>Færgetrafik</t>
  </si>
  <si>
    <t>luftfart</t>
  </si>
  <si>
    <t>Banedanmark</t>
  </si>
  <si>
    <t>Bygninger og støtte dertil</t>
  </si>
  <si>
    <t>Støtte til almen byggeri</t>
  </si>
  <si>
    <t>Total, uden administrativ omkostninger</t>
  </si>
  <si>
    <t>Infaltion rate from sysstettings</t>
  </si>
  <si>
    <t>PYF (BVT-Deflator)</t>
  </si>
  <si>
    <t>*1325</t>
  </si>
  <si>
    <t>1977/78</t>
  </si>
  <si>
    <t>1976/77</t>
  </si>
  <si>
    <t>*1039</t>
  </si>
  <si>
    <t>*4279</t>
  </si>
  <si>
    <t>1975/76</t>
  </si>
  <si>
    <t>1974/75</t>
  </si>
  <si>
    <t>1973/74</t>
  </si>
  <si>
    <t>1972/73</t>
  </si>
  <si>
    <t>*Regnskabsperiode kun 9 måneder.</t>
  </si>
  <si>
    <t>Fra og med 2004 er amtsveje på Bornholm overgået til Bornholms Regionskommune som kommuneveje</t>
  </si>
  <si>
    <t>20012 prisniveau (mia. kr.)</t>
  </si>
  <si>
    <t xml:space="preserve">banedanmark </t>
  </si>
  <si>
    <t xml:space="preserve">Anlæg </t>
  </si>
  <si>
    <t>fornyelse</t>
  </si>
  <si>
    <t>Vedligeholdelse</t>
  </si>
  <si>
    <t>From the finans legislation. Infrastucture costs on signal imporvements and femern connection has not been included, to make the cost compareable with roads. And O&amp;M has been found in thedocumentation</t>
  </si>
  <si>
    <t>TRARAF</t>
  </si>
  <si>
    <t>https://www.ipcc.ch/site/assets/uploads/2018/03/av-en-1.pdf</t>
  </si>
  <si>
    <t>Radioactive forcing from aviation</t>
  </si>
  <si>
    <t>Radioactive forcing from aviation based on IPCC assumption on an average multiplication factor of 2.5 for total GHG effects</t>
  </si>
  <si>
    <t>TRADSBN</t>
  </si>
  <si>
    <t>Biodiesel (1G &amp; 2G) TRA Navigation</t>
  </si>
  <si>
    <t>TRAGSBN</t>
  </si>
  <si>
    <t>Bioethanol (1G &amp; 2G) TRA Navigation</t>
  </si>
  <si>
    <t>TRAMOB</t>
  </si>
  <si>
    <t>Methanol TRA</t>
  </si>
  <si>
    <t>TRAAMM</t>
  </si>
  <si>
    <t>Ammonia TRA</t>
  </si>
  <si>
    <t>FT-TRASNGN</t>
  </si>
  <si>
    <t>FT-TRADSBN</t>
  </si>
  <si>
    <t>Fuel Technology Biodiesel (1G &amp; 2G) TRA Navigation</t>
  </si>
  <si>
    <t>FT-TRAGSBN</t>
  </si>
  <si>
    <t>Fuel Technology Bioethanol (1G &amp; 2G) TRA Navigation</t>
  </si>
  <si>
    <t>MOB1</t>
  </si>
  <si>
    <t>MOB2</t>
  </si>
  <si>
    <t>AMM</t>
  </si>
  <si>
    <t>TPSS</t>
  </si>
  <si>
    <t>Transport Passengers Sea Domestic Short Distance (less than 10 km)</t>
  </si>
  <si>
    <t>TPSM</t>
  </si>
  <si>
    <t>Transport Passengers Sea Domestic Medium Distance (10-20 km)</t>
  </si>
  <si>
    <t>TPSL</t>
  </si>
  <si>
    <t>Transport Passengers Sea Domestic Long Distance (20-50 km)</t>
  </si>
  <si>
    <t>TPSXL</t>
  </si>
  <si>
    <t>Transport Passengers Sea Domestic Extra Long Distance (greater than 50 km)</t>
  </si>
  <si>
    <t>TFSL</t>
  </si>
  <si>
    <t>Transport Freight Sea Liquid Bulk Cargo Domestic</t>
  </si>
  <si>
    <t>TFSD</t>
  </si>
  <si>
    <t>Transport Freight Sea Dry Bulk Cargo Domestic</t>
  </si>
  <si>
    <t>TFSC</t>
  </si>
  <si>
    <t>Transport Freight Sea Container Cargo Domestic</t>
  </si>
  <si>
    <t>TFSR</t>
  </si>
  <si>
    <t>Transport Freight Sea Ro-Ro Cargo Domestic</t>
  </si>
  <si>
    <t>TRAMFO</t>
  </si>
  <si>
    <t>TRACH4</t>
  </si>
  <si>
    <t>Transport Passengers Sea Domestic Short Distance-Existing</t>
  </si>
  <si>
    <t>Transport Passengers Sea Domestic Medium Distance-Existing</t>
  </si>
  <si>
    <t>Transport Passengers Sea Domestic Long Distance-Existing</t>
  </si>
  <si>
    <t>Transport Passengers Sea Domestic Extra Long Distance-Existing</t>
  </si>
  <si>
    <t>Transport Freight Sea Small Container Ship- Existing</t>
  </si>
  <si>
    <t>Transport Freight Sea Medium Container Ship- Existing</t>
  </si>
  <si>
    <t>Transport Freight Sea Large Container Ship- Existing</t>
  </si>
  <si>
    <t>Transport Freight Sea Small Ro-Ro Ship- Existing</t>
  </si>
  <si>
    <t>Transport Freight Sea Medium Ro-Ro Ship- Existing</t>
  </si>
  <si>
    <t>FT-TRAMFO</t>
  </si>
  <si>
    <t>TRAMGO</t>
  </si>
  <si>
    <t>Load (pass or tonnes per vehicle)</t>
  </si>
  <si>
    <t>MGO</t>
  </si>
  <si>
    <t>LNG</t>
  </si>
  <si>
    <t>TRALNG</t>
  </si>
  <si>
    <t>Fuel Technology MGO</t>
  </si>
  <si>
    <t>FT-TRAMGO</t>
  </si>
  <si>
    <t>FT-TRAMFO2</t>
  </si>
  <si>
    <t>FT-TRAMFO3</t>
  </si>
  <si>
    <t>Fuel Technology MGO &amp; Biodiesel Blending - level 3</t>
  </si>
  <si>
    <t>FT-TRAMFO4</t>
  </si>
  <si>
    <t>Fuel Technology MGO &amp; Biodiesel Blending - level 4</t>
  </si>
  <si>
    <t>TRAMFO3</t>
  </si>
  <si>
    <t>TRAMFO4</t>
  </si>
  <si>
    <t>TRAMFO2</t>
  </si>
  <si>
    <t>Blended Fuel - MGO &amp; Biodiesel - level 2 - TRA</t>
  </si>
  <si>
    <t>Blended Fuel - MGO &amp; Biodiesel - level 3 - TRA</t>
  </si>
  <si>
    <t>TRAH2</t>
  </si>
  <si>
    <t>Transport marine gas oil</t>
  </si>
  <si>
    <t>Possible usefull sources for evaluating the efficiency of ships today</t>
  </si>
  <si>
    <t>https://ec.europa.eu/environment/air/pdf/chapter2_ship_emissions.pdf</t>
  </si>
  <si>
    <t>COM_PROJ</t>
  </si>
  <si>
    <t>TFSLI</t>
  </si>
  <si>
    <t>TFSDI</t>
  </si>
  <si>
    <t>TFSCI</t>
  </si>
  <si>
    <t>TFSRI</t>
  </si>
  <si>
    <t>International navigation</t>
  </si>
  <si>
    <t>Data for calculation on the shipping distance</t>
  </si>
  <si>
    <t>Speed in nautic miles/h</t>
  </si>
  <si>
    <t>https://orbit.dtu.dk/files/127119694/Psaraftis_Kontovas_SPEED_VRP_2014_v4.0.pdf</t>
  </si>
  <si>
    <t>Load factor at sea</t>
  </si>
  <si>
    <t>geustimate from</t>
  </si>
  <si>
    <t>Comm-OUT-A</t>
  </si>
  <si>
    <t>Share-I~LO</t>
  </si>
  <si>
    <t>Auxilary Output fuels</t>
  </si>
  <si>
    <t>MPassenger*km/PJ</t>
  </si>
  <si>
    <t>Max Passenger km per year</t>
  </si>
  <si>
    <t>Auxilary Output ratio between Pkm and Mtonkm</t>
  </si>
  <si>
    <t>International passenger ships</t>
  </si>
  <si>
    <t>OBS NEED UPDATED ACCORDING TO FUEL CONSUMPTION</t>
  </si>
  <si>
    <t>Transport Freight Sea Dry bulk International - Existing</t>
  </si>
  <si>
    <t>Transport Freight Sea Liquid bulk International - Existing</t>
  </si>
  <si>
    <t>Transport Freight Sea Container International - Existing</t>
  </si>
  <si>
    <t>Transport Freight Sea RORO International - Existing</t>
  </si>
  <si>
    <t>Transport Freight Sea Small Dry Bulk- Existing</t>
  </si>
  <si>
    <t>Transport Freight Sea Medium Dry Bulk- Existing</t>
  </si>
  <si>
    <t>Transport Freight Sea Large Dry Bulk- Existing</t>
  </si>
  <si>
    <t>Transport Freight Sea Small Liquid bulk- Existing</t>
  </si>
  <si>
    <t>Transport Freight Sea Medium Liquid bulk- Existing</t>
  </si>
  <si>
    <t>Transport Freight Sea Large Luquid bulk- Existing</t>
  </si>
  <si>
    <t>TFSSFOL1E</t>
  </si>
  <si>
    <t>TFSMFOL1E</t>
  </si>
  <si>
    <t>TFSLFOL1E</t>
  </si>
  <si>
    <t>TFSSFOD1E</t>
  </si>
  <si>
    <t>TFSMFOD1E</t>
  </si>
  <si>
    <t>TFSLFOD1E</t>
  </si>
  <si>
    <t>TFSSFOC1E</t>
  </si>
  <si>
    <t>TFSMFOC1E</t>
  </si>
  <si>
    <t>TFSLFOC1E</t>
  </si>
  <si>
    <t>TFSSFOR1E</t>
  </si>
  <si>
    <t>TFSMFOR1E</t>
  </si>
  <si>
    <t>TFSIFOL1E</t>
  </si>
  <si>
    <t>TFSIFOD1E</t>
  </si>
  <si>
    <t>TFSIFOC1E</t>
  </si>
  <si>
    <t>TFSIFOR1E</t>
  </si>
  <si>
    <t>TPSSFO1E</t>
  </si>
  <si>
    <t>TPSMFO1E</t>
  </si>
  <si>
    <t>TPSLFO1E</t>
  </si>
  <si>
    <t>TPSXLFO1E</t>
  </si>
  <si>
    <t>Transport Freight Sea Liquid Bulk Cargo International</t>
  </si>
  <si>
    <t>Transport Freight Sea Dry Bulk Cargo International</t>
  </si>
  <si>
    <t>Transport Freight Sea Container Cargo International</t>
  </si>
  <si>
    <t>Transport Freight Sea Ro-Ro Cargo International</t>
  </si>
  <si>
    <t>Blended Fuel - MGO &amp; Biodiesel - level 4 - TRA</t>
  </si>
  <si>
    <t>Price development of Vessel as a result of power unit (kUSD/kW)</t>
  </si>
  <si>
    <t>Efficiency of engine types</t>
  </si>
  <si>
    <t>Short sea</t>
  </si>
  <si>
    <t>Deep sea ships</t>
  </si>
  <si>
    <t>Container ship</t>
  </si>
  <si>
    <t>Fuel oil ICE</t>
  </si>
  <si>
    <t>Load factor "at sea"</t>
  </si>
  <si>
    <t>Methanoel ICE</t>
  </si>
  <si>
    <t>LNG ICE</t>
  </si>
  <si>
    <t>Running at max power</t>
  </si>
  <si>
    <t>https://transportgeography.org/?page_id=5955</t>
  </si>
  <si>
    <t>H2 ICE</t>
  </si>
  <si>
    <t>Fuel oil FC</t>
  </si>
  <si>
    <t>Assumed capacity factor compared to standard ships e.g. today the cap factor is 80%</t>
  </si>
  <si>
    <t>liguied</t>
  </si>
  <si>
    <t>https://pubs.acs.org/doi/abs/10.1021/es5018575</t>
  </si>
  <si>
    <t>Methanoel FC</t>
  </si>
  <si>
    <t>gas</t>
  </si>
  <si>
    <t>LNG FC</t>
  </si>
  <si>
    <t>Efficiency and costs of shipping engines</t>
  </si>
  <si>
    <t>H2 FC</t>
  </si>
  <si>
    <t>Price development of engine as a result of power unit (USD/kW)</t>
  </si>
  <si>
    <t>TIMES-DKGAS model documentation</t>
  </si>
  <si>
    <t xml:space="preserve">From TIMES-DKGAS model documentation and G. P. Piko, Regression Analysis of Ship Characteristics. 1980, The Department of Infrastructure, Regional Development and Cities, Australia. </t>
  </si>
  <si>
    <t>The engine size is estimated using the ccorrelation between DWT and engine power [4]:</t>
  </si>
  <si>
    <t>Power (kW)=0.746*α* (DWT)β</t>
  </si>
  <si>
    <t>Where: DWT-dead weight tonnage of the ship</t>
  </si>
  <si>
    <t>Table 5: Constants by crago type</t>
  </si>
  <si>
    <t>Ship type</t>
  </si>
  <si>
    <t>α</t>
  </si>
  <si>
    <t>β</t>
  </si>
  <si>
    <t>Container</t>
  </si>
  <si>
    <t>Price development of storage as a result of power unit (USD/GJ)</t>
  </si>
  <si>
    <t>Ro-Ro</t>
  </si>
  <si>
    <t>Bulk carrier</t>
  </si>
  <si>
    <t>DWT (t)</t>
  </si>
  <si>
    <t>Tanker</t>
  </si>
  <si>
    <t>Passenger</t>
  </si>
  <si>
    <t>Load capacity factors per shipping type</t>
  </si>
  <si>
    <t>https://www.transportmeasures.org/en/wiki/manuals/sea/load-capacity-utilisation/</t>
  </si>
  <si>
    <t>Energy consumption for ships GJ/Nm, based upon DWT from Tills thesis</t>
  </si>
  <si>
    <t>Type of ship</t>
  </si>
  <si>
    <t>size DWT</t>
  </si>
  <si>
    <t>Capacity utilazation</t>
  </si>
  <si>
    <t>Type of Ships</t>
  </si>
  <si>
    <t>Oil tanker</t>
  </si>
  <si>
    <t>all</t>
  </si>
  <si>
    <t>DBL</t>
  </si>
  <si>
    <t>Dry bulk</t>
  </si>
  <si>
    <t>Product tanker</t>
  </si>
  <si>
    <t>20000+</t>
  </si>
  <si>
    <t>LBL</t>
  </si>
  <si>
    <t>Liquid bulk</t>
  </si>
  <si>
    <t>10000-20000</t>
  </si>
  <si>
    <t xml:space="preserve">Assumed 2800 TEU </t>
  </si>
  <si>
    <t>0-10000</t>
  </si>
  <si>
    <t>RORO</t>
  </si>
  <si>
    <t>RO-ro</t>
  </si>
  <si>
    <t>Chemical tanker</t>
  </si>
  <si>
    <t>All</t>
  </si>
  <si>
    <t>LPG tanker</t>
  </si>
  <si>
    <t>Speed for ships knots, based upon DWT from Tills thesis</t>
  </si>
  <si>
    <t>General Cargo</t>
  </si>
  <si>
    <t>Reefer</t>
  </si>
  <si>
    <t>Vehicle</t>
  </si>
  <si>
    <t>RO-RO</t>
  </si>
  <si>
    <t>Summarised table</t>
  </si>
  <si>
    <t>DWT</t>
  </si>
  <si>
    <t>CWT</t>
  </si>
  <si>
    <t>CAPF</t>
  </si>
  <si>
    <t>2010e</t>
  </si>
  <si>
    <t>2020e</t>
  </si>
  <si>
    <t>2030e</t>
  </si>
  <si>
    <t>2010s</t>
  </si>
  <si>
    <t>2020s</t>
  </si>
  <si>
    <t>2030s</t>
  </si>
  <si>
    <t>t</t>
  </si>
  <si>
    <t>Mtkm</t>
  </si>
  <si>
    <t>GJ/nm</t>
  </si>
  <si>
    <t>Shipping international demand</t>
  </si>
  <si>
    <t>Shipping international passenger demand</t>
  </si>
  <si>
    <t>TPSIFOICI1E</t>
  </si>
  <si>
    <t>Deactivated~FI_T</t>
  </si>
  <si>
    <t>Share-O~2015~LO</t>
  </si>
  <si>
    <t>*Medium to Short ride CEFF</t>
  </si>
  <si>
    <t>*Based on catalogue</t>
  </si>
  <si>
    <t>calculated</t>
  </si>
  <si>
    <t>*Long to Short ride CEFF</t>
  </si>
  <si>
    <t>Transport Freight Truck - 2 axle Diesel Engine - Blending 1 - Existing</t>
  </si>
  <si>
    <t>TFTM</t>
  </si>
  <si>
    <t>TFTL</t>
  </si>
  <si>
    <t>Transport Freight Truck - 3 axle Diesel Engine - Blending 1 - Existing</t>
  </si>
  <si>
    <t>TFTIS</t>
  </si>
  <si>
    <t>TFTIM</t>
  </si>
  <si>
    <t>TFTIL</t>
  </si>
  <si>
    <t xml:space="preserve">   </t>
  </si>
  <si>
    <t>Transport Freight Van - Diesel Engine - 2-3.5T - Existing</t>
  </si>
  <si>
    <t>Transport Freight Van - Otto Engine - 2-3.5T - Existing</t>
  </si>
  <si>
    <t>Transport Freight Van - LPG Engine - 2-3.5T - Existing</t>
  </si>
  <si>
    <t>Transport Freight Van - ELC Engine - 2-3.5T- Existing</t>
  </si>
  <si>
    <t>Transport Freight Truck Short Distance National (&lt;150 km)</t>
  </si>
  <si>
    <t>Transport Freight Truck Medium Distance National (150-300 km)</t>
  </si>
  <si>
    <t>Transport Freight Truck Long Distance National (&gt;300 km)</t>
  </si>
  <si>
    <t>Transport Freight Truck International (&lt;1000 km)</t>
  </si>
  <si>
    <t>Transport Freight Truck International (1000-2000 km)</t>
  </si>
  <si>
    <t>Transport Freight Truck International (&gt;2000 km)</t>
  </si>
  <si>
    <t>Hydrogen Compressed TRA</t>
  </si>
  <si>
    <t>TRAH2C</t>
  </si>
  <si>
    <t>Fuel Technology MGO &amp; Biodiesel Blending - level 1</t>
  </si>
  <si>
    <t>Fuel Technology MGO &amp; Biodiesel Blending - level 2</t>
  </si>
  <si>
    <t>Blended Fuel - MGO &amp; Biodiesel - level 1 - TRA</t>
  </si>
  <si>
    <t>Fuel Technology Compressed Nat. Gas &amp; Bio Synt. Nat. Gas Blending - level 1</t>
  </si>
  <si>
    <t>Fuel Technology Compressed Nat. Gas &amp; Bio Synt. Nat. Gas Blending - level 2</t>
  </si>
  <si>
    <t>Fuel Technology Compressed Nat. Gas &amp; Bio Synt. Nat. Gas Blending - level 3</t>
  </si>
  <si>
    <t>Fuel Technology Compressed Nat. Gas &amp; Bio Synt. Nat. Gas Blending - level 4</t>
  </si>
  <si>
    <t>Fuel Technology Compressed Nat. Gas &amp; Bio Synt. Nat. Gas Blending - level 5</t>
  </si>
  <si>
    <t>Transport Freight International Truck - 2 axle Diesel Engine - Blending 1 - Existing</t>
  </si>
  <si>
    <t>Transport Freight International Truck - 3 axle Diesel Engine - Blending 1 - Existing</t>
  </si>
  <si>
    <t>MOE</t>
  </si>
  <si>
    <t>GSE</t>
  </si>
  <si>
    <t>DSE</t>
  </si>
  <si>
    <t>KRE</t>
  </si>
  <si>
    <t>HFB</t>
  </si>
  <si>
    <t>SNE</t>
  </si>
  <si>
    <t>transportvaneundersøgelse</t>
  </si>
  <si>
    <t>mio pkm</t>
  </si>
  <si>
    <t>Occ</t>
  </si>
  <si>
    <t>Fuel Technology Ammonia TRA</t>
  </si>
  <si>
    <t>TRAH2N</t>
  </si>
  <si>
    <t>Hydrogen TRA Navigation</t>
  </si>
  <si>
    <t>TRAMOBN</t>
  </si>
  <si>
    <t>Methanol TRA Navigation</t>
  </si>
  <si>
    <t>Fuel Technology Methanol TRA</t>
  </si>
  <si>
    <t>FT-TRAAMM</t>
  </si>
  <si>
    <t>TRASNE</t>
  </si>
  <si>
    <t>TRAGSE</t>
  </si>
  <si>
    <t>TRADSE</t>
  </si>
  <si>
    <t>Electro diesel (1G &amp; 2G) TRA</t>
  </si>
  <si>
    <t>Electro ethanol (1G &amp; 2G) TRA</t>
  </si>
  <si>
    <t>Electro Synt. Nat. Gas (1G &amp; 2G) TRA</t>
  </si>
  <si>
    <t>Methane emissions - Transport</t>
  </si>
  <si>
    <t>TRANOx</t>
  </si>
  <si>
    <t>TRAPM</t>
  </si>
  <si>
    <t>TRASO2</t>
  </si>
  <si>
    <t>kg</t>
  </si>
  <si>
    <t>NOx Emissions Transport</t>
  </si>
  <si>
    <t>Particle emissions Transport</t>
  </si>
  <si>
    <t>SO2 emissions Transport</t>
  </si>
  <si>
    <t>H2</t>
  </si>
  <si>
    <t>TRACO2AN</t>
  </si>
  <si>
    <t>TRACO2NN</t>
  </si>
  <si>
    <t>TRACO2AI</t>
  </si>
  <si>
    <t>TRACO2NI</t>
  </si>
  <si>
    <t>CO2 Transport Aviation National</t>
  </si>
  <si>
    <t>CO2 Transport Navigation National</t>
  </si>
  <si>
    <t>CO2 Transport Navigation International</t>
  </si>
  <si>
    <t>CO2 Transport Aviation International</t>
  </si>
  <si>
    <t>TPANV</t>
  </si>
  <si>
    <t>TPAIS</t>
  </si>
  <si>
    <t>TPAIL</t>
  </si>
  <si>
    <t>Transport Passengers Air International Short</t>
  </si>
  <si>
    <t>Transport Passengers Air International Long</t>
  </si>
  <si>
    <t>TPANKENA1E</t>
  </si>
  <si>
    <t>TPAIKEIN1E</t>
  </si>
  <si>
    <t>TPAIKEIN2E</t>
  </si>
  <si>
    <t>Transport Passengers Air International - Blending 1 - Short distance Existing</t>
  </si>
  <si>
    <t>Transport Passengers Air International - Blending 1 - Long distance Existing</t>
  </si>
  <si>
    <t>TRAKEIN1</t>
  </si>
  <si>
    <t>TRAKEIN2</t>
  </si>
  <si>
    <t>TRAKEIN3</t>
  </si>
  <si>
    <t>TRAKEIN4</t>
  </si>
  <si>
    <t>TRAKEIN5</t>
  </si>
  <si>
    <t>TRAKENA1</t>
  </si>
  <si>
    <t>TRAKENA2</t>
  </si>
  <si>
    <t>TRAKENA3</t>
  </si>
  <si>
    <t>TRAKENA4</t>
  </si>
  <si>
    <t>TRAKENA5</t>
  </si>
  <si>
    <t>Blended Fuel - Kerosene &amp; Biokerosene - level 1 - TRA - Internaitonal</t>
  </si>
  <si>
    <t>Blended Fuel - Kerosene &amp; Biokerosene - level 3 - TRA - International</t>
  </si>
  <si>
    <t>Blended Fuel - Kerosene &amp; Biokerosene - level 4 - TRA - International</t>
  </si>
  <si>
    <t>Blended Fuel - Kerosene &amp; Biokerosene - level 1 - TRA - National</t>
  </si>
  <si>
    <t>Blended Fuel - Kerosene &amp; Biokerosene - level 2 - TRA - National</t>
  </si>
  <si>
    <t>Blended Fuel - Kerosene &amp; Biokerosene - level 3 - TRA - National</t>
  </si>
  <si>
    <t>Blended Fuel - Kerosene &amp; Biokerosene - level 4 - TRA - National</t>
  </si>
  <si>
    <t>Blended Fuel - Kerosene &amp; Biokerosene - level 5 - TRA - National</t>
  </si>
  <si>
    <t>Blended Fuel - Kerosene &amp; Biokerosene - level 5 - TRA - International</t>
  </si>
  <si>
    <t>Blended Fuel - Kerosene &amp; Biokerosene - level 2 - TRA - International</t>
  </si>
  <si>
    <t>TRAKEI</t>
  </si>
  <si>
    <t>TRAKEN</t>
  </si>
  <si>
    <t>Kerosene TRA - International</t>
  </si>
  <si>
    <t>Kerosene TRA - National</t>
  </si>
  <si>
    <t>*TPAIS</t>
  </si>
  <si>
    <t>*TPAIL</t>
  </si>
  <si>
    <t>Share Short distance International</t>
  </si>
  <si>
    <t>Share Long distance International</t>
  </si>
  <si>
    <t>TFAIV</t>
  </si>
  <si>
    <t>*TPPSI</t>
  </si>
  <si>
    <t>DKE,DKW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</si>
</sst>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4">
    <numFmt numFmtId="8" formatCode="&quot;£&quot;#,##0.00;[Red]\-&quot;£&quot;#,##0.00"/>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0"/>
    <numFmt numFmtId="168" formatCode="0.0000000"/>
    <numFmt numFmtId="169" formatCode="#,##0;\-\ #,##0;_-\ &quot;- &quot;"/>
    <numFmt numFmtId="170" formatCode="_-[$€-2]\ * #,##0.00_-;\-[$€-2]\ * #,##0.00_-;_-[$€-2]\ * &quot;-&quot;??_-"/>
    <numFmt numFmtId="171" formatCode="_-* #,##0.0_-;\-* #,##0.0_-;_-* &quot;-&quot;??_-;_-@_-"/>
    <numFmt numFmtId="172" formatCode="0.000"/>
    <numFmt numFmtId="173" formatCode="_([$€]* #,##0.00_);_([$€]* \(#,##0.00\);_([$€]* &quot;-&quot;??_);_(@_)"/>
    <numFmt numFmtId="174" formatCode="\Te\x\t"/>
    <numFmt numFmtId="175" formatCode="_ * #,##0_)\ _k_r_ ;_ * \(#,##0\)\ _k_r_ ;_ * &quot;-&quot;??_)\ _k_r_ ;_ @_ "/>
    <numFmt numFmtId="176" formatCode="#,##0.000"/>
    <numFmt numFmtId="177" formatCode="#,##0.0"/>
    <numFmt numFmtId="178" formatCode="0.0000"/>
    <numFmt numFmtId="179" formatCode="#,##0.0000"/>
    <numFmt numFmtId="180" formatCode="###\ ###\ ##0;###\ ###\ ##0;&quot;-&quot;"/>
    <numFmt numFmtId="181" formatCode="###\ ###\ ##0;\-###\ ###\ ##0;&quot;-&quot;"/>
    <numFmt numFmtId="182" formatCode="_-* #,##0.00\ _k_r_-;\-* #,##0.00\ _k_r_-;_-* &quot;-&quot;??\ _k_r_-;_-@_-"/>
    <numFmt numFmtId="183" formatCode="General_)"/>
    <numFmt numFmtId="184" formatCode="0.0_)"/>
    <numFmt numFmtId="185" formatCode="0_)"/>
    <numFmt numFmtId="186" formatCode="???,???.00"/>
    <numFmt numFmtId="187" formatCode="_-[$€-2]* #,##0.00_-;\-[$€-2]* #,##0.00_-;_-[$€-2]* &quot;-&quot;??_-"/>
    <numFmt numFmtId="188" formatCode="#,##0;#\ ##0"/>
    <numFmt numFmtId="189" formatCode="#\ ###\ ##0;\-#\ ###\ ##0;\-"/>
    <numFmt numFmtId="190" formatCode="_-* #,##0.00\ _€_-;\-* #,##0.00\ _€_-;_-* &quot;-&quot;??\ _€_-;_-@_-"/>
    <numFmt numFmtId="191" formatCode="#,##0.00\ &quot;F&quot;;[Red]\-#,##0.00\ &quot;F&quot;"/>
    <numFmt numFmtId="192" formatCode="#,##0.0_)"/>
    <numFmt numFmtId="193" formatCode="0.0;\-0.0"/>
    <numFmt numFmtId="194" formatCode="\$#,##0\ ;\(\$#,##0\)"/>
    <numFmt numFmtId="195" formatCode="0.00_ ;\-0.00\ "/>
    <numFmt numFmtId="196" formatCode="_ * #,##0_ ;_ * \-#,##0_ ;_ * &quot;-&quot;_ ;_ @_ "/>
    <numFmt numFmtId="197" formatCode="0_ ;\-0\ "/>
    <numFmt numFmtId="198" formatCode="0.000000000"/>
    <numFmt numFmtId="199" formatCode="0.0000_ ;[Red]\-0.0000\ "/>
    <numFmt numFmtId="200" formatCode="_ * #,##0_ ;_ * \-#,##0_ ;_ * &quot;-&quot;??_ ;_ @_ "/>
    <numFmt numFmtId="201" formatCode="_(* #,##0.0_);_(* \(#,##0.0\);_(* &quot;-&quot;??_);_(@_)"/>
    <numFmt numFmtId="202" formatCode="_(* #,##0_);_(* \(#,##0\);_(* &quot;-&quot;??_);_(@_)"/>
    <numFmt numFmtId="203" formatCode="0.0%"/>
    <numFmt numFmtId="204" formatCode="_-* #,##0_-;\-* #,##0_-;_-* &quot;-&quot;??_-;_-@_-"/>
    <numFmt numFmtId="205" formatCode="0.00000"/>
    <numFmt numFmtId="206" formatCode="0.00000000000"/>
    <numFmt numFmtId="207" formatCode="0.000000"/>
    <numFmt numFmtId="208" formatCode="_ * #,##0.0_ ;_ * \-#,##0.0_ ;_ * &quot;-&quot;?_ ;_ @_ "/>
    <numFmt numFmtId="209" formatCode="#\ ##0"/>
    <numFmt numFmtId="210" formatCode="#\ ###\ ##0"/>
    <numFmt numFmtId="211" formatCode="#,##0.00000"/>
    <numFmt numFmtId="212" formatCode="_-* #,##0.0000\ _k_r_-;\-* #,##0.0000\ _k_r_-;_-* &quot;-&quot;??\ _k_r_-;_-@_-"/>
    <numFmt numFmtId="213" formatCode="_-* #,##0.000_-;\-* #,##0.000_-;_-* &quot;-&quot;??_-;_-@_-"/>
    <numFmt numFmtId="214" formatCode="\Tyy\x\t"/>
  </numFmts>
  <fonts count="24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charset val="204"/>
    </font>
    <font>
      <sz val="10"/>
      <name val="Helv"/>
    </font>
    <font>
      <sz val="10"/>
      <color indexed="8"/>
      <name val="Arial"/>
      <family val="2"/>
    </font>
    <font>
      <b/>
      <sz val="10"/>
      <color indexed="8"/>
      <name val="Arial"/>
      <family val="2"/>
    </font>
    <font>
      <b/>
      <sz val="10"/>
      <color indexed="81"/>
      <name val="Tahoma"/>
      <family val="2"/>
      <charset val="204"/>
    </font>
    <font>
      <sz val="10"/>
      <color indexed="81"/>
      <name val="Tahoma"/>
      <family val="2"/>
      <charset val="204"/>
    </font>
    <font>
      <b/>
      <sz val="10"/>
      <name val="Arial"/>
      <family val="2"/>
      <charset val="204"/>
    </font>
    <font>
      <u/>
      <sz val="10"/>
      <name val="Arial"/>
      <family val="2"/>
      <charset val="204"/>
    </font>
    <font>
      <i/>
      <sz val="10"/>
      <name val="Arial"/>
      <family val="2"/>
    </font>
    <font>
      <i/>
      <sz val="9"/>
      <color indexed="8"/>
      <name val="Arial"/>
      <family val="2"/>
    </font>
    <font>
      <sz val="10"/>
      <color indexed="12"/>
      <name val="Arial"/>
      <family val="2"/>
    </font>
    <font>
      <b/>
      <i/>
      <sz val="11"/>
      <name val="Times New Roman"/>
      <family val="1"/>
    </font>
    <font>
      <sz val="11"/>
      <name val="Times New Roman"/>
      <family val="1"/>
    </font>
    <font>
      <b/>
      <sz val="11"/>
      <color indexed="8"/>
      <name val="Times New Roman"/>
      <family val="1"/>
    </font>
    <font>
      <sz val="11"/>
      <color indexed="8"/>
      <name val="Times New Roman"/>
      <family val="1"/>
    </font>
    <font>
      <b/>
      <sz val="11"/>
      <name val="Times New Roman"/>
      <family val="1"/>
    </font>
    <font>
      <sz val="10"/>
      <color indexed="9"/>
      <name val="Arial"/>
      <family val="2"/>
    </font>
    <font>
      <b/>
      <sz val="16"/>
      <color indexed="9"/>
      <name val="Arial"/>
      <family val="2"/>
    </font>
    <font>
      <b/>
      <sz val="14"/>
      <name val="Arial"/>
      <family val="2"/>
    </font>
    <font>
      <b/>
      <sz val="8"/>
      <color indexed="81"/>
      <name val="Tahoma"/>
      <family val="2"/>
    </font>
    <font>
      <sz val="8"/>
      <color indexed="81"/>
      <name val="Tahoma"/>
      <family val="2"/>
    </font>
    <font>
      <b/>
      <sz val="12"/>
      <color indexed="10"/>
      <name val="Arial"/>
      <family val="2"/>
    </font>
    <font>
      <b/>
      <sz val="8"/>
      <name val="Arial"/>
      <family val="2"/>
      <charset val="161"/>
    </font>
    <font>
      <u/>
      <sz val="8"/>
      <name val="Arial"/>
      <family val="2"/>
      <charset val="161"/>
    </font>
    <font>
      <sz val="8"/>
      <name val="Arial"/>
      <family val="2"/>
      <charset val="161"/>
    </font>
    <font>
      <sz val="12"/>
      <name val="Times New Roman"/>
      <family val="1"/>
    </font>
    <font>
      <sz val="10"/>
      <name val="Times New Roman"/>
      <family val="1"/>
    </font>
    <font>
      <b/>
      <sz val="12"/>
      <name val="Times New Roman"/>
      <family val="1"/>
    </font>
    <font>
      <sz val="8"/>
      <name val="Helvetica"/>
      <family val="2"/>
    </font>
    <font>
      <sz val="10"/>
      <name val="Arial"/>
      <family val="2"/>
      <charset val="161"/>
    </font>
    <font>
      <sz val="11"/>
      <color theme="1"/>
      <name val="Calibri"/>
      <family val="2"/>
      <scheme val="minor"/>
    </font>
    <font>
      <sz val="11"/>
      <color rgb="FF9C0006"/>
      <name val="Calibri"/>
      <family val="2"/>
      <scheme val="minor"/>
    </font>
    <font>
      <sz val="10"/>
      <color rgb="FF9C0006"/>
      <name val="Calibri"/>
      <family val="2"/>
    </font>
    <font>
      <i/>
      <sz val="11"/>
      <color rgb="FF7F7F7F"/>
      <name val="Calibri"/>
      <family val="2"/>
      <scheme val="minor"/>
    </font>
    <font>
      <sz val="11"/>
      <color theme="1"/>
      <name val="Calibri"/>
      <family val="2"/>
    </font>
    <font>
      <sz val="10"/>
      <color theme="1"/>
      <name val="Calibri"/>
      <family val="2"/>
    </font>
    <font>
      <b/>
      <sz val="11"/>
      <color theme="1"/>
      <name val="Calibri"/>
      <family val="2"/>
      <scheme val="minor"/>
    </font>
    <font>
      <b/>
      <sz val="10"/>
      <color rgb="FFFF0000"/>
      <name val="Arial"/>
      <family val="2"/>
    </font>
    <font>
      <sz val="10"/>
      <color rgb="FFFF0000"/>
      <name val="Arial"/>
      <family val="2"/>
    </font>
    <font>
      <sz val="12"/>
      <color theme="0" tint="-0.499984740745262"/>
      <name val="Calibri"/>
      <family val="2"/>
      <scheme val="minor"/>
    </font>
    <font>
      <sz val="11"/>
      <color theme="0" tint="-0.499984740745262"/>
      <name val="Calibri"/>
      <family val="2"/>
      <scheme val="minor"/>
    </font>
    <font>
      <b/>
      <sz val="12"/>
      <color theme="1"/>
      <name val="Calibri"/>
      <family val="2"/>
      <scheme val="minor"/>
    </font>
    <font>
      <sz val="12"/>
      <color theme="1"/>
      <name val="Calibri"/>
      <family val="2"/>
      <scheme val="minor"/>
    </font>
    <font>
      <sz val="10"/>
      <color rgb="FFFF0000"/>
      <name val="Arial"/>
      <family val="2"/>
      <charset val="204"/>
    </font>
    <font>
      <sz val="11"/>
      <name val="Calibri"/>
      <family val="2"/>
      <scheme val="minor"/>
    </font>
    <font>
      <b/>
      <sz val="11"/>
      <name val="Calibri"/>
      <family val="2"/>
      <scheme val="minor"/>
    </font>
    <font>
      <b/>
      <sz val="11"/>
      <color rgb="FFFF0000"/>
      <name val="Calibri"/>
      <family val="2"/>
      <scheme val="minor"/>
    </font>
    <font>
      <sz val="10"/>
      <color rgb="FF0000FF"/>
      <name val="Arial"/>
      <family val="2"/>
    </font>
    <font>
      <b/>
      <sz val="10"/>
      <color rgb="FFFFFFFF"/>
      <name val="Arial"/>
      <family val="2"/>
      <charset val="161"/>
    </font>
    <font>
      <b/>
      <sz val="15"/>
      <color theme="0"/>
      <name val="Calibri"/>
      <family val="2"/>
      <scheme val="minor"/>
    </font>
    <font>
      <sz val="11"/>
      <color rgb="FF000000"/>
      <name val="Calibri"/>
      <family val="2"/>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sz val="11"/>
      <color rgb="FF3F3F76"/>
      <name val="Calibri"/>
      <family val="2"/>
      <scheme val="minor"/>
    </font>
    <font>
      <b/>
      <sz val="11"/>
      <color rgb="FF3F3F3F"/>
      <name val="Calibri"/>
      <family val="2"/>
      <scheme val="minor"/>
    </font>
    <font>
      <sz val="10"/>
      <color theme="1"/>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u/>
      <sz val="10"/>
      <name val="Arial"/>
      <family val="2"/>
    </font>
    <font>
      <b/>
      <sz val="13"/>
      <color rgb="FF000000"/>
      <name val="Calibri"/>
      <family val="2"/>
    </font>
    <font>
      <b/>
      <sz val="10"/>
      <name val="Helvetica"/>
      <family val="2"/>
    </font>
    <font>
      <sz val="7"/>
      <color indexed="45"/>
      <name val="Arial"/>
      <family val="2"/>
    </font>
    <font>
      <b/>
      <sz val="7"/>
      <color indexed="45"/>
      <name val="Arial"/>
      <family val="2"/>
    </font>
    <font>
      <sz val="11"/>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10"/>
      <name val="Helvetica"/>
      <family val="2"/>
    </font>
    <font>
      <i/>
      <sz val="11"/>
      <color rgb="FF000000"/>
      <name val="Calibri"/>
      <family val="2"/>
    </font>
    <font>
      <sz val="10"/>
      <name val="Arial"/>
      <family val="2"/>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9"/>
      <name val="Geneva"/>
      <family val="2"/>
    </font>
    <font>
      <sz val="7"/>
      <color rgb="FFFFFFFF"/>
      <name val="Arial"/>
      <family val="2"/>
    </font>
    <font>
      <sz val="7"/>
      <color rgb="FF000000"/>
      <name val="Arial"/>
      <family val="2"/>
    </font>
    <font>
      <sz val="10"/>
      <name val="Arial"/>
      <family val="2"/>
    </font>
    <font>
      <sz val="22"/>
      <color theme="0"/>
      <name val="Arial"/>
      <family val="2"/>
    </font>
    <font>
      <sz val="10"/>
      <color theme="0"/>
      <name val="Arial"/>
      <family val="2"/>
    </font>
    <font>
      <u/>
      <sz val="10"/>
      <color theme="10"/>
      <name val="Arial"/>
      <family val="2"/>
    </font>
    <font>
      <u/>
      <sz val="10"/>
      <color rgb="FF0070C0"/>
      <name val="Arial"/>
      <family val="2"/>
    </font>
    <font>
      <sz val="10"/>
      <color theme="6" tint="-0.249977111117893"/>
      <name val="Arial"/>
      <family val="2"/>
    </font>
    <font>
      <sz val="10"/>
      <color theme="0"/>
      <name val="Arial"/>
      <family val="2"/>
      <charset val="204"/>
    </font>
    <font>
      <b/>
      <u/>
      <sz val="14"/>
      <color rgb="FFFF0000"/>
      <name val="Calibri"/>
      <family val="2"/>
      <scheme val="minor"/>
    </font>
    <font>
      <b/>
      <sz val="11"/>
      <color rgb="FF9C6500"/>
      <name val="Calibri"/>
      <family val="2"/>
      <scheme val="minor"/>
    </font>
    <font>
      <b/>
      <sz val="11"/>
      <color rgb="FF006100"/>
      <name val="Calibri"/>
      <family val="2"/>
      <scheme val="minor"/>
    </font>
    <font>
      <b/>
      <i/>
      <sz val="11"/>
      <color rgb="FF7F7F7F"/>
      <name val="Calibri"/>
      <family val="2"/>
      <scheme val="minor"/>
    </font>
    <font>
      <i/>
      <sz val="10"/>
      <color theme="0"/>
      <name val="Arial"/>
      <family val="2"/>
    </font>
    <font>
      <b/>
      <sz val="9"/>
      <color indexed="81"/>
      <name val="Tahoma"/>
      <family val="2"/>
      <charset val="204"/>
    </font>
    <font>
      <sz val="9"/>
      <color indexed="81"/>
      <name val="Tahoma"/>
      <family val="2"/>
      <charset val="204"/>
    </font>
    <font>
      <b/>
      <sz val="14"/>
      <color rgb="FF0070C0"/>
      <name val="Arial"/>
      <family val="2"/>
    </font>
    <font>
      <b/>
      <sz val="10"/>
      <name val="Arial"/>
      <family val="2"/>
    </font>
    <font>
      <b/>
      <i/>
      <sz val="10"/>
      <name val="Arial"/>
      <family val="2"/>
    </font>
    <font>
      <i/>
      <sz val="8"/>
      <name val="Arial"/>
      <family val="2"/>
    </font>
    <font>
      <sz val="10"/>
      <color indexed="45"/>
      <name val="Arial"/>
      <family val="2"/>
    </font>
    <font>
      <b/>
      <sz val="11"/>
      <color theme="8" tint="-0.249977111117893"/>
      <name val="Calibri"/>
      <family val="2"/>
      <scheme val="minor"/>
    </font>
    <font>
      <b/>
      <sz val="11"/>
      <color rgb="FF00B050"/>
      <name val="Calibri"/>
      <family val="2"/>
      <scheme val="minor"/>
    </font>
    <font>
      <sz val="11"/>
      <name val="Calibri"/>
      <family val="2"/>
    </font>
    <font>
      <b/>
      <sz val="10"/>
      <color theme="8" tint="-0.249977111117893"/>
      <name val="Arial"/>
      <family val="2"/>
    </font>
    <font>
      <b/>
      <sz val="8"/>
      <name val="Arial"/>
      <family val="2"/>
    </font>
    <font>
      <sz val="10"/>
      <color indexed="9"/>
      <name val="Calibri"/>
      <family val="2"/>
    </font>
    <font>
      <u/>
      <sz val="10"/>
      <color theme="10"/>
      <name val="Arial"/>
      <family val="2"/>
    </font>
    <font>
      <sz val="8"/>
      <color indexed="8"/>
      <name val="Arial"/>
      <family val="2"/>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8"/>
      <color theme="3"/>
      <name val="Cambria"/>
      <family val="2"/>
      <scheme val="major"/>
    </font>
    <font>
      <i/>
      <sz val="8"/>
      <color indexed="8"/>
      <name val="Arial"/>
      <family val="2"/>
    </font>
    <font>
      <b/>
      <sz val="10"/>
      <color rgb="FF0000FF"/>
      <name val="Arial"/>
      <family val="2"/>
    </font>
    <font>
      <b/>
      <sz val="11"/>
      <color rgb="FF000000"/>
      <name val="Calibri"/>
      <family val="2"/>
    </font>
    <font>
      <b/>
      <sz val="12"/>
      <name val="Arial"/>
      <family val="2"/>
    </font>
    <font>
      <b/>
      <sz val="10"/>
      <color theme="1"/>
      <name val="Arial"/>
      <family val="2"/>
    </font>
    <font>
      <b/>
      <sz val="14"/>
      <name val="Frutiger 45"/>
    </font>
    <font>
      <sz val="10"/>
      <name val="Frutiger 45"/>
      <family val="2"/>
    </font>
    <font>
      <sz val="12"/>
      <name val="Frutiger 45"/>
      <family val="2"/>
    </font>
    <font>
      <b/>
      <sz val="11"/>
      <name val="Frutiger 45"/>
      <family val="2"/>
    </font>
    <font>
      <sz val="11"/>
      <name val="Frutiger 45"/>
      <family val="2"/>
    </font>
    <font>
      <u/>
      <sz val="11"/>
      <name val="Frutiger 45"/>
      <family val="2"/>
    </font>
    <font>
      <b/>
      <sz val="9"/>
      <color indexed="8"/>
      <name val="Tahoma"/>
      <family val="2"/>
    </font>
    <font>
      <sz val="9"/>
      <color indexed="8"/>
      <name val="Tahoma"/>
      <family val="2"/>
    </font>
    <font>
      <b/>
      <sz val="9"/>
      <color indexed="8"/>
      <name val="Arial"/>
      <family val="2"/>
    </font>
    <font>
      <sz val="9"/>
      <color indexed="8"/>
      <name val="Arial"/>
      <family val="2"/>
    </font>
    <font>
      <sz val="10"/>
      <color rgb="FF000000"/>
      <name val="Calibri"/>
      <family val="2"/>
    </font>
    <font>
      <b/>
      <sz val="24"/>
      <name val="Arial"/>
      <family val="2"/>
    </font>
    <font>
      <sz val="9"/>
      <color rgb="FFFF0000"/>
      <name val="Arial"/>
      <family val="2"/>
    </font>
    <font>
      <sz val="11"/>
      <color indexed="16"/>
      <name val="Calibri"/>
      <family val="2"/>
    </font>
    <font>
      <sz val="10"/>
      <color indexed="10"/>
      <name val="Arial"/>
      <family val="2"/>
      <charset val="204"/>
    </font>
    <font>
      <sz val="10"/>
      <color indexed="8"/>
      <name val="Times New Roman"/>
      <family val="1"/>
    </font>
    <font>
      <sz val="10"/>
      <color indexed="10"/>
      <name val="Times New Roman"/>
      <family val="1"/>
    </font>
  </fonts>
  <fills count="1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22"/>
        <bgColor indexed="0"/>
      </patternFill>
    </fill>
    <fill>
      <patternFill patternType="solid">
        <fgColor indexed="9"/>
        <bgColor indexed="64"/>
      </patternFill>
    </fill>
    <fill>
      <patternFill patternType="solid">
        <fgColor indexed="41"/>
        <bgColor indexed="64"/>
      </patternFill>
    </fill>
    <fill>
      <patternFill patternType="solid">
        <fgColor indexed="18"/>
        <bgColor indexed="64"/>
      </patternFill>
    </fill>
    <fill>
      <patternFill patternType="solid">
        <fgColor rgb="FFFFC7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rgb="FFFF0000"/>
        <bgColor indexed="64"/>
      </patternFill>
    </fill>
    <fill>
      <patternFill patternType="solid">
        <fgColor rgb="FFF7EAD1"/>
        <bgColor rgb="FF000000"/>
      </patternFill>
    </fill>
    <fill>
      <patternFill patternType="solid">
        <fgColor rgb="FFFFF6E9"/>
        <bgColor rgb="FF000000"/>
      </patternFill>
    </fill>
    <fill>
      <patternFill patternType="solid">
        <fgColor rgb="FF747474"/>
        <bgColor rgb="FF000000"/>
      </patternFill>
    </fill>
    <fill>
      <patternFill patternType="solid">
        <fgColor theme="3" tint="0.39997558519241921"/>
        <bgColor indexed="64"/>
      </patternFill>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indexed="46"/>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rgb="FF4F81BD"/>
        <bgColor indexed="64"/>
      </patternFill>
    </fill>
    <fill>
      <patternFill patternType="solid">
        <fgColor rgb="FFDCE6F1"/>
        <bgColor indexed="64"/>
      </patternFill>
    </fill>
    <fill>
      <patternFill patternType="solid">
        <fgColor theme="4"/>
        <bgColor indexed="64"/>
      </patternFill>
    </fill>
    <fill>
      <patternFill patternType="solid">
        <fgColor theme="6" tint="-0.249977111117893"/>
        <bgColor indexed="64"/>
      </patternFill>
    </fill>
    <fill>
      <patternFill patternType="solid">
        <fgColor theme="5" tint="-0.249977111117893"/>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6"/>
        <bgColor indexed="64"/>
      </patternFill>
    </fill>
    <fill>
      <patternFill patternType="solid">
        <fgColor theme="0" tint="-0.249977111117893"/>
        <bgColor indexed="64"/>
      </patternFill>
    </fill>
    <fill>
      <patternFill patternType="solid">
        <fgColor indexed="12"/>
        <bgColor indexed="64"/>
      </patternFill>
    </fill>
    <fill>
      <patternFill patternType="solid">
        <fgColor theme="8" tint="0.39997558519241921"/>
        <bgColor indexed="64"/>
      </patternFill>
    </fill>
    <fill>
      <patternFill patternType="solid">
        <fgColor rgb="FFFFFF99"/>
        <bgColor rgb="FF000000"/>
      </patternFill>
    </fill>
    <fill>
      <patternFill patternType="solid">
        <fgColor rgb="FFFFFF00"/>
        <bgColor rgb="FF000000"/>
      </patternFill>
    </fill>
    <fill>
      <patternFill patternType="solid">
        <fgColor rgb="FFCCFFFF"/>
        <bgColor indexed="64"/>
      </patternFill>
    </fill>
    <fill>
      <patternFill patternType="solid">
        <fgColor rgb="FF99CCFF"/>
        <bgColor indexed="64"/>
      </patternFill>
    </fill>
    <fill>
      <patternFill patternType="solid">
        <fgColor rgb="FF99CC00"/>
        <bgColor indexed="64"/>
      </patternFill>
    </fill>
    <fill>
      <patternFill patternType="solid">
        <fgColor rgb="FFC0C0C0"/>
        <bgColor indexed="64"/>
      </patternFill>
    </fill>
    <fill>
      <patternFill patternType="solid">
        <fgColor rgb="FFB8CCE4"/>
        <bgColor indexed="64"/>
      </patternFill>
    </fill>
    <fill>
      <patternFill patternType="solid">
        <fgColor rgb="FFCCFFCC"/>
        <bgColor rgb="FF000000"/>
      </patternFill>
    </fill>
    <fill>
      <patternFill patternType="solid">
        <fgColor rgb="FF92CDDC"/>
        <bgColor rgb="FF000000"/>
      </patternFill>
    </fill>
    <fill>
      <patternFill patternType="solid">
        <fgColor rgb="FFD8E4BC"/>
        <bgColor rgb="FF000000"/>
      </patternFill>
    </fill>
    <fill>
      <patternFill patternType="solid">
        <fgColor rgb="FFDAEEF3"/>
        <bgColor indexed="64"/>
      </patternFill>
    </fill>
    <fill>
      <patternFill patternType="solid">
        <fgColor rgb="FFFFFF99"/>
        <bgColor indexed="64"/>
      </patternFill>
    </fill>
    <fill>
      <patternFill patternType="solid">
        <fgColor rgb="FFC5D9F1"/>
        <bgColor indexed="64"/>
      </patternFill>
    </fill>
    <fill>
      <patternFill patternType="solid">
        <fgColor rgb="FFFCD5B4"/>
        <bgColor indexed="64"/>
      </patternFill>
    </fill>
    <fill>
      <patternFill patternType="solid">
        <fgColor rgb="FFDDD9C4"/>
        <bgColor indexed="64"/>
      </patternFill>
    </fill>
    <fill>
      <patternFill patternType="solid">
        <fgColor rgb="FFF2DCDB"/>
        <bgColor indexed="64"/>
      </patternFill>
    </fill>
    <fill>
      <patternFill patternType="solid">
        <fgColor rgb="FFCCFFCC"/>
        <bgColor indexed="64"/>
      </patternFill>
    </fill>
    <fill>
      <patternFill patternType="solid">
        <fgColor rgb="FFFFC7CE"/>
        <bgColor indexed="64"/>
      </patternFill>
    </fill>
    <fill>
      <patternFill patternType="solid">
        <fgColor rgb="FF8064A2"/>
        <bgColor indexed="64"/>
      </patternFill>
    </fill>
  </fills>
  <borders count="238">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8"/>
      </left>
      <right/>
      <top/>
      <bottom/>
      <diagonal/>
    </border>
    <border>
      <left style="thick">
        <color indexed="64"/>
      </left>
      <right/>
      <top style="thick">
        <color indexed="64"/>
      </top>
      <bottom/>
      <diagonal/>
    </border>
    <border>
      <left/>
      <right/>
      <top style="thick">
        <color indexed="64"/>
      </top>
      <bottom/>
      <diagonal/>
    </border>
    <border>
      <left style="thin">
        <color indexed="8"/>
      </left>
      <right style="thin">
        <color indexed="8"/>
      </right>
      <top style="thick">
        <color indexed="64"/>
      </top>
      <bottom/>
      <diagonal/>
    </border>
    <border>
      <left style="thin">
        <color indexed="8"/>
      </left>
      <right/>
      <top style="thick">
        <color indexed="64"/>
      </top>
      <bottom/>
      <diagonal/>
    </border>
    <border>
      <left style="thin">
        <color indexed="8"/>
      </left>
      <right style="medium">
        <color indexed="64"/>
      </right>
      <top style="thick">
        <color indexed="64"/>
      </top>
      <bottom/>
      <diagonal/>
    </border>
    <border>
      <left style="thin">
        <color indexed="8"/>
      </left>
      <right style="thick">
        <color indexed="64"/>
      </right>
      <top style="thick">
        <color indexed="64"/>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ck">
        <color indexed="64"/>
      </left>
      <right style="thin">
        <color indexed="22"/>
      </right>
      <top style="medium">
        <color indexed="64"/>
      </top>
      <bottom style="thin">
        <color indexed="22"/>
      </bottom>
      <diagonal/>
    </border>
    <border>
      <left style="thin">
        <color indexed="22"/>
      </left>
      <right style="thin">
        <color indexed="22"/>
      </right>
      <top style="medium">
        <color indexed="64"/>
      </top>
      <bottom style="thin">
        <color indexed="22"/>
      </bottom>
      <diagonal/>
    </border>
    <border>
      <left/>
      <right style="thick">
        <color indexed="64"/>
      </right>
      <top style="medium">
        <color indexed="64"/>
      </top>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right style="thick">
        <color indexed="64"/>
      </right>
      <top/>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indexed="64"/>
      </right>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ck">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n">
        <color indexed="64"/>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right style="medium">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ck">
        <color indexed="64"/>
      </right>
      <top style="thin">
        <color indexed="64"/>
      </top>
      <bottom style="thick">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indexed="64"/>
      </bottom>
      <diagonal/>
    </border>
    <border>
      <left/>
      <right style="thick">
        <color indexed="64"/>
      </right>
      <top/>
      <bottom style="thick">
        <color indexed="64"/>
      </bottom>
      <diagonal/>
    </border>
    <border>
      <left style="thin">
        <color indexed="64"/>
      </left>
      <right/>
      <top style="medium">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bottom style="thick">
        <color indexed="64"/>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bottom style="dotted">
        <color indexed="64"/>
      </bottom>
      <diagonal/>
    </border>
    <border>
      <left style="thick">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medium">
        <color indexed="64"/>
      </right>
      <top style="thick">
        <color indexed="64"/>
      </top>
      <bottom style="medium">
        <color indexed="64"/>
      </bottom>
      <diagonal/>
    </border>
    <border>
      <left style="medium">
        <color indexed="64"/>
      </left>
      <right style="thick">
        <color indexed="64"/>
      </right>
      <top style="thick">
        <color indexed="64"/>
      </top>
      <bottom style="medium">
        <color indexed="64"/>
      </bottom>
      <diagonal/>
    </border>
    <border>
      <left style="thick">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style="medium">
        <color indexed="64"/>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medium">
        <color indexed="64"/>
      </right>
      <top style="medium">
        <color indexed="64"/>
      </top>
      <bottom style="thick">
        <color indexed="64"/>
      </bottom>
      <diagonal/>
    </border>
    <border>
      <left style="medium">
        <color indexed="64"/>
      </left>
      <right style="thick">
        <color indexed="64"/>
      </right>
      <top style="medium">
        <color indexed="64"/>
      </top>
      <bottom style="thick">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56"/>
      </top>
      <bottom style="double">
        <color indexed="56"/>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rgb="FF95B3D7"/>
      </left>
      <right/>
      <top style="medium">
        <color rgb="FF95B3D7"/>
      </top>
      <bottom style="medium">
        <color rgb="FF95B3D7"/>
      </bottom>
      <diagonal/>
    </border>
    <border>
      <left/>
      <right/>
      <top style="medium">
        <color rgb="FF95B3D7"/>
      </top>
      <bottom style="medium">
        <color rgb="FF95B3D7"/>
      </bottom>
      <diagonal/>
    </border>
    <border>
      <left/>
      <right style="medium">
        <color rgb="FF95B3D7"/>
      </right>
      <top style="medium">
        <color rgb="FF95B3D7"/>
      </top>
      <bottom style="medium">
        <color rgb="FF95B3D7"/>
      </bottom>
      <diagonal/>
    </border>
    <border>
      <left/>
      <right/>
      <top/>
      <bottom style="medium">
        <color rgb="FF95B3D7"/>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style="thin">
        <color rgb="FFD0D7E5"/>
      </right>
      <top style="thin">
        <color rgb="FFD0D7E5"/>
      </top>
      <bottom style="thin">
        <color rgb="FFD0D7E5"/>
      </bottom>
      <diagonal/>
    </border>
    <border>
      <left/>
      <right/>
      <top style="thin">
        <color indexed="64"/>
      </top>
      <bottom/>
      <diagonal/>
    </border>
    <border>
      <left style="thin">
        <color indexed="64"/>
      </left>
      <right style="thin">
        <color rgb="FFD0D7E5"/>
      </right>
      <top style="thin">
        <color indexed="64"/>
      </top>
      <bottom style="thin">
        <color rgb="FFD0D7E5"/>
      </bottom>
      <diagonal/>
    </border>
    <border>
      <left style="thin">
        <color indexed="64"/>
      </left>
      <right style="thin">
        <color rgb="FFD0D7E5"/>
      </right>
      <top style="thin">
        <color rgb="FFD0D7E5"/>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style="thin">
        <color rgb="FF7F7F7F"/>
      </right>
      <top style="thin">
        <color indexed="64"/>
      </top>
      <bottom style="thin">
        <color indexed="64"/>
      </bottom>
      <diagonal/>
    </border>
    <border>
      <left/>
      <right style="double">
        <color rgb="FF3F3F3F"/>
      </right>
      <top style="thin">
        <color indexed="64"/>
      </top>
      <bottom style="thin">
        <color indexed="64"/>
      </bottom>
      <diagonal/>
    </border>
    <border>
      <left style="double">
        <color rgb="FF3F3F3F"/>
      </left>
      <right style="double">
        <color rgb="FF3F3F3F"/>
      </right>
      <top/>
      <bottom style="thin">
        <color indexed="64"/>
      </bottom>
      <diagonal/>
    </border>
    <border>
      <left style="double">
        <color rgb="FF3F3F3F"/>
      </left>
      <right style="thin">
        <color indexed="64"/>
      </right>
      <top/>
      <bottom style="thin">
        <color indexed="64"/>
      </bottom>
      <diagonal/>
    </border>
    <border>
      <left style="thin">
        <color indexed="64"/>
      </left>
      <right style="thin">
        <color rgb="FFB2B2B2"/>
      </right>
      <top style="thin">
        <color indexed="64"/>
      </top>
      <bottom style="thin">
        <color rgb="FFB2B2B2"/>
      </bottom>
      <diagonal/>
    </border>
    <border>
      <left style="thin">
        <color rgb="FFB2B2B2"/>
      </left>
      <right style="thin">
        <color rgb="FFB2B2B2"/>
      </right>
      <top style="thin">
        <color indexed="64"/>
      </top>
      <bottom style="thin">
        <color rgb="FFB2B2B2"/>
      </bottom>
      <diagonal/>
    </border>
    <border>
      <left style="thin">
        <color rgb="FFB2B2B2"/>
      </left>
      <right style="thin">
        <color indexed="64"/>
      </right>
      <top style="thin">
        <color indexed="64"/>
      </top>
      <bottom style="thin">
        <color rgb="FFB2B2B2"/>
      </bottom>
      <diagonal/>
    </border>
    <border>
      <left style="double">
        <color rgb="FF3F3F3F"/>
      </left>
      <right/>
      <top style="double">
        <color rgb="FF3F3F3F"/>
      </top>
      <bottom style="double">
        <color rgb="FF3F3F3F"/>
      </bottom>
      <diagonal/>
    </border>
    <border>
      <left/>
      <right style="double">
        <color rgb="FF3F3F3F"/>
      </right>
      <top style="double">
        <color rgb="FF3F3F3F"/>
      </top>
      <bottom style="double">
        <color rgb="FF3F3F3F"/>
      </bottom>
      <diagonal/>
    </border>
    <border>
      <left style="thin">
        <color indexed="23"/>
      </left>
      <right style="thin">
        <color indexed="23"/>
      </right>
      <top style="thin">
        <color indexed="23"/>
      </top>
      <bottom style="thin">
        <color indexed="23"/>
      </bottom>
      <diagonal/>
    </border>
    <border>
      <left/>
      <right/>
      <top/>
      <bottom style="thin">
        <color rgb="FF7F7F7F"/>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50"/>
      </bottom>
      <diagonal/>
    </border>
    <border>
      <left/>
      <right style="thin">
        <color indexed="64"/>
      </right>
      <top style="medium">
        <color indexed="64"/>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n">
        <color indexed="64"/>
      </left>
      <right style="thin">
        <color indexed="22"/>
      </right>
      <top style="thin">
        <color indexed="22"/>
      </top>
      <bottom style="thin">
        <color indexed="64"/>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medium">
        <color auto="1"/>
      </left>
      <right style="thin">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indexed="64"/>
      </left>
      <right style="thin">
        <color indexed="64"/>
      </right>
      <top style="medium">
        <color indexed="64"/>
      </top>
      <bottom/>
      <diagonal/>
    </border>
    <border>
      <left style="thin">
        <color indexed="64"/>
      </left>
      <right style="thin">
        <color indexed="64"/>
      </right>
      <top/>
      <bottom style="thin">
        <color auto="1"/>
      </bottom>
      <diagonal/>
    </border>
    <border>
      <left/>
      <right style="medium">
        <color auto="1"/>
      </right>
      <top/>
      <bottom style="thin">
        <color auto="1"/>
      </bottom>
      <diagonal/>
    </border>
    <border>
      <left/>
      <right style="medium">
        <color auto="1"/>
      </right>
      <top/>
      <bottom style="medium">
        <color auto="1"/>
      </bottom>
      <diagonal/>
    </border>
    <border>
      <left/>
      <right/>
      <top style="thin">
        <color auto="1"/>
      </top>
      <bottom/>
      <diagonal/>
    </border>
    <border>
      <left/>
      <right/>
      <top style="thin">
        <color auto="1"/>
      </top>
      <bottom style="medium">
        <color auto="1"/>
      </bottom>
      <diagonal/>
    </border>
    <border>
      <left/>
      <right/>
      <top/>
      <bottom style="thin">
        <color auto="1"/>
      </bottom>
      <diagonal/>
    </border>
    <border>
      <left/>
      <right/>
      <top style="thin">
        <color auto="1"/>
      </top>
      <bottom style="thin">
        <color auto="1"/>
      </bottom>
      <diagonal/>
    </border>
    <border>
      <left/>
      <right/>
      <top/>
      <bottom style="medium">
        <color auto="1"/>
      </bottom>
      <diagonal/>
    </border>
  </borders>
  <cellStyleXfs count="57625">
    <xf numFmtId="0" fontId="0" fillId="0" borderId="0"/>
    <xf numFmtId="0" fontId="24" fillId="2"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5" borderId="0" applyNumberFormat="0" applyBorder="0" applyAlignment="0" applyProtection="0"/>
    <xf numFmtId="0" fontId="24" fillId="8" borderId="0" applyNumberFormat="0" applyBorder="0" applyAlignment="0" applyProtection="0"/>
    <xf numFmtId="0" fontId="24" fillId="11" borderId="0" applyNumberFormat="0" applyBorder="0" applyAlignment="0" applyProtection="0"/>
    <xf numFmtId="0" fontId="22" fillId="0" borderId="0" applyNumberFormat="0" applyFont="0" applyFill="0" applyBorder="0" applyProtection="0">
      <alignment horizontal="left" vertical="center" indent="5"/>
    </xf>
    <xf numFmtId="49" fontId="52" fillId="0" borderId="1" applyNumberFormat="0" applyFont="0" applyFill="0" applyBorder="0" applyProtection="0">
      <alignment horizontal="left" vertical="center" indent="5"/>
    </xf>
    <xf numFmtId="0" fontId="25" fillId="12"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4" fontId="51" fillId="20" borderId="2">
      <alignment horizontal="right" vertical="center"/>
    </xf>
    <xf numFmtId="4" fontId="51" fillId="20" borderId="2">
      <alignment horizontal="right" vertical="center"/>
    </xf>
    <xf numFmtId="0" fontId="85" fillId="35" borderId="0" applyNumberFormat="0" applyBorder="0" applyAlignment="0" applyProtection="0"/>
    <xf numFmtId="0" fontId="86" fillId="35" borderId="0" applyNumberFormat="0" applyBorder="0" applyAlignment="0" applyProtection="0"/>
    <xf numFmtId="4" fontId="53" fillId="0" borderId="3" applyFill="0" applyBorder="0" applyProtection="0">
      <alignment horizontal="right" vertical="center"/>
    </xf>
    <xf numFmtId="0" fontId="26" fillId="21" borderId="4" applyNumberFormat="0" applyAlignment="0" applyProtection="0"/>
    <xf numFmtId="0" fontId="27" fillId="0" borderId="5" applyNumberFormat="0" applyFill="0" applyAlignment="0" applyProtection="0"/>
    <xf numFmtId="0" fontId="28" fillId="22" borderId="6" applyNumberFormat="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9" borderId="0" applyNumberFormat="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84" fillId="0" borderId="0" applyFont="0" applyFill="0" applyBorder="0" applyAlignment="0" applyProtection="0"/>
    <xf numFmtId="43" fontId="22" fillId="0" borderId="0" applyFont="0" applyFill="0" applyBorder="0" applyAlignment="0" applyProtection="0"/>
    <xf numFmtId="182" fontId="22" fillId="0" borderId="0" applyFont="0" applyFill="0" applyBorder="0" applyAlignment="0" applyProtection="0"/>
    <xf numFmtId="0" fontId="55" fillId="0" borderId="0"/>
    <xf numFmtId="0" fontId="52" fillId="0" borderId="7">
      <alignment horizontal="left" vertical="center" wrapText="1" indent="2"/>
    </xf>
    <xf numFmtId="170" fontId="21"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73" fontId="22" fillId="0" borderId="0" applyFont="0" applyFill="0" applyBorder="0" applyAlignment="0" applyProtection="0"/>
    <xf numFmtId="170" fontId="22" fillId="0" borderId="0" applyFont="0" applyFill="0" applyBorder="0" applyAlignment="0" applyProtection="0"/>
    <xf numFmtId="170" fontId="54" fillId="0" borderId="0" applyFont="0" applyFill="0" applyBorder="0" applyAlignment="0" applyProtection="0"/>
    <xf numFmtId="170" fontId="49" fillId="0" borderId="0" applyFont="0" applyFill="0" applyBorder="0" applyAlignment="0" applyProtection="0"/>
    <xf numFmtId="0" fontId="22"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166" fontId="21" fillId="0" borderId="0" applyFont="0" applyFill="0" applyBorder="0" applyAlignment="0" applyProtection="0"/>
    <xf numFmtId="166" fontId="22" fillId="0" borderId="0" applyFont="0" applyFill="0" applyBorder="0" applyAlignment="0" applyProtection="0"/>
    <xf numFmtId="166" fontId="54" fillId="0" borderId="0" applyFont="0" applyFill="0" applyBorder="0" applyAlignment="0" applyProtection="0"/>
    <xf numFmtId="166" fontId="49" fillId="0" borderId="0" applyFont="0" applyFill="0" applyBorder="0" applyAlignment="0" applyProtection="0"/>
    <xf numFmtId="0" fontId="87" fillId="0" borderId="0" applyNumberFormat="0" applyFill="0" applyBorder="0" applyAlignment="0" applyProtection="0"/>
    <xf numFmtId="0" fontId="55" fillId="0" borderId="0"/>
    <xf numFmtId="0" fontId="81" fillId="0" borderId="0" applyNumberFormat="0" applyFill="0" applyBorder="0" applyAlignment="0" applyProtection="0"/>
    <xf numFmtId="0" fontId="29" fillId="7" borderId="4" applyNumberFormat="0" applyAlignment="0" applyProtection="0"/>
    <xf numFmtId="0" fontId="29" fillId="7" borderId="4" applyNumberFormat="0" applyAlignment="0" applyProtection="0"/>
    <xf numFmtId="4" fontId="52" fillId="0" borderId="0" applyBorder="0">
      <alignment horizontal="right" vertical="center"/>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2"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2" fillId="0" borderId="0" applyFont="0" applyFill="0" applyBorder="0" applyAlignment="0" applyProtection="0"/>
    <xf numFmtId="43" fontId="54" fillId="0" borderId="0" applyFont="0" applyFill="0" applyBorder="0" applyAlignment="0" applyProtection="0"/>
    <xf numFmtId="43" fontId="49" fillId="0" borderId="0" applyFont="0" applyFill="0" applyBorder="0" applyAlignment="0" applyProtection="0"/>
    <xf numFmtId="0" fontId="31" fillId="23" borderId="0" applyNumberFormat="0" applyBorder="0" applyAlignment="0" applyProtection="0"/>
    <xf numFmtId="0" fontId="22" fillId="0" borderId="0"/>
    <xf numFmtId="0" fontId="22" fillId="0" borderId="0"/>
    <xf numFmtId="0" fontId="55" fillId="0" borderId="0"/>
    <xf numFmtId="0" fontId="84" fillId="0" borderId="0"/>
    <xf numFmtId="0" fontId="84" fillId="0" borderId="0"/>
    <xf numFmtId="0" fontId="84" fillId="0" borderId="0"/>
    <xf numFmtId="0" fontId="42" fillId="0" borderId="0"/>
    <xf numFmtId="0" fontId="88" fillId="0" borderId="0"/>
    <xf numFmtId="0" fontId="84" fillId="0" borderId="0"/>
    <xf numFmtId="0" fontId="89" fillId="0" borderId="0"/>
    <xf numFmtId="186" fontId="47" fillId="0" borderId="0" applyNumberFormat="0" applyProtection="0">
      <alignment horizontal="center" vertical="center"/>
    </xf>
    <xf numFmtId="0" fontId="84" fillId="0" borderId="0"/>
    <xf numFmtId="0" fontId="78" fillId="0" borderId="0"/>
    <xf numFmtId="0" fontId="89" fillId="0" borderId="0"/>
    <xf numFmtId="0" fontId="83" fillId="0" borderId="0"/>
    <xf numFmtId="0" fontId="42" fillId="0" borderId="0"/>
    <xf numFmtId="4" fontId="52" fillId="0" borderId="2" applyFill="0" applyBorder="0" applyProtection="0">
      <alignment horizontal="right" vertical="center"/>
    </xf>
    <xf numFmtId="0" fontId="53" fillId="0" borderId="0" applyNumberFormat="0" applyFill="0" applyBorder="0" applyProtection="0">
      <alignment horizontal="left" vertical="center"/>
    </xf>
    <xf numFmtId="0" fontId="52" fillId="0" borderId="2" applyNumberFormat="0" applyFill="0" applyAlignment="0" applyProtection="0"/>
    <xf numFmtId="0" fontId="22" fillId="24" borderId="0" applyNumberFormat="0" applyFont="0" applyBorder="0" applyAlignment="0" applyProtection="0"/>
    <xf numFmtId="0" fontId="82" fillId="25" borderId="0" applyNumberFormat="0" applyFont="0" applyBorder="0" applyAlignment="0" applyProtection="0"/>
    <xf numFmtId="183" fontId="50" fillId="0" borderId="0"/>
    <xf numFmtId="0" fontId="42" fillId="0" borderId="0"/>
    <xf numFmtId="0" fontId="56"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4" fillId="0" borderId="0"/>
    <xf numFmtId="0" fontId="24"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22" fillId="0" borderId="0"/>
    <xf numFmtId="0" fontId="22" fillId="0" borderId="0"/>
    <xf numFmtId="0" fontId="22" fillId="0" borderId="0"/>
    <xf numFmtId="0" fontId="30" fillId="0" borderId="0"/>
    <xf numFmtId="0" fontId="50" fillId="0" borderId="0"/>
    <xf numFmtId="0" fontId="21" fillId="26" borderId="11" applyNumberFormat="0" applyFont="0" applyAlignment="0" applyProtection="0"/>
    <xf numFmtId="0" fontId="22" fillId="26" borderId="11" applyNumberFormat="0" applyFont="0" applyAlignment="0" applyProtection="0"/>
    <xf numFmtId="0" fontId="54" fillId="26" borderId="11" applyNumberFormat="0" applyFont="0" applyAlignment="0" applyProtection="0"/>
    <xf numFmtId="0" fontId="49" fillId="26" borderId="11"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169" fontId="21" fillId="0" borderId="0" applyFont="0" applyFill="0" applyBorder="0" applyAlignment="0" applyProtection="0"/>
    <xf numFmtId="169" fontId="22" fillId="0" borderId="0" applyFont="0" applyFill="0" applyBorder="0" applyAlignment="0" applyProtection="0"/>
    <xf numFmtId="169" fontId="54" fillId="0" borderId="0" applyFont="0" applyFill="0" applyBorder="0" applyAlignment="0" applyProtection="0"/>
    <xf numFmtId="169" fontId="49" fillId="0" borderId="0" applyFont="0" applyFill="0" applyBorder="0" applyAlignment="0" applyProtection="0"/>
    <xf numFmtId="0" fontId="32" fillId="21" borderId="12" applyNumberFormat="0" applyAlignment="0" applyProtection="0"/>
    <xf numFmtId="0" fontId="32" fillId="21" borderId="12" applyNumberFormat="0" applyAlignment="0" applyProtection="0"/>
    <xf numFmtId="179" fontId="52" fillId="27" borderId="2" applyNumberFormat="0" applyFont="0" applyBorder="0" applyAlignment="0" applyProtection="0">
      <alignment horizontal="right" vertical="center"/>
    </xf>
    <xf numFmtId="0" fontId="55" fillId="0" borderId="0"/>
    <xf numFmtId="9" fontId="21" fillId="0" borderId="0" applyFont="0" applyFill="0" applyBorder="0" applyAlignment="0" applyProtection="0"/>
    <xf numFmtId="9" fontId="22"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84" fillId="0" borderId="0" applyFont="0" applyFill="0" applyBorder="0" applyAlignment="0" applyProtection="0"/>
    <xf numFmtId="9" fontId="42"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xf numFmtId="9" fontId="54" fillId="0" borderId="0" applyFont="0" applyFill="0" applyBorder="0" applyAlignment="0" applyProtection="0"/>
    <xf numFmtId="9" fontId="49" fillId="0" borderId="0" applyFon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6" fillId="0" borderId="8" applyNumberFormat="0" applyFill="0" applyAlignment="0" applyProtection="0"/>
    <xf numFmtId="0" fontId="37" fillId="0" borderId="9" applyNumberFormat="0" applyFill="0" applyAlignment="0" applyProtection="0"/>
    <xf numFmtId="0" fontId="38" fillId="0" borderId="10" applyNumberFormat="0" applyFill="0" applyAlignment="0" applyProtection="0"/>
    <xf numFmtId="0" fontId="38" fillId="0" borderId="0" applyNumberFormat="0" applyFill="0" applyBorder="0" applyAlignment="0" applyProtection="0"/>
    <xf numFmtId="0" fontId="39" fillId="0" borderId="13" applyNumberFormat="0" applyFill="0" applyAlignment="0" applyProtection="0"/>
    <xf numFmtId="0" fontId="40" fillId="3" borderId="0" applyNumberFormat="0" applyBorder="0" applyAlignment="0" applyProtection="0"/>
    <xf numFmtId="0" fontId="41" fillId="4" borderId="0" applyNumberFormat="0" applyBorder="0" applyAlignment="0" applyProtection="0"/>
    <xf numFmtId="0" fontId="75" fillId="0" borderId="14">
      <alignment horizontal="center"/>
      <protection hidden="1"/>
    </xf>
    <xf numFmtId="4" fontId="52" fillId="0" borderId="0"/>
    <xf numFmtId="0" fontId="104" fillId="0" borderId="0" applyNumberFormat="0" applyBorder="0" applyAlignment="0"/>
    <xf numFmtId="0" fontId="106" fillId="0" borderId="0" applyNumberFormat="0" applyFill="0" applyBorder="0" applyAlignment="0" applyProtection="0"/>
    <xf numFmtId="0" fontId="107" fillId="0" borderId="102" applyNumberFormat="0" applyFill="0" applyAlignment="0" applyProtection="0"/>
    <xf numFmtId="0" fontId="108" fillId="0" borderId="103" applyNumberFormat="0" applyFill="0" applyAlignment="0" applyProtection="0"/>
    <xf numFmtId="0" fontId="109" fillId="0" borderId="104" applyNumberFormat="0" applyFill="0" applyAlignment="0" applyProtection="0"/>
    <xf numFmtId="0" fontId="109" fillId="0" borderId="0" applyNumberFormat="0" applyFill="0" applyBorder="0" applyAlignment="0" applyProtection="0"/>
    <xf numFmtId="0" fontId="110" fillId="50" borderId="0" applyNumberFormat="0" applyBorder="0" applyAlignment="0" applyProtection="0"/>
    <xf numFmtId="0" fontId="111" fillId="51" borderId="0" applyNumberFormat="0" applyBorder="0" applyAlignment="0" applyProtection="0"/>
    <xf numFmtId="0" fontId="112" fillId="52" borderId="105" applyNumberFormat="0" applyAlignment="0" applyProtection="0"/>
    <xf numFmtId="0" fontId="113" fillId="0" borderId="106" applyNumberFormat="0" applyFill="0" applyAlignment="0" applyProtection="0"/>
    <xf numFmtId="0" fontId="114" fillId="53" borderId="107" applyNumberFormat="0" applyAlignment="0" applyProtection="0"/>
    <xf numFmtId="0" fontId="115" fillId="0" borderId="0" applyNumberFormat="0" applyFill="0" applyBorder="0" applyAlignment="0" applyProtection="0"/>
    <xf numFmtId="0" fontId="90" fillId="0" borderId="109" applyNumberFormat="0" applyFill="0" applyAlignment="0" applyProtection="0"/>
    <xf numFmtId="0" fontId="116" fillId="55" borderId="0" applyNumberFormat="0" applyBorder="0" applyAlignment="0" applyProtection="0"/>
    <xf numFmtId="0" fontId="20" fillId="56" borderId="0" applyNumberFormat="0" applyBorder="0" applyAlignment="0" applyProtection="0"/>
    <xf numFmtId="0" fontId="20" fillId="57" borderId="0" applyNumberFormat="0" applyBorder="0" applyAlignment="0" applyProtection="0"/>
    <xf numFmtId="0" fontId="116" fillId="58" borderId="0" applyNumberFormat="0" applyBorder="0" applyAlignment="0" applyProtection="0"/>
    <xf numFmtId="0" fontId="116" fillId="59" borderId="0" applyNumberFormat="0" applyBorder="0" applyAlignment="0" applyProtection="0"/>
    <xf numFmtId="0" fontId="20" fillId="60" borderId="0" applyNumberFormat="0" applyBorder="0" applyAlignment="0" applyProtection="0"/>
    <xf numFmtId="0" fontId="20" fillId="61" borderId="0" applyNumberFormat="0" applyBorder="0" applyAlignment="0" applyProtection="0"/>
    <xf numFmtId="0" fontId="116" fillId="62" borderId="0" applyNumberFormat="0" applyBorder="0" applyAlignment="0" applyProtection="0"/>
    <xf numFmtId="0" fontId="116" fillId="63" borderId="0" applyNumberFormat="0" applyBorder="0" applyAlignment="0" applyProtection="0"/>
    <xf numFmtId="0" fontId="20" fillId="64" borderId="0" applyNumberFormat="0" applyBorder="0" applyAlignment="0" applyProtection="0"/>
    <xf numFmtId="0" fontId="20" fillId="65" borderId="0" applyNumberFormat="0" applyBorder="0" applyAlignment="0" applyProtection="0"/>
    <xf numFmtId="0" fontId="116" fillId="66" borderId="0" applyNumberFormat="0" applyBorder="0" applyAlignment="0" applyProtection="0"/>
    <xf numFmtId="0" fontId="116" fillId="67" borderId="0" applyNumberFormat="0" applyBorder="0" applyAlignment="0" applyProtection="0"/>
    <xf numFmtId="0" fontId="20" fillId="68" borderId="0" applyNumberFormat="0" applyBorder="0" applyAlignment="0" applyProtection="0"/>
    <xf numFmtId="0" fontId="20" fillId="69" borderId="0" applyNumberFormat="0" applyBorder="0" applyAlignment="0" applyProtection="0"/>
    <xf numFmtId="0" fontId="116" fillId="70" borderId="0" applyNumberFormat="0" applyBorder="0" applyAlignment="0" applyProtection="0"/>
    <xf numFmtId="0" fontId="116" fillId="71" borderId="0" applyNumberFormat="0" applyBorder="0" applyAlignment="0" applyProtection="0"/>
    <xf numFmtId="0" fontId="20" fillId="72" borderId="0" applyNumberFormat="0" applyBorder="0" applyAlignment="0" applyProtection="0"/>
    <xf numFmtId="0" fontId="20" fillId="73" borderId="0" applyNumberFormat="0" applyBorder="0" applyAlignment="0" applyProtection="0"/>
    <xf numFmtId="0" fontId="116" fillId="74" borderId="0" applyNumberFormat="0" applyBorder="0" applyAlignment="0" applyProtection="0"/>
    <xf numFmtId="0" fontId="116" fillId="75" borderId="0" applyNumberFormat="0" applyBorder="0" applyAlignment="0" applyProtection="0"/>
    <xf numFmtId="0" fontId="20" fillId="76" borderId="0" applyNumberFormat="0" applyBorder="0" applyAlignment="0" applyProtection="0"/>
    <xf numFmtId="0" fontId="20" fillId="77" borderId="0" applyNumberFormat="0" applyBorder="0" applyAlignment="0" applyProtection="0"/>
    <xf numFmtId="0" fontId="116" fillId="78" borderId="0" applyNumberFormat="0" applyBorder="0" applyAlignment="0" applyProtection="0"/>
    <xf numFmtId="3" fontId="122" fillId="37" borderId="0" applyBorder="0" applyAlignment="0">
      <protection locked="0"/>
    </xf>
    <xf numFmtId="165" fontId="21" fillId="0" borderId="0" applyFont="0" applyFill="0" applyBorder="0" applyAlignment="0" applyProtection="0"/>
    <xf numFmtId="187" fontId="21" fillId="0" borderId="0" applyFont="0" applyFill="0" applyBorder="0" applyAlignment="0" applyProtection="0"/>
    <xf numFmtId="4" fontId="64" fillId="28" borderId="19" applyNumberFormat="0" applyFont="0" applyBorder="0" applyAlignment="0" applyProtection="0">
      <alignment horizontal="right"/>
    </xf>
    <xf numFmtId="0" fontId="21" fillId="0" borderId="0"/>
    <xf numFmtId="0" fontId="121" fillId="0" borderId="0"/>
    <xf numFmtId="187" fontId="105" fillId="0" borderId="0" applyFont="0" applyFill="0" applyBorder="0" applyAlignment="0" applyProtection="0"/>
    <xf numFmtId="0" fontId="118" fillId="79" borderId="105" applyNumberFormat="0" applyAlignment="0" applyProtection="0"/>
    <xf numFmtId="0" fontId="119" fillId="52" borderId="110" applyNumberFormat="0" applyAlignment="0" applyProtection="0"/>
    <xf numFmtId="165" fontId="105" fillId="0" borderId="0" applyFont="0" applyFill="0" applyBorder="0" applyAlignment="0" applyProtection="0"/>
    <xf numFmtId="165" fontId="21" fillId="0" borderId="0" applyFont="0" applyFill="0" applyBorder="0" applyAlignment="0" applyProtection="0"/>
    <xf numFmtId="0" fontId="20" fillId="0" borderId="0"/>
    <xf numFmtId="0" fontId="20" fillId="54" borderId="108"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 fontId="64" fillId="80" borderId="0" applyNumberFormat="0" applyFont="0" applyBorder="0" applyAlignment="0" applyProtection="0">
      <alignment horizontal="right"/>
    </xf>
    <xf numFmtId="9" fontId="105" fillId="0" borderId="0" applyFont="0" applyFill="0" applyBorder="0" applyAlignment="0" applyProtection="0"/>
    <xf numFmtId="0" fontId="117" fillId="21" borderId="4" applyNumberFormat="0" applyFill="0" applyBorder="0" applyAlignment="0" applyProtection="0"/>
    <xf numFmtId="0" fontId="120" fillId="0" borderId="0"/>
    <xf numFmtId="165" fontId="120" fillId="0" borderId="0" applyFont="0" applyFill="0" applyBorder="0" applyAlignment="0" applyProtection="0"/>
    <xf numFmtId="9" fontId="120" fillId="0" borderId="0" applyFont="0" applyFill="0" applyBorder="0" applyAlignment="0" applyProtection="0"/>
    <xf numFmtId="0" fontId="123" fillId="0" borderId="0" applyNumberFormat="0" applyFill="0" applyBorder="0" applyAlignment="0" applyProtection="0">
      <alignment vertical="top"/>
      <protection locked="0"/>
    </xf>
    <xf numFmtId="165" fontId="21" fillId="0" borderId="0" applyFont="0" applyFill="0" applyBorder="0" applyAlignment="0" applyProtection="0"/>
    <xf numFmtId="0" fontId="120" fillId="0" borderId="0"/>
    <xf numFmtId="0" fontId="124" fillId="50" borderId="0" applyNumberFormat="0" applyBorder="0" applyAlignment="0" applyProtection="0"/>
    <xf numFmtId="0" fontId="120" fillId="54" borderId="108" applyNumberFormat="0" applyFont="0" applyAlignment="0" applyProtection="0"/>
    <xf numFmtId="0" fontId="125" fillId="0" borderId="0" applyNumberFormat="0" applyFill="0" applyBorder="0" applyAlignment="0" applyProtection="0"/>
    <xf numFmtId="0" fontId="21" fillId="0" borderId="0"/>
    <xf numFmtId="165" fontId="21" fillId="0" borderId="0" applyFill="0" applyBorder="0" applyAlignment="0" applyProtection="0"/>
    <xf numFmtId="165" fontId="20" fillId="0" borderId="0" applyFont="0" applyFill="0" applyBorder="0" applyAlignment="0" applyProtection="0"/>
    <xf numFmtId="9" fontId="20" fillId="0" borderId="0" applyFont="0" applyFill="0" applyBorder="0" applyAlignment="0" applyProtection="0"/>
    <xf numFmtId="0" fontId="104" fillId="0" borderId="0" applyNumberFormat="0" applyBorder="0" applyAlignment="0"/>
    <xf numFmtId="0" fontId="21" fillId="0" borderId="0" applyNumberFormat="0" applyFont="0" applyFill="0" applyBorder="0" applyProtection="0">
      <alignment horizontal="left" vertical="center" indent="5"/>
    </xf>
    <xf numFmtId="43" fontId="19" fillId="0" borderId="0" applyFont="0" applyFill="0" applyBorder="0" applyAlignment="0" applyProtection="0"/>
    <xf numFmtId="43" fontId="21" fillId="0" borderId="0" applyFont="0" applyFill="0" applyBorder="0" applyAlignment="0" applyProtection="0"/>
    <xf numFmtId="182"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3" fontId="21" fillId="0" borderId="0" applyFont="0" applyFill="0" applyBorder="0" applyAlignment="0" applyProtection="0"/>
    <xf numFmtId="170" fontId="21" fillId="0" borderId="0" applyFont="0" applyFill="0" applyBorder="0" applyAlignment="0" applyProtection="0"/>
    <xf numFmtId="0"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21" fillId="0" borderId="0"/>
    <xf numFmtId="0" fontId="19" fillId="0" borderId="0"/>
    <xf numFmtId="0" fontId="19" fillId="0" borderId="0"/>
    <xf numFmtId="0" fontId="19" fillId="0" borderId="0"/>
    <xf numFmtId="0" fontId="19" fillId="0" borderId="0"/>
    <xf numFmtId="0" fontId="19" fillId="0" borderId="0"/>
    <xf numFmtId="0" fontId="21" fillId="24" borderId="0" applyNumberFormat="0" applyFont="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26" borderId="11"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18" fillId="0" borderId="0"/>
    <xf numFmtId="0" fontId="18" fillId="61" borderId="0" applyNumberFormat="0" applyBorder="0" applyAlignment="0" applyProtection="0"/>
    <xf numFmtId="0" fontId="18" fillId="72" borderId="0" applyNumberFormat="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0" fontId="130" fillId="0" borderId="111" applyNumberFormat="0">
      <alignment vertical="center"/>
    </xf>
    <xf numFmtId="188" fontId="129" fillId="0" borderId="111">
      <alignment horizontal="right" vertical="center"/>
    </xf>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30" fillId="0" borderId="0"/>
    <xf numFmtId="0" fontId="18" fillId="0" borderId="0"/>
    <xf numFmtId="0" fontId="21" fillId="0" borderId="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49" fontId="52" fillId="0" borderId="2" applyNumberFormat="0" applyFont="0" applyFill="0" applyBorder="0" applyProtection="0">
      <alignment horizontal="left" vertical="center" indent="2"/>
    </xf>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3"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6"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0" fontId="116" fillId="9" borderId="0" applyNumberFormat="0" applyBorder="0" applyAlignment="0" applyProtection="0"/>
    <xf numFmtId="192" fontId="135" fillId="0" borderId="0" applyAlignment="0" applyProtection="0"/>
    <xf numFmtId="192" fontId="135" fillId="0" borderId="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24" fillId="54" borderId="108" applyNumberFormat="0" applyFont="0" applyAlignment="0" applyProtection="0"/>
    <xf numFmtId="0" fontId="163" fillId="82" borderId="105" applyNumberFormat="0" applyAlignment="0" applyProtection="0"/>
    <xf numFmtId="0" fontId="163" fillId="82" borderId="105" applyNumberFormat="0" applyAlignment="0" applyProtection="0"/>
    <xf numFmtId="0" fontId="163" fillId="82" borderId="105" applyNumberFormat="0" applyAlignment="0" applyProtection="0"/>
    <xf numFmtId="0" fontId="163" fillId="82" borderId="105" applyNumberFormat="0" applyAlignment="0" applyProtection="0"/>
    <xf numFmtId="0" fontId="163" fillId="82" borderId="105" applyNumberFormat="0" applyAlignment="0" applyProtection="0"/>
    <xf numFmtId="3" fontId="160" fillId="0" borderId="0" applyFont="0" applyFill="0" applyBorder="0" applyAlignment="0" applyProtection="0"/>
    <xf numFmtId="193" fontId="21" fillId="0" borderId="0"/>
    <xf numFmtId="193" fontId="21" fillId="0" borderId="0"/>
    <xf numFmtId="193" fontId="21" fillId="0" borderId="0"/>
    <xf numFmtId="193" fontId="21" fillId="0" borderId="0"/>
    <xf numFmtId="193" fontId="21" fillId="0" borderId="0"/>
    <xf numFmtId="0" fontId="55" fillId="0" borderId="0"/>
    <xf numFmtId="194" fontId="160" fillId="0" borderId="0" applyFont="0" applyFill="0" applyBorder="0" applyAlignment="0" applyProtection="0"/>
    <xf numFmtId="0" fontId="160" fillId="0" borderId="0" applyFont="0" applyFill="0" applyBorder="0" applyAlignment="0" applyProtection="0"/>
    <xf numFmtId="0" fontId="55" fillId="0" borderId="0"/>
    <xf numFmtId="2" fontId="160" fillId="0" borderId="0" applyFont="0" applyFill="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10" fillId="6" borderId="0" applyNumberFormat="0" applyBorder="0" applyAlignment="0" applyProtection="0"/>
    <xf numFmtId="0" fontId="161" fillId="0" borderId="0" applyNumberForma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0" fontId="162" fillId="0" borderId="0" applyNumberFormat="0" applyFill="0" applyBorder="0" applyAlignment="0" applyProtection="0"/>
    <xf numFmtId="0" fontId="118" fillId="23" borderId="105" applyNumberFormat="0" applyAlignment="0" applyProtection="0"/>
    <xf numFmtId="0" fontId="118" fillId="23" borderId="105" applyNumberFormat="0" applyAlignment="0" applyProtection="0"/>
    <xf numFmtId="0" fontId="118" fillId="23" borderId="105" applyNumberFormat="0" applyAlignment="0" applyProtection="0"/>
    <xf numFmtId="0" fontId="118" fillId="23" borderId="105" applyNumberFormat="0" applyAlignment="0" applyProtection="0"/>
    <xf numFmtId="0" fontId="118" fillId="23" borderId="105" applyNumberFormat="0" applyAlignment="0" applyProtection="0"/>
    <xf numFmtId="190" fontId="21" fillId="0" borderId="0" applyFont="0" applyFill="0" applyBorder="0" applyAlignment="0" applyProtection="0"/>
    <xf numFmtId="182"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50"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50" fillId="0" borderId="0" applyFont="0" applyFill="0" applyBorder="0" applyAlignment="0" applyProtection="0"/>
    <xf numFmtId="43" fontId="21" fillId="0" borderId="0" applyFont="0" applyFill="0" applyBorder="0" applyAlignment="0" applyProtection="0"/>
    <xf numFmtId="165" fontId="50" fillId="0" borderId="0" applyFont="0" applyFill="0" applyBorder="0" applyAlignment="0" applyProtection="0"/>
    <xf numFmtId="165" fontId="5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50" fillId="0" borderId="0" applyFont="0" applyFill="0" applyBorder="0" applyAlignment="0" applyProtection="0"/>
    <xf numFmtId="190" fontId="21" fillId="0" borderId="0" applyFont="0" applyFill="0" applyBorder="0" applyAlignment="0" applyProtection="0"/>
    <xf numFmtId="0" fontId="133" fillId="0" borderId="0" applyNumberFormat="0" applyFill="0" applyBorder="0" applyAlignment="0" applyProtection="0">
      <alignment vertical="top"/>
      <protection locked="0"/>
    </xf>
    <xf numFmtId="0" fontId="125" fillId="0" borderId="0" applyNumberFormat="0" applyFill="0" applyBorder="0" applyAlignment="0" applyProtection="0">
      <alignment vertical="top"/>
      <protection locked="0"/>
    </xf>
    <xf numFmtId="0" fontId="125" fillId="0" borderId="0" applyNumberFormat="0" applyFill="0" applyBorder="0" applyAlignment="0" applyProtection="0"/>
    <xf numFmtId="0" fontId="164" fillId="0" borderId="0" applyNumberFormat="0" applyFill="0" applyBorder="0" applyAlignment="0" applyProtection="0">
      <alignment vertical="top"/>
    </xf>
    <xf numFmtId="0" fontId="123" fillId="0" borderId="0" applyNumberFormat="0" applyFill="0" applyBorder="0" applyAlignment="0" applyProtection="0">
      <alignment vertical="top"/>
      <protection locked="0"/>
    </xf>
    <xf numFmtId="0" fontId="133" fillId="0" borderId="0" applyNumberFormat="0" applyFill="0" applyBorder="0" applyAlignment="0" applyProtection="0">
      <alignment vertical="top"/>
      <protection locked="0"/>
    </xf>
    <xf numFmtId="0" fontId="116" fillId="83" borderId="0" applyNumberFormat="0" applyBorder="0" applyAlignment="0" applyProtection="0"/>
    <xf numFmtId="0" fontId="116" fillId="83" borderId="0" applyNumberFormat="0" applyBorder="0" applyAlignment="0" applyProtection="0"/>
    <xf numFmtId="0" fontId="116" fillId="83" borderId="0" applyNumberFormat="0" applyBorder="0" applyAlignment="0" applyProtection="0"/>
    <xf numFmtId="0" fontId="116" fillId="83" borderId="0" applyNumberFormat="0" applyBorder="0" applyAlignment="0" applyProtection="0"/>
    <xf numFmtId="0" fontId="116" fillId="83"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9"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11"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84"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16" fillId="17"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65" fillId="51" borderId="0" applyNumberFormat="0" applyBorder="0" applyAlignment="0" applyProtection="0"/>
    <xf numFmtId="0" fontId="18" fillId="0" borderId="0"/>
    <xf numFmtId="0" fontId="21" fillId="0" borderId="0"/>
    <xf numFmtId="0" fontId="18" fillId="0" borderId="0"/>
    <xf numFmtId="0" fontId="104" fillId="0" borderId="0" applyNumberFormat="0" applyBorder="0" applyAlignment="0"/>
    <xf numFmtId="0" fontId="21" fillId="0" borderId="0"/>
    <xf numFmtId="0" fontId="18" fillId="0" borderId="0"/>
    <xf numFmtId="0" fontId="18" fillId="0" borderId="0"/>
    <xf numFmtId="0" fontId="18" fillId="0" borderId="0"/>
    <xf numFmtId="0" fontId="21" fillId="0" borderId="0"/>
    <xf numFmtId="0" fontId="18" fillId="0" borderId="0"/>
    <xf numFmtId="0" fontId="18" fillId="0" borderId="0"/>
    <xf numFmtId="0" fontId="18" fillId="0" borderId="0"/>
    <xf numFmtId="0" fontId="18" fillId="0" borderId="0"/>
    <xf numFmtId="0" fontId="50" fillId="0" borderId="0">
      <alignment vertical="top"/>
    </xf>
    <xf numFmtId="0" fontId="18" fillId="0" borderId="0"/>
    <xf numFmtId="0" fontId="18" fillId="0" borderId="0"/>
    <xf numFmtId="0" fontId="18" fillId="0" borderId="0"/>
    <xf numFmtId="0" fontId="21" fillId="0" borderId="0"/>
    <xf numFmtId="0" fontId="21" fillId="0" borderId="0"/>
    <xf numFmtId="0" fontId="160" fillId="0" borderId="0"/>
    <xf numFmtId="0" fontId="160" fillId="0" borderId="0"/>
    <xf numFmtId="0" fontId="160" fillId="0" borderId="0"/>
    <xf numFmtId="0" fontId="21" fillId="0" borderId="0"/>
    <xf numFmtId="0" fontId="50" fillId="0" borderId="0">
      <alignment vertical="top"/>
    </xf>
    <xf numFmtId="0" fontId="21" fillId="0" borderId="0"/>
    <xf numFmtId="0" fontId="18" fillId="0" borderId="0"/>
    <xf numFmtId="0" fontId="21" fillId="0" borderId="0"/>
    <xf numFmtId="0" fontId="50" fillId="0" borderId="0">
      <alignment vertical="top"/>
    </xf>
    <xf numFmtId="0" fontId="50" fillId="0" borderId="0">
      <alignment vertical="top"/>
    </xf>
    <xf numFmtId="0" fontId="18" fillId="0" borderId="0"/>
    <xf numFmtId="0" fontId="21" fillId="0" borderId="0"/>
    <xf numFmtId="0" fontId="21" fillId="0" borderId="0"/>
    <xf numFmtId="0" fontId="21" fillId="0" borderId="0"/>
    <xf numFmtId="0" fontId="21" fillId="0" borderId="0"/>
    <xf numFmtId="0" fontId="2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1" fillId="0" borderId="0"/>
    <xf numFmtId="0" fontId="18" fillId="0" borderId="0"/>
    <xf numFmtId="0" fontId="18" fillId="0" borderId="0"/>
    <xf numFmtId="0" fontId="56" fillId="0" borderId="0"/>
    <xf numFmtId="0" fontId="21" fillId="0" borderId="0"/>
    <xf numFmtId="0" fontId="21" fillId="0" borderId="0"/>
    <xf numFmtId="0" fontId="18" fillId="0" borderId="0"/>
    <xf numFmtId="0" fontId="21" fillId="0" borderId="0"/>
    <xf numFmtId="0" fontId="18" fillId="0" borderId="0"/>
    <xf numFmtId="0" fontId="21" fillId="0" borderId="0"/>
    <xf numFmtId="0" fontId="21" fillId="0" borderId="0"/>
    <xf numFmtId="0" fontId="18" fillId="0" borderId="0"/>
    <xf numFmtId="0" fontId="50" fillId="0" borderId="0">
      <alignment vertical="top"/>
    </xf>
    <xf numFmtId="0" fontId="18" fillId="0" borderId="0"/>
    <xf numFmtId="0" fontId="50" fillId="0" borderId="0">
      <alignment vertical="top"/>
    </xf>
    <xf numFmtId="0" fontId="21" fillId="0" borderId="0"/>
    <xf numFmtId="0" fontId="18" fillId="0" borderId="0"/>
    <xf numFmtId="0" fontId="21" fillId="0" borderId="0"/>
    <xf numFmtId="0" fontId="18" fillId="0" borderId="0"/>
    <xf numFmtId="0" fontId="21" fillId="0" borderId="0"/>
    <xf numFmtId="0" fontId="21" fillId="0" borderId="0"/>
    <xf numFmtId="0" fontId="18" fillId="0" borderId="0"/>
    <xf numFmtId="0" fontId="18" fillId="0" borderId="0"/>
    <xf numFmtId="0" fontId="18" fillId="0" borderId="0"/>
    <xf numFmtId="0" fontId="21" fillId="0" borderId="0"/>
    <xf numFmtId="0" fontId="50" fillId="0" borderId="0">
      <alignment vertical="top"/>
    </xf>
    <xf numFmtId="0" fontId="18" fillId="0" borderId="0"/>
    <xf numFmtId="0" fontId="18" fillId="0" borderId="0"/>
    <xf numFmtId="0" fontId="18" fillId="0" borderId="0"/>
    <xf numFmtId="0" fontId="18" fillId="0" borderId="0"/>
    <xf numFmtId="0" fontId="21" fillId="0" borderId="0"/>
    <xf numFmtId="0" fontId="21" fillId="0" borderId="0"/>
    <xf numFmtId="0" fontId="18" fillId="0" borderId="0"/>
    <xf numFmtId="0" fontId="18" fillId="0" borderId="0"/>
    <xf numFmtId="0" fontId="21" fillId="0" borderId="0"/>
    <xf numFmtId="0" fontId="21" fillId="0" borderId="0"/>
    <xf numFmtId="0" fontId="21" fillId="0" borderId="0"/>
    <xf numFmtId="0" fontId="30" fillId="0" borderId="0"/>
    <xf numFmtId="0" fontId="18" fillId="0" borderId="0"/>
    <xf numFmtId="0" fontId="18" fillId="0" borderId="0"/>
    <xf numFmtId="0" fontId="50" fillId="0" borderId="0">
      <alignment vertical="top"/>
    </xf>
    <xf numFmtId="0" fontId="18" fillId="0" borderId="0"/>
    <xf numFmtId="49" fontId="53" fillId="0" borderId="2" applyNumberFormat="0" applyFill="0" applyBorder="0" applyProtection="0">
      <alignment horizontal="left" vertical="center"/>
    </xf>
    <xf numFmtId="0" fontId="24" fillId="54" borderId="108" applyNumberFormat="0" applyFont="0" applyAlignment="0" applyProtection="0"/>
    <xf numFmtId="0" fontId="24" fillId="54" borderId="108" applyNumberFormat="0" applyFont="0" applyAlignment="0" applyProtection="0"/>
    <xf numFmtId="0" fontId="119" fillId="82" borderId="110" applyNumberFormat="0" applyAlignment="0" applyProtection="0"/>
    <xf numFmtId="0" fontId="119" fillId="82" borderId="110" applyNumberFormat="0" applyAlignment="0" applyProtection="0"/>
    <xf numFmtId="0" fontId="119" fillId="82" borderId="110" applyNumberFormat="0" applyAlignment="0" applyProtection="0"/>
    <xf numFmtId="0" fontId="119" fillId="82" borderId="110" applyNumberFormat="0" applyAlignment="0" applyProtection="0"/>
    <xf numFmtId="0" fontId="119" fillId="82" borderId="110" applyNumberFormat="0" applyAlignment="0" applyProtection="0"/>
    <xf numFmtId="0" fontId="156" fillId="0" borderId="112" applyNumberFormat="0" applyFill="0" applyAlignment="0" applyProtection="0"/>
    <xf numFmtId="0" fontId="156" fillId="0" borderId="112" applyNumberFormat="0" applyFill="0" applyAlignment="0" applyProtection="0"/>
    <xf numFmtId="0" fontId="156" fillId="0" borderId="112" applyNumberFormat="0" applyFill="0" applyAlignment="0" applyProtection="0"/>
    <xf numFmtId="0" fontId="156" fillId="0" borderId="112" applyNumberFormat="0" applyFill="0" applyAlignment="0" applyProtection="0"/>
    <xf numFmtId="0" fontId="156" fillId="0" borderId="112"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7" fillId="0" borderId="113"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114" applyNumberFormat="0" applyFill="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158" fillId="0" borderId="0" applyNumberFormat="0" applyFill="0" applyBorder="0" applyAlignment="0" applyProtection="0"/>
    <xf numFmtId="0" fontId="55" fillId="0" borderId="0"/>
    <xf numFmtId="9" fontId="132" fillId="0" borderId="0" applyFont="0" applyFill="0" applyBorder="0" applyAlignment="0" applyProtection="0"/>
    <xf numFmtId="9" fontId="132" fillId="0" borderId="0" applyFont="0" applyFill="0" applyBorder="0" applyAlignment="0" applyProtection="0"/>
    <xf numFmtId="9" fontId="132"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32" fillId="0" borderId="0" applyFont="0" applyFill="0" applyBorder="0" applyAlignment="0" applyProtection="0"/>
    <xf numFmtId="9" fontId="132" fillId="0" borderId="0" applyFont="0" applyFill="0" applyBorder="0" applyAlignment="0" applyProtection="0"/>
    <xf numFmtId="9" fontId="21"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0" fillId="0" borderId="0" applyFont="0" applyFill="0" applyBorder="0" applyAlignment="0" applyProtection="0"/>
    <xf numFmtId="9" fontId="5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50" fillId="0" borderId="0" applyFont="0" applyFill="0" applyBorder="0" applyAlignment="0" applyProtection="0"/>
    <xf numFmtId="10" fontId="16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50" fillId="0" borderId="0" applyFont="0" applyFill="0" applyBorder="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0" fontId="33" fillId="0" borderId="115" applyNumberFormat="0" applyFill="0" applyAlignment="0" applyProtection="0"/>
    <xf numFmtId="4" fontId="138" fillId="29" borderId="116" applyNumberFormat="0" applyProtection="0">
      <alignment vertical="center"/>
    </xf>
    <xf numFmtId="4" fontId="139" fillId="29" borderId="116" applyNumberFormat="0" applyProtection="0">
      <alignment vertical="center"/>
    </xf>
    <xf numFmtId="4" fontId="140" fillId="23" borderId="116" applyNumberFormat="0" applyProtection="0">
      <alignment horizontal="left" vertical="center" indent="1"/>
    </xf>
    <xf numFmtId="0" fontId="21" fillId="0" borderId="0"/>
    <xf numFmtId="4" fontId="141" fillId="82" borderId="116" applyNumberFormat="0" applyProtection="0">
      <alignment horizontal="left" vertical="center" indent="1"/>
    </xf>
    <xf numFmtId="4" fontId="142" fillId="85" borderId="116" applyNumberFormat="0" applyProtection="0">
      <alignment vertical="center"/>
    </xf>
    <xf numFmtId="0" fontId="21" fillId="0" borderId="0"/>
    <xf numFmtId="0" fontId="21" fillId="0" borderId="0"/>
    <xf numFmtId="0" fontId="21" fillId="0" borderId="0"/>
    <xf numFmtId="4" fontId="131" fillId="20" borderId="116" applyNumberFormat="0" applyProtection="0">
      <alignment vertical="center"/>
    </xf>
    <xf numFmtId="0" fontId="21" fillId="0" borderId="0"/>
    <xf numFmtId="0" fontId="21" fillId="0" borderId="0"/>
    <xf numFmtId="0" fontId="21" fillId="0" borderId="0"/>
    <xf numFmtId="4" fontId="142" fillId="86" borderId="116" applyNumberFormat="0" applyProtection="0">
      <alignment vertical="center"/>
    </xf>
    <xf numFmtId="0" fontId="21" fillId="0" borderId="0"/>
    <xf numFmtId="0" fontId="21" fillId="0" borderId="0"/>
    <xf numFmtId="0" fontId="21" fillId="0" borderId="0"/>
    <xf numFmtId="4" fontId="143" fillId="85" borderId="116" applyNumberFormat="0" applyProtection="0">
      <alignment vertical="center"/>
    </xf>
    <xf numFmtId="4" fontId="144" fillId="87" borderId="116" applyNumberFormat="0" applyProtection="0">
      <alignment horizontal="left" vertical="center" indent="1"/>
    </xf>
    <xf numFmtId="4" fontId="144" fillId="82" borderId="116" applyNumberFormat="0" applyProtection="0">
      <alignment horizontal="left" vertical="center" indent="1"/>
    </xf>
    <xf numFmtId="4" fontId="144" fillId="82" borderId="116" applyNumberFormat="0" applyProtection="0">
      <alignment horizontal="left" vertical="center" indent="1"/>
    </xf>
    <xf numFmtId="4" fontId="145" fillId="81" borderId="116" applyNumberFormat="0" applyProtection="0">
      <alignment vertical="center"/>
    </xf>
    <xf numFmtId="4" fontId="136" fillId="32" borderId="116" applyNumberFormat="0" applyProtection="0">
      <alignment horizontal="left" vertical="center" indent="1"/>
    </xf>
    <xf numFmtId="4" fontId="146" fillId="82" borderId="0" applyNumberFormat="0" applyProtection="0">
      <alignment horizontal="left" vertical="center" indent="1"/>
    </xf>
    <xf numFmtId="4" fontId="147" fillId="82" borderId="0" applyNumberFormat="0" applyProtection="0">
      <alignment horizontal="left" vertical="center" indent="1"/>
    </xf>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 fontId="148" fillId="32" borderId="116" applyNumberFormat="0" applyProtection="0">
      <alignment vertical="center"/>
    </xf>
    <xf numFmtId="4" fontId="149" fillId="32" borderId="116" applyNumberFormat="0" applyProtection="0">
      <alignment vertical="center"/>
    </xf>
    <xf numFmtId="4" fontId="150" fillId="33" borderId="116" applyNumberFormat="0" applyProtection="0">
      <alignment horizontal="left" vertical="center" indent="1"/>
    </xf>
    <xf numFmtId="0" fontId="21" fillId="0" borderId="0"/>
    <xf numFmtId="4" fontId="151" fillId="32" borderId="116" applyNumberFormat="0" applyProtection="0">
      <alignment horizontal="right" vertical="center"/>
    </xf>
    <xf numFmtId="4" fontId="152" fillId="32" borderId="116" applyNumberFormat="0" applyProtection="0">
      <alignment vertical="center"/>
    </xf>
    <xf numFmtId="4" fontId="151" fillId="26" borderId="116" applyNumberFormat="0" applyProtection="0">
      <alignment horizontal="left" vertical="center"/>
    </xf>
    <xf numFmtId="0" fontId="21" fillId="0" borderId="0"/>
    <xf numFmtId="4" fontId="153" fillId="32" borderId="116" applyNumberFormat="0" applyProtection="0">
      <alignment vertical="center"/>
    </xf>
    <xf numFmtId="4" fontId="154" fillId="32" borderId="116" applyNumberFormat="0" applyProtection="0">
      <alignment vertical="center"/>
    </xf>
    <xf numFmtId="4" fontId="150" fillId="88" borderId="116" applyNumberFormat="0" applyProtection="0">
      <alignment horizontal="left" vertical="center" indent="1"/>
    </xf>
    <xf numFmtId="4" fontId="155" fillId="89" borderId="0" applyNumberFormat="0" applyProtection="0">
      <alignment horizontal="left" indent="1"/>
    </xf>
    <xf numFmtId="4" fontId="137" fillId="32" borderId="116" applyNumberFormat="0" applyProtection="0">
      <alignment vertical="center"/>
    </xf>
    <xf numFmtId="0" fontId="134" fillId="0" borderId="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90" fillId="0" borderId="117" applyNumberFormat="0" applyFill="0" applyAlignment="0" applyProtection="0"/>
    <xf numFmtId="0" fontId="90" fillId="0" borderId="117" applyNumberFormat="0" applyFill="0" applyAlignment="0" applyProtection="0"/>
    <xf numFmtId="0" fontId="160" fillId="0" borderId="118" applyNumberFormat="0" applyFont="0" applyFill="0" applyAlignment="0" applyProtection="0"/>
    <xf numFmtId="0" fontId="90" fillId="0" borderId="117" applyNumberFormat="0" applyFill="0" applyAlignment="0" applyProtection="0"/>
    <xf numFmtId="0" fontId="90" fillId="0" borderId="117" applyNumberFormat="0" applyFill="0" applyAlignment="0" applyProtection="0"/>
    <xf numFmtId="0" fontId="90" fillId="0" borderId="117" applyNumberFormat="0" applyFill="0" applyAlignment="0" applyProtection="0"/>
    <xf numFmtId="0" fontId="85" fillId="5" borderId="0" applyNumberFormat="0" applyBorder="0" applyAlignment="0" applyProtection="0"/>
    <xf numFmtId="0" fontId="85" fillId="5" borderId="0" applyNumberFormat="0" applyBorder="0" applyAlignment="0" applyProtection="0"/>
    <xf numFmtId="0" fontId="85" fillId="5" borderId="0" applyNumberFormat="0" applyBorder="0" applyAlignment="0" applyProtection="0"/>
    <xf numFmtId="0" fontId="85" fillId="5" borderId="0" applyNumberFormat="0" applyBorder="0" applyAlignment="0" applyProtection="0"/>
    <xf numFmtId="0" fontId="85" fillId="5" borderId="0" applyNumberFormat="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191" fontId="132" fillId="0" borderId="0" applyFont="0" applyFill="0" applyBorder="0" applyAlignment="0" applyProtection="0"/>
    <xf numFmtId="0" fontId="132" fillId="0" borderId="0"/>
    <xf numFmtId="0" fontId="106" fillId="0" borderId="0" applyNumberFormat="0" applyFill="0" applyBorder="0" applyAlignment="0" applyProtection="0"/>
    <xf numFmtId="0" fontId="107" fillId="0" borderId="102" applyNumberFormat="0" applyFill="0" applyAlignment="0" applyProtection="0"/>
    <xf numFmtId="0" fontId="108" fillId="0" borderId="103" applyNumberFormat="0" applyFill="0" applyAlignment="0" applyProtection="0"/>
    <xf numFmtId="0" fontId="109" fillId="0" borderId="104" applyNumberFormat="0" applyFill="0" applyAlignment="0" applyProtection="0"/>
    <xf numFmtId="0" fontId="109" fillId="0" borderId="0" applyNumberFormat="0" applyFill="0" applyBorder="0" applyAlignment="0" applyProtection="0"/>
    <xf numFmtId="0" fontId="110" fillId="50" borderId="0" applyNumberFormat="0" applyBorder="0" applyAlignment="0" applyProtection="0"/>
    <xf numFmtId="0" fontId="85" fillId="35" borderId="0" applyNumberFormat="0" applyBorder="0" applyAlignment="0" applyProtection="0"/>
    <xf numFmtId="0" fontId="111" fillId="51" borderId="0" applyNumberFormat="0" applyBorder="0" applyAlignment="0" applyProtection="0"/>
    <xf numFmtId="0" fontId="118" fillId="79" borderId="105" applyNumberFormat="0" applyAlignment="0" applyProtection="0"/>
    <xf numFmtId="0" fontId="119" fillId="52" borderId="110" applyNumberFormat="0" applyAlignment="0" applyProtection="0"/>
    <xf numFmtId="0" fontId="112" fillId="52" borderId="105" applyNumberFormat="0" applyAlignment="0" applyProtection="0"/>
    <xf numFmtId="0" fontId="113" fillId="0" borderId="106" applyNumberFormat="0" applyFill="0" applyAlignment="0" applyProtection="0"/>
    <xf numFmtId="0" fontId="90" fillId="0" borderId="109" applyNumberFormat="0" applyFill="0" applyAlignment="0" applyProtection="0"/>
    <xf numFmtId="0" fontId="116"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16" fillId="58" borderId="0" applyNumberFormat="0" applyBorder="0" applyAlignment="0" applyProtection="0"/>
    <xf numFmtId="0" fontId="116" fillId="59"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16" fillId="62" borderId="0" applyNumberFormat="0" applyBorder="0" applyAlignment="0" applyProtection="0"/>
    <xf numFmtId="0" fontId="116" fillId="63"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16" fillId="66" borderId="0" applyNumberFormat="0" applyBorder="0" applyAlignment="0" applyProtection="0"/>
    <xf numFmtId="0" fontId="116" fillId="67"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16" fillId="70"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16" fillId="74" borderId="0" applyNumberFormat="0" applyBorder="0" applyAlignment="0" applyProtection="0"/>
    <xf numFmtId="0" fontId="116" fillId="75"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16" fillId="7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3" fontId="160"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16" fillId="66" borderId="0" applyNumberFormat="0" applyBorder="0" applyAlignment="0" applyProtection="0"/>
    <xf numFmtId="0" fontId="116" fillId="70" borderId="0" applyNumberFormat="0" applyBorder="0" applyAlignment="0" applyProtection="0"/>
    <xf numFmtId="0" fontId="116" fillId="78"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9" fontId="18" fillId="0" borderId="0" applyFont="0" applyFill="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165" fontId="18" fillId="0" borderId="0" applyFont="0" applyFill="0" applyBorder="0" applyAlignment="0" applyProtection="0"/>
    <xf numFmtId="0" fontId="18" fillId="0" borderId="0"/>
    <xf numFmtId="0" fontId="50" fillId="0" borderId="0">
      <alignment vertical="top"/>
    </xf>
    <xf numFmtId="0" fontId="18" fillId="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54" borderId="108" applyNumberFormat="0" applyFont="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3"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26"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6"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08" fillId="0" borderId="103" applyNumberFormat="0" applyFill="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09" fillId="0" borderId="104" applyNumberFormat="0" applyFill="0" applyAlignment="0" applyProtection="0"/>
    <xf numFmtId="0" fontId="18" fillId="6"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0" borderId="0"/>
    <xf numFmtId="0" fontId="18" fillId="26" borderId="0" applyNumberFormat="0" applyBorder="0" applyAlignment="0" applyProtection="0"/>
    <xf numFmtId="0" fontId="18" fillId="9" borderId="0" applyNumberFormat="0" applyBorder="0" applyAlignment="0" applyProtection="0"/>
    <xf numFmtId="0" fontId="18" fillId="0" borderId="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23"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26" borderId="0" applyNumberFormat="0" applyBorder="0" applyAlignment="0" applyProtection="0"/>
    <xf numFmtId="0" fontId="18" fillId="54" borderId="108" applyNumberFormat="0" applyFont="0" applyAlignment="0" applyProtection="0"/>
    <xf numFmtId="0" fontId="18" fillId="23"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0" borderId="0"/>
    <xf numFmtId="0" fontId="18" fillId="0" borderId="0"/>
    <xf numFmtId="0" fontId="18" fillId="9"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7" borderId="0" applyNumberFormat="0" applyBorder="0" applyAlignment="0" applyProtection="0"/>
    <xf numFmtId="9" fontId="18" fillId="0" borderId="0" applyFont="0" applyFill="0" applyBorder="0" applyAlignment="0" applyProtection="0"/>
    <xf numFmtId="0" fontId="111" fillId="51" borderId="0" applyNumberFormat="0" applyBorder="0" applyAlignment="0" applyProtection="0"/>
    <xf numFmtId="0" fontId="18" fillId="26"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0" borderId="0"/>
    <xf numFmtId="165" fontId="18" fillId="0" borderId="0" applyFont="0" applyFill="0" applyBorder="0" applyAlignment="0" applyProtection="0"/>
    <xf numFmtId="0" fontId="18" fillId="0" borderId="0"/>
    <xf numFmtId="0" fontId="18" fillId="0" borderId="0"/>
    <xf numFmtId="0" fontId="160" fillId="0" borderId="0"/>
    <xf numFmtId="3" fontId="160" fillId="0" borderId="0" applyFont="0" applyFill="0" applyBorder="0" applyAlignment="0" applyProtection="0"/>
    <xf numFmtId="194" fontId="160" fillId="0" borderId="0" applyFont="0" applyFill="0" applyBorder="0" applyAlignment="0" applyProtection="0"/>
    <xf numFmtId="0" fontId="160" fillId="0" borderId="0" applyFont="0" applyFill="0" applyBorder="0" applyAlignment="0" applyProtection="0"/>
    <xf numFmtId="2" fontId="160" fillId="0" borderId="0" applyFont="0" applyFill="0" applyBorder="0" applyAlignment="0" applyProtection="0"/>
    <xf numFmtId="0" fontId="161" fillId="0" borderId="0" applyNumberFormat="0" applyFill="0" applyBorder="0" applyAlignment="0" applyProtection="0"/>
    <xf numFmtId="0" fontId="162" fillId="0" borderId="0" applyNumberFormat="0" applyFill="0" applyBorder="0" applyAlignment="0" applyProtection="0"/>
    <xf numFmtId="10" fontId="160" fillId="0" borderId="0" applyFont="0" applyFill="0" applyBorder="0" applyAlignment="0" applyProtection="0"/>
    <xf numFmtId="0" fontId="160" fillId="0" borderId="118" applyNumberFormat="0" applyFont="0" applyFill="0" applyAlignment="0" applyProtection="0"/>
    <xf numFmtId="0" fontId="18" fillId="0" borderId="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0" borderId="0"/>
    <xf numFmtId="0" fontId="18" fillId="0" borderId="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9"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0" borderId="0"/>
    <xf numFmtId="0" fontId="18" fillId="0" borderId="0"/>
    <xf numFmtId="9" fontId="18" fillId="0" borderId="0" applyFont="0" applyFill="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60" borderId="0" applyNumberFormat="0" applyBorder="0" applyAlignment="0" applyProtection="0"/>
    <xf numFmtId="0" fontId="18" fillId="61" borderId="0" applyNumberFormat="0" applyBorder="0" applyAlignment="0" applyProtection="0"/>
    <xf numFmtId="0" fontId="18" fillId="64" borderId="0" applyNumberFormat="0" applyBorder="0" applyAlignment="0" applyProtection="0"/>
    <xf numFmtId="0" fontId="18" fillId="65" borderId="0" applyNumberFormat="0" applyBorder="0" applyAlignment="0" applyProtection="0"/>
    <xf numFmtId="0" fontId="18" fillId="68" borderId="0" applyNumberFormat="0" applyBorder="0" applyAlignment="0" applyProtection="0"/>
    <xf numFmtId="0" fontId="18" fillId="69" borderId="0" applyNumberFormat="0" applyBorder="0" applyAlignment="0" applyProtection="0"/>
    <xf numFmtId="0" fontId="18" fillId="72" borderId="0" applyNumberFormat="0" applyBorder="0" applyAlignment="0" applyProtection="0"/>
    <xf numFmtId="0" fontId="18" fillId="73" borderId="0" applyNumberFormat="0" applyBorder="0" applyAlignment="0" applyProtection="0"/>
    <xf numFmtId="0" fontId="18" fillId="76"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56"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0"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4"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68"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2"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76"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57"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1"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5"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69"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3"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77"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0" borderId="0"/>
    <xf numFmtId="165" fontId="18" fillId="0" borderId="0" applyFont="0" applyFill="0" applyBorder="0" applyAlignment="0" applyProtection="0"/>
    <xf numFmtId="0" fontId="18" fillId="0" borderId="0"/>
    <xf numFmtId="0" fontId="18" fillId="0" borderId="0"/>
    <xf numFmtId="0" fontId="160" fillId="0" borderId="0"/>
    <xf numFmtId="0" fontId="161" fillId="0" borderId="0" applyNumberFormat="0" applyFill="0" applyBorder="0" applyAlignment="0" applyProtection="0"/>
    <xf numFmtId="0" fontId="162" fillId="0" borderId="0" applyNumberFormat="0" applyFill="0" applyBorder="0" applyAlignment="0" applyProtection="0"/>
    <xf numFmtId="0" fontId="18" fillId="26" borderId="0" applyNumberFormat="0" applyBorder="0" applyAlignment="0" applyProtection="0"/>
    <xf numFmtId="0" fontId="18" fillId="3" borderId="0" applyNumberFormat="0" applyBorder="0" applyAlignment="0" applyProtection="0"/>
    <xf numFmtId="0" fontId="116" fillId="70"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5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0" borderId="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07" fillId="0" borderId="102" applyNumberFormat="0" applyFill="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69"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16" fillId="55" borderId="0" applyNumberFormat="0" applyBorder="0" applyAlignment="0" applyProtection="0"/>
    <xf numFmtId="0" fontId="18" fillId="26" borderId="0" applyNumberFormat="0" applyBorder="0" applyAlignment="0" applyProtection="0"/>
    <xf numFmtId="0" fontId="116" fillId="67" borderId="0" applyNumberFormat="0" applyBorder="0" applyAlignment="0" applyProtection="0"/>
    <xf numFmtId="0" fontId="18" fillId="0" borderId="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13" fillId="0" borderId="106" applyNumberFormat="0" applyFill="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65"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19" fillId="52" borderId="110" applyNumberFormat="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7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16" fillId="6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6" borderId="0" applyNumberFormat="0" applyBorder="0" applyAlignment="0" applyProtection="0"/>
    <xf numFmtId="0" fontId="116" fillId="75" borderId="0" applyNumberFormat="0" applyBorder="0" applyAlignment="0" applyProtection="0"/>
    <xf numFmtId="0" fontId="18" fillId="60" borderId="0" applyNumberFormat="0" applyBorder="0" applyAlignment="0" applyProtection="0"/>
    <xf numFmtId="0" fontId="85" fillId="35"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8"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09" fillId="0" borderId="0" applyNumberFormat="0" applyFill="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73"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54" borderId="108" applyNumberFormat="0" applyFont="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16" fillId="5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5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06" fillId="0" borderId="0" applyNumberFormat="0" applyFill="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6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0" borderId="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90" fillId="0" borderId="109" applyNumberFormat="0" applyFill="0" applyAlignment="0" applyProtection="0"/>
    <xf numFmtId="0" fontId="18" fillId="9" borderId="0" applyNumberFormat="0" applyBorder="0" applyAlignment="0" applyProtection="0"/>
    <xf numFmtId="0" fontId="116" fillId="66" borderId="0" applyNumberFormat="0" applyBorder="0" applyAlignment="0" applyProtection="0"/>
    <xf numFmtId="0" fontId="21" fillId="0" borderId="0"/>
    <xf numFmtId="0" fontId="18" fillId="0" borderId="0"/>
    <xf numFmtId="0" fontId="18" fillId="0" borderId="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8" borderId="0" applyNumberFormat="0" applyBorder="0" applyAlignment="0" applyProtection="0"/>
    <xf numFmtId="0" fontId="18" fillId="54" borderId="108" applyNumberFormat="0" applyFont="0" applyAlignment="0" applyProtection="0"/>
    <xf numFmtId="0" fontId="18" fillId="6" borderId="0" applyNumberFormat="0" applyBorder="0" applyAlignment="0" applyProtection="0"/>
    <xf numFmtId="0" fontId="18" fillId="23" borderId="0" applyNumberFormat="0" applyBorder="0" applyAlignment="0" applyProtection="0"/>
    <xf numFmtId="0" fontId="112" fillId="52" borderId="105" applyNumberFormat="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16" fillId="78"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64"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18" fillId="79" borderId="105" applyNumberFormat="0" applyAlignment="0" applyProtection="0"/>
    <xf numFmtId="0" fontId="18" fillId="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3" borderId="0" applyNumberFormat="0" applyBorder="0" applyAlignment="0" applyProtection="0"/>
    <xf numFmtId="0" fontId="18" fillId="7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3" borderId="0" applyNumberFormat="0" applyBorder="0" applyAlignment="0" applyProtection="0"/>
    <xf numFmtId="0" fontId="18" fillId="6" borderId="0" applyNumberFormat="0" applyBorder="0" applyAlignment="0" applyProtection="0"/>
    <xf numFmtId="0" fontId="18" fillId="0" borderId="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16" fillId="62"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0" borderId="0"/>
    <xf numFmtId="0" fontId="18" fillId="26" borderId="0" applyNumberFormat="0" applyBorder="0" applyAlignment="0" applyProtection="0"/>
    <xf numFmtId="0" fontId="18" fillId="3"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9" fontId="18" fillId="0" borderId="0" applyFont="0" applyFill="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3" borderId="0" applyNumberFormat="0" applyBorder="0" applyAlignment="0" applyProtection="0"/>
    <xf numFmtId="0" fontId="116" fillId="74" borderId="0" applyNumberFormat="0" applyBorder="0" applyAlignment="0" applyProtection="0"/>
    <xf numFmtId="0" fontId="116" fillId="59" borderId="0" applyNumberFormat="0" applyBorder="0" applyAlignment="0" applyProtection="0"/>
    <xf numFmtId="0" fontId="110" fillId="50"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23"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7" borderId="0" applyNumberFormat="0" applyBorder="0" applyAlignment="0" applyProtection="0"/>
    <xf numFmtId="0" fontId="18" fillId="7"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26" borderId="0" applyNumberFormat="0" applyBorder="0" applyAlignment="0" applyProtection="0"/>
    <xf numFmtId="0" fontId="18" fillId="26" borderId="0" applyNumberFormat="0" applyBorder="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0" fontId="18" fillId="54" borderId="108" applyNumberFormat="0" applyFont="0" applyAlignment="0" applyProtection="0"/>
    <xf numFmtId="165" fontId="18"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0" fontId="160" fillId="0" borderId="0" applyFont="0" applyFill="0" applyBorder="0" applyAlignment="0" applyProtection="0"/>
    <xf numFmtId="3" fontId="160" fillId="0" borderId="0" applyFont="0" applyFill="0" applyBorder="0" applyAlignment="0" applyProtection="0"/>
    <xf numFmtId="0" fontId="160"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165" fontId="18" fillId="0" borderId="0" applyFont="0" applyFill="0" applyBorder="0" applyAlignment="0" applyProtection="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193" fontId="21" fillId="0" borderId="0"/>
    <xf numFmtId="193" fontId="21" fillId="0" borderId="0"/>
    <xf numFmtId="193" fontId="21" fillId="0" borderId="0"/>
    <xf numFmtId="193" fontId="21" fillId="0" borderId="0"/>
    <xf numFmtId="193" fontId="21" fillId="0" borderId="0"/>
    <xf numFmtId="187" fontId="21" fillId="0" borderId="0" applyFont="0" applyFill="0" applyBorder="0" applyAlignment="0" applyProtection="0"/>
    <xf numFmtId="190" fontId="21" fillId="0" borderId="0" applyFont="0" applyFill="0" applyBorder="0" applyAlignment="0" applyProtection="0"/>
    <xf numFmtId="182"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90"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43" fontId="21" fillId="0" borderId="0" applyFont="0" applyFill="0" applyBorder="0" applyAlignment="0" applyProtection="0"/>
    <xf numFmtId="9" fontId="21" fillId="0" borderId="0" applyFont="0" applyFill="0" applyBorder="0" applyAlignment="0" applyProtection="0"/>
    <xf numFmtId="0" fontId="21" fillId="0" borderId="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60" borderId="0" applyNumberFormat="0" applyBorder="0" applyAlignment="0" applyProtection="0"/>
    <xf numFmtId="0" fontId="17" fillId="61" borderId="0" applyNumberFormat="0" applyBorder="0" applyAlignment="0" applyProtection="0"/>
    <xf numFmtId="0" fontId="17" fillId="64" borderId="0" applyNumberFormat="0" applyBorder="0" applyAlignment="0" applyProtection="0"/>
    <xf numFmtId="0" fontId="17" fillId="65" borderId="0" applyNumberFormat="0" applyBorder="0" applyAlignment="0" applyProtection="0"/>
    <xf numFmtId="0" fontId="17" fillId="68" borderId="0" applyNumberFormat="0" applyBorder="0" applyAlignment="0" applyProtection="0"/>
    <xf numFmtId="0" fontId="17" fillId="69" borderId="0" applyNumberFormat="0" applyBorder="0" applyAlignment="0" applyProtection="0"/>
    <xf numFmtId="0" fontId="17" fillId="72" borderId="0" applyNumberFormat="0" applyBorder="0" applyAlignment="0" applyProtection="0"/>
    <xf numFmtId="0" fontId="17" fillId="73" borderId="0" applyNumberFormat="0" applyBorder="0" applyAlignment="0" applyProtection="0"/>
    <xf numFmtId="0" fontId="17" fillId="76" borderId="0" applyNumberFormat="0" applyBorder="0" applyAlignment="0" applyProtection="0"/>
    <xf numFmtId="0" fontId="17" fillId="77" borderId="0" applyNumberFormat="0" applyBorder="0" applyAlignment="0" applyProtection="0"/>
    <xf numFmtId="187" fontId="21" fillId="0" borderId="0" applyFont="0" applyFill="0" applyBorder="0" applyAlignment="0" applyProtection="0"/>
    <xf numFmtId="165" fontId="21" fillId="0" borderId="0" applyFont="0" applyFill="0" applyBorder="0" applyAlignment="0" applyProtection="0"/>
    <xf numFmtId="0" fontId="17" fillId="0" borderId="0"/>
    <xf numFmtId="0" fontId="17" fillId="54" borderId="108" applyNumberFormat="0" applyFon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65"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0" fontId="21" fillId="54" borderId="108" applyNumberFormat="0" applyFont="0" applyAlignment="0" applyProtection="0"/>
    <xf numFmtId="0" fontId="16" fillId="0" borderId="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70"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70"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66" fontId="49"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96" fontId="30"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0" fontId="21" fillId="0" borderId="0"/>
    <xf numFmtId="0" fontId="16" fillId="0" borderId="0"/>
    <xf numFmtId="0" fontId="16" fillId="0" borderId="0"/>
    <xf numFmtId="0" fontId="16" fillId="0" borderId="0"/>
    <xf numFmtId="0" fontId="49" fillId="0" borderId="0"/>
    <xf numFmtId="0" fontId="49" fillId="26" borderId="11" applyNumberFormat="0" applyFont="0" applyAlignment="0" applyProtection="0"/>
    <xf numFmtId="0" fontId="49" fillId="26" borderId="11" applyNumberFormat="0" applyFont="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169" fontId="49" fillId="0" borderId="0" applyFont="0" applyFill="0" applyBorder="0" applyAlignment="0" applyProtection="0"/>
    <xf numFmtId="9" fontId="16" fillId="0" borderId="0" applyFont="0" applyFill="0" applyBorder="0" applyAlignment="0" applyProtection="0"/>
    <xf numFmtId="9" fontId="21" fillId="0" borderId="0" applyFont="0" applyFill="0" applyBorder="0" applyAlignment="0" applyProtection="0"/>
    <xf numFmtId="9" fontId="49" fillId="0" borderId="0" applyFont="0" applyFill="0" applyBorder="0" applyAlignment="0" applyProtection="0"/>
    <xf numFmtId="9" fontId="21"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9" fontId="49" fillId="0" borderId="0" applyFont="0" applyFill="0" applyBorder="0" applyAlignment="0" applyProtection="0"/>
    <xf numFmtId="0" fontId="15" fillId="0" borderId="0"/>
    <xf numFmtId="49" fontId="52" fillId="0" borderId="130" applyNumberFormat="0" applyFont="0" applyFill="0" applyBorder="0" applyProtection="0">
      <alignment horizontal="left" vertical="center" indent="5"/>
    </xf>
    <xf numFmtId="0" fontId="15" fillId="0" borderId="0"/>
    <xf numFmtId="0" fontId="15" fillId="0" borderId="0"/>
    <xf numFmtId="0" fontId="15" fillId="0" borderId="0"/>
    <xf numFmtId="0" fontId="32" fillId="21" borderId="128" applyNumberFormat="0" applyAlignment="0" applyProtection="0"/>
    <xf numFmtId="0" fontId="49" fillId="26" borderId="127" applyNumberFormat="0" applyFont="0" applyAlignment="0" applyProtection="0"/>
    <xf numFmtId="0" fontId="49" fillId="26" borderId="127" applyNumberFormat="0" applyFont="0" applyAlignment="0" applyProtection="0"/>
    <xf numFmtId="0" fontId="49" fillId="26" borderId="127" applyNumberFormat="0" applyFont="0" applyAlignment="0" applyProtection="0"/>
    <xf numFmtId="0" fontId="49" fillId="26" borderId="127" applyNumberFormat="0" applyFont="0" applyAlignment="0" applyProtection="0"/>
    <xf numFmtId="0" fontId="21" fillId="26" borderId="127" applyNumberFormat="0" applyFont="0" applyAlignment="0" applyProtection="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68" fillId="0" borderId="0"/>
    <xf numFmtId="49" fontId="52" fillId="0" borderId="120" applyNumberFormat="0" applyFont="0" applyFill="0" applyBorder="0" applyProtection="0">
      <alignment horizontal="left" vertical="center" indent="5"/>
    </xf>
    <xf numFmtId="0" fontId="26" fillId="21" borderId="122" applyNumberFormat="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21" fillId="0" borderId="0" applyFont="0" applyFill="0" applyBorder="0" applyAlignment="0" applyProtection="0"/>
    <xf numFmtId="182" fontId="21" fillId="0" borderId="0" applyFont="0" applyFill="0" applyBorder="0" applyAlignment="0" applyProtection="0"/>
    <xf numFmtId="0" fontId="52" fillId="0" borderId="119">
      <alignment horizontal="left" vertical="center" wrapText="1" indent="2"/>
    </xf>
    <xf numFmtId="0" fontId="29" fillId="7" borderId="122" applyNumberFormat="0" applyAlignment="0" applyProtection="0"/>
    <xf numFmtId="0" fontId="29" fillId="7" borderId="122"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5" fillId="0" borderId="0"/>
    <xf numFmtId="0" fontId="15" fillId="0" borderId="0"/>
    <xf numFmtId="0" fontId="42" fillId="0" borderId="0"/>
    <xf numFmtId="4" fontId="52" fillId="0" borderId="121" applyFill="0" applyBorder="0" applyProtection="0">
      <alignment horizontal="right" vertical="center"/>
    </xf>
    <xf numFmtId="0" fontId="52" fillId="0" borderId="121" applyNumberFormat="0" applyFill="0" applyAlignment="0" applyProtection="0"/>
    <xf numFmtId="0" fontId="21" fillId="26" borderId="123" applyNumberFormat="0" applyFont="0" applyAlignment="0" applyProtection="0"/>
    <xf numFmtId="0" fontId="21" fillId="26" borderId="123" applyNumberFormat="0" applyFont="0" applyAlignment="0" applyProtection="0"/>
    <xf numFmtId="0" fontId="49" fillId="26" borderId="123" applyNumberFormat="0" applyFont="0" applyAlignment="0" applyProtection="0"/>
    <xf numFmtId="0" fontId="49" fillId="26" borderId="123" applyNumberFormat="0" applyFont="0" applyAlignment="0" applyProtection="0"/>
    <xf numFmtId="0" fontId="32" fillId="21" borderId="124" applyNumberFormat="0" applyAlignment="0" applyProtection="0"/>
    <xf numFmtId="0" fontId="32" fillId="21" borderId="124" applyNumberFormat="0" applyAlignment="0" applyProtection="0"/>
    <xf numFmtId="179" fontId="52" fillId="27" borderId="121" applyNumberFormat="0" applyFont="0" applyBorder="0" applyAlignment="0" applyProtection="0">
      <alignment horizontal="right" vertical="center"/>
    </xf>
    <xf numFmtId="9" fontId="15" fillId="0" borderId="0" applyFont="0" applyFill="0" applyBorder="0" applyAlignment="0" applyProtection="0"/>
    <xf numFmtId="9" fontId="42" fillId="0" borderId="0" applyFont="0" applyFill="0" applyBorder="0" applyAlignment="0" applyProtection="0"/>
    <xf numFmtId="0" fontId="39" fillId="0" borderId="125" applyNumberFormat="0" applyFill="0" applyAlignment="0" applyProtection="0"/>
    <xf numFmtId="187" fontId="21" fillId="0" borderId="0" applyFont="0" applyFill="0" applyBorder="0" applyAlignment="0" applyProtection="0"/>
    <xf numFmtId="187" fontId="21" fillId="0" borderId="0" applyFont="0" applyFill="0" applyBorder="0" applyAlignment="0" applyProtection="0"/>
    <xf numFmtId="0" fontId="15" fillId="0" borderId="0"/>
    <xf numFmtId="0" fontId="15" fillId="54" borderId="10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17" fillId="21" borderId="122" applyNumberFormat="0" applyFill="0" applyBorder="0" applyAlignment="0" applyProtection="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21" fillId="26" borderId="123" applyNumberFormat="0" applyFont="0" applyAlignment="0" applyProtection="0"/>
    <xf numFmtId="0" fontId="21" fillId="26" borderId="127" applyNumberFormat="0" applyFont="0" applyAlignment="0" applyProtection="0"/>
    <xf numFmtId="9" fontId="15" fillId="0" borderId="0" applyFont="0" applyFill="0" applyBorder="0" applyAlignment="0" applyProtection="0"/>
    <xf numFmtId="0" fontId="21" fillId="54" borderId="108" applyNumberFormat="0" applyFont="0" applyAlignment="0" applyProtection="0"/>
    <xf numFmtId="0" fontId="15" fillId="0" borderId="0"/>
    <xf numFmtId="0" fontId="15" fillId="61" borderId="0" applyNumberFormat="0" applyBorder="0" applyAlignment="0" applyProtection="0"/>
    <xf numFmtId="0" fontId="15" fillId="72" borderId="0" applyNumberFormat="0" applyBorder="0" applyAlignment="0" applyProtection="0"/>
    <xf numFmtId="43" fontId="21"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49" fontId="52" fillId="0" borderId="121" applyNumberFormat="0" applyFont="0" applyFill="0" applyBorder="0" applyProtection="0">
      <alignment horizontal="left" vertical="center" indent="2"/>
    </xf>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49" fontId="53" fillId="0" borderId="121" applyNumberFormat="0" applyFill="0" applyBorder="0" applyProtection="0">
      <alignment horizontal="left" vertical="center"/>
    </xf>
    <xf numFmtId="0" fontId="90" fillId="0" borderId="126" applyNumberFormat="0" applyFill="0" applyAlignment="0" applyProtection="0"/>
    <xf numFmtId="0" fontId="90" fillId="0" borderId="126" applyNumberFormat="0" applyFill="0" applyAlignment="0" applyProtection="0"/>
    <xf numFmtId="0" fontId="90" fillId="0" borderId="126" applyNumberFormat="0" applyFill="0" applyAlignment="0" applyProtection="0"/>
    <xf numFmtId="0" fontId="90" fillId="0" borderId="126" applyNumberFormat="0" applyFill="0" applyAlignment="0" applyProtection="0"/>
    <xf numFmtId="0" fontId="90" fillId="0" borderId="126" applyNumberFormat="0" applyFill="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165" fontId="15" fillId="0" borderId="0" applyFont="0" applyFill="0" applyBorder="0" applyAlignment="0" applyProtection="0"/>
    <xf numFmtId="0" fontId="15" fillId="0" borderId="0"/>
    <xf numFmtId="0" fontId="15" fillId="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54" borderId="108" applyNumberFormat="0" applyFont="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3"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26"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6"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6"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0" borderId="0"/>
    <xf numFmtId="0" fontId="15" fillId="26" borderId="0" applyNumberFormat="0" applyBorder="0" applyAlignment="0" applyProtection="0"/>
    <xf numFmtId="0" fontId="15" fillId="9" borderId="0" applyNumberFormat="0" applyBorder="0" applyAlignment="0" applyProtection="0"/>
    <xf numFmtId="0" fontId="15" fillId="0" borderId="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23"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26" borderId="0" applyNumberFormat="0" applyBorder="0" applyAlignment="0" applyProtection="0"/>
    <xf numFmtId="0" fontId="15" fillId="54" borderId="108" applyNumberFormat="0" applyFont="0" applyAlignment="0" applyProtection="0"/>
    <xf numFmtId="0" fontId="15" fillId="23"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0" borderId="0"/>
    <xf numFmtId="0" fontId="15" fillId="0" borderId="0"/>
    <xf numFmtId="0" fontId="15" fillId="9"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7" borderId="0" applyNumberFormat="0" applyBorder="0" applyAlignment="0" applyProtection="0"/>
    <xf numFmtId="9" fontId="15" fillId="0" borderId="0" applyFont="0" applyFill="0" applyBorder="0" applyAlignment="0" applyProtection="0"/>
    <xf numFmtId="0" fontId="15" fillId="2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0" borderId="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0" borderId="0"/>
    <xf numFmtId="0" fontId="15" fillId="0" borderId="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9"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0" borderId="0"/>
    <xf numFmtId="0" fontId="15" fillId="0" borderId="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56"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0"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4"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68"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2"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76"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57"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1"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5"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69"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3"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77"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0" borderId="0"/>
    <xf numFmtId="165" fontId="15" fillId="0" borderId="0" applyFont="0" applyFill="0" applyBorder="0" applyAlignment="0" applyProtection="0"/>
    <xf numFmtId="0" fontId="15" fillId="0" borderId="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9"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26" borderId="0" applyNumberFormat="0" applyBorder="0" applyAlignment="0" applyProtection="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65"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6" borderId="0" applyNumberFormat="0" applyBorder="0" applyAlignment="0" applyProtection="0"/>
    <xf numFmtId="0" fontId="15" fillId="60"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8"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54" borderId="108" applyNumberFormat="0" applyFont="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5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68"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0" borderId="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9" borderId="0" applyNumberFormat="0" applyBorder="0" applyAlignment="0" applyProtection="0"/>
    <xf numFmtId="0" fontId="15" fillId="0" borderId="0"/>
    <xf numFmtId="0" fontId="15" fillId="0" borderId="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8" borderId="0" applyNumberFormat="0" applyBorder="0" applyAlignment="0" applyProtection="0"/>
    <xf numFmtId="0" fontId="15" fillId="54" borderId="108" applyNumberFormat="0" applyFont="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64"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3" borderId="0" applyNumberFormat="0" applyBorder="0" applyAlignment="0" applyProtection="0"/>
    <xf numFmtId="0" fontId="15" fillId="7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0" borderId="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0" borderId="0"/>
    <xf numFmtId="0" fontId="15" fillId="26" borderId="0" applyNumberFormat="0" applyBorder="0" applyAlignment="0" applyProtection="0"/>
    <xf numFmtId="0" fontId="15" fillId="3"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9" fontId="15" fillId="0" borderId="0" applyFont="0" applyFill="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3"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23"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7" borderId="0" applyNumberFormat="0" applyBorder="0" applyAlignment="0" applyProtection="0"/>
    <xf numFmtId="0" fontId="15" fillId="7"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9" borderId="0" applyNumberFormat="0" applyBorder="0" applyAlignment="0" applyProtection="0"/>
    <xf numFmtId="0" fontId="15" fillId="9" borderId="0" applyNumberFormat="0" applyBorder="0" applyAlignment="0" applyProtection="0"/>
    <xf numFmtId="0" fontId="15" fillId="26" borderId="0" applyNumberFormat="0" applyBorder="0" applyAlignment="0" applyProtection="0"/>
    <xf numFmtId="0" fontId="15" fillId="26" borderId="0" applyNumberFormat="0" applyBorder="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0" fontId="15" fillId="54" borderId="108" applyNumberFormat="0" applyFont="0" applyAlignment="0" applyProtection="0"/>
    <xf numFmtId="165" fontId="15" fillId="0" borderId="0" applyFont="0" applyFill="0" applyBorder="0" applyAlignment="0" applyProtection="0"/>
    <xf numFmtId="0" fontId="15" fillId="0" borderId="0"/>
    <xf numFmtId="9" fontId="15" fillId="0" borderId="0" applyFont="0" applyFill="0" applyBorder="0" applyAlignment="0" applyProtection="0"/>
    <xf numFmtId="0" fontId="15" fillId="0" borderId="0"/>
    <xf numFmtId="0" fontId="15" fillId="0" borderId="0"/>
    <xf numFmtId="9" fontId="15" fillId="0" borderId="0" applyFont="0" applyFill="0" applyBorder="0" applyAlignment="0" applyProtection="0"/>
    <xf numFmtId="165" fontId="15" fillId="0" borderId="0" applyFont="0" applyFill="0" applyBorder="0" applyAlignment="0" applyProtection="0"/>
    <xf numFmtId="43" fontId="21" fillId="0" borderId="0" applyFont="0" applyFill="0" applyBorder="0" applyAlignment="0" applyProtection="0"/>
    <xf numFmtId="187"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56" borderId="0" applyNumberFormat="0" applyBorder="0" applyAlignment="0" applyProtection="0"/>
    <xf numFmtId="0" fontId="15" fillId="57" borderId="0" applyNumberFormat="0" applyBorder="0" applyAlignment="0" applyProtection="0"/>
    <xf numFmtId="0" fontId="15" fillId="60" borderId="0" applyNumberFormat="0" applyBorder="0" applyAlignment="0" applyProtection="0"/>
    <xf numFmtId="0" fontId="15" fillId="61" borderId="0" applyNumberFormat="0" applyBorder="0" applyAlignment="0" applyProtection="0"/>
    <xf numFmtId="0" fontId="15" fillId="64" borderId="0" applyNumberFormat="0" applyBorder="0" applyAlignment="0" applyProtection="0"/>
    <xf numFmtId="0" fontId="15" fillId="65" borderId="0" applyNumberFormat="0" applyBorder="0" applyAlignment="0" applyProtection="0"/>
    <xf numFmtId="0" fontId="15" fillId="68" borderId="0" applyNumberFormat="0" applyBorder="0" applyAlignment="0" applyProtection="0"/>
    <xf numFmtId="0" fontId="15" fillId="69" borderId="0" applyNumberFormat="0" applyBorder="0" applyAlignment="0" applyProtection="0"/>
    <xf numFmtId="0" fontId="15" fillId="72" borderId="0" applyNumberFormat="0" applyBorder="0" applyAlignment="0" applyProtection="0"/>
    <xf numFmtId="0" fontId="15" fillId="73" borderId="0" applyNumberFormat="0" applyBorder="0" applyAlignment="0" applyProtection="0"/>
    <xf numFmtId="0" fontId="15" fillId="76" borderId="0" applyNumberFormat="0" applyBorder="0" applyAlignment="0" applyProtection="0"/>
    <xf numFmtId="0" fontId="15" fillId="77" borderId="0" applyNumberFormat="0" applyBorder="0" applyAlignment="0" applyProtection="0"/>
    <xf numFmtId="0" fontId="15" fillId="0" borderId="0"/>
    <xf numFmtId="0" fontId="15" fillId="54" borderId="108" applyNumberFormat="0" applyFont="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65" fontId="15" fillId="0" borderId="0" applyFont="0" applyFill="0" applyBorder="0" applyAlignment="0" applyProtection="0"/>
    <xf numFmtId="9" fontId="15" fillId="0" borderId="0" applyFont="0" applyFill="0" applyBorder="0" applyAlignment="0" applyProtection="0"/>
    <xf numFmtId="43" fontId="15"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0" fontId="15" fillId="0" borderId="0"/>
    <xf numFmtId="0" fontId="39" fillId="0" borderId="129" applyNumberFormat="0" applyFill="0" applyAlignment="0" applyProtection="0"/>
    <xf numFmtId="0" fontId="15" fillId="0" borderId="0"/>
    <xf numFmtId="0" fontId="15" fillId="0" borderId="0"/>
    <xf numFmtId="0" fontId="15" fillId="0" borderId="0"/>
    <xf numFmtId="0" fontId="49" fillId="26" borderId="123" applyNumberFormat="0" applyFont="0" applyAlignment="0" applyProtection="0"/>
    <xf numFmtId="0" fontId="49" fillId="26" borderId="123" applyNumberFormat="0" applyFont="0" applyAlignment="0" applyProtection="0"/>
    <xf numFmtId="9" fontId="15" fillId="0" borderId="0" applyFont="0" applyFill="0" applyBorder="0" applyAlignment="0" applyProtection="0"/>
    <xf numFmtId="187" fontId="21" fillId="0" borderId="0"/>
    <xf numFmtId="3" fontId="21" fillId="44" borderId="105" applyFont="0" applyFill="0" applyBorder="0" applyAlignment="0" applyProtection="0"/>
    <xf numFmtId="3" fontId="173" fillId="90" borderId="105" applyNumberFormat="0" applyBorder="0" applyAlignment="0" applyProtection="0"/>
    <xf numFmtId="0" fontId="43" fillId="44" borderId="105" applyNumberFormat="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69"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 fontId="52" fillId="0" borderId="135" applyFill="0" applyBorder="0" applyProtection="0">
      <alignment horizontal="right" vertical="center"/>
    </xf>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172" fillId="0" borderId="0" applyNumberFormat="0" applyFill="0" applyBorder="0" applyAlignment="0" applyProtection="0">
      <alignment vertical="top"/>
      <protection locked="0"/>
    </xf>
    <xf numFmtId="165"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4" fillId="0" borderId="0" applyFont="0" applyFill="0" applyBorder="0" applyAlignment="0" applyProtection="0"/>
    <xf numFmtId="0" fontId="174" fillId="0" borderId="0" applyNumberFormat="0" applyFill="0" applyBorder="0" applyAlignment="0" applyProtection="0"/>
    <xf numFmtId="197" fontId="175" fillId="91" borderId="0" applyNumberFormat="0" applyBorder="0" applyAlignment="0" applyProtection="0">
      <alignment horizontal="center" vertical="top" wrapText="1"/>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55" fillId="0" borderId="0"/>
    <xf numFmtId="0" fontId="42" fillId="0" borderId="0" applyFill="0" applyBorder="0"/>
    <xf numFmtId="0" fontId="55" fillId="0" borderId="0"/>
    <xf numFmtId="0" fontId="14" fillId="0" borderId="0"/>
    <xf numFmtId="0" fontId="14" fillId="0" borderId="0"/>
    <xf numFmtId="0" fontId="21" fillId="0" borderId="0"/>
    <xf numFmtId="0" fontId="14" fillId="0" borderId="0"/>
    <xf numFmtId="0" fontId="21" fillId="0" borderId="0"/>
    <xf numFmtId="0" fontId="49" fillId="0" borderId="0"/>
    <xf numFmtId="0" fontId="14" fillId="0" borderId="0"/>
    <xf numFmtId="197" fontId="43" fillId="44" borderId="0" applyNumberFormat="0" applyBorder="0" applyAlignment="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49"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49" fillId="26" borderId="132"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0" fontId="32" fillId="21" borderId="133" applyNumberFormat="0" applyAlignment="0" applyProtection="0"/>
    <xf numFmtId="0" fontId="32" fillId="21" borderId="133" applyNumberFormat="0" applyAlignment="0" applyProtection="0"/>
    <xf numFmtId="0" fontId="176" fillId="39" borderId="0" applyNumberFormat="0" applyAlignment="0" applyProtection="0"/>
    <xf numFmtId="0" fontId="177" fillId="92" borderId="0" applyNumberFormat="0" applyAlignment="0" applyProtection="0"/>
    <xf numFmtId="0" fontId="178" fillId="93" borderId="0" applyNumberFormat="0" applyAlignment="0" applyProtection="0"/>
    <xf numFmtId="197" fontId="171" fillId="32" borderId="0" applyNumberFormat="0" applyFill="0" applyBorder="0" applyAlignment="0">
      <alignment horizontal="center"/>
    </xf>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0" fontId="52" fillId="0" borderId="136">
      <alignment horizontal="left" vertical="center" wrapText="1" indent="2"/>
    </xf>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14" fillId="0" borderId="0" applyFont="0" applyFill="0" applyBorder="0" applyAlignment="0" applyProtection="0"/>
    <xf numFmtId="0" fontId="39" fillId="0" borderId="134" applyNumberFormat="0" applyFill="0" applyAlignment="0" applyProtection="0"/>
    <xf numFmtId="0" fontId="179" fillId="52" borderId="105" applyNumberFormat="0" applyFill="0" applyBorder="0" applyAlignment="0" applyProtection="0"/>
    <xf numFmtId="0" fontId="170" fillId="52" borderId="105" applyFill="0" applyBorder="0" applyAlignment="0" applyProtection="0"/>
    <xf numFmtId="0" fontId="14" fillId="0" borderId="0"/>
    <xf numFmtId="165" fontId="14" fillId="0" borderId="0" applyFont="0" applyFill="0" applyBorder="0" applyAlignment="0" applyProtection="0"/>
    <xf numFmtId="0" fontId="86" fillId="35" borderId="0" applyNumberFormat="0" applyBorder="0" applyAlignment="0" applyProtection="0"/>
    <xf numFmtId="0" fontId="112" fillId="52" borderId="105"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89" fillId="0" borderId="0"/>
    <xf numFmtId="0" fontId="89" fillId="0" borderId="0"/>
    <xf numFmtId="0" fontId="89" fillId="0" borderId="0"/>
    <xf numFmtId="187" fontId="21" fillId="0" borderId="0"/>
    <xf numFmtId="3" fontId="21" fillId="44" borderId="105" applyFont="0" applyFill="0" applyBorder="0" applyAlignment="0" applyProtection="0"/>
    <xf numFmtId="0" fontId="21" fillId="0" borderId="0" applyNumberFormat="0" applyFont="0" applyFill="0" applyBorder="0" applyProtection="0">
      <alignment horizontal="left" vertical="center" indent="5"/>
    </xf>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3"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70"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87"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5" fontId="1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21" fillId="0" borderId="0"/>
    <xf numFmtId="0" fontId="14" fillId="0" borderId="0"/>
    <xf numFmtId="0" fontId="14" fillId="0" borderId="0"/>
    <xf numFmtId="0" fontId="21" fillId="0" borderId="0"/>
    <xf numFmtId="0" fontId="14" fillId="0" borderId="0"/>
    <xf numFmtId="0" fontId="21" fillId="0" borderId="0"/>
    <xf numFmtId="0" fontId="14" fillId="0" borderId="0"/>
    <xf numFmtId="0" fontId="21" fillId="24" borderId="0" applyNumberFormat="0" applyFont="0" applyBorder="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4" fillId="0" borderId="0" applyFont="0" applyFill="0" applyBorder="0" applyAlignment="0" applyProtection="0"/>
    <xf numFmtId="0" fontId="14" fillId="0" borderId="0"/>
    <xf numFmtId="165" fontId="14" fillId="0" borderId="0" applyFont="0" applyFill="0" applyBorder="0" applyAlignment="0" applyProtection="0"/>
    <xf numFmtId="165" fontId="49" fillId="0" borderId="0" applyFont="0" applyFill="0" applyBorder="0" applyAlignment="0" applyProtection="0"/>
    <xf numFmtId="165" fontId="49"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49" fillId="0" borderId="0" applyFont="0" applyFill="0" applyBorder="0" applyAlignment="0" applyProtection="0"/>
    <xf numFmtId="165" fontId="180"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4" fillId="0" borderId="0" applyFont="0" applyFill="0" applyBorder="0" applyAlignment="0" applyProtection="0"/>
    <xf numFmtId="165" fontId="24" fillId="0" borderId="0" applyFont="0" applyFill="0" applyBorder="0" applyAlignment="0" applyProtection="0"/>
    <xf numFmtId="165" fontId="14"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14" fillId="0" borderId="0" applyFont="0" applyFill="0" applyBorder="0" applyAlignment="0" applyProtection="0"/>
    <xf numFmtId="165" fontId="21"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65" fontId="14" fillId="0" borderId="0" applyFont="0" applyFill="0" applyBorder="0" applyAlignment="0" applyProtection="0"/>
    <xf numFmtId="0" fontId="14" fillId="0" borderId="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0" fontId="89" fillId="0" borderId="0"/>
    <xf numFmtId="0" fontId="86" fillId="35" borderId="0" applyNumberFormat="0" applyBorder="0" applyAlignment="0" applyProtection="0"/>
    <xf numFmtId="0" fontId="14" fillId="0" borderId="0"/>
    <xf numFmtId="0" fontId="14" fillId="0" borderId="0"/>
    <xf numFmtId="0" fontId="14" fillId="0" borderId="0"/>
    <xf numFmtId="0" fontId="14" fillId="0" borderId="0"/>
    <xf numFmtId="0" fontId="89" fillId="0" borderId="0"/>
    <xf numFmtId="0" fontId="89" fillId="0" borderId="0"/>
    <xf numFmtId="0" fontId="14" fillId="0" borderId="0"/>
    <xf numFmtId="0" fontId="14" fillId="0" borderId="0"/>
    <xf numFmtId="0" fontId="14" fillId="0" borderId="0"/>
    <xf numFmtId="0" fontId="14" fillId="0" borderId="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21" fillId="26" borderId="127" applyNumberFormat="0" applyFont="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68" fillId="0" borderId="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0" fontId="29" fillId="7" borderId="122"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52" fillId="0" borderId="135" applyNumberFormat="0" applyFill="0" applyAlignment="0" applyProtection="0"/>
    <xf numFmtId="0" fontId="32" fillId="21" borderId="133" applyNumberFormat="0" applyAlignment="0" applyProtection="0"/>
    <xf numFmtId="179" fontId="52" fillId="27" borderId="135" applyNumberFormat="0" applyFont="0" applyBorder="0" applyAlignment="0" applyProtection="0">
      <alignment horizontal="right" vertical="center"/>
    </xf>
    <xf numFmtId="9" fontId="21" fillId="0" borderId="0" applyFont="0" applyFill="0" applyBorder="0" applyAlignment="0" applyProtection="0"/>
    <xf numFmtId="9" fontId="13" fillId="0" borderId="0" applyFont="0" applyFill="0" applyBorder="0" applyAlignment="0" applyProtection="0"/>
    <xf numFmtId="0" fontId="106" fillId="0" borderId="0" applyNumberFormat="0" applyFill="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21" fillId="54" borderId="108" applyNumberFormat="0" applyFont="0" applyAlignment="0" applyProtection="0"/>
    <xf numFmtId="0" fontId="13" fillId="0" borderId="0"/>
    <xf numFmtId="0" fontId="13" fillId="61" borderId="0" applyNumberFormat="0" applyBorder="0" applyAlignment="0" applyProtection="0"/>
    <xf numFmtId="0" fontId="13" fillId="72" borderId="0" applyNumberFormat="0" applyBorder="0" applyAlignment="0" applyProtection="0"/>
    <xf numFmtId="43" fontId="21"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9" fontId="52" fillId="0" borderId="135" applyNumberFormat="0" applyFont="0" applyFill="0" applyBorder="0" applyProtection="0">
      <alignment horizontal="left" vertical="center" indent="2"/>
    </xf>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53" fillId="0" borderId="135" applyNumberFormat="0" applyFill="0" applyBorder="0" applyProtection="0">
      <alignment horizontal="left" vertical="center"/>
    </xf>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0" fontId="13" fillId="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3"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6"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26" borderId="0" applyNumberFormat="0" applyBorder="0" applyAlignment="0" applyProtection="0"/>
    <xf numFmtId="0" fontId="13" fillId="9" borderId="0" applyNumberFormat="0" applyBorder="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23"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0" borderId="0"/>
    <xf numFmtId="0" fontId="13" fillId="0" borderId="0"/>
    <xf numFmtId="0" fontId="13" fillId="9"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7" borderId="0" applyNumberFormat="0" applyBorder="0" applyAlignment="0" applyProtection="0"/>
    <xf numFmtId="9" fontId="13" fillId="0" borderId="0" applyFont="0" applyFill="0" applyBorder="0" applyAlignment="0" applyProtection="0"/>
    <xf numFmtId="0" fontId="13" fillId="2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9"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9"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6" borderId="0" applyNumberFormat="0" applyBorder="0" applyAlignment="0" applyProtection="0"/>
    <xf numFmtId="0" fontId="13" fillId="60"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6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0" borderId="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9" borderId="0" applyNumberFormat="0" applyBorder="0" applyAlignment="0" applyProtection="0"/>
    <xf numFmtId="0" fontId="13" fillId="0" borderId="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4"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9" fontId="13" fillId="0" borderId="0" applyFont="0" applyFill="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5"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49" fillId="26" borderId="132" applyNumberFormat="0" applyFont="0" applyAlignment="0" applyProtection="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32" fillId="21" borderId="133" applyNumberFormat="0" applyAlignment="0" applyProtection="0"/>
    <xf numFmtId="0" fontId="49" fillId="26" borderId="132" applyNumberFormat="0" applyFont="0" applyAlignment="0" applyProtection="0"/>
    <xf numFmtId="0" fontId="49" fillId="26" borderId="132" applyNumberFormat="0" applyFont="0" applyAlignment="0" applyProtection="0"/>
    <xf numFmtId="0" fontId="49" fillId="26" borderId="132" applyNumberFormat="0" applyFont="0" applyAlignment="0" applyProtection="0"/>
    <xf numFmtId="0" fontId="49" fillId="26" borderId="132" applyNumberFormat="0" applyFont="0" applyAlignment="0" applyProtection="0"/>
    <xf numFmtId="0" fontId="21" fillId="26" borderId="132"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49" fontId="52" fillId="0" borderId="130" applyNumberFormat="0" applyFont="0" applyFill="0" applyBorder="0" applyProtection="0">
      <alignment horizontal="left" vertical="center" indent="5"/>
    </xf>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0" fontId="52" fillId="0" borderId="136">
      <alignment horizontal="left" vertical="center" wrapText="1" indent="2"/>
    </xf>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3" fillId="0" borderId="0"/>
    <xf numFmtId="0" fontId="13" fillId="0" borderId="0"/>
    <xf numFmtId="4" fontId="52" fillId="0" borderId="135" applyFill="0" applyBorder="0" applyProtection="0">
      <alignment horizontal="right" vertical="center"/>
    </xf>
    <xf numFmtId="0" fontId="52" fillId="0" borderId="135" applyNumberFormat="0" applyFill="0" applyAlignment="0" applyProtection="0"/>
    <xf numFmtId="0" fontId="21" fillId="26" borderId="132" applyNumberFormat="0" applyFont="0" applyAlignment="0" applyProtection="0"/>
    <xf numFmtId="0" fontId="21" fillId="26" borderId="132" applyNumberFormat="0" applyFont="0" applyAlignment="0" applyProtection="0"/>
    <xf numFmtId="0" fontId="49" fillId="26" borderId="132" applyNumberFormat="0" applyFont="0" applyAlignment="0" applyProtection="0"/>
    <xf numFmtId="0" fontId="49" fillId="26" borderId="132" applyNumberFormat="0" applyFont="0" applyAlignment="0" applyProtection="0"/>
    <xf numFmtId="0" fontId="32" fillId="21" borderId="133" applyNumberFormat="0" applyAlignment="0" applyProtection="0"/>
    <xf numFmtId="0" fontId="32" fillId="21" borderId="133" applyNumberFormat="0" applyAlignment="0" applyProtection="0"/>
    <xf numFmtId="179" fontId="52" fillId="27" borderId="135" applyNumberFormat="0" applyFont="0" applyBorder="0" applyAlignment="0" applyProtection="0">
      <alignment horizontal="right" vertical="center"/>
    </xf>
    <xf numFmtId="9" fontId="13" fillId="0" borderId="0" applyFont="0" applyFill="0" applyBorder="0" applyAlignment="0" applyProtection="0"/>
    <xf numFmtId="0" fontId="39" fillId="0" borderId="134" applyNumberFormat="0" applyFill="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21" fillId="26" borderId="132" applyNumberFormat="0" applyFont="0" applyAlignment="0" applyProtection="0"/>
    <xf numFmtId="0" fontId="21" fillId="26" borderId="132" applyNumberFormat="0" applyFont="0" applyAlignment="0" applyProtection="0"/>
    <xf numFmtId="9" fontId="13" fillId="0" borderId="0" applyFont="0" applyFill="0" applyBorder="0" applyAlignment="0" applyProtection="0"/>
    <xf numFmtId="0" fontId="13" fillId="0" borderId="0"/>
    <xf numFmtId="0" fontId="13" fillId="61" borderId="0" applyNumberFormat="0" applyBorder="0" applyAlignment="0" applyProtection="0"/>
    <xf numFmtId="0" fontId="13" fillId="72" borderId="0" applyNumberFormat="0" applyBorder="0" applyAlignment="0" applyProtection="0"/>
    <xf numFmtId="43" fontId="21"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9" fontId="52" fillId="0" borderId="135" applyNumberFormat="0" applyFont="0" applyFill="0" applyBorder="0" applyProtection="0">
      <alignment horizontal="left" vertical="center" indent="2"/>
    </xf>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53" fillId="0" borderId="135" applyNumberFormat="0" applyFill="0" applyBorder="0" applyProtection="0">
      <alignment horizontal="left" vertical="center"/>
    </xf>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0" fontId="13" fillId="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3"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6"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26" borderId="0" applyNumberFormat="0" applyBorder="0" applyAlignment="0" applyProtection="0"/>
    <xf numFmtId="0" fontId="13" fillId="9" borderId="0" applyNumberFormat="0" applyBorder="0" applyAlignment="0" applyProtection="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23"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0" borderId="0"/>
    <xf numFmtId="0" fontId="13" fillId="0" borderId="0"/>
    <xf numFmtId="0" fontId="13" fillId="9"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7" borderId="0" applyNumberFormat="0" applyBorder="0" applyAlignment="0" applyProtection="0"/>
    <xf numFmtId="9" fontId="13" fillId="0" borderId="0" applyFont="0" applyFill="0" applyBorder="0" applyAlignment="0" applyProtection="0"/>
    <xf numFmtId="0" fontId="13" fillId="2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0" borderId="0"/>
    <xf numFmtId="0" fontId="13" fillId="0" borderId="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9"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56"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0"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4"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68"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2"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76"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57"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1"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5"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69"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3"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77"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0" borderId="0"/>
    <xf numFmtId="165" fontId="13" fillId="0" borderId="0" applyFont="0" applyFill="0" applyBorder="0" applyAlignment="0" applyProtection="0"/>
    <xf numFmtId="0" fontId="13" fillId="0" borderId="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9"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5"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6" borderId="0" applyNumberFormat="0" applyBorder="0" applyAlignment="0" applyProtection="0"/>
    <xf numFmtId="0" fontId="13" fillId="60"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8"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54" borderId="108" applyNumberFormat="0" applyFont="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5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68"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0" borderId="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9" borderId="0" applyNumberFormat="0" applyBorder="0" applyAlignment="0" applyProtection="0"/>
    <xf numFmtId="0" fontId="13" fillId="0" borderId="0"/>
    <xf numFmtId="0" fontId="13" fillId="0" borderId="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8" borderId="0" applyNumberFormat="0" applyBorder="0" applyAlignment="0" applyProtection="0"/>
    <xf numFmtId="0" fontId="13" fillId="54" borderId="108" applyNumberFormat="0" applyFont="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64"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3" borderId="0" applyNumberFormat="0" applyBorder="0" applyAlignment="0" applyProtection="0"/>
    <xf numFmtId="0" fontId="13" fillId="7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0" borderId="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0" borderId="0"/>
    <xf numFmtId="0" fontId="13" fillId="26" borderId="0" applyNumberFormat="0" applyBorder="0" applyAlignment="0" applyProtection="0"/>
    <xf numFmtId="0" fontId="13" fillId="3"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9" fontId="13" fillId="0" borderId="0" applyFont="0" applyFill="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3"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23"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7" borderId="0" applyNumberFormat="0" applyBorder="0" applyAlignment="0" applyProtection="0"/>
    <xf numFmtId="0" fontId="13" fillId="7"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0" fontId="13" fillId="54" borderId="108" applyNumberFormat="0" applyFont="0" applyAlignment="0" applyProtection="0"/>
    <xf numFmtId="165"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9" fontId="13" fillId="0" borderId="0" applyFont="0" applyFill="0" applyBorder="0" applyAlignment="0" applyProtection="0"/>
    <xf numFmtId="165"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60" borderId="0" applyNumberFormat="0" applyBorder="0" applyAlignment="0" applyProtection="0"/>
    <xf numFmtId="0" fontId="13" fillId="61" borderId="0" applyNumberFormat="0" applyBorder="0" applyAlignment="0" applyProtection="0"/>
    <xf numFmtId="0" fontId="13" fillId="64" borderId="0" applyNumberFormat="0" applyBorder="0" applyAlignment="0" applyProtection="0"/>
    <xf numFmtId="0" fontId="13" fillId="65" borderId="0" applyNumberFormat="0" applyBorder="0" applyAlignment="0" applyProtection="0"/>
    <xf numFmtId="0" fontId="13" fillId="68" borderId="0" applyNumberFormat="0" applyBorder="0" applyAlignment="0" applyProtection="0"/>
    <xf numFmtId="0" fontId="13" fillId="69" borderId="0" applyNumberFormat="0" applyBorder="0" applyAlignment="0" applyProtection="0"/>
    <xf numFmtId="0" fontId="13" fillId="72" borderId="0" applyNumberFormat="0" applyBorder="0" applyAlignment="0" applyProtection="0"/>
    <xf numFmtId="0" fontId="13" fillId="73" borderId="0" applyNumberFormat="0" applyBorder="0" applyAlignment="0" applyProtection="0"/>
    <xf numFmtId="0" fontId="13" fillId="76" borderId="0" applyNumberFormat="0" applyBorder="0" applyAlignment="0" applyProtection="0"/>
    <xf numFmtId="0" fontId="13" fillId="77" borderId="0" applyNumberFormat="0" applyBorder="0" applyAlignment="0" applyProtection="0"/>
    <xf numFmtId="0" fontId="13" fillId="0" borderId="0"/>
    <xf numFmtId="0" fontId="13" fillId="54" borderId="108" applyNumberFormat="0" applyFon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39" fillId="0" borderId="134" applyNumberFormat="0" applyFill="0" applyAlignment="0" applyProtection="0"/>
    <xf numFmtId="0" fontId="13" fillId="0" borderId="0"/>
    <xf numFmtId="0" fontId="13" fillId="0" borderId="0"/>
    <xf numFmtId="0" fontId="13" fillId="0" borderId="0"/>
    <xf numFmtId="0" fontId="49" fillId="26" borderId="132" applyNumberFormat="0" applyFont="0" applyAlignment="0" applyProtection="0"/>
    <xf numFmtId="0" fontId="49" fillId="26" borderId="132" applyNumberFormat="0" applyFont="0" applyAlignment="0" applyProtection="0"/>
    <xf numFmtId="9" fontId="1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165" fontId="13" fillId="0" borderId="0" applyFont="0" applyFill="0" applyBorder="0" applyAlignment="0" applyProtection="0"/>
    <xf numFmtId="0" fontId="13" fillId="0" borderId="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21" fillId="26" borderId="132" applyNumberFormat="0" applyFont="0" applyAlignment="0" applyProtection="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61" borderId="0" applyNumberFormat="0" applyBorder="0" applyAlignment="0" applyProtection="0"/>
    <xf numFmtId="0" fontId="12" fillId="72" borderId="0" applyNumberFormat="0" applyBorder="0" applyAlignment="0" applyProtection="0"/>
    <xf numFmtId="43" fontId="21"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0" fontId="12" fillId="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3"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6"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26" borderId="0" applyNumberFormat="0" applyBorder="0" applyAlignment="0" applyProtection="0"/>
    <xf numFmtId="0" fontId="12" fillId="9" borderId="0" applyNumberFormat="0" applyBorder="0" applyAlignment="0" applyProtection="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23"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0" borderId="0"/>
    <xf numFmtId="0" fontId="12" fillId="0" borderId="0"/>
    <xf numFmtId="0" fontId="12" fillId="9"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9" fontId="12" fillId="0" borderId="0" applyFont="0" applyFill="0" applyBorder="0" applyAlignment="0" applyProtection="0"/>
    <xf numFmtId="0" fontId="12" fillId="2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9"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9"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6" borderId="0" applyNumberFormat="0" applyBorder="0" applyAlignment="0" applyProtection="0"/>
    <xf numFmtId="0" fontId="12" fillId="60"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6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0" borderId="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9" borderId="0" applyNumberFormat="0" applyBorder="0" applyAlignment="0" applyProtection="0"/>
    <xf numFmtId="0" fontId="12" fillId="0" borderId="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4"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9" fontId="12" fillId="0" borderId="0" applyFont="0" applyFill="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5"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61" borderId="0" applyNumberFormat="0" applyBorder="0" applyAlignment="0" applyProtection="0"/>
    <xf numFmtId="0" fontId="12" fillId="72" borderId="0" applyNumberFormat="0" applyBorder="0" applyAlignment="0" applyProtection="0"/>
    <xf numFmtId="43" fontId="21"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0" fontId="12" fillId="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3"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6"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26" borderId="0" applyNumberFormat="0" applyBorder="0" applyAlignment="0" applyProtection="0"/>
    <xf numFmtId="0" fontId="12" fillId="9" borderId="0" applyNumberFormat="0" applyBorder="0" applyAlignment="0" applyProtection="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23"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0" borderId="0"/>
    <xf numFmtId="0" fontId="12" fillId="0" borderId="0"/>
    <xf numFmtId="0" fontId="12" fillId="9"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9" fontId="12" fillId="0" borderId="0" applyFont="0" applyFill="0" applyBorder="0" applyAlignment="0" applyProtection="0"/>
    <xf numFmtId="0" fontId="12" fillId="2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0" borderId="0"/>
    <xf numFmtId="0" fontId="12" fillId="0" borderId="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9"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4"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68"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2"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76"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5"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69"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3"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77"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0" borderId="0"/>
    <xf numFmtId="165" fontId="12" fillId="0" borderId="0" applyFont="0" applyFill="0" applyBorder="0" applyAlignment="0" applyProtection="0"/>
    <xf numFmtId="0" fontId="12" fillId="0" borderId="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9"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5"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6" borderId="0" applyNumberFormat="0" applyBorder="0" applyAlignment="0" applyProtection="0"/>
    <xf numFmtId="0" fontId="12" fillId="60"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54" borderId="108" applyNumberFormat="0" applyFont="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5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68"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0" borderId="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9" borderId="0" applyNumberFormat="0" applyBorder="0" applyAlignment="0" applyProtection="0"/>
    <xf numFmtId="0" fontId="12" fillId="0" borderId="0"/>
    <xf numFmtId="0" fontId="12" fillId="0" borderId="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8" borderId="0" applyNumberFormat="0" applyBorder="0" applyAlignment="0" applyProtection="0"/>
    <xf numFmtId="0" fontId="12" fillId="54" borderId="108" applyNumberFormat="0" applyFont="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64"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3" borderId="0" applyNumberFormat="0" applyBorder="0" applyAlignment="0" applyProtection="0"/>
    <xf numFmtId="0" fontId="12" fillId="7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0" borderId="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0" borderId="0"/>
    <xf numFmtId="0" fontId="12" fillId="26" borderId="0" applyNumberFormat="0" applyBorder="0" applyAlignment="0" applyProtection="0"/>
    <xf numFmtId="0" fontId="12" fillId="3"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9" fontId="12" fillId="0" borderId="0" applyFont="0" applyFill="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3"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23"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0" fontId="12" fillId="54" borderId="108" applyNumberFormat="0" applyFont="0" applyAlignment="0" applyProtection="0"/>
    <xf numFmtId="165" fontId="12" fillId="0" borderId="0" applyFont="0" applyFill="0" applyBorder="0" applyAlignment="0" applyProtection="0"/>
    <xf numFmtId="0" fontId="12" fillId="0" borderId="0"/>
    <xf numFmtId="9" fontId="12" fillId="0" borderId="0" applyFont="0" applyFill="0" applyBorder="0" applyAlignment="0" applyProtection="0"/>
    <xf numFmtId="0" fontId="12" fillId="0" borderId="0"/>
    <xf numFmtId="0" fontId="12" fillId="0" borderId="0"/>
    <xf numFmtId="9" fontId="12" fillId="0" borderId="0" applyFont="0" applyFill="0" applyBorder="0" applyAlignment="0" applyProtection="0"/>
    <xf numFmtId="165"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56" borderId="0" applyNumberFormat="0" applyBorder="0" applyAlignment="0" applyProtection="0"/>
    <xf numFmtId="0" fontId="12" fillId="57" borderId="0" applyNumberFormat="0" applyBorder="0" applyAlignment="0" applyProtection="0"/>
    <xf numFmtId="0" fontId="12" fillId="60" borderId="0" applyNumberFormat="0" applyBorder="0" applyAlignment="0" applyProtection="0"/>
    <xf numFmtId="0" fontId="12" fillId="61" borderId="0" applyNumberFormat="0" applyBorder="0" applyAlignment="0" applyProtection="0"/>
    <xf numFmtId="0" fontId="12" fillId="64" borderId="0" applyNumberFormat="0" applyBorder="0" applyAlignment="0" applyProtection="0"/>
    <xf numFmtId="0" fontId="12" fillId="65" borderId="0" applyNumberFormat="0" applyBorder="0" applyAlignment="0" applyProtection="0"/>
    <xf numFmtId="0" fontId="12" fillId="68" borderId="0" applyNumberFormat="0" applyBorder="0" applyAlignment="0" applyProtection="0"/>
    <xf numFmtId="0" fontId="12" fillId="69" borderId="0" applyNumberFormat="0" applyBorder="0" applyAlignment="0" applyProtection="0"/>
    <xf numFmtId="0" fontId="12" fillId="72" borderId="0" applyNumberFormat="0" applyBorder="0" applyAlignment="0" applyProtection="0"/>
    <xf numFmtId="0" fontId="12" fillId="73" borderId="0" applyNumberFormat="0" applyBorder="0" applyAlignment="0" applyProtection="0"/>
    <xf numFmtId="0" fontId="12" fillId="76" borderId="0" applyNumberFormat="0" applyBorder="0" applyAlignment="0" applyProtection="0"/>
    <xf numFmtId="0" fontId="12" fillId="77" borderId="0" applyNumberFormat="0" applyBorder="0" applyAlignment="0" applyProtection="0"/>
    <xf numFmtId="0" fontId="12" fillId="0" borderId="0"/>
    <xf numFmtId="0" fontId="12" fillId="54" borderId="108" applyNumberFormat="0" applyFon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2"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165" fontId="12"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 fillId="0" borderId="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10"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0" fontId="10" fillId="56" borderId="0" applyNumberFormat="0" applyBorder="0" applyAlignment="0" applyProtection="0"/>
    <xf numFmtId="0" fontId="10" fillId="57" borderId="0" applyNumberFormat="0" applyBorder="0" applyAlignment="0" applyProtection="0"/>
    <xf numFmtId="0" fontId="10" fillId="60" borderId="0" applyNumberFormat="0" applyBorder="0" applyAlignment="0" applyProtection="0"/>
    <xf numFmtId="0" fontId="10" fillId="61" borderId="0" applyNumberFormat="0" applyBorder="0" applyAlignment="0" applyProtection="0"/>
    <xf numFmtId="0" fontId="10" fillId="64" borderId="0" applyNumberFormat="0" applyBorder="0" applyAlignment="0" applyProtection="0"/>
    <xf numFmtId="0" fontId="10" fillId="65" borderId="0" applyNumberFormat="0" applyBorder="0" applyAlignment="0" applyProtection="0"/>
    <xf numFmtId="0" fontId="10" fillId="68" borderId="0" applyNumberFormat="0" applyBorder="0" applyAlignment="0" applyProtection="0"/>
    <xf numFmtId="0" fontId="10" fillId="69" borderId="0" applyNumberFormat="0" applyBorder="0" applyAlignment="0" applyProtection="0"/>
    <xf numFmtId="0" fontId="10" fillId="72" borderId="0" applyNumberFormat="0" applyBorder="0" applyAlignment="0" applyProtection="0"/>
    <xf numFmtId="0" fontId="10" fillId="73" borderId="0" applyNumberFormat="0" applyBorder="0" applyAlignment="0" applyProtection="0"/>
    <xf numFmtId="0" fontId="10" fillId="76" borderId="0" applyNumberFormat="0" applyBorder="0" applyAlignment="0" applyProtection="0"/>
    <xf numFmtId="0" fontId="10" fillId="77" borderId="0" applyNumberFormat="0" applyBorder="0" applyAlignment="0" applyProtection="0"/>
    <xf numFmtId="0" fontId="10" fillId="0" borderId="0"/>
    <xf numFmtId="0" fontId="10" fillId="54" borderId="108" applyNumberFormat="0" applyFont="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165"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9"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56" borderId="0" applyNumberFormat="0" applyBorder="0" applyAlignment="0" applyProtection="0"/>
    <xf numFmtId="0" fontId="9" fillId="57"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9" fillId="0" borderId="0"/>
    <xf numFmtId="0" fontId="9" fillId="54" borderId="108"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8" fillId="0" borderId="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8"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4" fontId="52" fillId="0" borderId="141" applyFill="0" applyBorder="0" applyProtection="0">
      <alignment horizontal="right" vertical="center"/>
    </xf>
    <xf numFmtId="0" fontId="52" fillId="0" borderId="141" applyNumberFormat="0" applyFill="0" applyAlignment="0" applyProtection="0"/>
    <xf numFmtId="179" fontId="52" fillId="27" borderId="141" applyNumberFormat="0" applyFont="0" applyBorder="0" applyAlignment="0" applyProtection="0">
      <alignment horizontal="right" vertical="center"/>
    </xf>
    <xf numFmtId="9" fontId="8" fillId="0" borderId="0" applyFont="0" applyFill="0" applyBorder="0" applyAlignment="0" applyProtection="0"/>
    <xf numFmtId="0" fontId="8" fillId="56" borderId="0" applyNumberFormat="0" applyBorder="0" applyAlignment="0" applyProtection="0"/>
    <xf numFmtId="0" fontId="8" fillId="57"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0" borderId="0"/>
    <xf numFmtId="0" fontId="8" fillId="54" borderId="108" applyNumberFormat="0" applyFont="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56" borderId="0" applyNumberFormat="0" applyBorder="0" applyAlignment="0" applyProtection="0"/>
    <xf numFmtId="0" fontId="7" fillId="57" borderId="0" applyNumberFormat="0" applyBorder="0" applyAlignment="0" applyProtection="0"/>
    <xf numFmtId="0" fontId="7" fillId="60" borderId="0" applyNumberFormat="0" applyBorder="0" applyAlignment="0" applyProtection="0"/>
    <xf numFmtId="0" fontId="7" fillId="61"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7" fillId="0" borderId="0"/>
    <xf numFmtId="0" fontId="7" fillId="54" borderId="108"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183" fillId="0" borderId="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42" fillId="0" borderId="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123" fillId="0" borderId="0" applyNumberFormat="0" applyFill="0" applyBorder="0" applyAlignment="0" applyProtection="0">
      <alignment vertical="top"/>
      <protection locked="0"/>
    </xf>
    <xf numFmtId="0" fontId="176" fillId="39" borderId="0" applyNumberFormat="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5" fillId="0" borderId="0" applyFont="0" applyFill="0" applyBorder="0" applyAlignment="0" applyProtection="0"/>
    <xf numFmtId="43" fontId="49" fillId="0" borderId="0" applyFont="0" applyFill="0" applyBorder="0" applyAlignment="0" applyProtection="0"/>
    <xf numFmtId="9" fontId="5" fillId="0" borderId="0" applyFont="0" applyFill="0" applyBorder="0" applyAlignment="0" applyProtection="0"/>
    <xf numFmtId="169" fontId="21" fillId="0" borderId="0" applyFont="0" applyFill="0" applyBorder="0" applyAlignment="0" applyProtection="0"/>
    <xf numFmtId="43" fontId="4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169" fontId="21" fillId="0" borderId="0" applyFont="0" applyFill="0" applyBorder="0" applyAlignment="0" applyProtection="0"/>
    <xf numFmtId="43" fontId="49"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0" fontId="5" fillId="56" borderId="0" applyNumberFormat="0" applyBorder="0" applyAlignment="0" applyProtection="0"/>
    <xf numFmtId="0" fontId="5" fillId="57" borderId="0" applyNumberFormat="0" applyBorder="0" applyAlignment="0" applyProtection="0"/>
    <xf numFmtId="9" fontId="21" fillId="0" borderId="0" applyFont="0" applyFill="0" applyBorder="0" applyAlignment="0" applyProtection="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9" fontId="21" fillId="0" borderId="0" applyFont="0" applyFill="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0" borderId="0"/>
    <xf numFmtId="0" fontId="5" fillId="54" borderId="10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43" fontId="21" fillId="0" borderId="0" applyFont="0" applyFill="0" applyBorder="0" applyAlignment="0" applyProtection="0"/>
    <xf numFmtId="9" fontId="42"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187" fontId="21" fillId="0" borderId="0"/>
    <xf numFmtId="187" fontId="21" fillId="0" borderId="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49" fillId="0" borderId="0" applyFont="0" applyFill="0" applyBorder="0" applyAlignment="0" applyProtection="0"/>
    <xf numFmtId="9" fontId="5" fillId="0" borderId="0" applyFont="0" applyFill="0" applyBorder="0" applyAlignment="0" applyProtection="0"/>
    <xf numFmtId="166" fontId="21" fillId="0" borderId="0" applyFont="0" applyFill="0" applyBorder="0" applyAlignment="0" applyProtection="0"/>
    <xf numFmtId="43" fontId="49" fillId="0" borderId="0" applyFont="0" applyFill="0" applyBorder="0" applyAlignment="0" applyProtection="0"/>
    <xf numFmtId="9" fontId="21" fillId="0" borderId="0" applyFont="0" applyFill="0" applyBorder="0" applyAlignment="0" applyProtection="0"/>
    <xf numFmtId="169" fontId="21" fillId="0" borderId="0" applyFont="0" applyFill="0" applyBorder="0" applyAlignment="0" applyProtection="0"/>
    <xf numFmtId="187" fontId="21" fillId="0" borderId="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9" fontId="21" fillId="0" borderId="0" applyFont="0" applyFill="0" applyBorder="0" applyAlignment="0" applyProtection="0"/>
    <xf numFmtId="166"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66" fontId="21" fillId="0" borderId="0" applyFont="0" applyFill="0" applyBorder="0" applyAlignment="0" applyProtection="0"/>
    <xf numFmtId="170" fontId="21" fillId="0" borderId="0" applyFont="0" applyFill="0" applyBorder="0" applyAlignment="0" applyProtection="0"/>
    <xf numFmtId="197" fontId="175" fillId="91" borderId="0" applyNumberFormat="0" applyBorder="0" applyAlignment="0" applyProtection="0">
      <alignment horizontal="center" vertical="top" wrapText="1"/>
    </xf>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197" fontId="21" fillId="0" borderId="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16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 fillId="0" borderId="0" applyFont="0" applyFill="0" applyBorder="0" applyAlignment="0" applyProtection="0"/>
    <xf numFmtId="43" fontId="2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56" borderId="0" applyNumberFormat="0" applyBorder="0" applyAlignment="0" applyProtection="0"/>
    <xf numFmtId="0" fontId="4" fillId="57" borderId="0" applyNumberFormat="0" applyBorder="0" applyAlignment="0" applyProtection="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0" borderId="0"/>
    <xf numFmtId="0" fontId="4" fillId="54" borderId="108"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125" fillId="0" borderId="0" applyNumberFormat="0" applyFill="0" applyBorder="0" applyAlignment="0" applyProtection="0"/>
    <xf numFmtId="0" fontId="186" fillId="0" borderId="0" applyNumberFormat="0" applyFill="0" applyBorder="0" applyAlignment="0" applyProtection="0"/>
    <xf numFmtId="0" fontId="29" fillId="7" borderId="163" applyNumberFormat="0" applyAlignment="0" applyProtection="0"/>
    <xf numFmtId="0" fontId="3" fillId="0" borderId="0"/>
    <xf numFmtId="0" fontId="21" fillId="0" borderId="0"/>
    <xf numFmtId="9" fontId="3" fillId="0" borderId="0" applyFont="0" applyFill="0" applyBorder="0" applyAlignment="0" applyProtection="0"/>
    <xf numFmtId="0" fontId="26" fillId="21" borderId="163" applyNumberFormat="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0" fontId="29" fillId="7" borderId="163" applyNumberFormat="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4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26" borderId="180" applyNumberFormat="0" applyFont="0" applyAlignment="0" applyProtection="0"/>
    <xf numFmtId="0" fontId="21" fillId="26" borderId="180" applyNumberFormat="0" applyFont="0" applyAlignment="0" applyProtection="0"/>
    <xf numFmtId="0" fontId="49" fillId="26" borderId="180" applyNumberFormat="0" applyFont="0" applyAlignment="0" applyProtection="0"/>
    <xf numFmtId="0" fontId="49" fillId="26" borderId="180" applyNumberFormat="0" applyFont="0" applyAlignment="0" applyProtection="0"/>
    <xf numFmtId="0" fontId="32" fillId="21" borderId="181" applyNumberFormat="0" applyAlignment="0" applyProtection="0"/>
    <xf numFmtId="0" fontId="32" fillId="21" borderId="181" applyNumberFormat="0" applyAlignment="0" applyProtection="0"/>
    <xf numFmtId="9" fontId="2" fillId="0" borderId="0" applyFont="0" applyFill="0" applyBorder="0" applyAlignment="0" applyProtection="0"/>
    <xf numFmtId="0" fontId="39" fillId="0" borderId="182"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8" borderId="0" applyNumberFormat="0" applyBorder="0" applyAlignment="0" applyProtection="0"/>
    <xf numFmtId="0" fontId="2" fillId="69" borderId="0" applyNumberFormat="0" applyBorder="0" applyAlignment="0" applyProtection="0"/>
    <xf numFmtId="0" fontId="2" fillId="72" borderId="0" applyNumberFormat="0" applyBorder="0" applyAlignment="0" applyProtection="0"/>
    <xf numFmtId="0" fontId="2" fillId="73" borderId="0" applyNumberFormat="0" applyBorder="0" applyAlignment="0" applyProtection="0"/>
    <xf numFmtId="0" fontId="2" fillId="76" borderId="0" applyNumberFormat="0" applyBorder="0" applyAlignment="0" applyProtection="0"/>
    <xf numFmtId="0" fontId="2" fillId="77" borderId="0" applyNumberFormat="0" applyBorder="0" applyAlignment="0" applyProtection="0"/>
    <xf numFmtId="0" fontId="2" fillId="0" borderId="0"/>
    <xf numFmtId="0" fontId="2" fillId="54" borderId="108"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17" fillId="21" borderId="163" applyNumberFormat="0" applyFill="0" applyBorder="0" applyAlignment="0" applyProtection="0"/>
    <xf numFmtId="165"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26" borderId="180" applyNumberFormat="0" applyFont="0" applyAlignment="0" applyProtection="0"/>
    <xf numFmtId="9" fontId="2" fillId="0" borderId="0" applyFont="0" applyFill="0" applyBorder="0" applyAlignment="0" applyProtection="0"/>
    <xf numFmtId="0" fontId="208" fillId="0" borderId="0" applyNumberForma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 fillId="0" borderId="0"/>
    <xf numFmtId="0" fontId="1" fillId="0" borderId="0"/>
    <xf numFmtId="0" fontId="1" fillId="0" borderId="0"/>
    <xf numFmtId="0" fontId="1" fillId="0" borderId="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0" fontId="49" fillId="26" borderId="180" applyNumberFormat="0" applyFont="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 fillId="0" borderId="0"/>
    <xf numFmtId="0" fontId="1" fillId="0" borderId="0"/>
    <xf numFmtId="0" fontId="1" fillId="0" borderId="0"/>
    <xf numFmtId="0" fontId="1" fillId="0" borderId="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0" fontId="21" fillId="26" borderId="180" applyNumberFormat="0" applyFont="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97" fontId="43" fillId="44" borderId="0" applyNumberFormat="0" applyBorder="0" applyAlignment="0"/>
    <xf numFmtId="197" fontId="21" fillId="0" borderId="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xf numFmtId="187" fontId="21" fillId="0" borderId="0"/>
    <xf numFmtId="187" fontId="21" fillId="0" borderId="0"/>
    <xf numFmtId="187" fontId="21" fillId="0" borderId="0"/>
    <xf numFmtId="187" fontId="80" fillId="0" borderId="0"/>
    <xf numFmtId="9" fontId="2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21" fillId="0" borderId="0" applyFont="0" applyFill="0" applyBorder="0" applyAlignment="0" applyProtection="0"/>
    <xf numFmtId="0" fontId="21" fillId="0" borderId="0"/>
    <xf numFmtId="0" fontId="24" fillId="2"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5" borderId="0" applyNumberFormat="0" applyBorder="0" applyAlignment="0" applyProtection="0"/>
    <xf numFmtId="0" fontId="24" fillId="8" borderId="0" applyNumberFormat="0" applyBorder="0" applyAlignment="0" applyProtection="0"/>
    <xf numFmtId="0" fontId="24" fillId="11" borderId="0" applyNumberFormat="0" applyBorder="0" applyAlignment="0" applyProtection="0"/>
    <xf numFmtId="0" fontId="25" fillId="12"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25" fillId="19" borderId="0" applyNumberFormat="0" applyBorder="0" applyAlignment="0" applyProtection="0"/>
    <xf numFmtId="0" fontId="40" fillId="3" borderId="0" applyNumberFormat="0" applyBorder="0" applyAlignment="0" applyProtection="0"/>
    <xf numFmtId="0" fontId="210" fillId="0" borderId="0"/>
    <xf numFmtId="0" fontId="211" fillId="0" borderId="0">
      <alignment horizontal="right"/>
    </xf>
    <xf numFmtId="0" fontId="212" fillId="0" borderId="0"/>
    <xf numFmtId="0" fontId="209" fillId="0" borderId="0"/>
    <xf numFmtId="0" fontId="213" fillId="0" borderId="0"/>
    <xf numFmtId="0" fontId="214" fillId="0" borderId="183" applyNumberFormat="0" applyAlignment="0"/>
    <xf numFmtId="0" fontId="135" fillId="0" borderId="0" applyAlignment="0">
      <alignment horizontal="left"/>
    </xf>
    <xf numFmtId="0" fontId="135" fillId="0" borderId="0">
      <alignment horizontal="right"/>
    </xf>
    <xf numFmtId="203" fontId="135" fillId="0" borderId="0">
      <alignment horizontal="right"/>
    </xf>
    <xf numFmtId="167" fontId="215" fillId="0" borderId="0">
      <alignment horizontal="right"/>
    </xf>
    <xf numFmtId="0" fontId="216" fillId="0" borderId="0"/>
    <xf numFmtId="0" fontId="26" fillId="21" borderId="163" applyNumberFormat="0" applyAlignment="0" applyProtection="0"/>
    <xf numFmtId="0" fontId="28" fillId="22" borderId="6" applyNumberFormat="0" applyAlignment="0" applyProtection="0"/>
    <xf numFmtId="165" fontId="21"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43" fontId="24"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0" fontId="34" fillId="0" borderId="0" applyNumberFormat="0" applyFill="0" applyBorder="0" applyAlignment="0" applyProtection="0"/>
    <xf numFmtId="0" fontId="41" fillId="4" borderId="0" applyNumberFormat="0" applyBorder="0" applyAlignment="0" applyProtection="0"/>
    <xf numFmtId="0" fontId="36" fillId="0" borderId="8" applyNumberFormat="0" applyFill="0" applyAlignment="0" applyProtection="0"/>
    <xf numFmtId="0" fontId="37" fillId="0" borderId="9" applyNumberFormat="0" applyFill="0" applyAlignment="0" applyProtection="0"/>
    <xf numFmtId="0" fontId="38" fillId="0" borderId="10" applyNumberFormat="0" applyFill="0" applyAlignment="0" applyProtection="0"/>
    <xf numFmtId="0" fontId="38" fillId="0" borderId="0" applyNumberFormat="0" applyFill="0" applyBorder="0" applyAlignment="0" applyProtection="0"/>
    <xf numFmtId="0" fontId="172" fillId="0" borderId="0" applyNumberFormat="0" applyFill="0" applyBorder="0" applyAlignment="0" applyProtection="0">
      <alignment vertical="top"/>
      <protection locked="0"/>
    </xf>
    <xf numFmtId="0" fontId="123" fillId="0" borderId="0" applyNumberFormat="0" applyFill="0" applyBorder="0" applyAlignment="0" applyProtection="0">
      <alignment vertical="top"/>
      <protection locked="0"/>
    </xf>
    <xf numFmtId="0" fontId="27" fillId="0" borderId="5" applyNumberFormat="0" applyFill="0" applyAlignment="0" applyProtection="0"/>
    <xf numFmtId="0" fontId="31" fillId="23" borderId="0" applyNumberFormat="0" applyBorder="0" applyAlignment="0" applyProtection="0"/>
    <xf numFmtId="0" fontId="1" fillId="0" borderId="0"/>
    <xf numFmtId="0" fontId="42" fillId="0" borderId="0" applyFill="0" applyBorder="0"/>
    <xf numFmtId="0" fontId="21" fillId="0" borderId="0"/>
    <xf numFmtId="0" fontId="21" fillId="26" borderId="180" applyNumberFormat="0" applyFont="0" applyAlignment="0" applyProtection="0"/>
    <xf numFmtId="203" fontId="180" fillId="0" borderId="0" applyFont="0" applyFill="0" applyBorder="0" applyAlignment="0" applyProtection="0"/>
    <xf numFmtId="9" fontId="1" fillId="0" borderId="0" applyFont="0" applyFill="0" applyBorder="0" applyAlignment="0" applyProtection="0"/>
    <xf numFmtId="0" fontId="217" fillId="0" borderId="0" applyNumberFormat="0" applyFill="0" applyBorder="0" applyAlignment="0" applyProtection="0"/>
    <xf numFmtId="0" fontId="35" fillId="0" borderId="0" applyNumberFormat="0" applyFill="0" applyBorder="0" applyAlignment="0" applyProtection="0"/>
    <xf numFmtId="0" fontId="39" fillId="0" borderId="182" applyNumberFormat="0" applyFill="0" applyAlignment="0" applyProtection="0"/>
    <xf numFmtId="0" fontId="33" fillId="0" borderId="0" applyNumberForma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55" fillId="0" borderId="0"/>
    <xf numFmtId="165" fontId="1" fillId="0" borderId="0" applyFont="0" applyFill="0" applyBorder="0" applyAlignment="0" applyProtection="0"/>
    <xf numFmtId="197" fontId="43" fillId="44" borderId="0" applyNumberFormat="0" applyBorder="0" applyAlignment="0"/>
    <xf numFmtId="0" fontId="172" fillId="0" borderId="0" applyNumberFormat="0" applyFill="0" applyBorder="0" applyAlignment="0" applyProtection="0">
      <alignment vertical="top"/>
      <protection locked="0"/>
    </xf>
    <xf numFmtId="165" fontId="21" fillId="0" borderId="0" applyFont="0" applyFill="0" applyBorder="0" applyAlignment="0" applyProtection="0"/>
    <xf numFmtId="187" fontId="80" fillId="0" borderId="0"/>
    <xf numFmtId="197" fontId="21" fillId="0" borderId="0"/>
    <xf numFmtId="165" fontId="21" fillId="0" borderId="0" applyFont="0" applyFill="0" applyBorder="0" applyAlignment="0" applyProtection="0"/>
    <xf numFmtId="9" fontId="21" fillId="0" borderId="0" applyFont="0" applyFill="0" applyBorder="0" applyAlignment="0" applyProtection="0"/>
    <xf numFmtId="0" fontId="174" fillId="0" borderId="0" applyNumberFormat="0" applyFill="0" applyBorder="0" applyAlignment="0" applyProtection="0"/>
    <xf numFmtId="0" fontId="2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42" fillId="0" borderId="0" applyFill="0" applyBorder="0"/>
    <xf numFmtId="0" fontId="21" fillId="0" borderId="0"/>
    <xf numFmtId="0" fontId="26" fillId="21" borderId="163" applyNumberFormat="0" applyAlignment="0" applyProtection="0"/>
    <xf numFmtId="0" fontId="29" fillId="7" borderId="163" applyNumberFormat="0" applyAlignment="0" applyProtection="0"/>
    <xf numFmtId="0" fontId="21" fillId="26" borderId="180" applyNumberFormat="0" applyFont="0" applyAlignment="0" applyProtection="0"/>
    <xf numFmtId="0" fontId="32" fillId="21" borderId="181" applyNumberFormat="0" applyAlignment="0" applyProtection="0"/>
    <xf numFmtId="0" fontId="39" fillId="0" borderId="182" applyNumberFormat="0" applyFill="0" applyAlignment="0" applyProtection="0"/>
    <xf numFmtId="0" fontId="107" fillId="0" borderId="102" applyNumberFormat="0" applyFill="0" applyAlignment="0" applyProtection="0"/>
    <xf numFmtId="0" fontId="108" fillId="0" borderId="103" applyNumberFormat="0" applyFill="0" applyAlignment="0" applyProtection="0"/>
    <xf numFmtId="0" fontId="109" fillId="0" borderId="104" applyNumberFormat="0" applyFill="0" applyAlignment="0" applyProtection="0"/>
    <xf numFmtId="0" fontId="109" fillId="0" borderId="0" applyNumberFormat="0" applyFill="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21" fillId="54" borderId="108" applyNumberFormat="0" applyFont="0" applyAlignment="0" applyProtection="0"/>
    <xf numFmtId="0" fontId="1" fillId="54" borderId="108" applyNumberFormat="0" applyFont="0" applyAlignment="0" applyProtection="0"/>
    <xf numFmtId="0" fontId="21" fillId="54" borderId="108" applyNumberFormat="0" applyFont="0" applyAlignment="0" applyProtection="0"/>
    <xf numFmtId="0" fontId="21" fillId="54" borderId="108" applyNumberFormat="0" applyFont="0" applyAlignment="0" applyProtection="0"/>
    <xf numFmtId="0" fontId="1" fillId="54" borderId="108" applyNumberFormat="0" applyFont="0" applyAlignment="0" applyProtection="0"/>
    <xf numFmtId="0" fontId="21" fillId="54" borderId="108" applyNumberFormat="0" applyFont="0" applyAlignment="0" applyProtection="0"/>
    <xf numFmtId="0" fontId="1" fillId="54" borderId="108" applyNumberFormat="0" applyFont="0" applyAlignment="0" applyProtection="0"/>
    <xf numFmtId="165"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25" fillId="0" borderId="0" applyNumberFormat="0" applyFill="0" applyBorder="0" applyAlignment="0" applyProtection="0"/>
    <xf numFmtId="0" fontId="174" fillId="0" borderId="0" applyNumberFormat="0" applyFill="0" applyBorder="0" applyAlignment="0" applyProtection="0"/>
    <xf numFmtId="0" fontId="125"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20" fillId="0" borderId="0"/>
    <xf numFmtId="0" fontId="125" fillId="0" borderId="0" applyNumberFormat="0" applyFill="0" applyBorder="0" applyAlignment="0" applyProtection="0">
      <alignment vertical="top"/>
      <protection locked="0"/>
    </xf>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 fillId="0" borderId="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5" fontId="55"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9" fontId="21" fillId="0" borderId="0" applyFont="0" applyFill="0" applyBorder="0" applyAlignment="0" applyProtection="0"/>
    <xf numFmtId="0" fontId="21" fillId="0" borderId="0"/>
    <xf numFmtId="165" fontId="49"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3" fontId="21" fillId="0" borderId="0" applyFont="0" applyFill="0" applyBorder="0" applyAlignment="0" applyProtection="0"/>
    <xf numFmtId="165"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55" fillId="0" borderId="0"/>
    <xf numFmtId="0" fontId="1" fillId="0" borderId="0"/>
    <xf numFmtId="0" fontId="1" fillId="0" borderId="0"/>
    <xf numFmtId="0" fontId="88" fillId="0" borderId="0"/>
    <xf numFmtId="0" fontId="1" fillId="0" borderId="0"/>
    <xf numFmtId="0" fontId="1" fillId="0" borderId="0"/>
    <xf numFmtId="9" fontId="49" fillId="0" borderId="0" applyFont="0" applyFill="0" applyBorder="0" applyAlignment="0" applyProtection="0"/>
    <xf numFmtId="9" fontId="49"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49"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1" fontId="30"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43" fontId="24"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80" fillId="0" borderId="0" applyFont="0" applyFill="0" applyBorder="0" applyAlignment="0" applyProtection="0"/>
    <xf numFmtId="165" fontId="1" fillId="0" borderId="0" applyFont="0" applyFill="0" applyBorder="0" applyAlignment="0" applyProtection="0"/>
    <xf numFmtId="0" fontId="1" fillId="0" borderId="0"/>
    <xf numFmtId="203" fontId="180"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56" borderId="0" applyNumberFormat="0" applyBorder="0" applyAlignment="0" applyProtection="0"/>
    <xf numFmtId="0" fontId="1" fillId="57"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0" fontId="1" fillId="54" borderId="108"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83" fontId="50" fillId="0" borderId="0"/>
    <xf numFmtId="0" fontId="21" fillId="0" borderId="0"/>
  </cellStyleXfs>
  <cellXfs count="1712">
    <xf numFmtId="0" fontId="0" fillId="0" borderId="0" xfId="0"/>
    <xf numFmtId="0" fontId="0" fillId="0" borderId="0" xfId="0" applyBorder="1"/>
    <xf numFmtId="0" fontId="23" fillId="0" borderId="0" xfId="0" applyFont="1"/>
    <xf numFmtId="0" fontId="0" fillId="0" borderId="0" xfId="0" applyFill="1" applyBorder="1"/>
    <xf numFmtId="0" fontId="0" fillId="0" borderId="0" xfId="0" applyAlignment="1">
      <alignment horizontal="center"/>
    </xf>
    <xf numFmtId="0" fontId="0" fillId="0" borderId="0" xfId="0" applyBorder="1" applyAlignment="1">
      <alignment horizontal="center"/>
    </xf>
    <xf numFmtId="2" fontId="23" fillId="0" borderId="0" xfId="0" applyNumberFormat="1" applyFont="1" applyAlignment="1">
      <alignment horizontal="left"/>
    </xf>
    <xf numFmtId="0" fontId="0" fillId="0" borderId="0" xfId="0" applyFill="1"/>
    <xf numFmtId="0" fontId="0" fillId="0" borderId="0" xfId="0" applyFont="1"/>
    <xf numFmtId="2" fontId="0" fillId="0" borderId="0" xfId="0" applyNumberFormat="1"/>
    <xf numFmtId="0" fontId="22" fillId="0" borderId="0" xfId="0" applyFont="1"/>
    <xf numFmtId="0" fontId="44" fillId="28" borderId="15" xfId="0" applyFont="1" applyFill="1" applyBorder="1" applyAlignment="1">
      <alignment horizontal="left" vertical="top" wrapText="1"/>
    </xf>
    <xf numFmtId="0" fontId="43" fillId="29" borderId="16" xfId="0" applyFont="1" applyFill="1" applyBorder="1" applyAlignment="1">
      <alignment horizontal="left" vertical="center" wrapText="1"/>
    </xf>
    <xf numFmtId="0" fontId="43" fillId="0" borderId="0" xfId="0" applyFont="1" applyFill="1"/>
    <xf numFmtId="0" fontId="0" fillId="30" borderId="0" xfId="0" applyFill="1"/>
    <xf numFmtId="0" fontId="43" fillId="29" borderId="17" xfId="0" applyFont="1" applyFill="1" applyBorder="1" applyAlignment="1">
      <alignment horizontal="left" vertical="center" wrapText="1"/>
    </xf>
    <xf numFmtId="0" fontId="43" fillId="29" borderId="16" xfId="0" applyFont="1" applyFill="1" applyBorder="1" applyAlignment="1">
      <alignment horizontal="center" vertical="center" wrapText="1"/>
    </xf>
    <xf numFmtId="0" fontId="44" fillId="36" borderId="15" xfId="0" applyFont="1" applyFill="1" applyBorder="1" applyAlignment="1">
      <alignment horizontal="left" vertical="center" wrapText="1"/>
    </xf>
    <xf numFmtId="0" fontId="44" fillId="36" borderId="15" xfId="0" applyFont="1" applyFill="1" applyBorder="1" applyAlignment="1">
      <alignment horizontal="right" vertical="center" wrapText="1"/>
    </xf>
    <xf numFmtId="0" fontId="44" fillId="36" borderId="18" xfId="0" applyFont="1" applyFill="1" applyBorder="1" applyAlignment="1">
      <alignment horizontal="right" vertical="center" wrapText="1"/>
    </xf>
    <xf numFmtId="0" fontId="44" fillId="36" borderId="15" xfId="0" applyFont="1" applyFill="1" applyBorder="1" applyAlignment="1">
      <alignment horizontal="center" vertical="center" wrapText="1"/>
    </xf>
    <xf numFmtId="0" fontId="0" fillId="0" borderId="19" xfId="0" applyBorder="1"/>
    <xf numFmtId="0" fontId="0" fillId="0" borderId="20" xfId="0" applyBorder="1"/>
    <xf numFmtId="0" fontId="0" fillId="0" borderId="20" xfId="0" applyFill="1" applyBorder="1"/>
    <xf numFmtId="0" fontId="43" fillId="36" borderId="16" xfId="0" applyFont="1" applyFill="1" applyBorder="1" applyAlignment="1">
      <alignment horizontal="left" vertical="center" wrapText="1"/>
    </xf>
    <xf numFmtId="0" fontId="43" fillId="38" borderId="16" xfId="0" applyFont="1" applyFill="1" applyBorder="1" applyAlignment="1">
      <alignment horizontal="left" vertical="center" wrapText="1"/>
    </xf>
    <xf numFmtId="0" fontId="0" fillId="0" borderId="16" xfId="0" applyBorder="1"/>
    <xf numFmtId="0" fontId="48" fillId="0" borderId="0" xfId="0" applyFont="1"/>
    <xf numFmtId="0" fontId="0" fillId="0" borderId="22" xfId="0" applyBorder="1"/>
    <xf numFmtId="171" fontId="0" fillId="0" borderId="0" xfId="0" applyNumberFormat="1"/>
    <xf numFmtId="0" fontId="91" fillId="0" borderId="0" xfId="0" applyFont="1"/>
    <xf numFmtId="0" fontId="92" fillId="0" borderId="0" xfId="0" applyFont="1"/>
    <xf numFmtId="174" fontId="23" fillId="0" borderId="0" xfId="0" applyNumberFormat="1" applyFont="1"/>
    <xf numFmtId="174" fontId="0" fillId="0" borderId="0" xfId="0" applyNumberFormat="1"/>
    <xf numFmtId="174" fontId="43" fillId="29" borderId="16" xfId="0" applyNumberFormat="1" applyFont="1" applyFill="1" applyBorder="1" applyAlignment="1">
      <alignment horizontal="left" vertical="center" wrapText="1"/>
    </xf>
    <xf numFmtId="174" fontId="44" fillId="28" borderId="15" xfId="0" quotePrefix="1" applyNumberFormat="1" applyFont="1" applyFill="1" applyBorder="1" applyAlignment="1">
      <alignment horizontal="left" vertical="top" wrapText="1"/>
    </xf>
    <xf numFmtId="174" fontId="22" fillId="0" borderId="0" xfId="0" applyNumberFormat="1" applyFont="1" applyFill="1" applyBorder="1" applyAlignment="1">
      <alignment horizontal="left"/>
    </xf>
    <xf numFmtId="174" fontId="22" fillId="0" borderId="0" xfId="0" applyNumberFormat="1" applyFont="1" applyFill="1" applyBorder="1"/>
    <xf numFmtId="174" fontId="0" fillId="0" borderId="0" xfId="0" applyNumberFormat="1" applyFill="1"/>
    <xf numFmtId="174" fontId="0" fillId="0" borderId="20" xfId="0" applyNumberFormat="1" applyBorder="1"/>
    <xf numFmtId="174" fontId="22" fillId="0" borderId="20" xfId="0" applyNumberFormat="1" applyFont="1" applyFill="1" applyBorder="1"/>
    <xf numFmtId="174" fontId="22" fillId="0" borderId="0" xfId="0" applyNumberFormat="1" applyFont="1"/>
    <xf numFmtId="174" fontId="0" fillId="0" borderId="0" xfId="0" applyNumberFormat="1" applyBorder="1"/>
    <xf numFmtId="174" fontId="0" fillId="0" borderId="0" xfId="0" applyNumberFormat="1" applyFill="1" applyBorder="1"/>
    <xf numFmtId="174" fontId="0" fillId="0" borderId="0" xfId="0" applyNumberFormat="1" applyFill="1" applyBorder="1" applyAlignment="1">
      <alignment wrapText="1"/>
    </xf>
    <xf numFmtId="174" fontId="22" fillId="0" borderId="0" xfId="35" applyNumberFormat="1" applyFont="1"/>
    <xf numFmtId="174" fontId="0" fillId="0" borderId="0" xfId="0" applyNumberFormat="1" applyAlignment="1">
      <alignment horizontal="left"/>
    </xf>
    <xf numFmtId="174" fontId="0" fillId="0" borderId="0" xfId="0" applyNumberFormat="1" applyBorder="1" applyAlignment="1">
      <alignment horizontal="left"/>
    </xf>
    <xf numFmtId="174" fontId="0" fillId="0" borderId="20" xfId="0" applyNumberFormat="1" applyBorder="1" applyAlignment="1">
      <alignment horizontal="left"/>
    </xf>
    <xf numFmtId="174" fontId="22" fillId="0" borderId="0" xfId="0" applyNumberFormat="1" applyFont="1" applyFill="1"/>
    <xf numFmtId="174" fontId="0" fillId="0" borderId="0" xfId="0" applyNumberFormat="1" applyFont="1" applyFill="1"/>
    <xf numFmtId="0" fontId="43" fillId="41" borderId="16" xfId="0" applyFont="1" applyFill="1" applyBorder="1" applyAlignment="1">
      <alignment horizontal="left" vertical="center" wrapText="1"/>
    </xf>
    <xf numFmtId="0" fontId="43" fillId="42" borderId="16" xfId="0" applyFont="1" applyFill="1" applyBorder="1" applyAlignment="1">
      <alignment horizontal="left" vertical="center" wrapText="1"/>
    </xf>
    <xf numFmtId="0" fontId="43" fillId="43" borderId="16" xfId="0" applyFont="1" applyFill="1" applyBorder="1" applyAlignment="1">
      <alignment horizontal="left" vertical="center" wrapText="1"/>
    </xf>
    <xf numFmtId="0" fontId="48" fillId="0" borderId="26" xfId="0" applyNumberFormat="1" applyFont="1" applyBorder="1"/>
    <xf numFmtId="0" fontId="0" fillId="0" borderId="27" xfId="0" applyBorder="1"/>
    <xf numFmtId="167" fontId="0" fillId="0" borderId="27" xfId="0" applyNumberFormat="1" applyBorder="1"/>
    <xf numFmtId="167" fontId="0" fillId="0" borderId="28" xfId="0" applyNumberFormat="1" applyBorder="1"/>
    <xf numFmtId="0" fontId="0" fillId="0" borderId="29" xfId="0" applyNumberFormat="1" applyBorder="1"/>
    <xf numFmtId="167" fontId="0" fillId="0" borderId="0" xfId="0" applyNumberFormat="1" applyBorder="1"/>
    <xf numFmtId="167" fontId="0" fillId="0" borderId="30" xfId="0" applyNumberFormat="1" applyBorder="1"/>
    <xf numFmtId="2" fontId="56" fillId="31" borderId="31" xfId="553" applyNumberFormat="1" applyFont="1" applyFill="1" applyBorder="1" applyAlignment="1">
      <alignment horizontal="center"/>
    </xf>
    <xf numFmtId="2" fontId="56" fillId="31" borderId="32" xfId="553" applyNumberFormat="1" applyFont="1" applyFill="1" applyBorder="1" applyAlignment="1">
      <alignment horizontal="center"/>
    </xf>
    <xf numFmtId="0" fontId="56" fillId="31" borderId="32" xfId="553" applyFont="1" applyFill="1" applyBorder="1" applyAlignment="1">
      <alignment horizontal="center"/>
    </xf>
    <xf numFmtId="0" fontId="56" fillId="31" borderId="33" xfId="553" applyFont="1" applyFill="1" applyBorder="1" applyAlignment="1">
      <alignment horizontal="center"/>
    </xf>
    <xf numFmtId="0" fontId="56" fillId="31" borderId="34" xfId="553" applyFont="1" applyFill="1" applyBorder="1" applyAlignment="1">
      <alignment horizontal="center"/>
    </xf>
    <xf numFmtId="0" fontId="56" fillId="31" borderId="35" xfId="553" applyFont="1" applyFill="1" applyBorder="1" applyAlignment="1">
      <alignment horizontal="center"/>
    </xf>
    <xf numFmtId="0" fontId="0" fillId="0" borderId="36" xfId="0" applyBorder="1"/>
    <xf numFmtId="0" fontId="0" fillId="0" borderId="37" xfId="0" applyBorder="1"/>
    <xf numFmtId="0" fontId="57" fillId="31" borderId="38" xfId="553" applyFont="1" applyFill="1" applyBorder="1" applyAlignment="1">
      <alignment horizontal="center"/>
    </xf>
    <xf numFmtId="0" fontId="57" fillId="31" borderId="39" xfId="553" applyFont="1" applyFill="1" applyBorder="1" applyAlignment="1">
      <alignment horizontal="center"/>
    </xf>
    <xf numFmtId="0" fontId="57" fillId="31" borderId="40" xfId="553" applyFont="1" applyFill="1" applyBorder="1" applyAlignment="1">
      <alignment horizontal="center"/>
    </xf>
    <xf numFmtId="0" fontId="57" fillId="31" borderId="41" xfId="553" applyFont="1" applyFill="1" applyBorder="1" applyAlignment="1">
      <alignment horizontal="center"/>
    </xf>
    <xf numFmtId="0" fontId="56" fillId="0" borderId="42" xfId="553" applyFont="1" applyFill="1" applyBorder="1" applyAlignment="1">
      <alignment wrapText="1"/>
    </xf>
    <xf numFmtId="0" fontId="56" fillId="0" borderId="43" xfId="553" applyFont="1" applyFill="1" applyBorder="1" applyAlignment="1">
      <alignment wrapText="1"/>
    </xf>
    <xf numFmtId="3" fontId="0" fillId="0" borderId="44" xfId="0" applyNumberFormat="1" applyBorder="1"/>
    <xf numFmtId="9" fontId="0" fillId="0" borderId="16" xfId="844" applyFont="1" applyBorder="1"/>
    <xf numFmtId="3" fontId="0" fillId="0" borderId="16" xfId="0" applyNumberFormat="1" applyBorder="1"/>
    <xf numFmtId="9" fontId="0" fillId="0" borderId="17" xfId="844" applyFont="1" applyBorder="1"/>
    <xf numFmtId="0" fontId="56" fillId="0" borderId="45" xfId="553" applyFont="1" applyFill="1" applyBorder="1" applyAlignment="1">
      <alignment wrapText="1"/>
    </xf>
    <xf numFmtId="0" fontId="56" fillId="0" borderId="46" xfId="553" applyFont="1" applyFill="1" applyBorder="1" applyAlignment="1">
      <alignment wrapText="1"/>
    </xf>
    <xf numFmtId="0" fontId="0" fillId="0" borderId="28" xfId="0" applyBorder="1"/>
    <xf numFmtId="175" fontId="0" fillId="0" borderId="26" xfId="35" applyNumberFormat="1" applyFont="1" applyBorder="1"/>
    <xf numFmtId="9" fontId="0" fillId="0" borderId="28" xfId="844" applyFont="1" applyBorder="1"/>
    <xf numFmtId="9" fontId="0" fillId="0" borderId="47" xfId="844" applyFont="1" applyBorder="1"/>
    <xf numFmtId="0" fontId="56" fillId="0" borderId="48" xfId="553" applyFont="1" applyFill="1" applyBorder="1" applyAlignment="1">
      <alignment wrapText="1"/>
    </xf>
    <xf numFmtId="2" fontId="56" fillId="0" borderId="11" xfId="553" applyNumberFormat="1" applyFont="1" applyFill="1" applyBorder="1" applyAlignment="1"/>
    <xf numFmtId="0" fontId="0" fillId="0" borderId="49" xfId="0" applyBorder="1"/>
    <xf numFmtId="3" fontId="56" fillId="0" borderId="19" xfId="553" applyNumberFormat="1" applyFont="1" applyFill="1" applyBorder="1" applyAlignment="1">
      <alignment horizontal="right" wrapText="1"/>
    </xf>
    <xf numFmtId="9" fontId="0" fillId="0" borderId="0" xfId="844" applyFont="1" applyBorder="1"/>
    <xf numFmtId="3" fontId="56" fillId="0" borderId="0" xfId="553" applyNumberFormat="1" applyBorder="1"/>
    <xf numFmtId="9" fontId="0" fillId="0" borderId="22" xfId="844" applyFont="1" applyBorder="1"/>
    <xf numFmtId="0" fontId="56" fillId="0" borderId="50" xfId="553" applyFont="1" applyFill="1" applyBorder="1" applyAlignment="1">
      <alignment wrapText="1"/>
    </xf>
    <xf numFmtId="0" fontId="0" fillId="0" borderId="51" xfId="0" applyBorder="1"/>
    <xf numFmtId="175" fontId="0" fillId="0" borderId="29" xfId="35" applyNumberFormat="1" applyFont="1" applyBorder="1"/>
    <xf numFmtId="9" fontId="0" fillId="0" borderId="30" xfId="844" applyFont="1" applyBorder="1"/>
    <xf numFmtId="9" fontId="0" fillId="0" borderId="52" xfId="844" applyFont="1" applyBorder="1"/>
    <xf numFmtId="3" fontId="56" fillId="0" borderId="0" xfId="553" applyNumberFormat="1" applyFont="1" applyFill="1" applyBorder="1" applyAlignment="1">
      <alignment horizontal="right" wrapText="1"/>
    </xf>
    <xf numFmtId="0" fontId="56" fillId="0" borderId="11" xfId="553" applyFont="1" applyFill="1" applyBorder="1" applyAlignment="1">
      <alignment wrapText="1"/>
    </xf>
    <xf numFmtId="0" fontId="0" fillId="0" borderId="30" xfId="0" applyBorder="1"/>
    <xf numFmtId="3" fontId="56" fillId="0" borderId="19" xfId="553" applyNumberFormat="1" applyBorder="1"/>
    <xf numFmtId="2" fontId="56" fillId="0" borderId="53" xfId="553" applyNumberFormat="1" applyFont="1" applyFill="1" applyBorder="1" applyAlignment="1"/>
    <xf numFmtId="0" fontId="0" fillId="0" borderId="54" xfId="0" applyBorder="1"/>
    <xf numFmtId="175" fontId="0" fillId="0" borderId="55" xfId="35" applyNumberFormat="1" applyFont="1" applyBorder="1"/>
    <xf numFmtId="9" fontId="0" fillId="0" borderId="56" xfId="844" applyFont="1" applyBorder="1"/>
    <xf numFmtId="9" fontId="0" fillId="0" borderId="57" xfId="844" applyFont="1" applyBorder="1"/>
    <xf numFmtId="9" fontId="0" fillId="0" borderId="0" xfId="0" applyNumberFormat="1"/>
    <xf numFmtId="175" fontId="0" fillId="0" borderId="0" xfId="0" applyNumberFormat="1"/>
    <xf numFmtId="0" fontId="56" fillId="0" borderId="28" xfId="553" applyFont="1" applyFill="1" applyBorder="1" applyAlignment="1">
      <alignment wrapText="1"/>
    </xf>
    <xf numFmtId="175" fontId="56" fillId="0" borderId="26" xfId="35" applyNumberFormat="1" applyFont="1" applyFill="1" applyBorder="1" applyAlignment="1">
      <alignment horizontal="right" wrapText="1"/>
    </xf>
    <xf numFmtId="9" fontId="56" fillId="0" borderId="28" xfId="844" applyFont="1" applyFill="1" applyBorder="1" applyAlignment="1">
      <alignment horizontal="right" wrapText="1"/>
    </xf>
    <xf numFmtId="175" fontId="56" fillId="0" borderId="27" xfId="35" applyNumberFormat="1" applyFont="1" applyFill="1" applyBorder="1" applyAlignment="1">
      <alignment horizontal="right" wrapText="1"/>
    </xf>
    <xf numFmtId="9" fontId="56" fillId="0" borderId="47" xfId="844" applyFont="1" applyFill="1" applyBorder="1" applyAlignment="1">
      <alignment horizontal="right" wrapText="1"/>
    </xf>
    <xf numFmtId="0" fontId="56" fillId="0" borderId="51" xfId="553" applyFont="1" applyFill="1" applyBorder="1" applyAlignment="1">
      <alignment wrapText="1"/>
    </xf>
    <xf numFmtId="175" fontId="56" fillId="0" borderId="29" xfId="35" applyNumberFormat="1" applyFont="1" applyFill="1" applyBorder="1" applyAlignment="1">
      <alignment horizontal="right" wrapText="1"/>
    </xf>
    <xf numFmtId="9" fontId="56" fillId="0" borderId="30" xfId="844" applyFont="1" applyFill="1" applyBorder="1" applyAlignment="1">
      <alignment horizontal="right" wrapText="1"/>
    </xf>
    <xf numFmtId="175" fontId="56" fillId="0" borderId="0" xfId="35" applyNumberFormat="1" applyFont="1" applyFill="1" applyBorder="1" applyAlignment="1">
      <alignment horizontal="right" wrapText="1"/>
    </xf>
    <xf numFmtId="9" fontId="56" fillId="0" borderId="52" xfId="844" applyFont="1" applyFill="1" applyBorder="1" applyAlignment="1">
      <alignment horizontal="right" wrapText="1"/>
    </xf>
    <xf numFmtId="0" fontId="56" fillId="0" borderId="30" xfId="553" applyFont="1" applyFill="1" applyBorder="1" applyAlignment="1">
      <alignment wrapText="1"/>
    </xf>
    <xf numFmtId="2" fontId="56" fillId="0" borderId="58" xfId="553" applyNumberFormat="1" applyFont="1" applyFill="1" applyBorder="1" applyAlignment="1"/>
    <xf numFmtId="0" fontId="56" fillId="0" borderId="59" xfId="553" applyFont="1" applyFill="1" applyBorder="1" applyAlignment="1">
      <alignment wrapText="1"/>
    </xf>
    <xf numFmtId="0" fontId="57" fillId="0" borderId="60" xfId="553" applyFont="1" applyFill="1" applyBorder="1" applyAlignment="1">
      <alignment wrapText="1"/>
    </xf>
    <xf numFmtId="0" fontId="0" fillId="0" borderId="15" xfId="0" applyBorder="1"/>
    <xf numFmtId="0" fontId="56" fillId="0" borderId="61" xfId="553" applyFont="1" applyFill="1" applyBorder="1" applyAlignment="1">
      <alignment wrapText="1"/>
    </xf>
    <xf numFmtId="175" fontId="57" fillId="0" borderId="62" xfId="35" applyNumberFormat="1" applyFont="1" applyFill="1" applyBorder="1" applyAlignment="1">
      <alignment horizontal="right" wrapText="1"/>
    </xf>
    <xf numFmtId="9" fontId="57" fillId="0" borderId="61" xfId="844" applyFont="1" applyFill="1" applyBorder="1" applyAlignment="1">
      <alignment horizontal="right" wrapText="1"/>
    </xf>
    <xf numFmtId="175" fontId="57" fillId="0" borderId="15" xfId="35" applyNumberFormat="1" applyFont="1" applyFill="1" applyBorder="1" applyAlignment="1">
      <alignment horizontal="right" wrapText="1"/>
    </xf>
    <xf numFmtId="9" fontId="57" fillId="0" borderId="63" xfId="844" applyFont="1" applyFill="1" applyBorder="1" applyAlignment="1">
      <alignment horizontal="right" wrapText="1"/>
    </xf>
    <xf numFmtId="0" fontId="56" fillId="0" borderId="64" xfId="553" applyFont="1" applyFill="1" applyBorder="1" applyAlignment="1">
      <alignment wrapText="1"/>
    </xf>
    <xf numFmtId="2" fontId="56" fillId="0" borderId="65" xfId="553" applyNumberFormat="1" applyFont="1" applyFill="1" applyBorder="1" applyAlignment="1"/>
    <xf numFmtId="0" fontId="0" fillId="0" borderId="66" xfId="0" applyBorder="1"/>
    <xf numFmtId="0" fontId="56" fillId="0" borderId="16" xfId="553" applyFont="1" applyFill="1" applyBorder="1" applyAlignment="1">
      <alignment wrapText="1"/>
    </xf>
    <xf numFmtId="3" fontId="56" fillId="0" borderId="44" xfId="553" applyNumberFormat="1" applyFont="1" applyFill="1" applyBorder="1" applyAlignment="1">
      <alignment horizontal="right" wrapText="1"/>
    </xf>
    <xf numFmtId="9" fontId="56" fillId="0" borderId="16" xfId="844" applyFont="1" applyFill="1" applyBorder="1" applyAlignment="1">
      <alignment horizontal="right" wrapText="1"/>
    </xf>
    <xf numFmtId="3" fontId="56" fillId="0" borderId="16" xfId="553" applyNumberFormat="1" applyFont="1" applyFill="1" applyBorder="1" applyAlignment="1">
      <alignment horizontal="right" wrapText="1"/>
    </xf>
    <xf numFmtId="9" fontId="56" fillId="0" borderId="17" xfId="844" applyFont="1" applyFill="1" applyBorder="1" applyAlignment="1">
      <alignment horizontal="right" wrapText="1"/>
    </xf>
    <xf numFmtId="0" fontId="56" fillId="0" borderId="49" xfId="553" applyFont="1" applyFill="1" applyBorder="1" applyAlignment="1">
      <alignment wrapText="1"/>
    </xf>
    <xf numFmtId="9" fontId="56" fillId="0" borderId="0" xfId="844" applyFont="1" applyFill="1" applyBorder="1" applyAlignment="1">
      <alignment horizontal="right" wrapText="1"/>
    </xf>
    <xf numFmtId="9" fontId="56" fillId="0" borderId="22" xfId="844" applyFont="1" applyFill="1" applyBorder="1" applyAlignment="1">
      <alignment horizontal="right" wrapText="1"/>
    </xf>
    <xf numFmtId="0" fontId="56" fillId="0" borderId="0" xfId="553" applyFont="1" applyFill="1" applyBorder="1" applyAlignment="1">
      <alignment wrapText="1"/>
    </xf>
    <xf numFmtId="0" fontId="57" fillId="0" borderId="67" xfId="553" applyFont="1" applyFill="1" applyBorder="1" applyAlignment="1">
      <alignment wrapText="1"/>
    </xf>
    <xf numFmtId="0" fontId="0" fillId="0" borderId="68" xfId="0" applyBorder="1"/>
    <xf numFmtId="0" fontId="56" fillId="0" borderId="69" xfId="553" applyFont="1" applyFill="1" applyBorder="1" applyAlignment="1">
      <alignment wrapText="1"/>
    </xf>
    <xf numFmtId="175" fontId="57" fillId="0" borderId="70" xfId="35" applyNumberFormat="1" applyFont="1" applyFill="1" applyBorder="1" applyAlignment="1">
      <alignment horizontal="right" wrapText="1"/>
    </xf>
    <xf numFmtId="9" fontId="57" fillId="0" borderId="69" xfId="844" applyFont="1" applyFill="1" applyBorder="1" applyAlignment="1">
      <alignment horizontal="right" wrapText="1"/>
    </xf>
    <xf numFmtId="175" fontId="57" fillId="0" borderId="68" xfId="35" applyNumberFormat="1" applyFont="1" applyFill="1" applyBorder="1" applyAlignment="1">
      <alignment horizontal="right" wrapText="1"/>
    </xf>
    <xf numFmtId="9" fontId="57" fillId="0" borderId="71" xfId="844" applyFont="1" applyFill="1" applyBorder="1" applyAlignment="1">
      <alignment horizontal="right" wrapText="1"/>
    </xf>
    <xf numFmtId="0" fontId="57" fillId="31" borderId="0" xfId="553" applyFont="1" applyFill="1" applyBorder="1" applyAlignment="1">
      <alignment horizontal="center"/>
    </xf>
    <xf numFmtId="0" fontId="56" fillId="0" borderId="66" xfId="553" applyFont="1" applyFill="1" applyBorder="1" applyAlignment="1">
      <alignment wrapText="1"/>
    </xf>
    <xf numFmtId="175" fontId="90" fillId="0" borderId="0" xfId="0" applyNumberFormat="1" applyFont="1"/>
    <xf numFmtId="3" fontId="0" fillId="0" borderId="19" xfId="0" applyNumberFormat="1" applyBorder="1"/>
    <xf numFmtId="3" fontId="0" fillId="0" borderId="0" xfId="0" applyNumberFormat="1" applyBorder="1"/>
    <xf numFmtId="3" fontId="56" fillId="0" borderId="24" xfId="553" applyNumberFormat="1" applyFont="1" applyFill="1" applyBorder="1" applyAlignment="1">
      <alignment horizontal="right" wrapText="1"/>
    </xf>
    <xf numFmtId="9" fontId="56" fillId="0" borderId="20" xfId="844" applyFont="1" applyFill="1" applyBorder="1" applyAlignment="1">
      <alignment horizontal="right" wrapText="1"/>
    </xf>
    <xf numFmtId="3" fontId="56" fillId="0" borderId="20" xfId="553" applyNumberFormat="1" applyFont="1" applyFill="1" applyBorder="1" applyAlignment="1">
      <alignment horizontal="right" wrapText="1"/>
    </xf>
    <xf numFmtId="9" fontId="56" fillId="0" borderId="23" xfId="844" applyFont="1" applyFill="1" applyBorder="1" applyAlignment="1">
      <alignment horizontal="right" wrapText="1"/>
    </xf>
    <xf numFmtId="3" fontId="0" fillId="0" borderId="0" xfId="0" applyNumberFormat="1"/>
    <xf numFmtId="2" fontId="56" fillId="0" borderId="29" xfId="553" applyNumberFormat="1" applyFont="1" applyFill="1" applyBorder="1" applyAlignment="1"/>
    <xf numFmtId="2" fontId="56" fillId="0" borderId="0" xfId="553" applyNumberFormat="1" applyFont="1" applyFill="1" applyBorder="1" applyAlignment="1"/>
    <xf numFmtId="0" fontId="56" fillId="0" borderId="0" xfId="553" applyNumberFormat="1" applyFont="1" applyFill="1" applyBorder="1" applyAlignment="1">
      <alignment horizontal="right"/>
    </xf>
    <xf numFmtId="167" fontId="56" fillId="0" borderId="0" xfId="553" applyNumberFormat="1" applyFont="1" applyFill="1" applyBorder="1" applyAlignment="1">
      <alignment horizontal="right"/>
    </xf>
    <xf numFmtId="167" fontId="56" fillId="0" borderId="30" xfId="553" applyNumberFormat="1" applyFont="1" applyFill="1" applyBorder="1" applyAlignment="1">
      <alignment horizontal="right"/>
    </xf>
    <xf numFmtId="0" fontId="56" fillId="0" borderId="55" xfId="553" applyFont="1" applyFill="1" applyBorder="1" applyAlignment="1">
      <alignment vertical="center"/>
    </xf>
    <xf numFmtId="0" fontId="0" fillId="0" borderId="25" xfId="0" applyBorder="1" applyAlignment="1">
      <alignment vertical="center"/>
    </xf>
    <xf numFmtId="167" fontId="0" fillId="0" borderId="25" xfId="0" applyNumberFormat="1" applyBorder="1" applyAlignment="1">
      <alignment vertical="center"/>
    </xf>
    <xf numFmtId="167" fontId="0" fillId="0" borderId="56" xfId="0" applyNumberFormat="1" applyBorder="1" applyAlignment="1">
      <alignment vertical="center"/>
    </xf>
    <xf numFmtId="0" fontId="93" fillId="0" borderId="19" xfId="0" applyFont="1" applyFill="1" applyBorder="1"/>
    <xf numFmtId="1" fontId="94" fillId="0" borderId="19" xfId="0" applyNumberFormat="1" applyFont="1" applyFill="1" applyBorder="1" applyAlignment="1">
      <alignment horizontal="center"/>
    </xf>
    <xf numFmtId="0" fontId="95" fillId="0" borderId="24" xfId="0" applyFont="1" applyFill="1" applyBorder="1"/>
    <xf numFmtId="1" fontId="90" fillId="0" borderId="24" xfId="0" applyNumberFormat="1" applyFont="1" applyFill="1" applyBorder="1" applyAlignment="1">
      <alignment horizontal="center"/>
    </xf>
    <xf numFmtId="0" fontId="49" fillId="0" borderId="0" xfId="0" applyFont="1"/>
    <xf numFmtId="0" fontId="0" fillId="0" borderId="0" xfId="0" applyFill="1" applyBorder="1" applyAlignment="1">
      <alignment horizontal="center"/>
    </xf>
    <xf numFmtId="1" fontId="94" fillId="0" borderId="72" xfId="0" applyNumberFormat="1" applyFont="1" applyFill="1" applyBorder="1" applyAlignment="1">
      <alignment horizontal="center"/>
    </xf>
    <xf numFmtId="1" fontId="90" fillId="0" borderId="3" xfId="0" applyNumberFormat="1" applyFont="1" applyFill="1" applyBorder="1" applyAlignment="1">
      <alignment horizontal="center"/>
    </xf>
    <xf numFmtId="0" fontId="95" fillId="0" borderId="73" xfId="0" applyFont="1" applyFill="1" applyBorder="1" applyAlignment="1">
      <alignment vertical="center"/>
    </xf>
    <xf numFmtId="1" fontId="90" fillId="0" borderId="73" xfId="0" applyNumberFormat="1" applyFont="1" applyFill="1" applyBorder="1" applyAlignment="1">
      <alignment horizontal="center" vertical="center"/>
    </xf>
    <xf numFmtId="0" fontId="0" fillId="0" borderId="73" xfId="0" applyBorder="1"/>
    <xf numFmtId="9" fontId="0" fillId="0" borderId="72" xfId="844" applyFont="1" applyBorder="1"/>
    <xf numFmtId="0" fontId="0" fillId="0" borderId="3" xfId="0" applyBorder="1"/>
    <xf numFmtId="0" fontId="0" fillId="0" borderId="44" xfId="0" applyBorder="1"/>
    <xf numFmtId="0" fontId="49" fillId="0" borderId="16" xfId="0" applyFont="1" applyBorder="1"/>
    <xf numFmtId="0" fontId="49" fillId="0" borderId="17" xfId="0" applyFont="1" applyBorder="1"/>
    <xf numFmtId="0" fontId="49" fillId="0" borderId="19" xfId="0" applyFont="1" applyBorder="1"/>
    <xf numFmtId="0" fontId="49" fillId="0" borderId="24" xfId="0" applyFont="1" applyBorder="1"/>
    <xf numFmtId="175" fontId="0" fillId="0" borderId="0" xfId="0" applyNumberFormat="1" applyBorder="1"/>
    <xf numFmtId="175" fontId="0" fillId="0" borderId="20" xfId="0" applyNumberFormat="1" applyBorder="1"/>
    <xf numFmtId="0" fontId="49" fillId="0" borderId="73" xfId="0" applyFont="1" applyBorder="1"/>
    <xf numFmtId="175" fontId="0" fillId="0" borderId="72" xfId="0" applyNumberFormat="1" applyBorder="1"/>
    <xf numFmtId="175" fontId="0" fillId="0" borderId="3" xfId="0" applyNumberFormat="1" applyBorder="1"/>
    <xf numFmtId="9" fontId="0" fillId="0" borderId="20" xfId="844" applyFont="1" applyBorder="1"/>
    <xf numFmtId="9" fontId="0" fillId="0" borderId="23" xfId="844" applyFont="1" applyBorder="1"/>
    <xf numFmtId="0" fontId="95" fillId="0" borderId="19" xfId="0" applyFont="1" applyFill="1" applyBorder="1"/>
    <xf numFmtId="1" fontId="90" fillId="0" borderId="19" xfId="0" applyNumberFormat="1" applyFont="1" applyFill="1" applyBorder="1" applyAlignment="1">
      <alignment horizontal="center"/>
    </xf>
    <xf numFmtId="9" fontId="0" fillId="0" borderId="73" xfId="844" applyFont="1" applyBorder="1"/>
    <xf numFmtId="0" fontId="95" fillId="0" borderId="44" xfId="223" applyFont="1" applyFill="1" applyBorder="1"/>
    <xf numFmtId="1" fontId="90" fillId="0" borderId="44" xfId="0" applyNumberFormat="1" applyFont="1" applyFill="1" applyBorder="1" applyAlignment="1">
      <alignment horizontal="center"/>
    </xf>
    <xf numFmtId="0" fontId="95" fillId="0" borderId="73" xfId="223" applyFont="1" applyFill="1" applyBorder="1" applyAlignment="1">
      <alignment vertical="center"/>
    </xf>
    <xf numFmtId="1" fontId="90" fillId="0" borderId="44" xfId="0" applyNumberFormat="1" applyFont="1" applyFill="1" applyBorder="1" applyAlignment="1">
      <alignment horizontal="center" vertical="center"/>
    </xf>
    <xf numFmtId="0" fontId="95" fillId="0" borderId="3" xfId="223" applyFont="1" applyFill="1" applyBorder="1" applyAlignment="1">
      <alignment vertical="center"/>
    </xf>
    <xf numFmtId="1" fontId="90" fillId="0" borderId="24" xfId="0" applyNumberFormat="1" applyFont="1" applyFill="1" applyBorder="1" applyAlignment="1">
      <alignment horizontal="center" vertical="center"/>
    </xf>
    <xf numFmtId="0" fontId="49" fillId="0" borderId="0" xfId="0" applyFont="1" applyAlignment="1">
      <alignment horizontal="center"/>
    </xf>
    <xf numFmtId="1" fontId="94" fillId="0" borderId="24" xfId="0" applyNumberFormat="1" applyFont="1" applyFill="1" applyBorder="1" applyAlignment="1">
      <alignment horizontal="center"/>
    </xf>
    <xf numFmtId="1" fontId="0" fillId="0" borderId="19" xfId="0" applyNumberFormat="1" applyFill="1" applyBorder="1" applyAlignment="1">
      <alignment horizontal="center"/>
    </xf>
    <xf numFmtId="1" fontId="0" fillId="0" borderId="44" xfId="0" applyNumberFormat="1" applyFill="1" applyBorder="1" applyAlignment="1">
      <alignment horizontal="center"/>
    </xf>
    <xf numFmtId="1" fontId="0" fillId="0" borderId="24" xfId="0" applyNumberFormat="1" applyFill="1" applyBorder="1" applyAlignment="1">
      <alignment horizontal="center"/>
    </xf>
    <xf numFmtId="0" fontId="96" fillId="0" borderId="44" xfId="0" applyFont="1" applyFill="1" applyBorder="1"/>
    <xf numFmtId="0" fontId="93" fillId="0" borderId="24" xfId="0" applyFont="1" applyFill="1" applyBorder="1"/>
    <xf numFmtId="0" fontId="96" fillId="0" borderId="24" xfId="0" applyFont="1" applyFill="1" applyBorder="1"/>
    <xf numFmtId="0" fontId="96" fillId="0" borderId="44" xfId="223" applyFont="1" applyFill="1" applyBorder="1"/>
    <xf numFmtId="0" fontId="96" fillId="0" borderId="19" xfId="0" applyFont="1" applyFill="1" applyBorder="1"/>
    <xf numFmtId="0" fontId="93" fillId="0" borderId="0" xfId="0" applyFont="1" applyFill="1" applyBorder="1"/>
    <xf numFmtId="9" fontId="0" fillId="0" borderId="73" xfId="0" applyNumberFormat="1" applyBorder="1"/>
    <xf numFmtId="9" fontId="0" fillId="0" borderId="3" xfId="844" applyFont="1" applyBorder="1"/>
    <xf numFmtId="9" fontId="0" fillId="0" borderId="72" xfId="0" applyNumberFormat="1" applyBorder="1"/>
    <xf numFmtId="9" fontId="97" fillId="0" borderId="0" xfId="844" applyFont="1"/>
    <xf numFmtId="1" fontId="0" fillId="0" borderId="0" xfId="0" applyNumberFormat="1"/>
    <xf numFmtId="0" fontId="0" fillId="44" borderId="19" xfId="0" applyFill="1" applyBorder="1"/>
    <xf numFmtId="0" fontId="0" fillId="44" borderId="0" xfId="0" applyFill="1" applyBorder="1"/>
    <xf numFmtId="0" fontId="0" fillId="44" borderId="22" xfId="0" applyFill="1" applyBorder="1"/>
    <xf numFmtId="0" fontId="84" fillId="44" borderId="0" xfId="533" applyFont="1" applyFill="1" applyBorder="1" applyAlignment="1" applyProtection="1">
      <alignment horizontal="left"/>
      <protection locked="0"/>
    </xf>
    <xf numFmtId="0" fontId="84" fillId="44" borderId="0" xfId="533" applyFill="1" applyBorder="1" applyAlignment="1" applyProtection="1">
      <alignment horizontal="right"/>
      <protection locked="0"/>
    </xf>
    <xf numFmtId="0" fontId="0" fillId="44" borderId="24" xfId="0" applyFill="1" applyBorder="1"/>
    <xf numFmtId="0" fontId="84" fillId="44" borderId="20" xfId="533" applyFill="1" applyBorder="1"/>
    <xf numFmtId="0" fontId="0" fillId="44" borderId="23" xfId="0" applyFill="1" applyBorder="1"/>
    <xf numFmtId="0" fontId="0" fillId="44" borderId="20" xfId="0" applyFill="1" applyBorder="1"/>
    <xf numFmtId="0" fontId="0" fillId="37" borderId="0" xfId="0" applyFill="1"/>
    <xf numFmtId="0" fontId="0" fillId="37" borderId="17" xfId="0" applyFill="1" applyBorder="1"/>
    <xf numFmtId="0" fontId="0" fillId="37" borderId="0" xfId="0" applyFill="1" applyBorder="1"/>
    <xf numFmtId="0" fontId="0" fillId="37" borderId="22" xfId="0" applyFill="1" applyBorder="1"/>
    <xf numFmtId="0" fontId="0" fillId="37" borderId="19" xfId="0" applyFill="1" applyBorder="1"/>
    <xf numFmtId="0" fontId="0" fillId="37" borderId="16" xfId="0" applyFill="1" applyBorder="1"/>
    <xf numFmtId="0" fontId="0" fillId="37" borderId="24" xfId="0" applyFill="1" applyBorder="1"/>
    <xf numFmtId="0" fontId="49" fillId="44" borderId="19" xfId="0" applyFont="1" applyFill="1" applyBorder="1"/>
    <xf numFmtId="0" fontId="60" fillId="44" borderId="0" xfId="0" applyFont="1" applyFill="1" applyBorder="1"/>
    <xf numFmtId="0" fontId="60" fillId="44" borderId="22" xfId="0" applyFont="1" applyFill="1" applyBorder="1"/>
    <xf numFmtId="0" fontId="60" fillId="44" borderId="19" xfId="0" applyFont="1" applyFill="1" applyBorder="1"/>
    <xf numFmtId="0" fontId="60" fillId="44" borderId="24" xfId="0" applyFont="1" applyFill="1" applyBorder="1"/>
    <xf numFmtId="9" fontId="97" fillId="0" borderId="0" xfId="0" applyNumberFormat="1" applyFont="1"/>
    <xf numFmtId="172" fontId="0" fillId="0" borderId="20" xfId="0" applyNumberFormat="1" applyBorder="1"/>
    <xf numFmtId="0" fontId="97" fillId="0" borderId="0" xfId="0" applyFont="1"/>
    <xf numFmtId="172" fontId="0" fillId="0" borderId="0" xfId="0" applyNumberFormat="1" applyBorder="1"/>
    <xf numFmtId="2" fontId="0" fillId="0" borderId="0" xfId="0" applyNumberFormat="1" applyBorder="1"/>
    <xf numFmtId="0" fontId="49" fillId="44" borderId="0" xfId="0" applyFont="1" applyFill="1" applyBorder="1"/>
    <xf numFmtId="0" fontId="49" fillId="44" borderId="20" xfId="0" applyFont="1" applyFill="1" applyBorder="1"/>
    <xf numFmtId="0" fontId="49" fillId="44" borderId="24" xfId="0" applyFont="1" applyFill="1" applyBorder="1"/>
    <xf numFmtId="0" fontId="0" fillId="0" borderId="0" xfId="0" applyFont="1" applyFill="1" applyBorder="1"/>
    <xf numFmtId="0" fontId="98" fillId="0" borderId="0" xfId="0" applyFont="1" applyFill="1" applyBorder="1"/>
    <xf numFmtId="9" fontId="0" fillId="0" borderId="0" xfId="844" applyFont="1" applyFill="1" applyBorder="1"/>
    <xf numFmtId="0" fontId="90" fillId="0" borderId="0" xfId="0" applyFont="1" applyFill="1" applyBorder="1"/>
    <xf numFmtId="0" fontId="90" fillId="0" borderId="74" xfId="0" applyFont="1" applyFill="1" applyBorder="1"/>
    <xf numFmtId="0" fontId="90" fillId="0" borderId="21" xfId="0" applyFont="1" applyFill="1" applyBorder="1"/>
    <xf numFmtId="0" fontId="90" fillId="0" borderId="75" xfId="0" applyFont="1" applyFill="1" applyBorder="1"/>
    <xf numFmtId="0" fontId="99" fillId="0" borderId="19" xfId="0" applyFont="1" applyFill="1" applyBorder="1"/>
    <xf numFmtId="0" fontId="99" fillId="0" borderId="0" xfId="0" applyFont="1" applyFill="1" applyBorder="1"/>
    <xf numFmtId="3" fontId="90" fillId="39" borderId="72" xfId="0" applyNumberFormat="1" applyFont="1" applyFill="1" applyBorder="1"/>
    <xf numFmtId="3" fontId="0" fillId="39" borderId="22" xfId="0" applyNumberFormat="1" applyFont="1" applyFill="1" applyBorder="1"/>
    <xf numFmtId="0" fontId="99" fillId="0" borderId="44" xfId="0" applyFont="1" applyFill="1" applyBorder="1"/>
    <xf numFmtId="0" fontId="99" fillId="0" borderId="16" xfId="0" applyFont="1" applyFill="1" applyBorder="1"/>
    <xf numFmtId="3" fontId="90" fillId="39" borderId="73" xfId="0" applyNumberFormat="1" applyFont="1" applyFill="1" applyBorder="1"/>
    <xf numFmtId="3" fontId="90" fillId="39" borderId="75" xfId="0" applyNumberFormat="1" applyFont="1" applyFill="1" applyBorder="1"/>
    <xf numFmtId="3" fontId="90" fillId="0" borderId="0" xfId="0" applyNumberFormat="1" applyFont="1" applyFill="1" applyBorder="1"/>
    <xf numFmtId="2" fontId="0" fillId="41" borderId="0" xfId="0" applyNumberFormat="1" applyFont="1" applyFill="1" applyBorder="1"/>
    <xf numFmtId="3" fontId="0" fillId="41" borderId="0" xfId="0" applyNumberFormat="1" applyFont="1" applyFill="1" applyBorder="1"/>
    <xf numFmtId="0" fontId="100" fillId="0" borderId="0" xfId="0" applyFont="1" applyFill="1" applyBorder="1"/>
    <xf numFmtId="176" fontId="100" fillId="0" borderId="0" xfId="0" applyNumberFormat="1" applyFont="1" applyFill="1" applyBorder="1"/>
    <xf numFmtId="2" fontId="0" fillId="37" borderId="0" xfId="0" applyNumberFormat="1" applyFill="1" applyBorder="1"/>
    <xf numFmtId="2" fontId="0" fillId="37" borderId="22" xfId="0" applyNumberFormat="1" applyFill="1" applyBorder="1"/>
    <xf numFmtId="2" fontId="0" fillId="37" borderId="20" xfId="0" applyNumberFormat="1" applyFill="1" applyBorder="1"/>
    <xf numFmtId="2" fontId="0" fillId="37" borderId="23" xfId="0" applyNumberFormat="1" applyFill="1" applyBorder="1"/>
    <xf numFmtId="0" fontId="61" fillId="37" borderId="19" xfId="0" applyFont="1" applyFill="1" applyBorder="1"/>
    <xf numFmtId="0" fontId="0" fillId="40" borderId="0" xfId="0" applyFill="1"/>
    <xf numFmtId="0" fontId="0" fillId="0" borderId="76" xfId="0" applyBorder="1"/>
    <xf numFmtId="4" fontId="22" fillId="32" borderId="0" xfId="850" applyNumberFormat="1" applyFont="1" applyFill="1" applyBorder="1"/>
    <xf numFmtId="4" fontId="22" fillId="32" borderId="20" xfId="850" applyNumberFormat="1" applyFont="1" applyFill="1" applyBorder="1"/>
    <xf numFmtId="4" fontId="22" fillId="32" borderId="21" xfId="850" applyNumberFormat="1" applyFont="1" applyFill="1" applyBorder="1"/>
    <xf numFmtId="0" fontId="22" fillId="0" borderId="16" xfId="0" applyFont="1" applyBorder="1"/>
    <xf numFmtId="0" fontId="22" fillId="0" borderId="28" xfId="0" applyFont="1" applyBorder="1"/>
    <xf numFmtId="0" fontId="0" fillId="0" borderId="17" xfId="0" applyBorder="1"/>
    <xf numFmtId="1" fontId="0" fillId="0" borderId="22" xfId="0" applyNumberFormat="1" applyBorder="1"/>
    <xf numFmtId="1" fontId="0" fillId="0" borderId="0" xfId="0" applyNumberFormat="1" applyBorder="1"/>
    <xf numFmtId="0" fontId="0" fillId="0" borderId="79" xfId="0" applyBorder="1"/>
    <xf numFmtId="0" fontId="0" fillId="0" borderId="52" xfId="0" applyBorder="1"/>
    <xf numFmtId="0" fontId="0" fillId="0" borderId="77" xfId="0" applyBorder="1"/>
    <xf numFmtId="180" fontId="65" fillId="0" borderId="0" xfId="530" applyNumberFormat="1" applyFont="1" applyAlignment="1"/>
    <xf numFmtId="180" fontId="66" fillId="0" borderId="0" xfId="530" applyNumberFormat="1" applyFont="1"/>
    <xf numFmtId="180" fontId="65" fillId="0" borderId="0" xfId="530" applyNumberFormat="1" applyFont="1"/>
    <xf numFmtId="1" fontId="66" fillId="44" borderId="0" xfId="530" applyNumberFormat="1" applyFont="1" applyFill="1"/>
    <xf numFmtId="1" fontId="66" fillId="33" borderId="0" xfId="530" applyNumberFormat="1" applyFont="1" applyFill="1"/>
    <xf numFmtId="1" fontId="66" fillId="0" borderId="0" xfId="530" applyNumberFormat="1" applyFont="1"/>
    <xf numFmtId="180" fontId="66" fillId="33" borderId="0" xfId="530" applyNumberFormat="1" applyFont="1" applyFill="1"/>
    <xf numFmtId="180" fontId="67" fillId="25" borderId="0" xfId="530" applyNumberFormat="1" applyFont="1" applyFill="1"/>
    <xf numFmtId="180" fontId="67" fillId="25" borderId="0" xfId="42" applyNumberFormat="1" applyFont="1" applyFill="1"/>
    <xf numFmtId="180" fontId="66" fillId="0" borderId="11" xfId="530" quotePrefix="1" applyNumberFormat="1" applyFont="1" applyBorder="1"/>
    <xf numFmtId="180" fontId="68" fillId="0" borderId="0" xfId="530" applyNumberFormat="1" applyFont="1" applyFill="1"/>
    <xf numFmtId="181" fontId="66" fillId="0" borderId="0" xfId="530" applyNumberFormat="1" applyFont="1"/>
    <xf numFmtId="180" fontId="67" fillId="28" borderId="0" xfId="530" applyNumberFormat="1" applyFont="1" applyFill="1"/>
    <xf numFmtId="0" fontId="66" fillId="0" borderId="0" xfId="530" applyFont="1"/>
    <xf numFmtId="0" fontId="70" fillId="34" borderId="20" xfId="552" applyFont="1" applyFill="1" applyBorder="1"/>
    <xf numFmtId="0" fontId="71" fillId="34" borderId="20" xfId="552" applyFont="1" applyFill="1" applyBorder="1"/>
    <xf numFmtId="0" fontId="0" fillId="25" borderId="0" xfId="0" applyFill="1"/>
    <xf numFmtId="178" fontId="70" fillId="25" borderId="0" xfId="0" applyNumberFormat="1" applyFont="1" applyFill="1"/>
    <xf numFmtId="172" fontId="0" fillId="25" borderId="0" xfId="0" applyNumberFormat="1" applyFill="1"/>
    <xf numFmtId="0" fontId="72" fillId="25" borderId="0" xfId="0" applyFont="1" applyFill="1"/>
    <xf numFmtId="2" fontId="0" fillId="25" borderId="0" xfId="0" applyNumberFormat="1" applyFill="1"/>
    <xf numFmtId="2" fontId="70" fillId="25" borderId="0" xfId="0" applyNumberFormat="1" applyFont="1" applyFill="1"/>
    <xf numFmtId="2" fontId="70" fillId="25" borderId="0" xfId="850" applyNumberFormat="1" applyFont="1" applyFill="1"/>
    <xf numFmtId="2" fontId="0" fillId="25" borderId="0" xfId="850" applyNumberFormat="1" applyFont="1" applyFill="1"/>
    <xf numFmtId="9" fontId="0" fillId="25" borderId="0" xfId="850" applyFont="1" applyFill="1"/>
    <xf numFmtId="0" fontId="63" fillId="32" borderId="82" xfId="0" applyFont="1" applyFill="1" applyBorder="1"/>
    <xf numFmtId="0" fontId="62" fillId="32" borderId="83" xfId="0" applyFont="1" applyFill="1" applyBorder="1"/>
    <xf numFmtId="0" fontId="0" fillId="32" borderId="83" xfId="0" applyFill="1" applyBorder="1"/>
    <xf numFmtId="3" fontId="0" fillId="32" borderId="83" xfId="0" applyNumberFormat="1" applyFill="1" applyBorder="1"/>
    <xf numFmtId="0" fontId="0" fillId="32" borderId="84" xfId="0" applyFill="1" applyBorder="1"/>
    <xf numFmtId="0" fontId="48" fillId="32" borderId="85" xfId="0" applyFont="1" applyFill="1" applyBorder="1"/>
    <xf numFmtId="0" fontId="48" fillId="32" borderId="23" xfId="0" applyFont="1" applyFill="1" applyBorder="1"/>
    <xf numFmtId="0" fontId="62" fillId="32" borderId="20" xfId="0" applyFont="1" applyFill="1" applyBorder="1"/>
    <xf numFmtId="0" fontId="62" fillId="32" borderId="86" xfId="0" applyFont="1" applyFill="1" applyBorder="1"/>
    <xf numFmtId="0" fontId="48" fillId="32" borderId="87" xfId="0" applyFont="1" applyFill="1" applyBorder="1"/>
    <xf numFmtId="0" fontId="22" fillId="32" borderId="22" xfId="0" applyFont="1" applyFill="1" applyBorder="1"/>
    <xf numFmtId="4" fontId="64" fillId="32" borderId="0" xfId="850" applyNumberFormat="1" applyFont="1" applyFill="1" applyBorder="1"/>
    <xf numFmtId="4" fontId="64" fillId="32" borderId="30" xfId="850" applyNumberFormat="1" applyFont="1" applyFill="1" applyBorder="1"/>
    <xf numFmtId="0" fontId="22" fillId="32" borderId="87" xfId="0" applyFont="1" applyFill="1" applyBorder="1"/>
    <xf numFmtId="4" fontId="101" fillId="32" borderId="0" xfId="850" applyNumberFormat="1" applyFont="1" applyFill="1" applyBorder="1"/>
    <xf numFmtId="4" fontId="22" fillId="32" borderId="30" xfId="850" applyNumberFormat="1" applyFont="1" applyFill="1" applyBorder="1"/>
    <xf numFmtId="0" fontId="22" fillId="32" borderId="85" xfId="0" applyFont="1" applyFill="1" applyBorder="1"/>
    <xf numFmtId="0" fontId="22" fillId="32" borderId="23" xfId="0" applyFont="1" applyFill="1" applyBorder="1"/>
    <xf numFmtId="4" fontId="64" fillId="32" borderId="20" xfId="850" applyNumberFormat="1" applyFont="1" applyFill="1" applyBorder="1"/>
    <xf numFmtId="4" fontId="64" fillId="32" borderId="86" xfId="850" applyNumberFormat="1" applyFont="1" applyFill="1" applyBorder="1"/>
    <xf numFmtId="4" fontId="22" fillId="32" borderId="86" xfId="850" applyNumberFormat="1" applyFont="1" applyFill="1" applyBorder="1"/>
    <xf numFmtId="0" fontId="22" fillId="32" borderId="75" xfId="0" applyFont="1" applyFill="1" applyBorder="1"/>
    <xf numFmtId="4" fontId="22" fillId="33" borderId="20" xfId="850" applyNumberFormat="1" applyFont="1" applyFill="1" applyBorder="1"/>
    <xf numFmtId="4" fontId="101" fillId="44" borderId="20" xfId="850" applyNumberFormat="1" applyFont="1" applyFill="1" applyBorder="1"/>
    <xf numFmtId="0" fontId="48" fillId="32" borderId="1" xfId="0" applyFont="1" applyFill="1" applyBorder="1"/>
    <xf numFmtId="4" fontId="22" fillId="33" borderId="21" xfId="850" applyNumberFormat="1" applyFont="1" applyFill="1" applyBorder="1"/>
    <xf numFmtId="4" fontId="101" fillId="44" borderId="21" xfId="850" applyNumberFormat="1" applyFont="1" applyFill="1" applyBorder="1"/>
    <xf numFmtId="4" fontId="22" fillId="32" borderId="88" xfId="850" applyNumberFormat="1" applyFont="1" applyFill="1" applyBorder="1"/>
    <xf numFmtId="0" fontId="48" fillId="32" borderId="87" xfId="0" applyFont="1" applyFill="1" applyBorder="1" applyAlignment="1" applyProtection="1">
      <alignment horizontal="left"/>
    </xf>
    <xf numFmtId="0" fontId="22" fillId="32" borderId="87" xfId="0" applyFont="1" applyFill="1" applyBorder="1" applyAlignment="1" applyProtection="1">
      <alignment horizontal="left"/>
    </xf>
    <xf numFmtId="0" fontId="22" fillId="32" borderId="85" xfId="0" applyFont="1" applyFill="1" applyBorder="1" applyAlignment="1" applyProtection="1">
      <alignment horizontal="left"/>
    </xf>
    <xf numFmtId="4" fontId="101" fillId="32" borderId="0" xfId="850" applyNumberFormat="1" applyFont="1" applyFill="1" applyBorder="1" applyAlignment="1">
      <alignment horizontal="right"/>
    </xf>
    <xf numFmtId="4" fontId="22" fillId="40" borderId="0" xfId="850" applyNumberFormat="1" applyFont="1" applyFill="1" applyBorder="1"/>
    <xf numFmtId="0" fontId="48" fillId="32" borderId="85" xfId="0" applyFont="1" applyFill="1" applyBorder="1" applyAlignment="1" applyProtection="1">
      <alignment horizontal="left"/>
    </xf>
    <xf numFmtId="177" fontId="22" fillId="32" borderId="0" xfId="850" applyNumberFormat="1" applyFont="1" applyFill="1" applyBorder="1" applyAlignment="1" applyProtection="1">
      <alignment horizontal="right"/>
      <protection locked="0"/>
    </xf>
    <xf numFmtId="177" fontId="22" fillId="32" borderId="0" xfId="850" applyNumberFormat="1" applyFont="1" applyFill="1" applyBorder="1"/>
    <xf numFmtId="177" fontId="22" fillId="33" borderId="0" xfId="850" applyNumberFormat="1" applyFont="1" applyFill="1" applyBorder="1"/>
    <xf numFmtId="177" fontId="64" fillId="32" borderId="0" xfId="850" applyNumberFormat="1" applyFont="1" applyFill="1" applyBorder="1"/>
    <xf numFmtId="0" fontId="48" fillId="32" borderId="1" xfId="0" applyFont="1" applyFill="1" applyBorder="1" applyAlignment="1" applyProtection="1"/>
    <xf numFmtId="177" fontId="22" fillId="32" borderId="21" xfId="850" applyNumberFormat="1" applyFont="1" applyFill="1" applyBorder="1" applyAlignment="1" applyProtection="1">
      <alignment horizontal="right"/>
      <protection locked="0"/>
    </xf>
    <xf numFmtId="177" fontId="22" fillId="32" borderId="21" xfId="850" applyNumberFormat="1" applyFont="1" applyFill="1" applyBorder="1"/>
    <xf numFmtId="177" fontId="22" fillId="33" borderId="21" xfId="850" applyNumberFormat="1" applyFont="1" applyFill="1" applyBorder="1"/>
    <xf numFmtId="177" fontId="22" fillId="32" borderId="20" xfId="850" applyNumberFormat="1" applyFont="1" applyFill="1" applyBorder="1" applyAlignment="1" applyProtection="1">
      <alignment horizontal="right"/>
      <protection locked="0"/>
    </xf>
    <xf numFmtId="177" fontId="22" fillId="32" borderId="20" xfId="850" applyNumberFormat="1" applyFont="1" applyFill="1" applyBorder="1"/>
    <xf numFmtId="177" fontId="22" fillId="33" borderId="20" xfId="850" applyNumberFormat="1" applyFont="1" applyFill="1" applyBorder="1"/>
    <xf numFmtId="177" fontId="64" fillId="32" borderId="20" xfId="850" applyNumberFormat="1" applyFont="1" applyFill="1" applyBorder="1"/>
    <xf numFmtId="0" fontId="48" fillId="32" borderId="87" xfId="0" applyFont="1" applyFill="1" applyBorder="1" applyProtection="1"/>
    <xf numFmtId="0" fontId="48" fillId="32" borderId="85" xfId="0" applyFont="1" applyFill="1" applyBorder="1" applyProtection="1"/>
    <xf numFmtId="0" fontId="22" fillId="0" borderId="22" xfId="0" applyFont="1" applyFill="1" applyBorder="1"/>
    <xf numFmtId="0" fontId="48" fillId="32" borderId="89" xfId="0" applyFont="1" applyFill="1" applyBorder="1"/>
    <xf numFmtId="0" fontId="22" fillId="32" borderId="90" xfId="0" applyFont="1" applyFill="1" applyBorder="1"/>
    <xf numFmtId="4" fontId="64" fillId="32" borderId="25" xfId="850" applyNumberFormat="1" applyFont="1" applyFill="1" applyBorder="1"/>
    <xf numFmtId="4" fontId="64" fillId="32" borderId="56" xfId="850" applyNumberFormat="1" applyFont="1" applyFill="1" applyBorder="1"/>
    <xf numFmtId="0" fontId="42" fillId="25" borderId="0" xfId="0" applyFont="1" applyFill="1"/>
    <xf numFmtId="183" fontId="76" fillId="46" borderId="0" xfId="551" applyFont="1" applyFill="1" applyBorder="1" applyAlignment="1">
      <alignment horizontal="left" indent="1"/>
    </xf>
    <xf numFmtId="167" fontId="76" fillId="47" borderId="0" xfId="844" applyNumberFormat="1" applyFont="1" applyFill="1" applyBorder="1" applyAlignment="1">
      <alignment horizontal="right"/>
    </xf>
    <xf numFmtId="167" fontId="76" fillId="47" borderId="0" xfId="844" applyNumberFormat="1" applyFont="1" applyFill="1" applyBorder="1"/>
    <xf numFmtId="183" fontId="77" fillId="46" borderId="0" xfId="551" applyFont="1" applyFill="1" applyBorder="1" applyAlignment="1">
      <alignment horizontal="left" indent="1"/>
    </xf>
    <xf numFmtId="184" fontId="76" fillId="46" borderId="0" xfId="551" applyNumberFormat="1" applyFont="1" applyFill="1" applyBorder="1"/>
    <xf numFmtId="183" fontId="78" fillId="46" borderId="0" xfId="551" applyFont="1" applyFill="1" applyBorder="1" applyAlignment="1">
      <alignment horizontal="left" indent="2"/>
    </xf>
    <xf numFmtId="184" fontId="78" fillId="46" borderId="0" xfId="551" applyNumberFormat="1" applyFont="1" applyFill="1" applyBorder="1"/>
    <xf numFmtId="167" fontId="78" fillId="47" borderId="0" xfId="844" applyNumberFormat="1" applyFont="1" applyFill="1" applyBorder="1" applyAlignment="1">
      <alignment horizontal="right"/>
    </xf>
    <xf numFmtId="167" fontId="78" fillId="47" borderId="0" xfId="844" applyNumberFormat="1" applyFont="1" applyFill="1" applyBorder="1"/>
    <xf numFmtId="183" fontId="78" fillId="46" borderId="0" xfId="551" applyFont="1" applyFill="1" applyBorder="1" applyAlignment="1">
      <alignment horizontal="left" indent="3"/>
    </xf>
    <xf numFmtId="184" fontId="42" fillId="46" borderId="0" xfId="551" applyNumberFormat="1" applyFont="1" applyFill="1" applyBorder="1"/>
    <xf numFmtId="184" fontId="42" fillId="46" borderId="0" xfId="551" applyNumberFormat="1" applyFont="1" applyFill="1" applyBorder="1" applyAlignment="1"/>
    <xf numFmtId="167" fontId="78" fillId="47" borderId="0" xfId="844" applyNumberFormat="1" applyFont="1" applyFill="1" applyBorder="1" applyAlignment="1"/>
    <xf numFmtId="183" fontId="102" fillId="48" borderId="0" xfId="551" applyFont="1" applyFill="1" applyBorder="1" applyAlignment="1">
      <alignment vertical="center"/>
    </xf>
    <xf numFmtId="183" fontId="76" fillId="46" borderId="0" xfId="551" applyFont="1" applyFill="1" applyBorder="1"/>
    <xf numFmtId="183" fontId="76" fillId="46" borderId="91" xfId="551" applyFont="1" applyFill="1" applyBorder="1" applyAlignment="1">
      <alignment horizontal="left" indent="1"/>
    </xf>
    <xf numFmtId="183" fontId="78" fillId="46" borderId="91" xfId="551" applyFont="1" applyFill="1" applyBorder="1"/>
    <xf numFmtId="183" fontId="78" fillId="46" borderId="0" xfId="551" applyFont="1" applyFill="1" applyBorder="1"/>
    <xf numFmtId="183" fontId="102" fillId="48" borderId="0" xfId="551" applyFont="1" applyFill="1" applyBorder="1" applyAlignment="1">
      <alignment horizontal="left" vertical="center" wrapText="1"/>
    </xf>
    <xf numFmtId="183" fontId="0" fillId="0" borderId="0" xfId="0" applyNumberFormat="1"/>
    <xf numFmtId="183" fontId="76" fillId="46" borderId="0" xfId="551" applyNumberFormat="1" applyFont="1" applyFill="1" applyBorder="1" applyAlignment="1">
      <alignment horizontal="left" indent="1"/>
    </xf>
    <xf numFmtId="183" fontId="76" fillId="46" borderId="0" xfId="551" applyNumberFormat="1" applyFont="1" applyFill="1" applyBorder="1"/>
    <xf numFmtId="183" fontId="76" fillId="47" borderId="0" xfId="844" applyNumberFormat="1" applyFont="1" applyFill="1" applyBorder="1" applyAlignment="1">
      <alignment horizontal="right"/>
    </xf>
    <xf numFmtId="183" fontId="76" fillId="47" borderId="0" xfId="844" applyNumberFormat="1" applyFont="1" applyFill="1" applyBorder="1"/>
    <xf numFmtId="185" fontId="76" fillId="46" borderId="0" xfId="551" applyNumberFormat="1" applyFont="1" applyFill="1" applyBorder="1"/>
    <xf numFmtId="185" fontId="78" fillId="46" borderId="0" xfId="551" applyNumberFormat="1" applyFont="1" applyFill="1" applyBorder="1"/>
    <xf numFmtId="185" fontId="78" fillId="46" borderId="0" xfId="551" applyNumberFormat="1" applyFont="1" applyFill="1" applyBorder="1" applyAlignment="1"/>
    <xf numFmtId="0" fontId="44" fillId="28" borderId="16" xfId="0" applyFont="1" applyFill="1" applyBorder="1" applyAlignment="1">
      <alignment horizontal="left" vertical="top" wrapText="1"/>
    </xf>
    <xf numFmtId="0" fontId="92" fillId="0" borderId="36" xfId="0" applyFont="1" applyBorder="1"/>
    <xf numFmtId="1" fontId="66" fillId="44" borderId="80" xfId="530" applyNumberFormat="1" applyFont="1" applyFill="1" applyBorder="1"/>
    <xf numFmtId="1" fontId="66" fillId="33" borderId="0" xfId="530" applyNumberFormat="1" applyFont="1" applyFill="1" applyBorder="1"/>
    <xf numFmtId="1" fontId="66" fillId="33" borderId="52" xfId="530" applyNumberFormat="1" applyFont="1" applyFill="1" applyBorder="1"/>
    <xf numFmtId="180" fontId="67" fillId="28" borderId="80" xfId="530" applyNumberFormat="1" applyFont="1" applyFill="1" applyBorder="1"/>
    <xf numFmtId="181" fontId="69" fillId="0" borderId="0" xfId="530" applyNumberFormat="1" applyFont="1" applyFill="1" applyBorder="1"/>
    <xf numFmtId="181" fontId="69" fillId="0" borderId="52" xfId="530" applyNumberFormat="1" applyFont="1" applyFill="1" applyBorder="1"/>
    <xf numFmtId="180" fontId="68" fillId="0" borderId="80" xfId="530" applyNumberFormat="1" applyFont="1" applyFill="1" applyBorder="1"/>
    <xf numFmtId="181" fontId="66" fillId="0" borderId="0" xfId="530" applyNumberFormat="1" applyFont="1" applyBorder="1"/>
    <xf numFmtId="181" fontId="66" fillId="0" borderId="52" xfId="530" applyNumberFormat="1" applyFont="1" applyBorder="1"/>
    <xf numFmtId="181" fontId="69" fillId="0" borderId="0" xfId="530" applyNumberFormat="1" applyFont="1" applyBorder="1"/>
    <xf numFmtId="181" fontId="69" fillId="0" borderId="52" xfId="530" applyNumberFormat="1" applyFont="1" applyBorder="1"/>
    <xf numFmtId="180" fontId="66" fillId="0" borderId="0" xfId="530" applyNumberFormat="1" applyFont="1" applyFill="1" applyBorder="1"/>
    <xf numFmtId="180" fontId="66" fillId="0" borderId="52" xfId="530" applyNumberFormat="1" applyFont="1" applyFill="1" applyBorder="1"/>
    <xf numFmtId="180" fontId="68" fillId="0" borderId="81" xfId="530" applyNumberFormat="1" applyFont="1" applyFill="1" applyBorder="1"/>
    <xf numFmtId="181" fontId="66" fillId="0" borderId="76" xfId="530" applyNumberFormat="1" applyFont="1" applyBorder="1"/>
    <xf numFmtId="181" fontId="66" fillId="0" borderId="77" xfId="530" applyNumberFormat="1" applyFont="1" applyBorder="1"/>
    <xf numFmtId="0" fontId="22" fillId="0" borderId="36" xfId="0" applyFont="1" applyBorder="1"/>
    <xf numFmtId="0" fontId="22" fillId="0" borderId="37" xfId="0" applyFont="1" applyBorder="1"/>
    <xf numFmtId="0" fontId="22" fillId="0" borderId="79" xfId="0" applyFont="1" applyBorder="1"/>
    <xf numFmtId="0" fontId="22" fillId="0" borderId="80" xfId="0" applyFont="1" applyBorder="1"/>
    <xf numFmtId="0" fontId="22" fillId="0" borderId="81" xfId="0" applyFont="1" applyBorder="1"/>
    <xf numFmtId="174" fontId="92" fillId="0" borderId="0" xfId="0" applyNumberFormat="1" applyFont="1" applyBorder="1"/>
    <xf numFmtId="0" fontId="79" fillId="0" borderId="0" xfId="0" applyFont="1"/>
    <xf numFmtId="185" fontId="0" fillId="0" borderId="0" xfId="0" applyNumberFormat="1"/>
    <xf numFmtId="0" fontId="84" fillId="44" borderId="19" xfId="533" applyFill="1" applyBorder="1"/>
    <xf numFmtId="0" fontId="0" fillId="44" borderId="73" xfId="0" applyFill="1" applyBorder="1"/>
    <xf numFmtId="0" fontId="0" fillId="44" borderId="72" xfId="0" applyFill="1" applyBorder="1"/>
    <xf numFmtId="0" fontId="0" fillId="44" borderId="3" xfId="0" applyFill="1" applyBorder="1"/>
    <xf numFmtId="0" fontId="47" fillId="0" borderId="0" xfId="0" applyFont="1" applyFill="1" applyBorder="1"/>
    <xf numFmtId="2" fontId="79" fillId="0" borderId="0" xfId="0" applyNumberFormat="1" applyFont="1"/>
    <xf numFmtId="0" fontId="0" fillId="44" borderId="16" xfId="0" applyFill="1" applyBorder="1"/>
    <xf numFmtId="0" fontId="0" fillId="44" borderId="20" xfId="0" applyFill="1" applyBorder="1"/>
    <xf numFmtId="0" fontId="0" fillId="44" borderId="23" xfId="0" applyFill="1" applyBorder="1"/>
    <xf numFmtId="0" fontId="22" fillId="0" borderId="0" xfId="0" applyFont="1" applyBorder="1"/>
    <xf numFmtId="0" fontId="0" fillId="0" borderId="23" xfId="0" applyBorder="1"/>
    <xf numFmtId="9" fontId="0" fillId="0" borderId="0" xfId="844" applyFont="1"/>
    <xf numFmtId="0" fontId="22" fillId="0" borderId="94" xfId="0" applyFont="1" applyBorder="1"/>
    <xf numFmtId="0" fontId="22" fillId="0" borderId="95" xfId="0" applyFont="1" applyBorder="1"/>
    <xf numFmtId="0" fontId="0" fillId="0" borderId="96" xfId="0" applyBorder="1"/>
    <xf numFmtId="0" fontId="0" fillId="0" borderId="97" xfId="0" applyBorder="1"/>
    <xf numFmtId="0" fontId="0" fillId="0" borderId="92" xfId="0" applyBorder="1"/>
    <xf numFmtId="0" fontId="0" fillId="0" borderId="93" xfId="0" applyBorder="1"/>
    <xf numFmtId="0" fontId="48" fillId="0" borderId="0" xfId="0" applyFont="1" applyFill="1" applyBorder="1"/>
    <xf numFmtId="2" fontId="79" fillId="0" borderId="0" xfId="0" quotePrefix="1" applyNumberFormat="1" applyFont="1"/>
    <xf numFmtId="167" fontId="0" fillId="0" borderId="20" xfId="0" applyNumberFormat="1" applyBorder="1"/>
    <xf numFmtId="0" fontId="0" fillId="0" borderId="24" xfId="0" applyBorder="1"/>
    <xf numFmtId="9" fontId="0" fillId="0" borderId="20" xfId="0" applyNumberFormat="1" applyBorder="1"/>
    <xf numFmtId="9" fontId="0" fillId="0" borderId="0" xfId="0" applyNumberFormat="1" applyBorder="1"/>
    <xf numFmtId="174" fontId="49" fillId="0" borderId="0" xfId="0" applyNumberFormat="1" applyFont="1" applyBorder="1"/>
    <xf numFmtId="0" fontId="21" fillId="0" borderId="0" xfId="0" applyFont="1" applyBorder="1"/>
    <xf numFmtId="0" fontId="0" fillId="0" borderId="0" xfId="0"/>
    <xf numFmtId="0" fontId="0" fillId="0" borderId="0" xfId="0" applyBorder="1"/>
    <xf numFmtId="0" fontId="0" fillId="0" borderId="0" xfId="0" applyFill="1"/>
    <xf numFmtId="0" fontId="21" fillId="0" borderId="0" xfId="0" applyFont="1"/>
    <xf numFmtId="167" fontId="0" fillId="0" borderId="0" xfId="0" applyNumberFormat="1"/>
    <xf numFmtId="0" fontId="21" fillId="0" borderId="0" xfId="0" applyFont="1" applyFill="1" applyBorder="1"/>
    <xf numFmtId="0" fontId="21" fillId="0" borderId="20" xfId="0" applyFont="1" applyFill="1" applyBorder="1"/>
    <xf numFmtId="2" fontId="0" fillId="37" borderId="0" xfId="0" applyNumberFormat="1" applyFill="1"/>
    <xf numFmtId="0" fontId="126" fillId="37" borderId="19" xfId="0" applyFont="1" applyFill="1" applyBorder="1"/>
    <xf numFmtId="0" fontId="0" fillId="37" borderId="0" xfId="0" applyFont="1" applyFill="1" applyBorder="1"/>
    <xf numFmtId="1" fontId="0" fillId="0" borderId="0" xfId="0" applyNumberFormat="1" applyFill="1"/>
    <xf numFmtId="0" fontId="21" fillId="0" borderId="19" xfId="0" applyFont="1" applyFill="1" applyBorder="1"/>
    <xf numFmtId="0" fontId="21" fillId="44" borderId="17" xfId="0" applyFont="1" applyFill="1" applyBorder="1"/>
    <xf numFmtId="1" fontId="0" fillId="0" borderId="20" xfId="0" applyNumberFormat="1" applyBorder="1"/>
    <xf numFmtId="167" fontId="0" fillId="0" borderId="23" xfId="0" applyNumberFormat="1" applyBorder="1"/>
    <xf numFmtId="1" fontId="0" fillId="40" borderId="0" xfId="0" applyNumberFormat="1" applyFill="1"/>
    <xf numFmtId="0" fontId="127" fillId="44" borderId="0" xfId="0" applyFont="1" applyFill="1" applyProtection="1"/>
    <xf numFmtId="0" fontId="0" fillId="44" borderId="0" xfId="0" applyFill="1" applyAlignment="1" applyProtection="1">
      <alignment horizontal="right"/>
    </xf>
    <xf numFmtId="0" fontId="0" fillId="0" borderId="0" xfId="0" applyAlignment="1">
      <alignment horizontal="left"/>
    </xf>
    <xf numFmtId="181" fontId="166" fillId="0" borderId="0" xfId="5117" applyNumberFormat="1" applyFont="1" applyFill="1"/>
    <xf numFmtId="181" fontId="166" fillId="0" borderId="20" xfId="5117" applyNumberFormat="1" applyFont="1" applyFill="1" applyBorder="1"/>
    <xf numFmtId="181" fontId="166" fillId="0" borderId="0" xfId="5117" applyNumberFormat="1" applyFont="1"/>
    <xf numFmtId="181" fontId="128" fillId="0" borderId="0" xfId="5117" applyNumberFormat="1" applyFont="1"/>
    <xf numFmtId="181" fontId="166" fillId="0" borderId="22" xfId="5117" applyNumberFormat="1" applyFont="1" applyFill="1" applyBorder="1"/>
    <xf numFmtId="181" fontId="166" fillId="0" borderId="23" xfId="5117" applyNumberFormat="1" applyFont="1" applyFill="1" applyBorder="1"/>
    <xf numFmtId="0" fontId="92" fillId="0" borderId="44" xfId="0" applyFont="1" applyBorder="1"/>
    <xf numFmtId="180" fontId="68" fillId="0" borderId="19" xfId="530" applyNumberFormat="1" applyFont="1" applyFill="1" applyBorder="1"/>
    <xf numFmtId="180" fontId="67" fillId="28" borderId="19" xfId="530" applyNumberFormat="1" applyFont="1" applyFill="1" applyBorder="1"/>
    <xf numFmtId="1" fontId="166" fillId="33" borderId="22" xfId="5117" applyNumberFormat="1" applyFont="1" applyFill="1" applyBorder="1"/>
    <xf numFmtId="1" fontId="66" fillId="44" borderId="19" xfId="530" applyNumberFormat="1" applyFont="1" applyFill="1" applyBorder="1"/>
    <xf numFmtId="181" fontId="166" fillId="0" borderId="0" xfId="5117" applyNumberFormat="1" applyFont="1" applyFill="1" applyBorder="1"/>
    <xf numFmtId="181" fontId="128" fillId="0" borderId="0" xfId="5117" applyNumberFormat="1" applyFont="1" applyFill="1" applyBorder="1"/>
    <xf numFmtId="1" fontId="166" fillId="33" borderId="0" xfId="5117" applyNumberFormat="1" applyFont="1" applyFill="1" applyBorder="1"/>
    <xf numFmtId="0" fontId="127" fillId="44" borderId="17" xfId="0" applyFont="1" applyFill="1" applyBorder="1" applyProtection="1"/>
    <xf numFmtId="0" fontId="127" fillId="44" borderId="44" xfId="0" applyFont="1" applyFill="1" applyBorder="1" applyProtection="1"/>
    <xf numFmtId="0" fontId="104" fillId="44" borderId="22" xfId="5089" applyFill="1" applyBorder="1" applyAlignment="1" applyProtection="1">
      <alignment horizontal="right"/>
    </xf>
    <xf numFmtId="0" fontId="104" fillId="44" borderId="22" xfId="5089" applyFill="1" applyBorder="1" applyAlignment="1" applyProtection="1">
      <alignment horizontal="left"/>
    </xf>
    <xf numFmtId="0" fontId="104" fillId="44" borderId="0" xfId="5089" applyFill="1" applyBorder="1" applyAlignment="1" applyProtection="1">
      <alignment horizontal="right"/>
    </xf>
    <xf numFmtId="0" fontId="104" fillId="44" borderId="0" xfId="5089" applyFill="1" applyBorder="1" applyAlignment="1" applyProtection="1">
      <alignment horizontal="left"/>
    </xf>
    <xf numFmtId="0" fontId="104" fillId="0" borderId="0" xfId="5089" applyFill="1" applyAlignment="1" applyProtection="1">
      <alignment horizontal="right"/>
    </xf>
    <xf numFmtId="181" fontId="128" fillId="0" borderId="0" xfId="5117" applyNumberFormat="1" applyFont="1" applyFill="1"/>
    <xf numFmtId="0" fontId="18" fillId="44" borderId="19" xfId="533" applyFont="1" applyFill="1" applyBorder="1"/>
    <xf numFmtId="180" fontId="166" fillId="0" borderId="0" xfId="5117" applyNumberFormat="1" applyFont="1" applyFill="1"/>
    <xf numFmtId="180" fontId="66" fillId="0" borderId="0" xfId="530" applyNumberFormat="1" applyFont="1" applyBorder="1"/>
    <xf numFmtId="0" fontId="84" fillId="40" borderId="19" xfId="533" applyFont="1" applyFill="1" applyBorder="1" applyAlignment="1" applyProtection="1">
      <alignment horizontal="left"/>
      <protection locked="0"/>
    </xf>
    <xf numFmtId="0" fontId="104" fillId="0" borderId="0" xfId="5089" applyFill="1" applyAlignment="1" applyProtection="1">
      <alignment horizontal="left"/>
    </xf>
    <xf numFmtId="181" fontId="128" fillId="0" borderId="22" xfId="5117" applyNumberFormat="1" applyFont="1" applyFill="1" applyBorder="1"/>
    <xf numFmtId="180" fontId="166" fillId="0" borderId="22" xfId="5117" applyNumberFormat="1" applyFont="1" applyFill="1" applyBorder="1"/>
    <xf numFmtId="180" fontId="166" fillId="0" borderId="0" xfId="5117" applyNumberFormat="1" applyFont="1" applyFill="1" applyBorder="1"/>
    <xf numFmtId="0" fontId="84" fillId="44" borderId="24" xfId="533" applyFill="1" applyBorder="1"/>
    <xf numFmtId="0" fontId="127" fillId="44" borderId="16" xfId="0" applyFont="1" applyFill="1" applyBorder="1" applyProtection="1"/>
    <xf numFmtId="180" fontId="68" fillId="0" borderId="24" xfId="530" applyNumberFormat="1" applyFont="1" applyFill="1" applyBorder="1"/>
    <xf numFmtId="189" fontId="48" fillId="25" borderId="0" xfId="1518" applyNumberFormat="1" applyFont="1" applyFill="1" applyBorder="1"/>
    <xf numFmtId="189" fontId="21" fillId="0" borderId="0" xfId="8676" applyNumberFormat="1" applyFont="1" applyFill="1"/>
    <xf numFmtId="0" fontId="21" fillId="33" borderId="20" xfId="1518" quotePrefix="1" applyFont="1" applyFill="1" applyBorder="1" applyAlignment="1">
      <alignment horizontal="right"/>
    </xf>
    <xf numFmtId="189" fontId="21" fillId="0" borderId="0" xfId="8676" applyNumberFormat="1" applyFont="1" applyFill="1" applyBorder="1"/>
    <xf numFmtId="0" fontId="0" fillId="0" borderId="16" xfId="0" applyFill="1" applyBorder="1" applyProtection="1"/>
    <xf numFmtId="0" fontId="167" fillId="0" borderId="19" xfId="0" applyFont="1" applyFill="1" applyBorder="1" applyProtection="1"/>
    <xf numFmtId="0" fontId="0" fillId="0" borderId="0" xfId="0" applyFill="1" applyBorder="1" applyProtection="1"/>
    <xf numFmtId="0" fontId="0" fillId="0" borderId="22" xfId="0" applyFill="1" applyBorder="1" applyProtection="1"/>
    <xf numFmtId="0" fontId="0" fillId="0" borderId="19" xfId="0" applyFill="1" applyBorder="1" applyProtection="1"/>
    <xf numFmtId="0" fontId="0" fillId="0" borderId="0" xfId="0" applyFill="1" applyBorder="1" applyAlignment="1" applyProtection="1">
      <alignment horizontal="left"/>
    </xf>
    <xf numFmtId="0" fontId="0" fillId="0" borderId="22" xfId="0" applyFill="1" applyBorder="1" applyAlignment="1" applyProtection="1">
      <alignment horizontal="left"/>
    </xf>
    <xf numFmtId="0" fontId="0" fillId="0" borderId="19" xfId="0" applyFill="1" applyBorder="1" applyAlignment="1" applyProtection="1">
      <alignment horizontal="left"/>
    </xf>
    <xf numFmtId="0" fontId="0" fillId="0" borderId="0" xfId="0" applyFill="1" applyBorder="1" applyAlignment="1" applyProtection="1">
      <alignment horizontal="right"/>
    </xf>
    <xf numFmtId="0" fontId="0" fillId="0" borderId="22" xfId="0" applyFill="1" applyBorder="1" applyAlignment="1" applyProtection="1">
      <alignment horizontal="right"/>
    </xf>
    <xf numFmtId="0" fontId="0" fillId="0" borderId="24" xfId="0" applyFill="1" applyBorder="1" applyProtection="1"/>
    <xf numFmtId="0" fontId="0" fillId="0" borderId="20" xfId="0" applyFill="1" applyBorder="1" applyProtection="1"/>
    <xf numFmtId="0" fontId="0" fillId="0" borderId="20" xfId="0" applyFill="1" applyBorder="1" applyAlignment="1" applyProtection="1">
      <alignment horizontal="left"/>
    </xf>
    <xf numFmtId="0" fontId="0" fillId="0" borderId="20" xfId="0" applyFill="1" applyBorder="1" applyAlignment="1" applyProtection="1">
      <alignment horizontal="right"/>
    </xf>
    <xf numFmtId="0" fontId="0" fillId="0" borderId="23" xfId="0" applyFill="1" applyBorder="1" applyAlignment="1" applyProtection="1">
      <alignment horizontal="right"/>
    </xf>
    <xf numFmtId="0" fontId="0" fillId="0" borderId="0" xfId="0" applyFill="1" applyProtection="1"/>
    <xf numFmtId="0" fontId="0" fillId="40" borderId="0" xfId="0" applyFill="1" applyBorder="1" applyAlignment="1" applyProtection="1">
      <alignment horizontal="left"/>
    </xf>
    <xf numFmtId="0" fontId="104" fillId="0" borderId="0" xfId="5089" applyFill="1" applyAlignment="1" applyProtection="1">
      <alignment horizontal="left"/>
    </xf>
    <xf numFmtId="0" fontId="21" fillId="44" borderId="0" xfId="0" applyFont="1" applyFill="1" applyBorder="1"/>
    <xf numFmtId="0" fontId="21" fillId="32" borderId="0" xfId="0" applyFont="1" applyFill="1" applyBorder="1" applyProtection="1">
      <protection locked="0"/>
    </xf>
    <xf numFmtId="172" fontId="0" fillId="0" borderId="23" xfId="0" applyNumberFormat="1" applyBorder="1"/>
    <xf numFmtId="0" fontId="79" fillId="0" borderId="44" xfId="0" applyFont="1" applyBorder="1"/>
    <xf numFmtId="0" fontId="79" fillId="0" borderId="16" xfId="0" applyFont="1" applyBorder="1"/>
    <xf numFmtId="0" fontId="79" fillId="0" borderId="17" xfId="0" applyFont="1" applyBorder="1"/>
    <xf numFmtId="0" fontId="79" fillId="0" borderId="19" xfId="0" applyFont="1" applyBorder="1"/>
    <xf numFmtId="0" fontId="79" fillId="0" borderId="24" xfId="0" applyFont="1" applyBorder="1"/>
    <xf numFmtId="172" fontId="0" fillId="0" borderId="22" xfId="0" applyNumberFormat="1" applyBorder="1"/>
    <xf numFmtId="0" fontId="0" fillId="0" borderId="44" xfId="0" applyFill="1" applyBorder="1" applyProtection="1"/>
    <xf numFmtId="0" fontId="0" fillId="0" borderId="16" xfId="0" applyFill="1" applyBorder="1" applyAlignment="1" applyProtection="1">
      <alignment horizontal="left"/>
    </xf>
    <xf numFmtId="0" fontId="0" fillId="0" borderId="17" xfId="0" applyFill="1" applyBorder="1" applyAlignment="1" applyProtection="1">
      <alignment horizontal="left"/>
    </xf>
    <xf numFmtId="0" fontId="0" fillId="0" borderId="24" xfId="0" applyFill="1" applyBorder="1" applyAlignment="1" applyProtection="1">
      <alignment horizontal="left"/>
    </xf>
    <xf numFmtId="0" fontId="126" fillId="44" borderId="19" xfId="0" applyFont="1" applyFill="1" applyBorder="1"/>
    <xf numFmtId="0" fontId="21" fillId="0" borderId="24" xfId="0" applyFont="1" applyFill="1" applyBorder="1" applyAlignment="1" applyProtection="1">
      <alignment horizontal="left"/>
    </xf>
    <xf numFmtId="9" fontId="0" fillId="0" borderId="98" xfId="844" applyFont="1" applyBorder="1"/>
    <xf numFmtId="9" fontId="22" fillId="0" borderId="99" xfId="844" applyFont="1" applyBorder="1"/>
    <xf numFmtId="9" fontId="0" fillId="0" borderId="100" xfId="844" applyFont="1" applyBorder="1"/>
    <xf numFmtId="9" fontId="22" fillId="0" borderId="101" xfId="844" applyFont="1" applyBorder="1"/>
    <xf numFmtId="1" fontId="49" fillId="0" borderId="0" xfId="0" applyNumberFormat="1" applyFont="1" applyFill="1" applyBorder="1"/>
    <xf numFmtId="2" fontId="49" fillId="0" borderId="0" xfId="0" applyNumberFormat="1" applyFont="1" applyFill="1" applyBorder="1"/>
    <xf numFmtId="0" fontId="49" fillId="0" borderId="0" xfId="0" applyFont="1" applyBorder="1"/>
    <xf numFmtId="0" fontId="0" fillId="0" borderId="0" xfId="0" applyFill="1" applyAlignment="1" applyProtection="1">
      <alignment horizontal="left"/>
    </xf>
    <xf numFmtId="0" fontId="0" fillId="0" borderId="0" xfId="0" applyFill="1" applyAlignment="1" applyProtection="1">
      <alignment horizontal="right"/>
    </xf>
    <xf numFmtId="0" fontId="0" fillId="0" borderId="77" xfId="0" quotePrefix="1" applyBorder="1"/>
    <xf numFmtId="11" fontId="0" fillId="0" borderId="0" xfId="0" applyNumberFormat="1"/>
    <xf numFmtId="2" fontId="21" fillId="0" borderId="0" xfId="0" applyNumberFormat="1" applyFont="1"/>
    <xf numFmtId="0" fontId="21" fillId="0" borderId="44" xfId="0" applyFont="1" applyBorder="1"/>
    <xf numFmtId="0" fontId="21" fillId="44" borderId="16" xfId="0" applyFont="1" applyFill="1" applyBorder="1"/>
    <xf numFmtId="0" fontId="21" fillId="44" borderId="24" xfId="0" applyFont="1" applyFill="1" applyBorder="1"/>
    <xf numFmtId="9" fontId="66" fillId="0" borderId="0" xfId="844" applyFont="1"/>
    <xf numFmtId="0" fontId="21" fillId="0" borderId="80" xfId="0" applyFont="1" applyBorder="1"/>
    <xf numFmtId="0" fontId="21" fillId="0" borderId="81" xfId="0" applyFont="1" applyBorder="1"/>
    <xf numFmtId="1" fontId="0" fillId="0" borderId="52" xfId="0" applyNumberFormat="1" applyBorder="1"/>
    <xf numFmtId="0" fontId="0" fillId="0" borderId="0" xfId="0"/>
    <xf numFmtId="2" fontId="0" fillId="40" borderId="0" xfId="0" applyNumberFormat="1" applyFill="1"/>
    <xf numFmtId="167" fontId="0" fillId="0" borderId="22" xfId="0" applyNumberFormat="1" applyBorder="1"/>
    <xf numFmtId="1" fontId="0" fillId="0" borderId="0" xfId="0" applyNumberFormat="1" applyFill="1" applyBorder="1"/>
    <xf numFmtId="0" fontId="44" fillId="28" borderId="16" xfId="0" applyFont="1" applyFill="1" applyBorder="1" applyAlignment="1">
      <alignment horizontal="center" vertical="center" wrapText="1"/>
    </xf>
    <xf numFmtId="0" fontId="0" fillId="32" borderId="44" xfId="0" applyFill="1" applyBorder="1"/>
    <xf numFmtId="0" fontId="0" fillId="32" borderId="19" xfId="0" applyFill="1" applyBorder="1"/>
    <xf numFmtId="0" fontId="0" fillId="32" borderId="24" xfId="0" applyFill="1" applyBorder="1"/>
    <xf numFmtId="195" fontId="21" fillId="32" borderId="17" xfId="0" applyNumberFormat="1" applyFont="1" applyFill="1" applyBorder="1" applyAlignment="1" applyProtection="1">
      <alignment horizontal="right"/>
      <protection locked="0"/>
    </xf>
    <xf numFmtId="0" fontId="21" fillId="44" borderId="22" xfId="0" applyFont="1" applyFill="1" applyBorder="1" applyAlignment="1">
      <alignment horizontal="right"/>
    </xf>
    <xf numFmtId="195" fontId="21" fillId="44" borderId="22" xfId="0" applyNumberFormat="1" applyFont="1" applyFill="1" applyBorder="1" applyAlignment="1">
      <alignment horizontal="right"/>
    </xf>
    <xf numFmtId="0" fontId="21" fillId="0" borderId="20" xfId="0" applyFont="1" applyBorder="1"/>
    <xf numFmtId="1" fontId="0" fillId="0" borderId="23" xfId="0" applyNumberFormat="1" applyBorder="1"/>
    <xf numFmtId="0" fontId="48" fillId="0" borderId="44" xfId="0" applyFont="1" applyBorder="1"/>
    <xf numFmtId="0" fontId="21" fillId="0" borderId="19" xfId="0" applyFont="1" applyBorder="1"/>
    <xf numFmtId="0" fontId="21" fillId="0" borderId="22" xfId="0" applyFont="1" applyBorder="1"/>
    <xf numFmtId="1" fontId="0" fillId="0" borderId="17" xfId="0" applyNumberFormat="1" applyBorder="1"/>
    <xf numFmtId="0" fontId="21" fillId="0" borderId="22" xfId="0" applyFont="1" applyFill="1" applyBorder="1"/>
    <xf numFmtId="0" fontId="21" fillId="0" borderId="24" xfId="0" applyFont="1" applyFill="1" applyBorder="1"/>
    <xf numFmtId="0" fontId="21" fillId="0" borderId="23" xfId="0" applyFont="1" applyFill="1" applyBorder="1"/>
    <xf numFmtId="2" fontId="0" fillId="0" borderId="0" xfId="0" applyNumberFormat="1" applyFill="1"/>
    <xf numFmtId="180" fontId="68" fillId="0" borderId="44" xfId="530" applyNumberFormat="1" applyFont="1" applyFill="1" applyBorder="1"/>
    <xf numFmtId="180" fontId="67" fillId="0" borderId="0" xfId="530" applyNumberFormat="1" applyFont="1" applyFill="1" applyBorder="1"/>
    <xf numFmtId="0" fontId="16" fillId="0" borderId="0" xfId="8903"/>
    <xf numFmtId="1" fontId="16" fillId="0" borderId="0" xfId="8903" applyNumberFormat="1"/>
    <xf numFmtId="0" fontId="104" fillId="0" borderId="19" xfId="5089" applyFill="1" applyBorder="1" applyProtection="1"/>
    <xf numFmtId="0" fontId="104" fillId="0" borderId="19" xfId="5089" applyFill="1" applyBorder="1" applyAlignment="1" applyProtection="1">
      <alignment horizontal="left"/>
    </xf>
    <xf numFmtId="0" fontId="22" fillId="0" borderId="52" xfId="0" applyFont="1" applyBorder="1"/>
    <xf numFmtId="0" fontId="0" fillId="0" borderId="131" xfId="0" applyBorder="1"/>
    <xf numFmtId="2" fontId="0" fillId="0" borderId="0" xfId="0" applyNumberFormat="1" applyFill="1" applyBorder="1"/>
    <xf numFmtId="181" fontId="0" fillId="0" borderId="0" xfId="0" applyNumberFormat="1"/>
    <xf numFmtId="0" fontId="0" fillId="0" borderId="0" xfId="0"/>
    <xf numFmtId="174" fontId="0" fillId="0" borderId="0" xfId="0" applyNumberFormat="1"/>
    <xf numFmtId="174" fontId="0" fillId="0" borderId="0" xfId="0" applyNumberFormat="1" applyBorder="1"/>
    <xf numFmtId="1" fontId="104" fillId="0" borderId="0" xfId="5089" applyNumberFormat="1" applyFill="1" applyAlignment="1" applyProtection="1">
      <alignment horizontal="right"/>
    </xf>
    <xf numFmtId="0" fontId="104" fillId="0" borderId="0" xfId="5089" applyFill="1" applyAlignment="1" applyProtection="1">
      <alignment horizontal="right"/>
    </xf>
    <xf numFmtId="0" fontId="104" fillId="0" borderId="0" xfId="5089" applyFill="1" applyAlignment="1" applyProtection="1">
      <alignment horizontal="left"/>
    </xf>
    <xf numFmtId="0" fontId="104" fillId="0" borderId="0" xfId="5089" applyFill="1" applyAlignment="1" applyProtection="1">
      <alignment horizontal="right"/>
    </xf>
    <xf numFmtId="180" fontId="0" fillId="0" borderId="0" xfId="0" applyNumberFormat="1"/>
    <xf numFmtId="198" fontId="22" fillId="0" borderId="0" xfId="0" applyNumberFormat="1" applyFont="1"/>
    <xf numFmtId="178" fontId="16" fillId="0" borderId="0" xfId="8903" applyNumberFormat="1"/>
    <xf numFmtId="0" fontId="182" fillId="0" borderId="138" xfId="0" applyFont="1" applyBorder="1" applyAlignment="1">
      <alignment horizontal="left" vertical="top" wrapText="1"/>
    </xf>
    <xf numFmtId="17" fontId="21" fillId="0" borderId="0" xfId="0" applyNumberFormat="1" applyFont="1"/>
    <xf numFmtId="0" fontId="104" fillId="0" borderId="0" xfId="5089" applyFill="1" applyAlignment="1" applyProtection="1">
      <alignment horizontal="right"/>
    </xf>
    <xf numFmtId="0" fontId="182" fillId="0" borderId="139" xfId="0" applyFont="1" applyBorder="1" applyAlignment="1">
      <alignment horizontal="left" vertical="top" wrapText="1"/>
    </xf>
    <xf numFmtId="2" fontId="104" fillId="0" borderId="0" xfId="5089" applyNumberFormat="1" applyFill="1" applyAlignment="1" applyProtection="1">
      <alignment horizontal="left"/>
    </xf>
    <xf numFmtId="0" fontId="104" fillId="0" borderId="0" xfId="5089" applyFill="1" applyAlignment="1" applyProtection="1">
      <alignment horizontal="left"/>
    </xf>
    <xf numFmtId="0" fontId="182" fillId="0" borderId="137" xfId="0" applyFont="1" applyBorder="1" applyAlignment="1">
      <alignment horizontal="left" vertical="top" wrapText="1"/>
    </xf>
    <xf numFmtId="3" fontId="13" fillId="0" borderId="20" xfId="18965" applyNumberFormat="1" applyFill="1" applyBorder="1"/>
    <xf numFmtId="3" fontId="13" fillId="0" borderId="0" xfId="18965" applyNumberFormat="1" applyFill="1"/>
    <xf numFmtId="0" fontId="90" fillId="0" borderId="0" xfId="18965" applyFont="1" applyFill="1"/>
    <xf numFmtId="0" fontId="104" fillId="0" borderId="0" xfId="5089" applyFill="1" applyAlignment="1" applyProtection="1">
      <alignment horizontal="left"/>
    </xf>
    <xf numFmtId="0" fontId="181" fillId="94" borderId="138" xfId="0" applyFont="1" applyFill="1" applyBorder="1" applyAlignment="1">
      <alignment horizontal="left" vertical="top" wrapText="1"/>
    </xf>
    <xf numFmtId="0" fontId="104" fillId="0" borderId="0" xfId="5089" applyFill="1" applyAlignment="1" applyProtection="1">
      <alignment horizontal="right"/>
    </xf>
    <xf numFmtId="0" fontId="181" fillId="94" borderId="139" xfId="0" applyFont="1" applyFill="1" applyBorder="1" applyAlignment="1">
      <alignment horizontal="left" vertical="top" wrapText="1"/>
    </xf>
    <xf numFmtId="0" fontId="181" fillId="94" borderId="137" xfId="0" applyFont="1" applyFill="1" applyBorder="1" applyAlignment="1">
      <alignment horizontal="left" vertical="top" wrapText="1"/>
    </xf>
    <xf numFmtId="0" fontId="182" fillId="95" borderId="139" xfId="0" applyFont="1" applyFill="1" applyBorder="1" applyAlignment="1">
      <alignment horizontal="left" vertical="top" wrapText="1"/>
    </xf>
    <xf numFmtId="0" fontId="182" fillId="95" borderId="138" xfId="0" applyFont="1" applyFill="1" applyBorder="1" applyAlignment="1">
      <alignment horizontal="left" vertical="top" wrapText="1"/>
    </xf>
    <xf numFmtId="0" fontId="182" fillId="95" borderId="137" xfId="0" applyFont="1" applyFill="1" applyBorder="1" applyAlignment="1">
      <alignment horizontal="left" vertical="top" wrapText="1"/>
    </xf>
    <xf numFmtId="0" fontId="13" fillId="0" borderId="0" xfId="18965"/>
    <xf numFmtId="0" fontId="90" fillId="0" borderId="0" xfId="18965" applyFont="1"/>
    <xf numFmtId="3" fontId="13" fillId="0" borderId="0" xfId="18965" applyNumberFormat="1"/>
    <xf numFmtId="0" fontId="13" fillId="0" borderId="131" xfId="18965" applyBorder="1"/>
    <xf numFmtId="3" fontId="13" fillId="0" borderId="131" xfId="18965" applyNumberFormat="1" applyBorder="1"/>
    <xf numFmtId="0" fontId="13" fillId="0" borderId="44" xfId="18965" applyBorder="1"/>
    <xf numFmtId="0" fontId="13" fillId="0" borderId="17" xfId="18965" applyBorder="1"/>
    <xf numFmtId="0" fontId="13" fillId="0" borderId="19" xfId="18965" applyBorder="1"/>
    <xf numFmtId="0" fontId="13" fillId="0" borderId="0" xfId="18965" applyBorder="1"/>
    <xf numFmtId="0" fontId="13" fillId="0" borderId="22" xfId="18965" applyBorder="1"/>
    <xf numFmtId="0" fontId="13" fillId="0" borderId="24" xfId="18965" applyBorder="1"/>
    <xf numFmtId="0" fontId="13" fillId="0" borderId="20" xfId="18965" applyBorder="1"/>
    <xf numFmtId="3" fontId="13" fillId="0" borderId="20" xfId="18965" applyNumberFormat="1" applyBorder="1"/>
    <xf numFmtId="0" fontId="13" fillId="0" borderId="73" xfId="18965" applyBorder="1"/>
    <xf numFmtId="0" fontId="13" fillId="0" borderId="72" xfId="18965" applyBorder="1"/>
    <xf numFmtId="3" fontId="13" fillId="0" borderId="0" xfId="18965" applyNumberFormat="1" applyBorder="1"/>
    <xf numFmtId="3" fontId="13" fillId="0" borderId="22" xfId="18965" applyNumberFormat="1" applyBorder="1"/>
    <xf numFmtId="3" fontId="13" fillId="0" borderId="17" xfId="18965" applyNumberFormat="1" applyBorder="1"/>
    <xf numFmtId="3" fontId="13" fillId="0" borderId="23" xfId="18965" applyNumberFormat="1" applyBorder="1"/>
    <xf numFmtId="3" fontId="13" fillId="45" borderId="0" xfId="18965" applyNumberFormat="1" applyFill="1"/>
    <xf numFmtId="11" fontId="13" fillId="0" borderId="0" xfId="18965" applyNumberFormat="1"/>
    <xf numFmtId="0" fontId="13" fillId="40" borderId="44" xfId="18965" applyFill="1" applyBorder="1"/>
    <xf numFmtId="0" fontId="13" fillId="40" borderId="24" xfId="18965" applyFill="1" applyBorder="1"/>
    <xf numFmtId="0" fontId="12" fillId="0" borderId="0" xfId="33962"/>
    <xf numFmtId="0" fontId="12" fillId="0" borderId="0" xfId="33962"/>
    <xf numFmtId="0" fontId="90" fillId="0" borderId="0" xfId="33962" applyFont="1"/>
    <xf numFmtId="0" fontId="12" fillId="0" borderId="20" xfId="33962" applyBorder="1"/>
    <xf numFmtId="0" fontId="167" fillId="0" borderId="0" xfId="0" applyFont="1" applyFill="1" applyProtection="1"/>
    <xf numFmtId="0" fontId="0" fillId="40" borderId="0" xfId="0" applyFill="1" applyBorder="1"/>
    <xf numFmtId="178" fontId="0" fillId="0" borderId="0" xfId="0" applyNumberFormat="1"/>
    <xf numFmtId="167" fontId="0" fillId="0" borderId="0" xfId="0" applyNumberFormat="1" applyFill="1" applyBorder="1"/>
    <xf numFmtId="0" fontId="0" fillId="0" borderId="0" xfId="0" applyAlignment="1">
      <alignment horizontal="center"/>
    </xf>
    <xf numFmtId="178" fontId="0" fillId="0" borderId="0" xfId="0" applyNumberFormat="1" applyFill="1"/>
    <xf numFmtId="178" fontId="0" fillId="0" borderId="0" xfId="0" applyNumberFormat="1" applyFill="1" applyBorder="1"/>
    <xf numFmtId="167" fontId="49" fillId="0" borderId="0" xfId="0" applyNumberFormat="1" applyFont="1" applyBorder="1"/>
    <xf numFmtId="0" fontId="0" fillId="0" borderId="135" xfId="0" applyBorder="1"/>
    <xf numFmtId="172" fontId="0" fillId="0" borderId="0" xfId="0" applyNumberFormat="1" applyFill="1" applyBorder="1"/>
    <xf numFmtId="172" fontId="0" fillId="0" borderId="0" xfId="0" applyNumberFormat="1" applyFill="1"/>
    <xf numFmtId="0" fontId="104" fillId="0" borderId="0" xfId="5089" applyFill="1" applyProtection="1"/>
    <xf numFmtId="0" fontId="127" fillId="0" borderId="0" xfId="5089" applyFont="1" applyFill="1" applyProtection="1"/>
    <xf numFmtId="0" fontId="104" fillId="0" borderId="0" xfId="5089" applyFill="1" applyAlignment="1" applyProtection="1">
      <alignment horizontal="left"/>
    </xf>
    <xf numFmtId="0" fontId="104" fillId="0" borderId="0" xfId="5089" applyFill="1" applyAlignment="1" applyProtection="1">
      <alignment horizontal="right"/>
    </xf>
    <xf numFmtId="0" fontId="127" fillId="0" borderId="0" xfId="5089" applyFont="1" applyFill="1" applyProtection="1"/>
    <xf numFmtId="0" fontId="104" fillId="0" borderId="0" xfId="5089" applyFill="1" applyAlignment="1" applyProtection="1">
      <alignment horizontal="right"/>
    </xf>
    <xf numFmtId="0" fontId="167" fillId="0" borderId="0" xfId="5089" applyFont="1" applyFill="1" applyProtection="1"/>
    <xf numFmtId="167" fontId="49" fillId="0" borderId="0" xfId="0" applyNumberFormat="1" applyFont="1" applyFill="1" applyBorder="1"/>
    <xf numFmtId="0" fontId="127" fillId="0" borderId="0" xfId="5089" applyFont="1" applyFill="1" applyProtection="1"/>
    <xf numFmtId="0" fontId="104" fillId="0" borderId="0" xfId="5089" applyFill="1" applyAlignment="1" applyProtection="1">
      <alignment horizontal="left"/>
    </xf>
    <xf numFmtId="0" fontId="104" fillId="0" borderId="0" xfId="5089" applyFill="1" applyProtection="1"/>
    <xf numFmtId="0" fontId="0" fillId="0" borderId="0" xfId="0"/>
    <xf numFmtId="0" fontId="0" fillId="0" borderId="0" xfId="0" applyBorder="1" applyAlignment="1">
      <alignment horizontal="center"/>
    </xf>
    <xf numFmtId="174" fontId="21" fillId="0" borderId="0" xfId="0" applyNumberFormat="1" applyFont="1" applyFill="1" applyBorder="1"/>
    <xf numFmtId="0" fontId="0" fillId="0" borderId="27" xfId="0" applyBorder="1"/>
    <xf numFmtId="0" fontId="21" fillId="0" borderId="0" xfId="0" applyFont="1" applyFill="1"/>
    <xf numFmtId="0" fontId="0" fillId="0" borderId="0" xfId="0"/>
    <xf numFmtId="1" fontId="0" fillId="0" borderId="0" xfId="0" applyNumberFormat="1"/>
    <xf numFmtId="0" fontId="43" fillId="41" borderId="0" xfId="0" applyFont="1" applyFill="1" applyBorder="1" applyAlignment="1">
      <alignment horizontal="left" vertical="center"/>
    </xf>
    <xf numFmtId="0" fontId="0" fillId="0" borderId="0" xfId="0"/>
    <xf numFmtId="2" fontId="0" fillId="0" borderId="0" xfId="0" applyNumberFormat="1" applyBorder="1"/>
    <xf numFmtId="172" fontId="0" fillId="0" borderId="0" xfId="0" applyNumberFormat="1"/>
    <xf numFmtId="10" fontId="0" fillId="40" borderId="0" xfId="0" applyNumberFormat="1" applyFill="1"/>
    <xf numFmtId="177" fontId="0" fillId="0" borderId="0" xfId="0" applyNumberFormat="1"/>
    <xf numFmtId="0" fontId="167" fillId="0" borderId="0" xfId="5089" applyFont="1" applyFill="1" applyProtection="1"/>
    <xf numFmtId="9" fontId="0" fillId="0" borderId="19" xfId="0" applyNumberFormat="1" applyBorder="1"/>
    <xf numFmtId="9" fontId="0" fillId="0" borderId="22" xfId="0" applyNumberFormat="1" applyBorder="1"/>
    <xf numFmtId="9" fontId="0" fillId="0" borderId="23" xfId="0" applyNumberFormat="1" applyBorder="1"/>
    <xf numFmtId="0" fontId="104" fillId="0" borderId="0" xfId="5089" applyFill="1" applyProtection="1"/>
    <xf numFmtId="0" fontId="127" fillId="0" borderId="0" xfId="5089" applyFont="1" applyFill="1" applyProtection="1"/>
    <xf numFmtId="0" fontId="104" fillId="0" borderId="0" xfId="5089" applyFill="1" applyAlignment="1" applyProtection="1">
      <alignment horizontal="left"/>
    </xf>
    <xf numFmtId="0" fontId="0" fillId="0" borderId="0" xfId="0" applyAlignment="1">
      <alignment horizontal="left"/>
    </xf>
    <xf numFmtId="0" fontId="0" fillId="0" borderId="0" xfId="0"/>
    <xf numFmtId="0" fontId="0" fillId="0" borderId="0" xfId="0" applyFill="1" applyBorder="1"/>
    <xf numFmtId="2" fontId="23" fillId="0" borderId="0" xfId="0" applyNumberFormat="1" applyFont="1" applyAlignment="1">
      <alignment horizontal="left"/>
    </xf>
    <xf numFmtId="0" fontId="0" fillId="0" borderId="0" xfId="0" applyFill="1"/>
    <xf numFmtId="0" fontId="21" fillId="0" borderId="0" xfId="0" applyFont="1"/>
    <xf numFmtId="0" fontId="44" fillId="28" borderId="15" xfId="0" applyFont="1" applyFill="1" applyBorder="1" applyAlignment="1">
      <alignment horizontal="left" vertical="top" wrapText="1"/>
    </xf>
    <xf numFmtId="0" fontId="0" fillId="0" borderId="19" xfId="0" applyBorder="1"/>
    <xf numFmtId="0" fontId="48" fillId="0" borderId="0" xfId="0" applyFont="1"/>
    <xf numFmtId="0" fontId="0" fillId="0" borderId="22" xfId="0" applyBorder="1"/>
    <xf numFmtId="174" fontId="0" fillId="0" borderId="20" xfId="0" applyNumberFormat="1" applyFill="1" applyBorder="1"/>
    <xf numFmtId="174" fontId="0" fillId="0" borderId="0" xfId="0" applyNumberFormat="1" applyBorder="1"/>
    <xf numFmtId="174" fontId="0" fillId="0" borderId="0" xfId="0" applyNumberFormat="1" applyFill="1" applyBorder="1"/>
    <xf numFmtId="174" fontId="0" fillId="0" borderId="0" xfId="0" applyNumberFormat="1" applyBorder="1" applyAlignment="1">
      <alignment horizontal="left"/>
    </xf>
    <xf numFmtId="0" fontId="0" fillId="0" borderId="144" xfId="0" applyBorder="1"/>
    <xf numFmtId="1" fontId="0" fillId="0" borderId="0" xfId="0" applyNumberFormat="1"/>
    <xf numFmtId="172" fontId="0" fillId="0" borderId="0" xfId="0" applyNumberFormat="1"/>
    <xf numFmtId="0" fontId="21" fillId="0" borderId="0" xfId="0" applyFont="1" applyFill="1" applyBorder="1"/>
    <xf numFmtId="0" fontId="0" fillId="0" borderId="142" xfId="0" applyBorder="1"/>
    <xf numFmtId="0" fontId="0" fillId="0" borderId="24" xfId="0" applyBorder="1"/>
    <xf numFmtId="9" fontId="0" fillId="0" borderId="20" xfId="0" applyNumberFormat="1" applyBorder="1"/>
    <xf numFmtId="9" fontId="0" fillId="0" borderId="0" xfId="0" applyNumberFormat="1" applyBorder="1"/>
    <xf numFmtId="197" fontId="43" fillId="44" borderId="0" xfId="17438" applyFill="1" applyBorder="1"/>
    <xf numFmtId="0" fontId="0" fillId="0" borderId="146" xfId="0" applyBorder="1"/>
    <xf numFmtId="0" fontId="21" fillId="0" borderId="142" xfId="0" applyFont="1" applyBorder="1"/>
    <xf numFmtId="172" fontId="0" fillId="0" borderId="146" xfId="0" applyNumberFormat="1" applyBorder="1"/>
    <xf numFmtId="1" fontId="0" fillId="0" borderId="146" xfId="0" applyNumberFormat="1" applyBorder="1"/>
    <xf numFmtId="1" fontId="0" fillId="0" borderId="142" xfId="0" applyNumberFormat="1" applyBorder="1"/>
    <xf numFmtId="0" fontId="0" fillId="0" borderId="19" xfId="0" applyFill="1" applyBorder="1"/>
    <xf numFmtId="0" fontId="0" fillId="0" borderId="24" xfId="0" applyFill="1" applyBorder="1"/>
    <xf numFmtId="172" fontId="0" fillId="0" borderId="20" xfId="0" applyNumberFormat="1" applyFill="1" applyBorder="1"/>
    <xf numFmtId="1" fontId="0" fillId="0" borderId="20" xfId="0" applyNumberFormat="1" applyFill="1" applyBorder="1"/>
    <xf numFmtId="167" fontId="92" fillId="0" borderId="0" xfId="0" applyNumberFormat="1" applyFont="1" applyFill="1"/>
    <xf numFmtId="0" fontId="43" fillId="41" borderId="146" xfId="0" applyFont="1" applyFill="1" applyBorder="1" applyAlignment="1">
      <alignment horizontal="left" vertical="center" wrapText="1"/>
    </xf>
    <xf numFmtId="178" fontId="0" fillId="0" borderId="0" xfId="0" applyNumberFormat="1" applyBorder="1"/>
    <xf numFmtId="1" fontId="92" fillId="0" borderId="0" xfId="0" applyNumberFormat="1" applyFont="1" applyFill="1"/>
    <xf numFmtId="0" fontId="0" fillId="0" borderId="0" xfId="0"/>
    <xf numFmtId="0" fontId="0" fillId="0" borderId="0" xfId="0" applyBorder="1"/>
    <xf numFmtId="2" fontId="0" fillId="0" borderId="0" xfId="0" applyNumberFormat="1"/>
    <xf numFmtId="0" fontId="44" fillId="28" borderId="15" xfId="0" applyFont="1" applyFill="1" applyBorder="1" applyAlignment="1">
      <alignment horizontal="left" vertical="top" wrapText="1"/>
    </xf>
    <xf numFmtId="167" fontId="0" fillId="0" borderId="0" xfId="0" applyNumberFormat="1" applyBorder="1"/>
    <xf numFmtId="1" fontId="0" fillId="0" borderId="0" xfId="0" applyNumberFormat="1"/>
    <xf numFmtId="167" fontId="0" fillId="0" borderId="0" xfId="0" applyNumberFormat="1"/>
    <xf numFmtId="172" fontId="0" fillId="0" borderId="0" xfId="0" applyNumberFormat="1"/>
    <xf numFmtId="0" fontId="43" fillId="41" borderId="0" xfId="0" applyFont="1" applyFill="1" applyBorder="1" applyAlignment="1">
      <alignment horizontal="left" vertical="center" wrapText="1"/>
    </xf>
    <xf numFmtId="0" fontId="44" fillId="28" borderId="0" xfId="0" applyFont="1" applyFill="1" applyBorder="1" applyAlignment="1">
      <alignment horizontal="left" vertical="top" wrapText="1"/>
    </xf>
    <xf numFmtId="172" fontId="0" fillId="0" borderId="0" xfId="0" applyNumberFormat="1" applyBorder="1"/>
    <xf numFmtId="0" fontId="97" fillId="0" borderId="0" xfId="0" applyFont="1" applyBorder="1"/>
    <xf numFmtId="0" fontId="0" fillId="40" borderId="0" xfId="0" applyFill="1"/>
    <xf numFmtId="0" fontId="80" fillId="0" borderId="0" xfId="0" applyFont="1" applyFill="1" applyBorder="1" applyAlignment="1">
      <alignment horizontal="left" wrapText="1"/>
    </xf>
    <xf numFmtId="0" fontId="49" fillId="40" borderId="0" xfId="0" applyFont="1" applyFill="1" applyBorder="1"/>
    <xf numFmtId="0" fontId="104" fillId="0" borderId="147" xfId="49725" applyFont="1" applyFill="1" applyBorder="1" applyAlignment="1" applyProtection="1">
      <alignment vertical="center"/>
    </xf>
    <xf numFmtId="0" fontId="8" fillId="0" borderId="142" xfId="49725" applyBorder="1"/>
    <xf numFmtId="0" fontId="104" fillId="0" borderId="145" xfId="49725" applyFont="1" applyFill="1" applyBorder="1" applyAlignment="1" applyProtection="1">
      <alignment vertical="center" wrapText="1"/>
    </xf>
    <xf numFmtId="2" fontId="8" fillId="0" borderId="22" xfId="49725" applyNumberFormat="1" applyBorder="1"/>
    <xf numFmtId="1" fontId="8" fillId="0" borderId="22" xfId="49725" applyNumberFormat="1" applyBorder="1"/>
    <xf numFmtId="0" fontId="8" fillId="0" borderId="22" xfId="49725" applyBorder="1"/>
    <xf numFmtId="0" fontId="104" fillId="40" borderId="145" xfId="49725" applyFont="1" applyFill="1" applyBorder="1" applyAlignment="1" applyProtection="1">
      <alignment vertical="center" wrapText="1"/>
    </xf>
    <xf numFmtId="9" fontId="8" fillId="40" borderId="22" xfId="49725" applyNumberFormat="1" applyFill="1" applyBorder="1"/>
    <xf numFmtId="0" fontId="104" fillId="40" borderId="148" xfId="49725" applyFont="1" applyFill="1" applyBorder="1" applyAlignment="1" applyProtection="1">
      <alignment vertical="center" wrapText="1"/>
    </xf>
    <xf numFmtId="0" fontId="92" fillId="0" borderId="0" xfId="0" applyFont="1" applyFill="1"/>
    <xf numFmtId="0" fontId="21" fillId="0" borderId="144" xfId="0" applyFont="1" applyBorder="1"/>
    <xf numFmtId="0" fontId="21" fillId="0" borderId="24" xfId="0" applyFont="1" applyBorder="1"/>
    <xf numFmtId="0" fontId="48" fillId="0" borderId="142" xfId="0" applyFont="1" applyBorder="1"/>
    <xf numFmtId="0" fontId="48" fillId="0" borderId="22" xfId="0" applyFont="1" applyBorder="1"/>
    <xf numFmtId="1" fontId="104" fillId="0" borderId="22" xfId="5089" applyNumberFormat="1" applyFill="1" applyBorder="1" applyAlignment="1" applyProtection="1"/>
    <xf numFmtId="1" fontId="104" fillId="0" borderId="23" xfId="5089" applyNumberFormat="1" applyFill="1" applyBorder="1" applyAlignment="1" applyProtection="1"/>
    <xf numFmtId="1" fontId="104" fillId="0" borderId="0" xfId="5089" applyNumberFormat="1" applyFill="1" applyBorder="1" applyAlignment="1" applyProtection="1"/>
    <xf numFmtId="1" fontId="104" fillId="0" borderId="19" xfId="5089" applyNumberFormat="1" applyFill="1" applyBorder="1" applyAlignment="1" applyProtection="1"/>
    <xf numFmtId="1" fontId="104" fillId="0" borderId="24" xfId="5089" applyNumberFormat="1" applyFill="1" applyBorder="1" applyAlignment="1" applyProtection="1"/>
    <xf numFmtId="1" fontId="104" fillId="0" borderId="144" xfId="5089" applyNumberFormat="1" applyFill="1" applyBorder="1" applyAlignment="1" applyProtection="1"/>
    <xf numFmtId="9" fontId="0" fillId="0" borderId="142" xfId="0" applyNumberFormat="1" applyBorder="1"/>
    <xf numFmtId="1" fontId="104" fillId="0" borderId="0" xfId="5089" applyNumberFormat="1" applyFill="1" applyAlignment="1" applyProtection="1"/>
    <xf numFmtId="0" fontId="48" fillId="0" borderId="146" xfId="0" applyFont="1" applyBorder="1"/>
    <xf numFmtId="167" fontId="0" fillId="0" borderId="142" xfId="0" applyNumberFormat="1" applyBorder="1"/>
    <xf numFmtId="0" fontId="104" fillId="0" borderId="19" xfId="5089" applyFill="1" applyBorder="1" applyAlignment="1" applyProtection="1">
      <alignment horizontal="right"/>
    </xf>
    <xf numFmtId="0" fontId="0" fillId="0" borderId="24" xfId="0" applyBorder="1" applyAlignment="1">
      <alignment horizontal="left"/>
    </xf>
    <xf numFmtId="0" fontId="103" fillId="49" borderId="0" xfId="0" applyFont="1" applyFill="1" applyBorder="1" applyAlignment="1">
      <alignment horizontal="center"/>
    </xf>
    <xf numFmtId="0" fontId="0" fillId="0" borderId="0" xfId="0" applyAlignment="1">
      <alignment horizontal="center"/>
    </xf>
    <xf numFmtId="0" fontId="0" fillId="44" borderId="0" xfId="0" applyFill="1"/>
    <xf numFmtId="0" fontId="43" fillId="29" borderId="146" xfId="0" applyFont="1" applyFill="1" applyBorder="1" applyAlignment="1">
      <alignment horizontal="left" vertical="center" wrapText="1"/>
    </xf>
    <xf numFmtId="0" fontId="43" fillId="42" borderId="146" xfId="0" applyFont="1" applyFill="1" applyBorder="1" applyAlignment="1">
      <alignment horizontal="left" vertical="center" wrapText="1"/>
    </xf>
    <xf numFmtId="0" fontId="43" fillId="99" borderId="146" xfId="0" applyFont="1" applyFill="1" applyBorder="1" applyAlignment="1">
      <alignment horizontal="left" vertical="center" wrapText="1"/>
    </xf>
    <xf numFmtId="0" fontId="21" fillId="44" borderId="149" xfId="0" applyFont="1" applyFill="1" applyBorder="1"/>
    <xf numFmtId="0" fontId="21" fillId="44" borderId="150" xfId="0" applyFont="1" applyFill="1" applyBorder="1"/>
    <xf numFmtId="0" fontId="21" fillId="44" borderId="143" xfId="0" applyFont="1" applyFill="1" applyBorder="1"/>
    <xf numFmtId="0" fontId="48" fillId="100" borderId="144" xfId="0" applyFont="1" applyFill="1" applyBorder="1"/>
    <xf numFmtId="0" fontId="49" fillId="100" borderId="146" xfId="0" applyFont="1" applyFill="1" applyBorder="1"/>
    <xf numFmtId="0" fontId="0" fillId="100" borderId="146" xfId="0" applyFill="1" applyBorder="1"/>
    <xf numFmtId="0" fontId="0" fillId="100" borderId="142" xfId="0" applyFill="1" applyBorder="1"/>
    <xf numFmtId="0" fontId="48" fillId="101" borderId="144" xfId="0" applyFont="1" applyFill="1" applyBorder="1"/>
    <xf numFmtId="0" fontId="0" fillId="101" borderId="146" xfId="0" applyFill="1" applyBorder="1"/>
    <xf numFmtId="0" fontId="0" fillId="101" borderId="142" xfId="0" applyFill="1" applyBorder="1"/>
    <xf numFmtId="0" fontId="44" fillId="28" borderId="15" xfId="0" applyNumberFormat="1" applyFont="1" applyFill="1" applyBorder="1" applyAlignment="1">
      <alignment horizontal="left" vertical="top"/>
    </xf>
    <xf numFmtId="0" fontId="185" fillId="49" borderId="19" xfId="0" applyFont="1" applyFill="1" applyBorder="1"/>
    <xf numFmtId="0" fontId="185" fillId="49" borderId="0" xfId="0" applyFont="1" applyFill="1" applyBorder="1"/>
    <xf numFmtId="0" fontId="21" fillId="49" borderId="0" xfId="0" applyFont="1" applyFill="1" applyBorder="1"/>
    <xf numFmtId="0" fontId="21" fillId="49" borderId="22" xfId="0" applyFont="1" applyFill="1" applyBorder="1"/>
    <xf numFmtId="0" fontId="185" fillId="102" borderId="19" xfId="0" applyFont="1" applyFill="1" applyBorder="1"/>
    <xf numFmtId="0" fontId="185" fillId="102" borderId="0" xfId="0" applyFont="1" applyFill="1" applyBorder="1"/>
    <xf numFmtId="0" fontId="185" fillId="102" borderId="22" xfId="0" applyFont="1" applyFill="1" applyBorder="1"/>
    <xf numFmtId="0" fontId="185" fillId="98" borderId="19" xfId="0" applyFont="1" applyFill="1" applyBorder="1"/>
    <xf numFmtId="0" fontId="185" fillId="98" borderId="0" xfId="0" applyFont="1" applyFill="1" applyBorder="1"/>
    <xf numFmtId="0" fontId="185" fillId="98" borderId="22" xfId="0" applyFont="1" applyFill="1" applyBorder="1"/>
    <xf numFmtId="0" fontId="0" fillId="45" borderId="0" xfId="0" applyFill="1"/>
    <xf numFmtId="0" fontId="21" fillId="44" borderId="142" xfId="0" applyFont="1" applyFill="1" applyBorder="1"/>
    <xf numFmtId="172" fontId="21" fillId="40" borderId="146" xfId="0" applyNumberFormat="1" applyFont="1" applyFill="1" applyBorder="1"/>
    <xf numFmtId="172" fontId="21" fillId="40" borderId="142" xfId="0" applyNumberFormat="1" applyFont="1" applyFill="1" applyBorder="1"/>
    <xf numFmtId="0" fontId="0" fillId="100" borderId="19" xfId="0" applyFill="1" applyBorder="1"/>
    <xf numFmtId="1" fontId="0" fillId="100" borderId="0" xfId="0" applyNumberFormat="1" applyFill="1" applyBorder="1"/>
    <xf numFmtId="1" fontId="0" fillId="100" borderId="22" xfId="0" applyNumberFormat="1" applyFill="1" applyBorder="1"/>
    <xf numFmtId="0" fontId="0" fillId="101" borderId="19" xfId="0" applyFill="1" applyBorder="1"/>
    <xf numFmtId="0" fontId="0" fillId="101" borderId="0" xfId="0" applyFill="1" applyBorder="1"/>
    <xf numFmtId="0" fontId="0" fillId="101" borderId="22" xfId="0" applyFill="1" applyBorder="1"/>
    <xf numFmtId="172" fontId="21" fillId="40" borderId="19" xfId="0" applyNumberFormat="1" applyFont="1" applyFill="1" applyBorder="1"/>
    <xf numFmtId="172" fontId="21" fillId="40" borderId="0" xfId="0" applyNumberFormat="1" applyFont="1" applyFill="1" applyBorder="1"/>
    <xf numFmtId="172" fontId="21" fillId="40" borderId="22" xfId="0" applyNumberFormat="1" applyFont="1" applyFill="1" applyBorder="1"/>
    <xf numFmtId="172" fontId="21" fillId="0" borderId="0" xfId="0" applyNumberFormat="1" applyFont="1"/>
    <xf numFmtId="0" fontId="21" fillId="44" borderId="23" xfId="0" applyFont="1" applyFill="1" applyBorder="1"/>
    <xf numFmtId="0" fontId="21" fillId="44" borderId="22" xfId="0" applyFont="1" applyFill="1" applyBorder="1"/>
    <xf numFmtId="0" fontId="21" fillId="0" borderId="152" xfId="0" applyFont="1" applyBorder="1" applyAlignment="1" applyProtection="1">
      <alignment horizontal="center" vertical="center"/>
    </xf>
    <xf numFmtId="0" fontId="0" fillId="0" borderId="20" xfId="0" applyBorder="1" applyAlignment="1" applyProtection="1">
      <alignment horizontal="center" vertical="center"/>
    </xf>
    <xf numFmtId="0" fontId="21" fillId="0" borderId="153" xfId="0" applyFont="1" applyBorder="1" applyAlignment="1" applyProtection="1">
      <alignment horizontal="center" vertical="center"/>
    </xf>
    <xf numFmtId="199" fontId="0" fillId="0" borderId="0" xfId="0" applyNumberFormat="1" applyBorder="1" applyAlignment="1" applyProtection="1">
      <alignment vertical="center"/>
    </xf>
    <xf numFmtId="2" fontId="21" fillId="40" borderId="144" xfId="0" applyNumberFormat="1" applyFont="1" applyFill="1" applyBorder="1"/>
    <xf numFmtId="0" fontId="21" fillId="103" borderId="146" xfId="0" applyFont="1" applyFill="1" applyBorder="1"/>
    <xf numFmtId="0" fontId="21" fillId="103" borderId="142" xfId="0" applyFont="1" applyFill="1" applyBorder="1"/>
    <xf numFmtId="2" fontId="21" fillId="40" borderId="19" xfId="0" applyNumberFormat="1" applyFont="1" applyFill="1" applyBorder="1"/>
    <xf numFmtId="0" fontId="21" fillId="103" borderId="0" xfId="0" applyFont="1" applyFill="1" applyBorder="1"/>
    <xf numFmtId="0" fontId="21" fillId="103" borderId="22" xfId="0" applyFont="1" applyFill="1" applyBorder="1"/>
    <xf numFmtId="2" fontId="21" fillId="40" borderId="24" xfId="0" applyNumberFormat="1" applyFont="1" applyFill="1" applyBorder="1"/>
    <xf numFmtId="0" fontId="21" fillId="103" borderId="20" xfId="0" applyFont="1" applyFill="1" applyBorder="1"/>
    <xf numFmtId="0" fontId="21" fillId="103" borderId="23" xfId="0" applyFont="1" applyFill="1" applyBorder="1"/>
    <xf numFmtId="1" fontId="0" fillId="40" borderId="146" xfId="0" applyNumberFormat="1" applyFill="1" applyBorder="1"/>
    <xf numFmtId="1" fontId="0" fillId="40" borderId="0" xfId="0" applyNumberFormat="1" applyFill="1" applyBorder="1"/>
    <xf numFmtId="0" fontId="97" fillId="100" borderId="19" xfId="0" applyFont="1" applyFill="1" applyBorder="1"/>
    <xf numFmtId="0" fontId="0" fillId="101" borderId="24" xfId="0" applyFill="1" applyBorder="1"/>
    <xf numFmtId="0" fontId="0" fillId="101" borderId="20" xfId="0" applyFill="1" applyBorder="1"/>
    <xf numFmtId="0" fontId="0" fillId="101" borderId="23" xfId="0" applyFill="1" applyBorder="1"/>
    <xf numFmtId="1" fontId="0" fillId="40" borderId="20" xfId="0" applyNumberFormat="1" applyFill="1" applyBorder="1"/>
    <xf numFmtId="0" fontId="62" fillId="100" borderId="149" xfId="0" applyFont="1" applyFill="1" applyBorder="1"/>
    <xf numFmtId="1" fontId="0" fillId="100" borderId="143" xfId="0" applyNumberFormat="1" applyFill="1" applyBorder="1"/>
    <xf numFmtId="1" fontId="0" fillId="100" borderId="150" xfId="0" applyNumberFormat="1" applyFill="1" applyBorder="1"/>
    <xf numFmtId="1" fontId="62" fillId="101" borderId="149" xfId="0" applyNumberFormat="1" applyFont="1" applyFill="1" applyBorder="1"/>
    <xf numFmtId="1" fontId="62" fillId="101" borderId="143" xfId="0" applyNumberFormat="1" applyFont="1" applyFill="1" applyBorder="1"/>
    <xf numFmtId="1" fontId="62" fillId="101" borderId="150" xfId="0" applyNumberFormat="1" applyFont="1" applyFill="1" applyBorder="1"/>
    <xf numFmtId="0" fontId="187" fillId="44" borderId="0" xfId="51701" applyFont="1" applyFill="1"/>
    <xf numFmtId="0" fontId="48" fillId="100" borderId="146" xfId="0" applyFont="1" applyFill="1" applyBorder="1"/>
    <xf numFmtId="0" fontId="48" fillId="100" borderId="142" xfId="0" applyFont="1" applyFill="1" applyBorder="1"/>
    <xf numFmtId="0" fontId="185" fillId="97" borderId="19" xfId="0" applyFont="1" applyFill="1" applyBorder="1"/>
    <xf numFmtId="0" fontId="185" fillId="97" borderId="0" xfId="0" applyFont="1" applyFill="1" applyBorder="1"/>
    <xf numFmtId="0" fontId="185" fillId="97" borderId="22" xfId="0" applyFont="1" applyFill="1" applyBorder="1"/>
    <xf numFmtId="0" fontId="188" fillId="98" borderId="0" xfId="0" applyFont="1" applyFill="1" applyBorder="1"/>
    <xf numFmtId="0" fontId="49" fillId="101" borderId="19" xfId="0" applyFont="1" applyFill="1" applyBorder="1"/>
    <xf numFmtId="10" fontId="49" fillId="101" borderId="0" xfId="844" applyNumberFormat="1" applyFont="1" applyFill="1" applyBorder="1"/>
    <xf numFmtId="10" fontId="0" fillId="101" borderId="0" xfId="0" applyNumberFormat="1" applyFill="1" applyBorder="1"/>
    <xf numFmtId="10" fontId="0" fillId="101" borderId="22" xfId="0" applyNumberFormat="1" applyFill="1" applyBorder="1"/>
    <xf numFmtId="0" fontId="21" fillId="49" borderId="143" xfId="0" applyFont="1" applyFill="1" applyBorder="1"/>
    <xf numFmtId="0" fontId="49" fillId="101" borderId="24" xfId="0" applyFont="1" applyFill="1" applyBorder="1"/>
    <xf numFmtId="10" fontId="49" fillId="101" borderId="20" xfId="844" applyNumberFormat="1" applyFont="1" applyFill="1" applyBorder="1"/>
    <xf numFmtId="10" fontId="0" fillId="101" borderId="20" xfId="0" applyNumberFormat="1" applyFill="1" applyBorder="1"/>
    <xf numFmtId="10" fontId="0" fillId="101" borderId="23" xfId="0" applyNumberFormat="1" applyFill="1" applyBorder="1"/>
    <xf numFmtId="2" fontId="49" fillId="40" borderId="0" xfId="0" applyNumberFormat="1" applyFont="1" applyFill="1"/>
    <xf numFmtId="10" fontId="0" fillId="44" borderId="0" xfId="0" applyNumberFormat="1" applyFill="1"/>
    <xf numFmtId="0" fontId="48" fillId="0" borderId="20" xfId="0" applyFont="1" applyBorder="1"/>
    <xf numFmtId="1" fontId="62" fillId="100" borderId="143" xfId="0" applyNumberFormat="1" applyFont="1" applyFill="1" applyBorder="1"/>
    <xf numFmtId="1" fontId="62" fillId="100" borderId="150" xfId="0" applyNumberFormat="1" applyFont="1" applyFill="1" applyBorder="1"/>
    <xf numFmtId="0" fontId="111" fillId="51" borderId="144" xfId="1125" applyBorder="1"/>
    <xf numFmtId="0" fontId="111" fillId="51" borderId="146" xfId="1125" applyBorder="1"/>
    <xf numFmtId="0" fontId="111" fillId="51" borderId="142" xfId="1125" applyBorder="1" applyAlignment="1"/>
    <xf numFmtId="2" fontId="49" fillId="40" borderId="144" xfId="0" applyNumberFormat="1" applyFont="1" applyFill="1" applyBorder="1"/>
    <xf numFmtId="2" fontId="49" fillId="40" borderId="146" xfId="0" applyNumberFormat="1" applyFont="1" applyFill="1" applyBorder="1"/>
    <xf numFmtId="0" fontId="185" fillId="44" borderId="0" xfId="0" applyFont="1" applyFill="1"/>
    <xf numFmtId="0" fontId="111" fillId="51" borderId="19" xfId="1125" applyBorder="1"/>
    <xf numFmtId="0" fontId="111" fillId="51" borderId="0" xfId="1125" applyBorder="1"/>
    <xf numFmtId="0" fontId="111" fillId="51" borderId="0" xfId="1125" applyBorder="1" applyAlignment="1">
      <alignment horizontal="center"/>
    </xf>
    <xf numFmtId="0" fontId="111" fillId="51" borderId="22" xfId="1125" applyBorder="1"/>
    <xf numFmtId="2" fontId="49" fillId="40" borderId="19" xfId="0" applyNumberFormat="1" applyFont="1" applyFill="1" applyBorder="1"/>
    <xf numFmtId="2" fontId="49" fillId="40" borderId="0" xfId="0" applyNumberFormat="1" applyFont="1" applyFill="1" applyBorder="1"/>
    <xf numFmtId="167" fontId="112" fillId="52" borderId="105" xfId="1126" applyNumberFormat="1" applyBorder="1" applyAlignment="1">
      <alignment horizontal="center"/>
    </xf>
    <xf numFmtId="0" fontId="189" fillId="97" borderId="19" xfId="0" applyFont="1" applyFill="1" applyBorder="1"/>
    <xf numFmtId="0" fontId="189" fillId="97" borderId="0" xfId="0" applyFont="1" applyFill="1" applyBorder="1"/>
    <xf numFmtId="0" fontId="189" fillId="97" borderId="22" xfId="0" applyFont="1" applyFill="1" applyBorder="1"/>
    <xf numFmtId="2" fontId="49" fillId="40" borderId="24" xfId="0" applyNumberFormat="1" applyFont="1" applyFill="1" applyBorder="1"/>
    <xf numFmtId="2" fontId="49" fillId="40" borderId="20" xfId="0" applyNumberFormat="1" applyFont="1" applyFill="1" applyBorder="1"/>
    <xf numFmtId="0" fontId="49" fillId="100" borderId="19" xfId="0" applyFont="1" applyFill="1" applyBorder="1"/>
    <xf numFmtId="0" fontId="190" fillId="0" borderId="0" xfId="1129" applyFont="1"/>
    <xf numFmtId="49" fontId="191" fillId="51" borderId="19" xfId="1125" applyNumberFormat="1" applyFont="1" applyBorder="1"/>
    <xf numFmtId="0" fontId="191" fillId="51" borderId="0" xfId="1125" applyFont="1" applyBorder="1"/>
    <xf numFmtId="167" fontId="112" fillId="52" borderId="154" xfId="1126" applyNumberFormat="1" applyFont="1" applyBorder="1" applyAlignment="1">
      <alignment horizontal="center"/>
    </xf>
    <xf numFmtId="0" fontId="100" fillId="0" borderId="0" xfId="1129" applyFont="1"/>
    <xf numFmtId="0" fontId="192" fillId="50" borderId="24" xfId="1124" applyFont="1" applyBorder="1"/>
    <xf numFmtId="0" fontId="110" fillId="50" borderId="20" xfId="1124" applyBorder="1"/>
    <xf numFmtId="167" fontId="110" fillId="50" borderId="135" xfId="1124" applyNumberFormat="1" applyBorder="1" applyAlignment="1">
      <alignment horizontal="center"/>
    </xf>
    <xf numFmtId="0" fontId="111" fillId="51" borderId="23" xfId="1125" applyBorder="1"/>
    <xf numFmtId="0" fontId="114" fillId="53" borderId="24" xfId="1128" applyBorder="1" applyAlignment="1">
      <alignment horizontal="left"/>
    </xf>
    <xf numFmtId="0" fontId="114" fillId="53" borderId="155" xfId="1128" applyBorder="1" applyAlignment="1">
      <alignment horizontal="center"/>
    </xf>
    <xf numFmtId="178" fontId="114" fillId="53" borderId="156" xfId="1128" applyNumberFormat="1" applyBorder="1" applyAlignment="1">
      <alignment horizontal="center"/>
    </xf>
    <xf numFmtId="1" fontId="114" fillId="53" borderId="157" xfId="1128" applyNumberFormat="1" applyBorder="1" applyAlignment="1">
      <alignment horizontal="center"/>
    </xf>
    <xf numFmtId="0" fontId="48" fillId="54" borderId="158" xfId="8902" applyFont="1" applyBorder="1"/>
    <xf numFmtId="0" fontId="0" fillId="54" borderId="159" xfId="8902" applyFont="1" applyBorder="1"/>
    <xf numFmtId="0" fontId="0" fillId="54" borderId="160" xfId="8902" applyFont="1" applyBorder="1"/>
    <xf numFmtId="0" fontId="193" fillId="0" borderId="19" xfId="223" applyFont="1" applyBorder="1"/>
    <xf numFmtId="0" fontId="48" fillId="0" borderId="0" xfId="0" applyFont="1" applyBorder="1"/>
    <xf numFmtId="0" fontId="114" fillId="53" borderId="107" xfId="1128" applyAlignment="1">
      <alignment horizontal="center"/>
    </xf>
    <xf numFmtId="0" fontId="87" fillId="0" borderId="19" xfId="223" applyBorder="1"/>
    <xf numFmtId="1" fontId="112" fillId="52" borderId="105" xfId="1126" applyNumberFormat="1" applyBorder="1"/>
    <xf numFmtId="0" fontId="62" fillId="101" borderId="19" xfId="0" applyFont="1" applyFill="1" applyBorder="1" applyAlignment="1">
      <alignment horizontal="left" indent="1"/>
    </xf>
    <xf numFmtId="0" fontId="87" fillId="0" borderId="24" xfId="223" applyBorder="1"/>
    <xf numFmtId="1" fontId="49" fillId="101" borderId="0" xfId="844" applyNumberFormat="1" applyFont="1" applyFill="1" applyBorder="1"/>
    <xf numFmtId="1" fontId="49" fillId="101" borderId="22" xfId="844" applyNumberFormat="1" applyFont="1" applyFill="1" applyBorder="1"/>
    <xf numFmtId="0" fontId="194" fillId="97" borderId="22" xfId="0" applyFont="1" applyFill="1" applyBorder="1"/>
    <xf numFmtId="1" fontId="49" fillId="101" borderId="20" xfId="844" applyNumberFormat="1" applyFont="1" applyFill="1" applyBorder="1"/>
    <xf numFmtId="1" fontId="49" fillId="101" borderId="23" xfId="844" applyNumberFormat="1" applyFont="1" applyFill="1" applyBorder="1"/>
    <xf numFmtId="0" fontId="21" fillId="100" borderId="19" xfId="0" applyFont="1" applyFill="1" applyBorder="1"/>
    <xf numFmtId="1" fontId="21" fillId="100" borderId="0" xfId="0" applyNumberFormat="1" applyFont="1" applyFill="1" applyBorder="1"/>
    <xf numFmtId="1" fontId="62" fillId="100" borderId="22" xfId="0" applyNumberFormat="1" applyFont="1" applyFill="1" applyBorder="1"/>
    <xf numFmtId="0" fontId="21" fillId="100" borderId="24" xfId="0" applyFont="1" applyFill="1" applyBorder="1"/>
    <xf numFmtId="1" fontId="21" fillId="100" borderId="20" xfId="0" applyNumberFormat="1" applyFont="1" applyFill="1" applyBorder="1"/>
    <xf numFmtId="1" fontId="62" fillId="100" borderId="23" xfId="0" applyNumberFormat="1" applyFont="1" applyFill="1" applyBorder="1"/>
    <xf numFmtId="10" fontId="49" fillId="101" borderId="22" xfId="844" applyNumberFormat="1" applyFont="1" applyFill="1" applyBorder="1"/>
    <xf numFmtId="0" fontId="48" fillId="0" borderId="0" xfId="0" applyFont="1" applyAlignment="1">
      <alignment horizontal="left"/>
    </xf>
    <xf numFmtId="0" fontId="87" fillId="0" borderId="0" xfId="223" applyAlignment="1"/>
    <xf numFmtId="0" fontId="48" fillId="0" borderId="0" xfId="0" applyFont="1" applyAlignment="1">
      <alignment horizontal="center"/>
    </xf>
    <xf numFmtId="9" fontId="29" fillId="7" borderId="163" xfId="51702" applyNumberFormat="1" applyAlignment="1">
      <alignment horizontal="center"/>
    </xf>
    <xf numFmtId="2" fontId="21" fillId="100" borderId="0" xfId="0" applyNumberFormat="1" applyFont="1" applyFill="1" applyBorder="1"/>
    <xf numFmtId="2" fontId="21" fillId="100" borderId="20" xfId="0" applyNumberFormat="1" applyFont="1" applyFill="1" applyBorder="1"/>
    <xf numFmtId="0" fontId="21" fillId="0" borderId="135" xfId="0" applyFont="1" applyBorder="1"/>
    <xf numFmtId="9" fontId="112" fillId="52" borderId="105" xfId="844" applyFont="1" applyFill="1" applyBorder="1" applyAlignment="1">
      <alignment vertical="center"/>
    </xf>
    <xf numFmtId="9" fontId="112" fillId="52" borderId="105" xfId="844" applyFont="1" applyFill="1" applyBorder="1"/>
    <xf numFmtId="0" fontId="0" fillId="44" borderId="0" xfId="0" applyFill="1" applyAlignment="1">
      <alignment horizontal="left"/>
    </xf>
    <xf numFmtId="0" fontId="21" fillId="100" borderId="19" xfId="0" applyFont="1" applyFill="1" applyBorder="1" applyAlignment="1">
      <alignment horizontal="left"/>
    </xf>
    <xf numFmtId="0" fontId="21" fillId="100" borderId="19" xfId="0" applyFont="1" applyFill="1" applyBorder="1" applyAlignment="1">
      <alignment horizontal="left" indent="2"/>
    </xf>
    <xf numFmtId="0" fontId="21" fillId="100" borderId="24" xfId="0" applyFont="1" applyFill="1" applyBorder="1" applyAlignment="1">
      <alignment horizontal="left"/>
    </xf>
    <xf numFmtId="2" fontId="49" fillId="101" borderId="0" xfId="844" applyNumberFormat="1" applyFont="1" applyFill="1" applyBorder="1"/>
    <xf numFmtId="2" fontId="49" fillId="101" borderId="22" xfId="844" applyNumberFormat="1" applyFont="1" applyFill="1" applyBorder="1"/>
    <xf numFmtId="2" fontId="49" fillId="101" borderId="20" xfId="844" applyNumberFormat="1" applyFont="1" applyFill="1" applyBorder="1"/>
    <xf numFmtId="2" fontId="49" fillId="101" borderId="23" xfId="844" applyNumberFormat="1" applyFont="1" applyFill="1" applyBorder="1"/>
    <xf numFmtId="0" fontId="186" fillId="44" borderId="0" xfId="51701" applyFill="1"/>
    <xf numFmtId="1" fontId="97" fillId="101" borderId="0" xfId="844" applyNumberFormat="1" applyFont="1" applyFill="1" applyBorder="1"/>
    <xf numFmtId="1" fontId="97" fillId="101" borderId="20" xfId="844" applyNumberFormat="1" applyFont="1" applyFill="1" applyBorder="1"/>
    <xf numFmtId="0" fontId="125" fillId="0" borderId="0" xfId="51701" applyFont="1"/>
    <xf numFmtId="0" fontId="186" fillId="0" borderId="0" xfId="51701"/>
    <xf numFmtId="0" fontId="21" fillId="44" borderId="146" xfId="0" applyFont="1" applyFill="1" applyBorder="1" applyAlignment="1">
      <alignment horizontal="center"/>
    </xf>
    <xf numFmtId="0" fontId="21" fillId="44" borderId="142" xfId="0" applyFont="1" applyFill="1" applyBorder="1" applyAlignment="1">
      <alignment horizontal="center"/>
    </xf>
    <xf numFmtId="0" fontId="49" fillId="44" borderId="144" xfId="0" applyFont="1" applyFill="1" applyBorder="1"/>
    <xf numFmtId="0" fontId="0" fillId="44" borderId="146" xfId="0" applyFill="1" applyBorder="1"/>
    <xf numFmtId="0" fontId="0" fillId="44" borderId="142" xfId="0" applyFill="1" applyBorder="1"/>
    <xf numFmtId="0" fontId="21" fillId="44" borderId="19" xfId="0" applyFont="1" applyFill="1" applyBorder="1"/>
    <xf numFmtId="0" fontId="120" fillId="44" borderId="0" xfId="1179" applyFont="1" applyFill="1" applyBorder="1"/>
    <xf numFmtId="0" fontId="120" fillId="44" borderId="22" xfId="1179" applyFont="1" applyFill="1" applyBorder="1"/>
    <xf numFmtId="0" fontId="120" fillId="44" borderId="19" xfId="1179" applyFont="1" applyFill="1" applyBorder="1"/>
    <xf numFmtId="1" fontId="120" fillId="44" borderId="0" xfId="1179" applyNumberFormat="1" applyFont="1" applyFill="1" applyBorder="1"/>
    <xf numFmtId="1" fontId="120" fillId="44" borderId="22" xfId="1179" applyNumberFormat="1" applyFont="1" applyFill="1" applyBorder="1"/>
    <xf numFmtId="1" fontId="21" fillId="0" borderId="0" xfId="0" applyNumberFormat="1" applyFont="1"/>
    <xf numFmtId="1" fontId="0" fillId="44" borderId="0" xfId="0" applyNumberFormat="1" applyFill="1" applyBorder="1" applyAlignment="1">
      <alignment horizontal="right"/>
    </xf>
    <xf numFmtId="1" fontId="21" fillId="44" borderId="0" xfId="0" applyNumberFormat="1" applyFont="1" applyFill="1" applyBorder="1"/>
    <xf numFmtId="1" fontId="21" fillId="0" borderId="22" xfId="0" applyNumberFormat="1" applyFont="1" applyBorder="1"/>
    <xf numFmtId="200" fontId="120" fillId="44" borderId="0" xfId="1180" applyNumberFormat="1" applyFont="1" applyFill="1" applyBorder="1"/>
    <xf numFmtId="200" fontId="120" fillId="44" borderId="22" xfId="1180" applyNumberFormat="1" applyFont="1" applyFill="1" applyBorder="1"/>
    <xf numFmtId="1" fontId="21" fillId="44" borderId="0" xfId="0" applyNumberFormat="1" applyFont="1" applyFill="1" applyBorder="1" applyAlignment="1">
      <alignment horizontal="right"/>
    </xf>
    <xf numFmtId="1" fontId="21" fillId="44" borderId="22" xfId="0" applyNumberFormat="1" applyFont="1" applyFill="1" applyBorder="1" applyAlignment="1">
      <alignment horizontal="right"/>
    </xf>
    <xf numFmtId="0" fontId="120" fillId="44" borderId="19" xfId="1179" applyFont="1" applyFill="1" applyBorder="1" applyAlignment="1">
      <alignment horizontal="left" indent="1"/>
    </xf>
    <xf numFmtId="1" fontId="120" fillId="44" borderId="0" xfId="51703" applyNumberFormat="1" applyFont="1" applyFill="1" applyBorder="1" applyAlignment="1">
      <alignment horizontal="right"/>
    </xf>
    <xf numFmtId="1" fontId="120" fillId="44" borderId="0" xfId="51703" applyNumberFormat="1" applyFont="1" applyFill="1" applyBorder="1" applyAlignment="1" applyProtection="1">
      <alignment horizontal="right"/>
      <protection locked="0"/>
    </xf>
    <xf numFmtId="1" fontId="21" fillId="44" borderId="19" xfId="0" applyNumberFormat="1" applyFont="1" applyFill="1" applyBorder="1"/>
    <xf numFmtId="0" fontId="120" fillId="44" borderId="24" xfId="1179" applyFont="1" applyFill="1" applyBorder="1"/>
    <xf numFmtId="0" fontId="21" fillId="44" borderId="20" xfId="0" applyFont="1" applyFill="1" applyBorder="1"/>
    <xf numFmtId="1" fontId="21" fillId="44" borderId="20" xfId="0" applyNumberFormat="1" applyFont="1" applyFill="1" applyBorder="1"/>
    <xf numFmtId="0" fontId="120" fillId="44" borderId="0" xfId="51703" applyFont="1" applyFill="1" applyBorder="1" applyAlignment="1" applyProtection="1">
      <alignment horizontal="left"/>
      <protection locked="0"/>
    </xf>
    <xf numFmtId="0" fontId="120" fillId="44" borderId="0" xfId="51703" applyFont="1" applyFill="1" applyBorder="1" applyAlignment="1" applyProtection="1">
      <alignment horizontal="right"/>
      <protection locked="0"/>
    </xf>
    <xf numFmtId="0" fontId="120" fillId="44" borderId="20" xfId="51703" applyFont="1" applyFill="1" applyBorder="1"/>
    <xf numFmtId="0" fontId="120" fillId="44" borderId="20" xfId="51703" applyFont="1" applyFill="1" applyBorder="1" applyAlignment="1" applyProtection="1">
      <alignment horizontal="left"/>
      <protection locked="0"/>
    </xf>
    <xf numFmtId="0" fontId="120" fillId="44" borderId="20" xfId="51703" applyFont="1" applyFill="1" applyBorder="1" applyAlignment="1" applyProtection="1">
      <alignment horizontal="right"/>
      <protection locked="0"/>
    </xf>
    <xf numFmtId="0" fontId="120" fillId="0" borderId="0" xfId="51703" applyFont="1"/>
    <xf numFmtId="1" fontId="120" fillId="0" borderId="0" xfId="51703" applyNumberFormat="1" applyFont="1" applyAlignment="1" applyProtection="1">
      <alignment horizontal="right"/>
      <protection locked="0"/>
    </xf>
    <xf numFmtId="0" fontId="120" fillId="0" borderId="0" xfId="51703" applyFont="1" applyFill="1"/>
    <xf numFmtId="0" fontId="120" fillId="0" borderId="0" xfId="51703" applyFont="1" applyAlignment="1" applyProtection="1">
      <alignment horizontal="left"/>
      <protection locked="0"/>
    </xf>
    <xf numFmtId="0" fontId="120" fillId="0" borderId="0" xfId="51703" applyFont="1" applyAlignment="1" applyProtection="1">
      <alignment horizontal="right"/>
      <protection locked="0"/>
    </xf>
    <xf numFmtId="0" fontId="197" fillId="0" borderId="0" xfId="1179" applyFont="1" applyBorder="1" applyAlignment="1"/>
    <xf numFmtId="0" fontId="120" fillId="0" borderId="0" xfId="1179"/>
    <xf numFmtId="0" fontId="120" fillId="44" borderId="0" xfId="51703" applyFont="1" applyFill="1" applyBorder="1"/>
    <xf numFmtId="167" fontId="21" fillId="44" borderId="0" xfId="0" applyNumberFormat="1" applyFont="1" applyFill="1" applyBorder="1" applyAlignment="1">
      <alignment horizontal="right"/>
    </xf>
    <xf numFmtId="167" fontId="21" fillId="44" borderId="22" xfId="0" applyNumberFormat="1" applyFont="1" applyFill="1" applyBorder="1" applyAlignment="1">
      <alignment horizontal="right"/>
    </xf>
    <xf numFmtId="167" fontId="21" fillId="0" borderId="0" xfId="0" applyNumberFormat="1" applyFont="1"/>
    <xf numFmtId="0" fontId="49" fillId="0" borderId="0" xfId="0" applyFont="1" applyFill="1" applyBorder="1"/>
    <xf numFmtId="0" fontId="198" fillId="0" borderId="0" xfId="0" applyFont="1" applyAlignment="1">
      <alignment horizontal="center" vertical="center" wrapText="1"/>
    </xf>
    <xf numFmtId="0" fontId="0" fillId="0" borderId="0" xfId="0" applyAlignment="1">
      <alignment vertical="center" wrapText="1"/>
    </xf>
    <xf numFmtId="0" fontId="72" fillId="24" borderId="0" xfId="51704" applyFont="1" applyFill="1"/>
    <xf numFmtId="0" fontId="21" fillId="24" borderId="0" xfId="51704" applyFill="1"/>
    <xf numFmtId="0" fontId="199" fillId="25" borderId="0" xfId="0" applyFont="1" applyFill="1"/>
    <xf numFmtId="0" fontId="48" fillId="32" borderId="165" xfId="0" applyFont="1" applyFill="1" applyBorder="1"/>
    <xf numFmtId="0" fontId="0" fillId="32" borderId="166" xfId="0" applyFill="1" applyBorder="1"/>
    <xf numFmtId="0" fontId="62" fillId="32" borderId="84" xfId="0" applyFont="1" applyFill="1" applyBorder="1"/>
    <xf numFmtId="0" fontId="200" fillId="103" borderId="0" xfId="0" applyFont="1" applyFill="1"/>
    <xf numFmtId="0" fontId="0" fillId="32" borderId="29" xfId="0" applyFill="1" applyBorder="1"/>
    <xf numFmtId="0" fontId="0" fillId="32" borderId="142" xfId="0" applyFill="1" applyBorder="1"/>
    <xf numFmtId="201" fontId="64" fillId="44" borderId="0" xfId="0" applyNumberFormat="1" applyFont="1" applyFill="1" applyBorder="1"/>
    <xf numFmtId="201" fontId="64" fillId="44" borderId="30" xfId="0" applyNumberFormat="1" applyFont="1" applyFill="1" applyBorder="1"/>
    <xf numFmtId="0" fontId="56" fillId="32" borderId="26" xfId="0" applyFont="1" applyFill="1" applyBorder="1"/>
    <xf numFmtId="0" fontId="56" fillId="32" borderId="27" xfId="0" applyFont="1" applyFill="1" applyBorder="1"/>
    <xf numFmtId="165" fontId="64" fillId="44" borderId="27" xfId="8882" applyNumberFormat="1" applyFont="1" applyFill="1" applyBorder="1"/>
    <xf numFmtId="0" fontId="0" fillId="0" borderId="29" xfId="0" applyBorder="1"/>
    <xf numFmtId="0" fontId="0" fillId="32" borderId="0" xfId="0" applyFill="1" applyBorder="1"/>
    <xf numFmtId="165" fontId="64" fillId="44" borderId="0" xfId="8882" applyNumberFormat="1" applyFont="1" applyFill="1" applyBorder="1"/>
    <xf numFmtId="2" fontId="0" fillId="25" borderId="0" xfId="0" applyNumberFormat="1" applyFill="1" applyBorder="1"/>
    <xf numFmtId="202" fontId="0" fillId="25" borderId="0" xfId="0" applyNumberFormat="1" applyFill="1" applyBorder="1"/>
    <xf numFmtId="9" fontId="64" fillId="44" borderId="0" xfId="8882" applyNumberFormat="1" applyFont="1" applyFill="1" applyBorder="1"/>
    <xf numFmtId="0" fontId="0" fillId="32" borderId="55" xfId="0" applyFill="1" applyBorder="1"/>
    <xf numFmtId="0" fontId="0" fillId="32" borderId="25" xfId="0" applyFill="1" applyBorder="1"/>
    <xf numFmtId="165" fontId="64" fillId="44" borderId="25" xfId="8882" applyNumberFormat="1" applyFont="1" applyFill="1" applyBorder="1"/>
    <xf numFmtId="165" fontId="64" fillId="44" borderId="56" xfId="8882" applyNumberFormat="1" applyFont="1" applyFill="1" applyBorder="1"/>
    <xf numFmtId="0" fontId="21" fillId="32" borderId="55" xfId="0" applyFont="1" applyFill="1" applyBorder="1"/>
    <xf numFmtId="0" fontId="0" fillId="32" borderId="90" xfId="0" applyFill="1" applyBorder="1"/>
    <xf numFmtId="202" fontId="101" fillId="44" borderId="25" xfId="0" applyNumberFormat="1" applyFont="1" applyFill="1" applyBorder="1"/>
    <xf numFmtId="202" fontId="64" fillId="44" borderId="25" xfId="8882" applyNumberFormat="1" applyFont="1" applyFill="1" applyBorder="1"/>
    <xf numFmtId="202" fontId="0" fillId="44" borderId="25" xfId="0" applyNumberFormat="1" applyFill="1" applyBorder="1"/>
    <xf numFmtId="202" fontId="0" fillId="44" borderId="56" xfId="0" applyNumberFormat="1" applyFill="1" applyBorder="1"/>
    <xf numFmtId="0" fontId="0" fillId="103" borderId="0" xfId="0" applyFill="1"/>
    <xf numFmtId="0" fontId="201" fillId="103" borderId="0" xfId="0" applyFont="1" applyFill="1"/>
    <xf numFmtId="203" fontId="21" fillId="103" borderId="0" xfId="18888" applyNumberFormat="1" applyFont="1" applyFill="1"/>
    <xf numFmtId="201" fontId="64" fillId="44" borderId="25" xfId="0" applyNumberFormat="1" applyFont="1" applyFill="1" applyBorder="1"/>
    <xf numFmtId="201" fontId="64" fillId="44" borderId="56" xfId="0" applyNumberFormat="1" applyFont="1" applyFill="1" applyBorder="1"/>
    <xf numFmtId="202" fontId="64" fillId="44" borderId="167" xfId="8882" applyNumberFormat="1" applyFont="1" applyFill="1" applyBorder="1"/>
    <xf numFmtId="202" fontId="0" fillId="44" borderId="167" xfId="0" applyNumberFormat="1" applyFill="1" applyBorder="1"/>
    <xf numFmtId="202" fontId="0" fillId="44" borderId="168" xfId="0" applyNumberFormat="1" applyFill="1" applyBorder="1"/>
    <xf numFmtId="165" fontId="64" fillId="44" borderId="30" xfId="8882" applyNumberFormat="1" applyFont="1" applyFill="1" applyBorder="1"/>
    <xf numFmtId="0" fontId="56" fillId="32" borderId="29" xfId="0" applyFont="1" applyFill="1" applyBorder="1"/>
    <xf numFmtId="0" fontId="56" fillId="32" borderId="22" xfId="0" applyFont="1" applyFill="1" applyBorder="1"/>
    <xf numFmtId="0" fontId="0" fillId="25" borderId="26" xfId="0" applyFill="1" applyBorder="1"/>
    <xf numFmtId="0" fontId="0" fillId="25" borderId="27" xfId="0" applyFill="1" applyBorder="1"/>
    <xf numFmtId="0" fontId="0" fillId="25" borderId="28" xfId="0" applyFill="1" applyBorder="1"/>
    <xf numFmtId="0" fontId="0" fillId="32" borderId="22" xfId="0" applyFill="1" applyBorder="1"/>
    <xf numFmtId="202" fontId="64" fillId="44" borderId="0" xfId="8882" applyNumberFormat="1" applyFont="1" applyFill="1" applyBorder="1"/>
    <xf numFmtId="202" fontId="0" fillId="44" borderId="0" xfId="0" applyNumberFormat="1" applyFill="1" applyBorder="1"/>
    <xf numFmtId="202" fontId="64" fillId="44" borderId="30" xfId="8882" applyNumberFormat="1" applyFont="1" applyFill="1" applyBorder="1"/>
    <xf numFmtId="0" fontId="0" fillId="44" borderId="56" xfId="0" applyFill="1" applyBorder="1"/>
    <xf numFmtId="0" fontId="64" fillId="103" borderId="0" xfId="0" applyFont="1" applyFill="1" applyAlignment="1">
      <alignment horizontal="left"/>
    </xf>
    <xf numFmtId="165" fontId="0" fillId="103" borderId="0" xfId="0" applyNumberFormat="1" applyFill="1"/>
    <xf numFmtId="0" fontId="0" fillId="42" borderId="0" xfId="0" applyFill="1"/>
    <xf numFmtId="0" fontId="43" fillId="38" borderId="146" xfId="0" applyFont="1" applyFill="1" applyBorder="1" applyAlignment="1">
      <alignment horizontal="left" vertical="center" wrapText="1"/>
    </xf>
    <xf numFmtId="0" fontId="43" fillId="36" borderId="146" xfId="0" applyFont="1" applyFill="1" applyBorder="1" applyAlignment="1">
      <alignment horizontal="left" vertical="center" wrapText="1"/>
    </xf>
    <xf numFmtId="0" fontId="43" fillId="43" borderId="146" xfId="0" applyFont="1" applyFill="1" applyBorder="1" applyAlignment="1">
      <alignment horizontal="left" vertical="center" wrapText="1"/>
    </xf>
    <xf numFmtId="0" fontId="43" fillId="36" borderId="20" xfId="0" applyFont="1" applyFill="1" applyBorder="1" applyAlignment="1">
      <alignment vertical="center"/>
    </xf>
    <xf numFmtId="0" fontId="43" fillId="36" borderId="20" xfId="0" applyFont="1" applyFill="1" applyBorder="1" applyAlignment="1">
      <alignment horizontal="center" vertical="center"/>
    </xf>
    <xf numFmtId="0" fontId="43" fillId="36" borderId="24" xfId="0" applyFont="1" applyFill="1" applyBorder="1" applyAlignment="1">
      <alignment vertical="center"/>
    </xf>
    <xf numFmtId="0" fontId="3" fillId="0" borderId="0" xfId="51703"/>
    <xf numFmtId="0" fontId="43" fillId="37" borderId="0" xfId="0" applyFont="1" applyFill="1" applyBorder="1" applyAlignment="1">
      <alignment horizontal="center" vertical="center"/>
    </xf>
    <xf numFmtId="0" fontId="43" fillId="37" borderId="19" xfId="0" applyFont="1" applyFill="1" applyBorder="1" applyAlignment="1">
      <alignment horizontal="center" vertical="center"/>
    </xf>
    <xf numFmtId="0" fontId="3" fillId="44" borderId="144" xfId="51703" applyFont="1" applyFill="1" applyBorder="1" applyAlignment="1" applyProtection="1">
      <alignment horizontal="left"/>
      <protection locked="0"/>
    </xf>
    <xf numFmtId="0" fontId="3" fillId="44" borderId="146" xfId="51703" applyFill="1" applyBorder="1"/>
    <xf numFmtId="0" fontId="90" fillId="44" borderId="146" xfId="51703" applyFont="1" applyFill="1" applyBorder="1"/>
    <xf numFmtId="0" fontId="3" fillId="44" borderId="142" xfId="51703" applyFill="1" applyBorder="1"/>
    <xf numFmtId="0" fontId="3" fillId="0" borderId="0" xfId="51703" applyFont="1" applyAlignment="1" applyProtection="1">
      <alignment horizontal="left"/>
      <protection locked="0"/>
    </xf>
    <xf numFmtId="0" fontId="85" fillId="35" borderId="0" xfId="23"/>
    <xf numFmtId="2" fontId="85" fillId="35" borderId="0" xfId="23" applyNumberFormat="1"/>
    <xf numFmtId="43" fontId="49" fillId="0" borderId="0" xfId="35" applyFont="1"/>
    <xf numFmtId="0" fontId="49" fillId="40" borderId="0" xfId="0" applyFont="1" applyFill="1"/>
    <xf numFmtId="2" fontId="97" fillId="0" borderId="0" xfId="0" applyNumberFormat="1" applyFont="1"/>
    <xf numFmtId="43" fontId="0" fillId="0" borderId="0" xfId="0" applyNumberFormat="1"/>
    <xf numFmtId="204" fontId="0" fillId="0" borderId="0" xfId="0" applyNumberFormat="1"/>
    <xf numFmtId="4" fontId="0" fillId="0" borderId="0" xfId="0" applyNumberFormat="1"/>
    <xf numFmtId="43" fontId="0" fillId="0" borderId="19" xfId="0" applyNumberFormat="1" applyBorder="1"/>
    <xf numFmtId="10" fontId="0" fillId="0" borderId="0" xfId="844" applyNumberFormat="1" applyFont="1"/>
    <xf numFmtId="2" fontId="3" fillId="0" borderId="0" xfId="51703" applyNumberFormat="1"/>
    <xf numFmtId="0" fontId="49" fillId="0" borderId="0" xfId="0" applyFont="1" applyFill="1"/>
    <xf numFmtId="4" fontId="0" fillId="0" borderId="0" xfId="0" applyNumberFormat="1" applyBorder="1"/>
    <xf numFmtId="0" fontId="3" fillId="44" borderId="19" xfId="51703" applyFill="1" applyBorder="1"/>
    <xf numFmtId="0" fontId="3" fillId="44" borderId="0" xfId="51703" applyFill="1" applyBorder="1"/>
    <xf numFmtId="0" fontId="3" fillId="44" borderId="72" xfId="51703" applyFont="1" applyFill="1" applyBorder="1" applyAlignment="1" applyProtection="1">
      <alignment horizontal="left"/>
      <protection locked="0"/>
    </xf>
    <xf numFmtId="0" fontId="3" fillId="0" borderId="0" xfId="51703" applyFont="1" applyFill="1" applyAlignment="1" applyProtection="1">
      <alignment horizontal="left"/>
      <protection locked="0"/>
    </xf>
    <xf numFmtId="0" fontId="85" fillId="35" borderId="20" xfId="23" applyBorder="1"/>
    <xf numFmtId="2" fontId="85" fillId="35" borderId="20" xfId="23" applyNumberFormat="1" applyBorder="1"/>
    <xf numFmtId="43" fontId="49" fillId="0" borderId="20" xfId="35" applyFont="1" applyBorder="1"/>
    <xf numFmtId="0" fontId="49" fillId="0" borderId="20" xfId="0" applyFont="1" applyFill="1" applyBorder="1"/>
    <xf numFmtId="0" fontId="49" fillId="40" borderId="20" xfId="0" applyFont="1" applyFill="1" applyBorder="1"/>
    <xf numFmtId="0" fontId="97" fillId="0" borderId="20" xfId="0" applyFont="1" applyBorder="1"/>
    <xf numFmtId="0" fontId="3" fillId="44" borderId="19" xfId="51703" applyFont="1" applyFill="1" applyBorder="1" applyAlignment="1" applyProtection="1">
      <alignment horizontal="left"/>
      <protection locked="0"/>
    </xf>
    <xf numFmtId="0" fontId="3" fillId="44" borderId="0" xfId="51703" applyFont="1" applyFill="1" applyBorder="1" applyAlignment="1" applyProtection="1">
      <alignment horizontal="left"/>
      <protection locked="0"/>
    </xf>
    <xf numFmtId="0" fontId="3" fillId="44" borderId="72" xfId="51703" applyFill="1" applyBorder="1" applyAlignment="1" applyProtection="1">
      <alignment horizontal="right"/>
      <protection locked="0"/>
    </xf>
    <xf numFmtId="43" fontId="97" fillId="0" borderId="0" xfId="35" applyFont="1"/>
    <xf numFmtId="0" fontId="97" fillId="0" borderId="0" xfId="0" applyFont="1" applyFill="1" applyBorder="1"/>
    <xf numFmtId="0" fontId="3" fillId="0" borderId="0" xfId="51703" applyAlignment="1" applyProtection="1">
      <alignment horizontal="right"/>
      <protection locked="0"/>
    </xf>
    <xf numFmtId="0" fontId="0" fillId="0" borderId="25" xfId="0" applyFill="1" applyBorder="1"/>
    <xf numFmtId="0" fontId="0" fillId="0" borderId="25" xfId="0" applyBorder="1"/>
    <xf numFmtId="0" fontId="85" fillId="35" borderId="25" xfId="23" applyBorder="1"/>
    <xf numFmtId="2" fontId="85" fillId="35" borderId="25" xfId="23" applyNumberFormat="1" applyBorder="1"/>
    <xf numFmtId="43" fontId="97" fillId="0" borderId="25" xfId="35" applyFont="1" applyBorder="1"/>
    <xf numFmtId="0" fontId="97" fillId="0" borderId="25" xfId="0" applyFont="1" applyFill="1" applyBorder="1"/>
    <xf numFmtId="0" fontId="49" fillId="40" borderId="25" xfId="0" applyFont="1" applyFill="1" applyBorder="1"/>
    <xf numFmtId="172" fontId="0" fillId="0" borderId="25" xfId="0" applyNumberFormat="1" applyBorder="1"/>
    <xf numFmtId="0" fontId="97" fillId="0" borderId="25" xfId="0" applyFont="1" applyBorder="1"/>
    <xf numFmtId="0" fontId="21" fillId="0" borderId="170" xfId="0" applyFont="1" applyBorder="1"/>
    <xf numFmtId="0" fontId="21" fillId="0" borderId="171" xfId="0" applyFont="1" applyBorder="1"/>
    <xf numFmtId="2" fontId="3" fillId="0" borderId="72" xfId="51703" applyNumberFormat="1" applyFont="1" applyBorder="1" applyAlignment="1" applyProtection="1">
      <alignment horizontal="left"/>
      <protection locked="0"/>
    </xf>
    <xf numFmtId="2" fontId="3" fillId="0" borderId="172" xfId="51703" applyNumberFormat="1" applyFont="1" applyBorder="1" applyAlignment="1" applyProtection="1">
      <alignment horizontal="left"/>
      <protection locked="0"/>
    </xf>
    <xf numFmtId="0" fontId="0" fillId="0" borderId="72" xfId="0" applyBorder="1"/>
    <xf numFmtId="43" fontId="202" fillId="0" borderId="78" xfId="51703" applyNumberFormat="1" applyFont="1" applyBorder="1"/>
    <xf numFmtId="43" fontId="203" fillId="0" borderId="27" xfId="51703" applyNumberFormat="1" applyFont="1" applyBorder="1"/>
    <xf numFmtId="43" fontId="202" fillId="0" borderId="27" xfId="51703" applyNumberFormat="1" applyFont="1" applyBorder="1"/>
    <xf numFmtId="43" fontId="203" fillId="0" borderId="28" xfId="51703" applyNumberFormat="1" applyFont="1" applyBorder="1"/>
    <xf numFmtId="43" fontId="202" fillId="0" borderId="0" xfId="51703" applyNumberFormat="1" applyFont="1" applyBorder="1"/>
    <xf numFmtId="0" fontId="3" fillId="0" borderId="29" xfId="51703" applyBorder="1"/>
    <xf numFmtId="0" fontId="204" fillId="0" borderId="135" xfId="0" applyFont="1" applyBorder="1" applyAlignment="1">
      <alignment vertical="center"/>
    </xf>
    <xf numFmtId="0" fontId="3" fillId="0" borderId="19" xfId="51703" applyBorder="1"/>
    <xf numFmtId="0" fontId="3" fillId="0" borderId="0" xfId="51703" applyFill="1"/>
    <xf numFmtId="0" fontId="3" fillId="44" borderId="20" xfId="51703" applyFont="1" applyFill="1" applyBorder="1" applyAlignment="1" applyProtection="1">
      <alignment horizontal="left"/>
      <protection locked="0"/>
    </xf>
    <xf numFmtId="0" fontId="3" fillId="44" borderId="3" xfId="51703" applyFill="1" applyBorder="1" applyAlignment="1" applyProtection="1">
      <alignment horizontal="right"/>
      <protection locked="0"/>
    </xf>
    <xf numFmtId="0" fontId="21" fillId="0" borderId="27" xfId="0" applyFont="1" applyBorder="1"/>
    <xf numFmtId="2" fontId="205" fillId="0" borderId="27" xfId="0" applyNumberFormat="1" applyFont="1" applyBorder="1"/>
    <xf numFmtId="2" fontId="203" fillId="0" borderId="27" xfId="51703" applyNumberFormat="1" applyFont="1" applyBorder="1" applyAlignment="1" applyProtection="1">
      <alignment horizontal="left"/>
      <protection locked="0"/>
    </xf>
    <xf numFmtId="0" fontId="49" fillId="44" borderId="144" xfId="0" applyFont="1" applyFill="1" applyBorder="1" applyAlignment="1">
      <alignment horizontal="left"/>
    </xf>
    <xf numFmtId="0" fontId="0" fillId="44" borderId="146" xfId="0" applyFill="1" applyBorder="1" applyAlignment="1">
      <alignment horizontal="center"/>
    </xf>
    <xf numFmtId="0" fontId="0" fillId="44" borderId="142" xfId="0" applyFill="1" applyBorder="1" applyAlignment="1">
      <alignment horizontal="center"/>
    </xf>
    <xf numFmtId="0" fontId="90" fillId="0" borderId="149" xfId="0" applyFont="1" applyFill="1" applyBorder="1"/>
    <xf numFmtId="0" fontId="90" fillId="0" borderId="143" xfId="0" applyFont="1" applyFill="1" applyBorder="1"/>
    <xf numFmtId="0" fontId="90" fillId="0" borderId="150" xfId="0" applyFont="1" applyFill="1" applyBorder="1"/>
    <xf numFmtId="0" fontId="99" fillId="0" borderId="144" xfId="0" applyFont="1" applyFill="1" applyBorder="1"/>
    <xf numFmtId="0" fontId="21" fillId="0" borderId="29" xfId="0" applyFont="1" applyBorder="1"/>
    <xf numFmtId="3" fontId="0" fillId="39" borderId="0" xfId="0" applyNumberFormat="1" applyFont="1" applyFill="1" applyBorder="1"/>
    <xf numFmtId="0" fontId="99" fillId="0" borderId="146" xfId="0" applyFont="1" applyFill="1" applyBorder="1"/>
    <xf numFmtId="3" fontId="90" fillId="39" borderId="173" xfId="0" applyNumberFormat="1" applyFont="1" applyFill="1" applyBorder="1"/>
    <xf numFmtId="3" fontId="90" fillId="39" borderId="0" xfId="0" applyNumberFormat="1" applyFont="1" applyFill="1" applyBorder="1"/>
    <xf numFmtId="2" fontId="70" fillId="25" borderId="0" xfId="51705" applyNumberFormat="1" applyFont="1" applyFill="1"/>
    <xf numFmtId="2" fontId="0" fillId="25" borderId="0" xfId="51705" applyNumberFormat="1" applyFont="1" applyFill="1"/>
    <xf numFmtId="9" fontId="0" fillId="25" borderId="0" xfId="51705" applyFont="1" applyFill="1"/>
    <xf numFmtId="0" fontId="21" fillId="32" borderId="22" xfId="0" applyFont="1" applyFill="1" applyBorder="1"/>
    <xf numFmtId="4" fontId="64" fillId="32" borderId="0" xfId="51705" applyNumberFormat="1" applyFont="1" applyFill="1" applyBorder="1"/>
    <xf numFmtId="4" fontId="64" fillId="32" borderId="30" xfId="51705" applyNumberFormat="1" applyFont="1" applyFill="1" applyBorder="1"/>
    <xf numFmtId="0" fontId="21" fillId="32" borderId="87" xfId="0" applyFont="1" applyFill="1" applyBorder="1" applyAlignment="1" applyProtection="1">
      <alignment horizontal="left"/>
    </xf>
    <xf numFmtId="4" fontId="101" fillId="32" borderId="0" xfId="51705" applyNumberFormat="1" applyFont="1" applyFill="1" applyBorder="1"/>
    <xf numFmtId="4" fontId="21" fillId="32" borderId="0" xfId="51705" applyNumberFormat="1" applyFont="1" applyFill="1" applyBorder="1"/>
    <xf numFmtId="4" fontId="21" fillId="32" borderId="30" xfId="51705" applyNumberFormat="1" applyFont="1" applyFill="1" applyBorder="1"/>
    <xf numFmtId="0" fontId="21" fillId="32" borderId="85" xfId="0" applyFont="1" applyFill="1" applyBorder="1" applyAlignment="1" applyProtection="1">
      <alignment horizontal="left"/>
    </xf>
    <xf numFmtId="0" fontId="21" fillId="32" borderId="23" xfId="0" applyFont="1" applyFill="1" applyBorder="1"/>
    <xf numFmtId="4" fontId="64" fillId="32" borderId="20" xfId="51705" applyNumberFormat="1" applyFont="1" applyFill="1" applyBorder="1"/>
    <xf numFmtId="4" fontId="64" fillId="32" borderId="86" xfId="51705" applyNumberFormat="1" applyFont="1" applyFill="1" applyBorder="1"/>
    <xf numFmtId="4" fontId="101" fillId="32" borderId="0" xfId="51705" applyNumberFormat="1" applyFont="1" applyFill="1" applyBorder="1" applyAlignment="1">
      <alignment horizontal="right"/>
    </xf>
    <xf numFmtId="4" fontId="21" fillId="40" borderId="0" xfId="51705" applyNumberFormat="1" applyFont="1" applyFill="1" applyBorder="1"/>
    <xf numFmtId="4" fontId="21" fillId="32" borderId="20" xfId="51705" applyNumberFormat="1" applyFont="1" applyFill="1" applyBorder="1"/>
    <xf numFmtId="4" fontId="21" fillId="32" borderId="86" xfId="51705" applyNumberFormat="1" applyFont="1" applyFill="1" applyBorder="1"/>
    <xf numFmtId="0" fontId="44" fillId="28" borderId="146" xfId="0" applyFont="1" applyFill="1" applyBorder="1" applyAlignment="1">
      <alignment horizontal="left" vertical="top" wrapText="1"/>
    </xf>
    <xf numFmtId="4" fontId="21" fillId="0" borderId="0" xfId="0" applyNumberFormat="1" applyFont="1" applyFill="1" applyBorder="1"/>
    <xf numFmtId="0" fontId="0" fillId="0" borderId="27" xfId="0" applyFill="1" applyBorder="1"/>
    <xf numFmtId="2" fontId="49" fillId="0" borderId="0" xfId="0" applyNumberFormat="1" applyFont="1"/>
    <xf numFmtId="0" fontId="97" fillId="40" borderId="0" xfId="0" applyFont="1" applyFill="1"/>
    <xf numFmtId="172" fontId="0" fillId="0" borderId="27" xfId="0" applyNumberFormat="1" applyFill="1" applyBorder="1"/>
    <xf numFmtId="2" fontId="49" fillId="0" borderId="20" xfId="0" applyNumberFormat="1" applyFont="1" applyBorder="1"/>
    <xf numFmtId="0" fontId="97" fillId="40" borderId="20" xfId="0" applyFont="1" applyFill="1" applyBorder="1"/>
    <xf numFmtId="0" fontId="0" fillId="0" borderId="80" xfId="0" applyBorder="1"/>
    <xf numFmtId="0" fontId="0" fillId="0" borderId="81" xfId="0" applyBorder="1"/>
    <xf numFmtId="180" fontId="65" fillId="0" borderId="0" xfId="8801" applyNumberFormat="1" applyFont="1" applyAlignment="1"/>
    <xf numFmtId="180" fontId="66" fillId="0" borderId="0" xfId="8801" applyNumberFormat="1" applyFont="1"/>
    <xf numFmtId="180" fontId="65" fillId="0" borderId="0" xfId="8801" applyNumberFormat="1" applyFont="1"/>
    <xf numFmtId="1" fontId="66" fillId="44" borderId="0" xfId="8801" applyNumberFormat="1" applyFont="1" applyFill="1"/>
    <xf numFmtId="1" fontId="66" fillId="33" borderId="0" xfId="8801" applyNumberFormat="1" applyFont="1" applyFill="1"/>
    <xf numFmtId="180" fontId="66" fillId="33" borderId="0" xfId="8801" applyNumberFormat="1" applyFont="1" applyFill="1"/>
    <xf numFmtId="180" fontId="67" fillId="28" borderId="0" xfId="8801" applyNumberFormat="1" applyFont="1" applyFill="1"/>
    <xf numFmtId="181" fontId="69" fillId="0" borderId="0" xfId="8801" applyNumberFormat="1" applyFont="1"/>
    <xf numFmtId="180" fontId="68" fillId="0" borderId="0" xfId="8801" applyNumberFormat="1" applyFont="1" applyFill="1"/>
    <xf numFmtId="181" fontId="66" fillId="0" borderId="0" xfId="8801" applyNumberFormat="1" applyFont="1"/>
    <xf numFmtId="183" fontId="77" fillId="46" borderId="174" xfId="551" applyFont="1" applyFill="1" applyBorder="1" applyAlignment="1">
      <alignment horizontal="left" indent="1"/>
    </xf>
    <xf numFmtId="184" fontId="76" fillId="46" borderId="175" xfId="551" applyNumberFormat="1" applyFont="1" applyFill="1" applyBorder="1"/>
    <xf numFmtId="0" fontId="0" fillId="0" borderId="175" xfId="0" applyBorder="1"/>
    <xf numFmtId="0" fontId="21" fillId="0" borderId="176" xfId="0" applyFont="1" applyBorder="1"/>
    <xf numFmtId="183" fontId="0" fillId="44" borderId="19" xfId="0" applyNumberFormat="1" applyFill="1" applyBorder="1"/>
    <xf numFmtId="183" fontId="0" fillId="44" borderId="0" xfId="0" applyNumberFormat="1" applyFill="1" applyBorder="1"/>
    <xf numFmtId="183" fontId="78" fillId="46" borderId="177" xfId="551" applyFont="1" applyFill="1" applyBorder="1" applyAlignment="1">
      <alignment horizontal="left" indent="2"/>
    </xf>
    <xf numFmtId="184" fontId="42" fillId="46" borderId="135" xfId="551" applyNumberFormat="1" applyFont="1" applyFill="1" applyBorder="1"/>
    <xf numFmtId="0" fontId="21" fillId="0" borderId="178" xfId="0" applyFont="1" applyBorder="1"/>
    <xf numFmtId="183" fontId="78" fillId="46" borderId="92" xfId="551" applyFont="1" applyFill="1" applyBorder="1" applyAlignment="1">
      <alignment horizontal="left" indent="2"/>
    </xf>
    <xf numFmtId="184" fontId="42" fillId="46" borderId="179" xfId="551" applyNumberFormat="1" applyFont="1" applyFill="1" applyBorder="1"/>
    <xf numFmtId="0" fontId="0" fillId="0" borderId="179" xfId="0" applyBorder="1"/>
    <xf numFmtId="0" fontId="21" fillId="0" borderId="93" xfId="0" applyFont="1" applyBorder="1"/>
    <xf numFmtId="0" fontId="3" fillId="44" borderId="24" xfId="51703" applyFont="1" applyFill="1" applyBorder="1" applyAlignment="1" applyProtection="1">
      <alignment horizontal="left"/>
      <protection locked="0"/>
    </xf>
    <xf numFmtId="0" fontId="3" fillId="44" borderId="20" xfId="51703" applyFill="1" applyBorder="1" applyAlignment="1" applyProtection="1">
      <alignment horizontal="right"/>
      <protection locked="0"/>
    </xf>
    <xf numFmtId="183" fontId="77" fillId="0" borderId="0" xfId="551" applyFont="1" applyFill="1" applyBorder="1" applyAlignment="1">
      <alignment horizontal="left" indent="1"/>
    </xf>
    <xf numFmtId="184" fontId="76" fillId="0" borderId="0" xfId="551" applyNumberFormat="1" applyFont="1" applyFill="1" applyBorder="1"/>
    <xf numFmtId="183" fontId="206" fillId="46" borderId="0" xfId="551" applyFont="1" applyFill="1" applyBorder="1" applyAlignment="1">
      <alignment horizontal="left" indent="2"/>
    </xf>
    <xf numFmtId="183" fontId="78" fillId="0" borderId="0" xfId="551" applyFont="1" applyFill="1" applyBorder="1" applyAlignment="1">
      <alignment horizontal="left" indent="2"/>
    </xf>
    <xf numFmtId="184" fontId="78" fillId="0" borderId="0" xfId="551" applyNumberFormat="1" applyFont="1" applyFill="1" applyBorder="1"/>
    <xf numFmtId="183" fontId="78" fillId="0" borderId="0" xfId="551" applyFont="1" applyFill="1" applyBorder="1" applyAlignment="1">
      <alignment horizontal="left" indent="3"/>
    </xf>
    <xf numFmtId="184" fontId="42" fillId="0" borderId="0" xfId="551" applyNumberFormat="1" applyFont="1" applyFill="1" applyBorder="1"/>
    <xf numFmtId="184" fontId="42" fillId="0" borderId="0" xfId="551" applyNumberFormat="1" applyFont="1" applyFill="1" applyBorder="1" applyAlignment="1"/>
    <xf numFmtId="0" fontId="0" fillId="0" borderId="0" xfId="0"/>
    <xf numFmtId="0" fontId="89" fillId="0" borderId="0" xfId="543"/>
    <xf numFmtId="0" fontId="89" fillId="0" borderId="0" xfId="543" applyFont="1"/>
    <xf numFmtId="0" fontId="207" fillId="104" borderId="0" xfId="543" applyFont="1" applyFill="1"/>
    <xf numFmtId="0" fontId="89" fillId="30" borderId="0" xfId="543" applyFill="1"/>
    <xf numFmtId="0" fontId="89" fillId="0" borderId="0" xfId="543" applyFont="1" applyFill="1"/>
    <xf numFmtId="0" fontId="89" fillId="0" borderId="0" xfId="543" applyFont="1" applyAlignment="1">
      <alignment horizontal="right"/>
    </xf>
    <xf numFmtId="0" fontId="207" fillId="0" borderId="0" xfId="543" applyFont="1" applyFill="1"/>
    <xf numFmtId="0" fontId="43" fillId="29" borderId="143" xfId="543" applyFont="1" applyFill="1" applyBorder="1" applyAlignment="1">
      <alignment horizontal="left" vertical="center" wrapText="1"/>
    </xf>
    <xf numFmtId="1" fontId="43" fillId="105" borderId="143" xfId="543" applyNumberFormat="1" applyFont="1" applyFill="1" applyBorder="1" applyAlignment="1">
      <alignment horizontal="right"/>
    </xf>
    <xf numFmtId="0" fontId="43" fillId="28" borderId="25" xfId="543" applyFont="1" applyFill="1" applyBorder="1" applyAlignment="1">
      <alignment horizontal="left" wrapText="1"/>
    </xf>
    <xf numFmtId="0" fontId="43" fillId="28" borderId="25" xfId="543" applyFont="1" applyFill="1" applyBorder="1" applyAlignment="1">
      <alignment horizontal="right" wrapText="1"/>
    </xf>
    <xf numFmtId="0" fontId="43" fillId="100" borderId="0" xfId="543" applyFont="1" applyFill="1"/>
    <xf numFmtId="0" fontId="89" fillId="0" borderId="0" xfId="543" applyFont="1" applyFill="1" applyAlignment="1">
      <alignment horizontal="right"/>
    </xf>
    <xf numFmtId="174" fontId="21" fillId="0" borderId="0" xfId="0" applyNumberFormat="1" applyFont="1" applyFill="1"/>
    <xf numFmtId="174" fontId="49" fillId="0" borderId="0" xfId="0" applyNumberFormat="1" applyFont="1" applyFill="1"/>
    <xf numFmtId="174" fontId="49" fillId="0" borderId="0" xfId="0" applyNumberFormat="1" applyFont="1" applyFill="1" applyBorder="1"/>
    <xf numFmtId="174" fontId="21" fillId="0" borderId="0" xfId="35" applyNumberFormat="1" applyFont="1" applyFill="1" applyBorder="1"/>
    <xf numFmtId="174" fontId="22" fillId="0" borderId="20" xfId="35" applyNumberFormat="1" applyFont="1" applyFill="1" applyBorder="1"/>
    <xf numFmtId="174" fontId="92" fillId="0" borderId="0" xfId="0" applyNumberFormat="1" applyFont="1" applyFill="1" applyBorder="1"/>
    <xf numFmtId="174" fontId="22" fillId="0" borderId="0" xfId="35" applyNumberFormat="1" applyFont="1" applyFill="1" applyBorder="1"/>
    <xf numFmtId="0" fontId="0" fillId="0" borderId="78" xfId="0" applyFill="1" applyBorder="1"/>
    <xf numFmtId="174" fontId="22" fillId="0" borderId="0" xfId="0" applyNumberFormat="1" applyFont="1" applyBorder="1"/>
    <xf numFmtId="0" fontId="0" fillId="0" borderId="135" xfId="0" applyFill="1" applyBorder="1"/>
    <xf numFmtId="0" fontId="92" fillId="0" borderId="0" xfId="0" applyFont="1" applyBorder="1"/>
    <xf numFmtId="0" fontId="0" fillId="0" borderId="0" xfId="0" applyAlignment="1">
      <alignment horizontal="center"/>
    </xf>
    <xf numFmtId="0" fontId="49" fillId="0" borderId="146" xfId="0" applyFont="1" applyBorder="1"/>
    <xf numFmtId="0" fontId="21" fillId="0" borderId="146" xfId="0" applyFont="1" applyBorder="1"/>
    <xf numFmtId="0" fontId="21" fillId="0" borderId="146" xfId="0" applyFont="1" applyFill="1" applyBorder="1"/>
    <xf numFmtId="0" fontId="44" fillId="28" borderId="146" xfId="0" applyFont="1" applyFill="1" applyBorder="1" applyAlignment="1">
      <alignment horizontal="center" vertical="center" wrapText="1"/>
    </xf>
    <xf numFmtId="2" fontId="49" fillId="0" borderId="20" xfId="0" applyNumberFormat="1" applyFont="1" applyFill="1" applyBorder="1"/>
    <xf numFmtId="9" fontId="0" fillId="0" borderId="135" xfId="844" applyFont="1" applyBorder="1"/>
    <xf numFmtId="9" fontId="0" fillId="0" borderId="135" xfId="844" applyNumberFormat="1" applyFont="1" applyFill="1" applyBorder="1"/>
    <xf numFmtId="0" fontId="43" fillId="42" borderId="146" xfId="8801" applyFont="1" applyFill="1" applyBorder="1" applyAlignment="1">
      <alignment horizontal="left" vertical="center"/>
    </xf>
    <xf numFmtId="167" fontId="49" fillId="40" borderId="0" xfId="0" applyNumberFormat="1" applyFont="1" applyFill="1" applyBorder="1"/>
    <xf numFmtId="205" fontId="80" fillId="36" borderId="0" xfId="0" applyNumberFormat="1" applyFont="1" applyFill="1" applyBorder="1"/>
    <xf numFmtId="0" fontId="43" fillId="42" borderId="146" xfId="8801" applyFont="1" applyFill="1" applyBorder="1" applyAlignment="1">
      <alignment horizontal="left" vertical="center" wrapText="1"/>
    </xf>
    <xf numFmtId="168" fontId="0" fillId="0" borderId="0" xfId="0" applyNumberFormat="1"/>
    <xf numFmtId="0" fontId="114" fillId="53" borderId="161" xfId="1128" applyBorder="1" applyAlignment="1">
      <alignment horizontal="left"/>
    </xf>
    <xf numFmtId="0" fontId="114" fillId="53" borderId="162" xfId="1128" applyBorder="1" applyAlignment="1">
      <alignment horizontal="left"/>
    </xf>
    <xf numFmtId="167" fontId="0" fillId="40" borderId="0" xfId="0" applyNumberFormat="1" applyFill="1" applyBorder="1"/>
    <xf numFmtId="0" fontId="111" fillId="51" borderId="146" xfId="1125" applyBorder="1" applyAlignment="1">
      <alignment horizontal="center"/>
    </xf>
    <xf numFmtId="0" fontId="0" fillId="0" borderId="0" xfId="0" applyAlignment="1">
      <alignment horizontal="center"/>
    </xf>
    <xf numFmtId="2" fontId="0" fillId="0" borderId="184" xfId="0" applyNumberFormat="1" applyBorder="1"/>
    <xf numFmtId="2" fontId="0" fillId="0" borderId="22" xfId="0" applyNumberFormat="1" applyBorder="1"/>
    <xf numFmtId="2" fontId="0" fillId="0" borderId="22" xfId="0" applyNumberFormat="1" applyFill="1" applyBorder="1"/>
    <xf numFmtId="172" fontId="0" fillId="0" borderId="184" xfId="0" applyNumberFormat="1" applyBorder="1"/>
    <xf numFmtId="0" fontId="43" fillId="99" borderId="146" xfId="0" applyFont="1" applyFill="1" applyBorder="1" applyAlignment="1">
      <alignment horizontal="center" vertical="top" wrapText="1"/>
    </xf>
    <xf numFmtId="0" fontId="0" fillId="0" borderId="144" xfId="0" applyBorder="1" applyAlignment="1">
      <alignment horizontal="center"/>
    </xf>
    <xf numFmtId="2" fontId="56" fillId="31" borderId="185" xfId="553" applyNumberFormat="1" applyFont="1" applyFill="1" applyBorder="1" applyAlignment="1">
      <alignment horizontal="center"/>
    </xf>
    <xf numFmtId="2" fontId="56" fillId="31" borderId="186" xfId="553" applyNumberFormat="1" applyFont="1" applyFill="1" applyBorder="1" applyAlignment="1">
      <alignment horizontal="center"/>
    </xf>
    <xf numFmtId="0" fontId="56" fillId="31" borderId="186" xfId="553" applyFont="1" applyFill="1" applyBorder="1" applyAlignment="1">
      <alignment horizontal="center"/>
    </xf>
    <xf numFmtId="0" fontId="56" fillId="31" borderId="187" xfId="553" applyFont="1" applyFill="1" applyBorder="1" applyAlignment="1">
      <alignment horizontal="center"/>
    </xf>
    <xf numFmtId="0" fontId="56" fillId="31" borderId="188" xfId="553" applyFont="1" applyFill="1" applyBorder="1" applyAlignment="1">
      <alignment horizontal="center"/>
    </xf>
    <xf numFmtId="0" fontId="56" fillId="0" borderId="189" xfId="553" applyFont="1" applyFill="1" applyBorder="1" applyAlignment="1">
      <alignment wrapText="1"/>
    </xf>
    <xf numFmtId="0" fontId="56" fillId="0" borderId="190" xfId="553" applyFont="1" applyFill="1" applyBorder="1" applyAlignment="1">
      <alignment wrapText="1"/>
    </xf>
    <xf numFmtId="3" fontId="0" fillId="0" borderId="144" xfId="0" applyNumberFormat="1" applyBorder="1"/>
    <xf numFmtId="9" fontId="0" fillId="0" borderId="146" xfId="844" applyFont="1" applyBorder="1"/>
    <xf numFmtId="3" fontId="0" fillId="0" borderId="146" xfId="0" applyNumberFormat="1" applyBorder="1"/>
    <xf numFmtId="9" fontId="0" fillId="0" borderId="142" xfId="844" applyFont="1" applyBorder="1"/>
    <xf numFmtId="0" fontId="21" fillId="0" borderId="28" xfId="0" applyFont="1" applyBorder="1"/>
    <xf numFmtId="0" fontId="56" fillId="0" borderId="191" xfId="553" applyFont="1" applyFill="1" applyBorder="1" applyAlignment="1">
      <alignment wrapText="1"/>
    </xf>
    <xf numFmtId="2" fontId="56" fillId="0" borderId="180" xfId="553" applyNumberFormat="1" applyFont="1" applyFill="1" applyBorder="1" applyAlignment="1"/>
    <xf numFmtId="0" fontId="0" fillId="0" borderId="192" xfId="0" applyBorder="1"/>
    <xf numFmtId="0" fontId="56" fillId="0" borderId="193" xfId="553" applyFont="1" applyFill="1" applyBorder="1" applyAlignment="1">
      <alignment wrapText="1"/>
    </xf>
    <xf numFmtId="0" fontId="0" fillId="0" borderId="194" xfId="0" applyBorder="1"/>
    <xf numFmtId="0" fontId="56" fillId="0" borderId="180" xfId="553" applyFont="1" applyFill="1" applyBorder="1" applyAlignment="1">
      <alignment wrapText="1"/>
    </xf>
    <xf numFmtId="2" fontId="56" fillId="0" borderId="195" xfId="553" applyNumberFormat="1" applyFont="1" applyFill="1" applyBorder="1" applyAlignment="1"/>
    <xf numFmtId="0" fontId="0" fillId="0" borderId="196" xfId="0" applyBorder="1"/>
    <xf numFmtId="0" fontId="56" fillId="0" borderId="194" xfId="553" applyFont="1" applyFill="1" applyBorder="1" applyAlignment="1">
      <alignment wrapText="1"/>
    </xf>
    <xf numFmtId="0" fontId="0" fillId="37" borderId="146" xfId="0" applyFill="1" applyBorder="1"/>
    <xf numFmtId="0" fontId="0" fillId="37" borderId="142" xfId="0" applyFill="1" applyBorder="1"/>
    <xf numFmtId="2" fontId="56" fillId="0" borderId="197" xfId="553" applyNumberFormat="1" applyFont="1" applyFill="1" applyBorder="1" applyAlignment="1"/>
    <xf numFmtId="0" fontId="56" fillId="0" borderId="198" xfId="553" applyFont="1" applyFill="1" applyBorder="1" applyAlignment="1">
      <alignment wrapText="1"/>
    </xf>
    <xf numFmtId="2" fontId="56" fillId="0" borderId="199" xfId="553" applyNumberFormat="1" applyFont="1" applyFill="1" applyBorder="1" applyAlignment="1"/>
    <xf numFmtId="0" fontId="0" fillId="0" borderId="200" xfId="0" applyBorder="1"/>
    <xf numFmtId="0" fontId="56" fillId="0" borderId="146" xfId="553" applyFont="1" applyFill="1" applyBorder="1" applyAlignment="1">
      <alignment wrapText="1"/>
    </xf>
    <xf numFmtId="3" fontId="56" fillId="0" borderId="144" xfId="553" applyNumberFormat="1" applyFont="1" applyFill="1" applyBorder="1" applyAlignment="1">
      <alignment horizontal="right" wrapText="1"/>
    </xf>
    <xf numFmtId="9" fontId="56" fillId="0" borderId="146" xfId="844" applyFont="1" applyFill="1" applyBorder="1" applyAlignment="1">
      <alignment horizontal="right" wrapText="1"/>
    </xf>
    <xf numFmtId="3" fontId="56" fillId="0" borderId="146" xfId="553" applyNumberFormat="1" applyFont="1" applyFill="1" applyBorder="1" applyAlignment="1">
      <alignment horizontal="right" wrapText="1"/>
    </xf>
    <xf numFmtId="9" fontId="56" fillId="0" borderId="142" xfId="844" applyFont="1" applyFill="1" applyBorder="1" applyAlignment="1">
      <alignment horizontal="right" wrapText="1"/>
    </xf>
    <xf numFmtId="0" fontId="56" fillId="0" borderId="192" xfId="553" applyFont="1" applyFill="1" applyBorder="1" applyAlignment="1">
      <alignment wrapText="1"/>
    </xf>
    <xf numFmtId="0" fontId="49" fillId="0" borderId="142" xfId="0" applyFont="1" applyBorder="1"/>
    <xf numFmtId="0" fontId="49" fillId="0" borderId="173" xfId="0" applyFont="1" applyBorder="1"/>
    <xf numFmtId="0" fontId="56" fillId="0" borderId="201" xfId="553" applyFont="1" applyFill="1" applyBorder="1" applyAlignment="1">
      <alignment wrapText="1"/>
    </xf>
    <xf numFmtId="0" fontId="56" fillId="0" borderId="200" xfId="553" applyFont="1" applyFill="1" applyBorder="1" applyAlignment="1">
      <alignment wrapText="1"/>
    </xf>
    <xf numFmtId="0" fontId="95" fillId="0" borderId="173" xfId="0" applyFont="1" applyFill="1" applyBorder="1" applyAlignment="1">
      <alignment vertical="center"/>
    </xf>
    <xf numFmtId="1" fontId="90" fillId="0" borderId="173" xfId="0" applyNumberFormat="1" applyFont="1" applyFill="1" applyBorder="1" applyAlignment="1">
      <alignment horizontal="center" vertical="center"/>
    </xf>
    <xf numFmtId="9" fontId="0" fillId="0" borderId="173" xfId="844" applyFont="1" applyBorder="1"/>
    <xf numFmtId="0" fontId="95" fillId="0" borderId="144" xfId="223" applyFont="1" applyFill="1" applyBorder="1"/>
    <xf numFmtId="1" fontId="90" fillId="0" borderId="144" xfId="0" applyNumberFormat="1" applyFont="1" applyFill="1" applyBorder="1" applyAlignment="1">
      <alignment horizontal="center"/>
    </xf>
    <xf numFmtId="0" fontId="0" fillId="0" borderId="173" xfId="0" applyBorder="1"/>
    <xf numFmtId="0" fontId="95" fillId="0" borderId="173" xfId="223" applyFont="1" applyFill="1" applyBorder="1" applyAlignment="1">
      <alignment vertical="center"/>
    </xf>
    <xf numFmtId="1" fontId="90" fillId="0" borderId="144" xfId="0" applyNumberFormat="1" applyFont="1" applyFill="1" applyBorder="1" applyAlignment="1">
      <alignment horizontal="center" vertical="center"/>
    </xf>
    <xf numFmtId="0" fontId="96" fillId="0" borderId="144" xfId="0" applyFont="1" applyFill="1" applyBorder="1"/>
    <xf numFmtId="1" fontId="0" fillId="0" borderId="144" xfId="0" applyNumberFormat="1" applyFill="1" applyBorder="1" applyAlignment="1">
      <alignment horizontal="center"/>
    </xf>
    <xf numFmtId="9" fontId="0" fillId="0" borderId="173" xfId="0" applyNumberFormat="1" applyBorder="1"/>
    <xf numFmtId="0" fontId="96" fillId="0" borderId="144" xfId="223" applyFont="1" applyFill="1" applyBorder="1"/>
    <xf numFmtId="206" fontId="0" fillId="0" borderId="0" xfId="0" applyNumberFormat="1"/>
    <xf numFmtId="2" fontId="92" fillId="0" borderId="0" xfId="0" applyNumberFormat="1" applyFont="1" applyBorder="1"/>
    <xf numFmtId="174" fontId="21" fillId="0" borderId="20" xfId="0" applyNumberFormat="1" applyFont="1" applyFill="1" applyBorder="1"/>
    <xf numFmtId="3" fontId="99" fillId="0" borderId="144" xfId="0" applyNumberFormat="1" applyFont="1" applyFill="1" applyBorder="1"/>
    <xf numFmtId="167" fontId="112" fillId="52" borderId="202" xfId="1126" applyNumberFormat="1" applyBorder="1" applyAlignment="1">
      <alignment horizontal="center"/>
    </xf>
    <xf numFmtId="167" fontId="112" fillId="52" borderId="203" xfId="1126" applyNumberFormat="1" applyBorder="1" applyAlignment="1">
      <alignment horizontal="center"/>
    </xf>
    <xf numFmtId="167" fontId="112" fillId="52" borderId="135" xfId="1126" applyNumberFormat="1" applyBorder="1" applyAlignment="1">
      <alignment horizontal="center"/>
    </xf>
    <xf numFmtId="0" fontId="111" fillId="51" borderId="19" xfId="1125" applyNumberFormat="1" applyBorder="1"/>
    <xf numFmtId="8" fontId="0" fillId="0" borderId="0" xfId="0" applyNumberFormat="1"/>
    <xf numFmtId="0" fontId="21" fillId="0" borderId="0" xfId="0" applyFont="1" applyAlignment="1">
      <alignment horizontal="left"/>
    </xf>
    <xf numFmtId="14" fontId="21" fillId="0" borderId="0" xfId="0" applyNumberFormat="1" applyFont="1" applyAlignment="1">
      <alignment horizontal="left"/>
    </xf>
    <xf numFmtId="2" fontId="92" fillId="0" borderId="0" xfId="0" applyNumberFormat="1" applyFont="1" applyFill="1" applyBorder="1"/>
    <xf numFmtId="164" fontId="64" fillId="44" borderId="25" xfId="35" applyNumberFormat="1" applyFont="1" applyFill="1" applyBorder="1"/>
    <xf numFmtId="183" fontId="218" fillId="103" borderId="27" xfId="57623" applyNumberFormat="1" applyFont="1" applyFill="1" applyBorder="1" applyAlignment="1" applyProtection="1">
      <alignment horizontal="left"/>
    </xf>
    <xf numFmtId="183" fontId="218" fillId="103" borderId="0" xfId="57623" applyNumberFormat="1" applyFont="1" applyFill="1" applyBorder="1" applyAlignment="1" applyProtection="1">
      <alignment horizontal="left"/>
    </xf>
    <xf numFmtId="0" fontId="21" fillId="40" borderId="0" xfId="0" applyFont="1" applyFill="1"/>
    <xf numFmtId="174" fontId="22" fillId="0" borderId="20" xfId="0" applyNumberFormat="1" applyFont="1" applyBorder="1"/>
    <xf numFmtId="174" fontId="97" fillId="0" borderId="20" xfId="0" applyNumberFormat="1" applyFont="1" applyFill="1" applyBorder="1"/>
    <xf numFmtId="174" fontId="97" fillId="0" borderId="20" xfId="0" applyNumberFormat="1" applyFont="1" applyBorder="1"/>
    <xf numFmtId="174" fontId="21" fillId="0" borderId="0" xfId="0" applyNumberFormat="1" applyFont="1" applyBorder="1"/>
    <xf numFmtId="174" fontId="49" fillId="0" borderId="20" xfId="0" applyNumberFormat="1" applyFont="1" applyBorder="1"/>
    <xf numFmtId="174" fontId="43" fillId="29" borderId="146" xfId="0" applyNumberFormat="1" applyFont="1" applyFill="1" applyBorder="1" applyAlignment="1">
      <alignment horizontal="left" vertical="center" wrapText="1"/>
    </xf>
    <xf numFmtId="0" fontId="43" fillId="29" borderId="142" xfId="0" applyFont="1" applyFill="1" applyBorder="1" applyAlignment="1">
      <alignment horizontal="left" vertical="center" wrapText="1"/>
    </xf>
    <xf numFmtId="0" fontId="43" fillId="29" borderId="146" xfId="0" applyFont="1" applyFill="1" applyBorder="1" applyAlignment="1">
      <alignment horizontal="center" vertical="center" wrapText="1"/>
    </xf>
    <xf numFmtId="1" fontId="0" fillId="0" borderId="146" xfId="0" applyNumberFormat="1" applyFill="1" applyBorder="1"/>
    <xf numFmtId="167" fontId="120" fillId="0" borderId="0" xfId="0" applyNumberFormat="1" applyFont="1"/>
    <xf numFmtId="0" fontId="0" fillId="44" borderId="146" xfId="0" applyFill="1" applyBorder="1" applyAlignment="1">
      <alignment horizontal="center"/>
    </xf>
    <xf numFmtId="1" fontId="0" fillId="107" borderId="0" xfId="0" applyNumberFormat="1" applyFont="1" applyFill="1" applyBorder="1"/>
    <xf numFmtId="0" fontId="48" fillId="32" borderId="20" xfId="0" applyFont="1" applyFill="1" applyBorder="1"/>
    <xf numFmtId="0" fontId="21" fillId="32" borderId="0" xfId="0" applyFont="1" applyFill="1" applyBorder="1"/>
    <xf numFmtId="0" fontId="21" fillId="32" borderId="20" xfId="0" applyFont="1" applyFill="1" applyBorder="1"/>
    <xf numFmtId="0" fontId="21" fillId="0" borderId="146" xfId="0" applyFont="1" applyBorder="1" applyAlignment="1">
      <alignment horizontal="center"/>
    </xf>
    <xf numFmtId="0" fontId="21" fillId="0" borderId="142" xfId="0" applyFont="1" applyBorder="1" applyAlignment="1">
      <alignment horizontal="center"/>
    </xf>
    <xf numFmtId="0" fontId="0" fillId="0" borderId="19" xfId="0" applyFont="1" applyFill="1" applyBorder="1"/>
    <xf numFmtId="172" fontId="0" fillId="44" borderId="0" xfId="0" applyNumberFormat="1" applyFill="1"/>
    <xf numFmtId="178" fontId="0" fillId="44" borderId="0" xfId="0" applyNumberFormat="1" applyFill="1"/>
    <xf numFmtId="205" fontId="0" fillId="44" borderId="0" xfId="0" applyNumberFormat="1" applyFill="1"/>
    <xf numFmtId="0" fontId="0" fillId="0" borderId="0" xfId="0" applyAlignment="1">
      <alignment horizontal="center"/>
    </xf>
    <xf numFmtId="0" fontId="127" fillId="0" borderId="144" xfId="0" applyFont="1" applyFill="1" applyBorder="1" applyProtection="1"/>
    <xf numFmtId="0" fontId="0" fillId="0" borderId="146" xfId="0" applyFill="1" applyBorder="1" applyProtection="1"/>
    <xf numFmtId="0" fontId="0" fillId="0" borderId="142" xfId="0" applyFill="1" applyBorder="1" applyProtection="1"/>
    <xf numFmtId="0" fontId="0" fillId="0" borderId="204" xfId="0" applyFill="1" applyBorder="1" applyProtection="1"/>
    <xf numFmtId="0" fontId="0" fillId="0" borderId="205" xfId="0" applyFill="1" applyBorder="1" applyProtection="1"/>
    <xf numFmtId="0" fontId="220" fillId="0" borderId="0" xfId="0" applyFont="1" applyFill="1" applyBorder="1" applyAlignment="1" applyProtection="1">
      <alignment horizontal="left"/>
    </xf>
    <xf numFmtId="0" fontId="220" fillId="0" borderId="20" xfId="0" applyFont="1" applyFill="1" applyBorder="1" applyAlignment="1" applyProtection="1">
      <alignment horizontal="left"/>
    </xf>
    <xf numFmtId="167" fontId="0" fillId="0" borderId="205" xfId="0" applyNumberFormat="1" applyFill="1" applyBorder="1" applyProtection="1"/>
    <xf numFmtId="167" fontId="0" fillId="0" borderId="206" xfId="0" applyNumberFormat="1" applyFill="1" applyBorder="1" applyProtection="1"/>
    <xf numFmtId="167" fontId="0" fillId="0" borderId="0" xfId="0" applyNumberFormat="1" applyFill="1" applyBorder="1" applyProtection="1"/>
    <xf numFmtId="167" fontId="0" fillId="0" borderId="22" xfId="0" applyNumberFormat="1" applyFill="1" applyBorder="1" applyProtection="1"/>
    <xf numFmtId="0" fontId="0" fillId="0" borderId="207" xfId="0" applyFill="1" applyBorder="1" applyProtection="1"/>
    <xf numFmtId="0" fontId="0" fillId="0" borderId="208" xfId="0" applyFill="1" applyBorder="1" applyProtection="1"/>
    <xf numFmtId="167" fontId="0" fillId="0" borderId="20" xfId="0" applyNumberFormat="1" applyFill="1" applyBorder="1" applyProtection="1"/>
    <xf numFmtId="0" fontId="221" fillId="0" borderId="0" xfId="1518" applyFont="1"/>
    <xf numFmtId="1" fontId="21" fillId="0" borderId="0" xfId="1518" applyNumberFormat="1" applyFont="1"/>
    <xf numFmtId="1" fontId="21" fillId="0" borderId="0" xfId="1518" applyNumberFormat="1" applyFont="1" applyFill="1"/>
    <xf numFmtId="0" fontId="21" fillId="0" borderId="0" xfId="1518" applyFont="1" applyFill="1"/>
    <xf numFmtId="167" fontId="21" fillId="0" borderId="0" xfId="1518" applyNumberFormat="1" applyFont="1" applyAlignment="1"/>
    <xf numFmtId="0" fontId="21" fillId="0" borderId="0" xfId="1518" applyFont="1"/>
    <xf numFmtId="0" fontId="18" fillId="0" borderId="0" xfId="1515"/>
    <xf numFmtId="0" fontId="21" fillId="108" borderId="20" xfId="1518" applyFont="1" applyFill="1" applyBorder="1"/>
    <xf numFmtId="1" fontId="21" fillId="28" borderId="20" xfId="1518" quotePrefix="1" applyNumberFormat="1" applyFont="1" applyFill="1" applyBorder="1" applyAlignment="1">
      <alignment horizontal="right"/>
    </xf>
    <xf numFmtId="167" fontId="21" fillId="0" borderId="0" xfId="1518" applyNumberFormat="1" applyFont="1" applyFill="1"/>
    <xf numFmtId="167" fontId="21" fillId="28" borderId="0" xfId="1518" applyNumberFormat="1" applyFont="1" applyFill="1" applyAlignment="1">
      <alignment horizontal="right"/>
    </xf>
    <xf numFmtId="167" fontId="21" fillId="0" borderId="0" xfId="1518" applyNumberFormat="1" applyFont="1" applyFill="1" applyAlignment="1">
      <alignment horizontal="right"/>
    </xf>
    <xf numFmtId="172" fontId="21" fillId="0" borderId="0" xfId="1518" applyNumberFormat="1" applyFont="1"/>
    <xf numFmtId="208" fontId="21" fillId="0" borderId="0" xfId="1518" applyNumberFormat="1" applyFont="1"/>
    <xf numFmtId="0" fontId="120" fillId="0" borderId="0" xfId="1515" applyFont="1"/>
    <xf numFmtId="0" fontId="48" fillId="0" borderId="0" xfId="1518" applyFont="1"/>
    <xf numFmtId="167" fontId="48" fillId="0" borderId="0" xfId="1518" applyNumberFormat="1" applyFont="1" applyFill="1"/>
    <xf numFmtId="167" fontId="48" fillId="28" borderId="0" xfId="1518" applyNumberFormat="1" applyFont="1" applyFill="1" applyAlignment="1">
      <alignment horizontal="right"/>
    </xf>
    <xf numFmtId="0" fontId="222" fillId="0" borderId="0" xfId="1515" applyFont="1"/>
    <xf numFmtId="0" fontId="220" fillId="0" borderId="146" xfId="0" applyFont="1" applyFill="1" applyBorder="1" applyAlignment="1" applyProtection="1">
      <alignment horizontal="left"/>
    </xf>
    <xf numFmtId="0" fontId="21" fillId="0" borderId="0" xfId="0" applyFont="1" applyFill="1" applyProtection="1"/>
    <xf numFmtId="0" fontId="21" fillId="0" borderId="204" xfId="0" applyFont="1" applyFill="1" applyBorder="1" applyProtection="1"/>
    <xf numFmtId="167" fontId="0" fillId="0" borderId="0" xfId="0" applyNumberFormat="1" applyFill="1" applyProtection="1"/>
    <xf numFmtId="167" fontId="0" fillId="0" borderId="23" xfId="0" applyNumberFormat="1" applyFill="1" applyBorder="1" applyProtection="1"/>
    <xf numFmtId="167" fontId="0" fillId="0" borderId="146" xfId="0" applyNumberFormat="1" applyFill="1" applyBorder="1" applyProtection="1"/>
    <xf numFmtId="167" fontId="0" fillId="0" borderId="208" xfId="0" applyNumberFormat="1" applyFill="1" applyBorder="1" applyProtection="1"/>
    <xf numFmtId="0" fontId="48" fillId="0" borderId="207" xfId="0" applyFont="1" applyFill="1" applyBorder="1" applyProtection="1"/>
    <xf numFmtId="0" fontId="21" fillId="0" borderId="19" xfId="0" applyFont="1" applyFill="1" applyBorder="1" applyProtection="1"/>
    <xf numFmtId="0" fontId="21" fillId="0" borderId="207" xfId="0" applyFont="1" applyFill="1" applyBorder="1" applyProtection="1"/>
    <xf numFmtId="0" fontId="92" fillId="0" borderId="0" xfId="0" applyFont="1" applyFill="1" applyBorder="1"/>
    <xf numFmtId="178" fontId="92" fillId="0" borderId="0" xfId="0" applyNumberFormat="1" applyFont="1"/>
    <xf numFmtId="172" fontId="92" fillId="0" borderId="0" xfId="0" applyNumberFormat="1" applyFont="1" applyBorder="1"/>
    <xf numFmtId="1" fontId="92" fillId="0" borderId="0" xfId="0" applyNumberFormat="1" applyFont="1"/>
    <xf numFmtId="172" fontId="92" fillId="0" borderId="0" xfId="0" applyNumberFormat="1" applyFont="1" applyFill="1"/>
    <xf numFmtId="172" fontId="92" fillId="0" borderId="0" xfId="0" applyNumberFormat="1" applyFont="1" applyFill="1" applyBorder="1"/>
    <xf numFmtId="1" fontId="92" fillId="0" borderId="0" xfId="0" applyNumberFormat="1" applyFont="1" applyFill="1" applyBorder="1"/>
    <xf numFmtId="178" fontId="92" fillId="0" borderId="0" xfId="0" applyNumberFormat="1" applyFont="1" applyBorder="1"/>
    <xf numFmtId="0" fontId="0" fillId="0" borderId="23" xfId="0" applyFill="1" applyBorder="1" applyProtection="1"/>
    <xf numFmtId="0" fontId="21" fillId="0" borderId="0" xfId="0" applyFont="1" applyFill="1" applyBorder="1" applyProtection="1"/>
    <xf numFmtId="1" fontId="120" fillId="0" borderId="0" xfId="0" applyNumberFormat="1" applyFont="1" applyFill="1"/>
    <xf numFmtId="0" fontId="44" fillId="28" borderId="15" xfId="0" applyFont="1" applyFill="1" applyBorder="1" applyAlignment="1">
      <alignment horizontal="center" vertical="center" wrapText="1"/>
    </xf>
    <xf numFmtId="167" fontId="0" fillId="0" borderId="19" xfId="0" applyNumberFormat="1" applyFill="1" applyBorder="1" applyProtection="1"/>
    <xf numFmtId="1" fontId="0" fillId="0" borderId="0" xfId="0" applyNumberFormat="1" applyFill="1" applyProtection="1"/>
    <xf numFmtId="10" fontId="0" fillId="0" borderId="0" xfId="0" applyNumberFormat="1" applyFill="1" applyProtection="1"/>
    <xf numFmtId="1" fontId="43" fillId="105" borderId="205" xfId="543" applyNumberFormat="1" applyFont="1" applyFill="1" applyBorder="1" applyAlignment="1">
      <alignment horizontal="right"/>
    </xf>
    <xf numFmtId="0" fontId="0" fillId="0" borderId="0" xfId="0" applyNumberFormat="1" applyFont="1" applyFill="1" applyBorder="1" applyAlignment="1" applyProtection="1"/>
    <xf numFmtId="189" fontId="0" fillId="0" borderId="0" xfId="0" applyNumberFormat="1" applyFont="1" applyFill="1" applyBorder="1" applyAlignment="1" applyProtection="1"/>
    <xf numFmtId="0" fontId="0" fillId="109" borderId="0" xfId="0" applyNumberFormat="1" applyFont="1" applyFill="1" applyBorder="1" applyAlignment="1" applyProtection="1"/>
    <xf numFmtId="0" fontId="0" fillId="110" borderId="0" xfId="0" applyNumberFormat="1" applyFont="1" applyFill="1" applyBorder="1" applyAlignment="1" applyProtection="1"/>
    <xf numFmtId="0" fontId="0" fillId="108" borderId="209" xfId="0" applyNumberFormat="1" applyFont="1" applyFill="1" applyBorder="1" applyAlignment="1" applyProtection="1"/>
    <xf numFmtId="189" fontId="0" fillId="108" borderId="209" xfId="0" applyNumberFormat="1" applyFont="1" applyFill="1" applyBorder="1" applyAlignment="1" applyProtection="1">
      <alignment horizontal="center"/>
    </xf>
    <xf numFmtId="0" fontId="0" fillId="0" borderId="0" xfId="0" applyNumberFormat="1" applyFont="1" applyFill="1" applyBorder="1" applyAlignment="1" applyProtection="1">
      <alignment horizontal="center"/>
    </xf>
    <xf numFmtId="189" fontId="0" fillId="111" borderId="209" xfId="0" applyNumberFormat="1" applyFont="1" applyFill="1" applyBorder="1" applyAlignment="1" applyProtection="1">
      <alignment horizontal="center"/>
    </xf>
    <xf numFmtId="0" fontId="0" fillId="110" borderId="209" xfId="0" applyNumberFormat="1" applyFont="1" applyFill="1" applyBorder="1" applyAlignment="1" applyProtection="1"/>
    <xf numFmtId="189" fontId="0" fillId="110" borderId="209" xfId="0" applyNumberFormat="1" applyFont="1" applyFill="1" applyBorder="1" applyAlignment="1" applyProtection="1">
      <alignment horizontal="center"/>
    </xf>
    <xf numFmtId="189" fontId="21" fillId="110" borderId="209" xfId="0" applyNumberFormat="1" applyFont="1" applyFill="1" applyBorder="1" applyAlignment="1" applyProtection="1">
      <alignment horizontal="center"/>
    </xf>
    <xf numFmtId="210" fontId="48" fillId="0" borderId="0" xfId="0" applyNumberFormat="1" applyFont="1" applyFill="1" applyBorder="1" applyAlignment="1" applyProtection="1"/>
    <xf numFmtId="209" fontId="0" fillId="0" borderId="0" xfId="0" applyNumberFormat="1" applyFont="1" applyFill="1" applyBorder="1" applyAlignment="1" applyProtection="1"/>
    <xf numFmtId="0" fontId="48" fillId="0" borderId="0" xfId="0" applyNumberFormat="1" applyFont="1" applyFill="1" applyBorder="1" applyAlignment="1" applyProtection="1">
      <alignment horizontal="center"/>
    </xf>
    <xf numFmtId="189" fontId="21" fillId="0" borderId="0" xfId="0" applyNumberFormat="1" applyFont="1" applyFill="1" applyBorder="1" applyAlignment="1" applyProtection="1"/>
    <xf numFmtId="0" fontId="21" fillId="0" borderId="0" xfId="0" applyNumberFormat="1" applyFont="1" applyFill="1" applyBorder="1" applyAlignment="1" applyProtection="1"/>
    <xf numFmtId="0" fontId="0" fillId="0" borderId="210" xfId="0" applyNumberFormat="1" applyFont="1" applyFill="1" applyBorder="1" applyAlignment="1" applyProtection="1"/>
    <xf numFmtId="0" fontId="0" fillId="0" borderId="211" xfId="0" applyNumberFormat="1" applyFont="1" applyFill="1" applyBorder="1" applyAlignment="1" applyProtection="1"/>
    <xf numFmtId="0" fontId="0" fillId="0" borderId="212" xfId="0" applyNumberFormat="1" applyFont="1" applyFill="1" applyBorder="1" applyAlignment="1" applyProtection="1"/>
    <xf numFmtId="0" fontId="0" fillId="0" borderId="213" xfId="0" applyNumberFormat="1" applyFont="1" applyFill="1" applyBorder="1" applyAlignment="1" applyProtection="1">
      <alignment horizontal="left"/>
    </xf>
    <xf numFmtId="0" fontId="0" fillId="0" borderId="0" xfId="0" applyNumberFormat="1" applyFont="1" applyFill="1" applyBorder="1" applyAlignment="1" applyProtection="1">
      <alignment horizontal="right"/>
    </xf>
    <xf numFmtId="0" fontId="0" fillId="0" borderId="214" xfId="0" applyNumberFormat="1" applyFont="1" applyFill="1" applyBorder="1" applyAlignment="1" applyProtection="1">
      <alignment horizontal="right"/>
    </xf>
    <xf numFmtId="9" fontId="0" fillId="0" borderId="0" xfId="0" applyNumberFormat="1" applyFont="1" applyFill="1" applyBorder="1" applyAlignment="1" applyProtection="1"/>
    <xf numFmtId="0" fontId="21" fillId="0" borderId="215" xfId="0" applyNumberFormat="1" applyFont="1" applyFill="1" applyBorder="1" applyAlignment="1" applyProtection="1"/>
    <xf numFmtId="0" fontId="0" fillId="0" borderId="216" xfId="0" applyNumberFormat="1" applyFont="1" applyFill="1" applyBorder="1" applyAlignment="1" applyProtection="1"/>
    <xf numFmtId="1" fontId="0" fillId="0" borderId="217" xfId="0" applyNumberFormat="1" applyFont="1" applyFill="1" applyBorder="1" applyAlignment="1" applyProtection="1"/>
    <xf numFmtId="1" fontId="21" fillId="0" borderId="0" xfId="0" applyNumberFormat="1" applyFont="1" applyFill="1" applyBorder="1" applyAlignment="1" applyProtection="1"/>
    <xf numFmtId="167" fontId="21" fillId="0" borderId="0" xfId="0" applyNumberFormat="1" applyFont="1" applyFill="1" applyBorder="1" applyAlignment="1" applyProtection="1"/>
    <xf numFmtId="172" fontId="21" fillId="0" borderId="0" xfId="0" applyNumberFormat="1" applyFont="1" applyFill="1" applyBorder="1" applyAlignment="1" applyProtection="1"/>
    <xf numFmtId="167" fontId="92" fillId="0" borderId="0" xfId="0" applyNumberFormat="1" applyFont="1" applyFill="1" applyBorder="1" applyProtection="1"/>
    <xf numFmtId="0" fontId="92" fillId="0" borderId="0" xfId="0" applyFont="1" applyFill="1" applyProtection="1"/>
    <xf numFmtId="172" fontId="92" fillId="0" borderId="0" xfId="0" applyNumberFormat="1" applyFont="1" applyFill="1" applyBorder="1" applyProtection="1"/>
    <xf numFmtId="172" fontId="0" fillId="0" borderId="20" xfId="0" applyNumberFormat="1" applyFill="1" applyBorder="1" applyProtection="1"/>
    <xf numFmtId="0" fontId="223" fillId="0" borderId="0" xfId="0" applyNumberFormat="1" applyFont="1" applyFill="1" applyBorder="1" applyAlignment="1" applyProtection="1"/>
    <xf numFmtId="0" fontId="224" fillId="0" borderId="0" xfId="0" applyNumberFormat="1" applyFont="1" applyFill="1" applyBorder="1" applyAlignment="1" applyProtection="1"/>
    <xf numFmtId="0" fontId="0" fillId="0" borderId="0" xfId="0" applyNumberFormat="1" applyFont="1" applyFill="1" applyBorder="1" applyAlignment="1" applyProtection="1">
      <alignment wrapText="1"/>
    </xf>
    <xf numFmtId="0" fontId="225" fillId="0" borderId="0" xfId="0" applyNumberFormat="1" applyFont="1" applyFill="1" applyBorder="1" applyAlignment="1" applyProtection="1"/>
    <xf numFmtId="0" fontId="226" fillId="0" borderId="218" xfId="0" applyNumberFormat="1" applyFont="1" applyFill="1" applyBorder="1" applyAlignment="1" applyProtection="1"/>
    <xf numFmtId="0" fontId="227" fillId="0" borderId="219" xfId="0" applyNumberFormat="1" applyFont="1" applyFill="1" applyBorder="1" applyAlignment="1" applyProtection="1">
      <alignment horizontal="centerContinuous"/>
    </xf>
    <xf numFmtId="0" fontId="227" fillId="0" borderId="220" xfId="0" applyNumberFormat="1" applyFont="1" applyFill="1" applyBorder="1" applyAlignment="1" applyProtection="1">
      <alignment horizontal="centerContinuous"/>
    </xf>
    <xf numFmtId="0" fontId="224" fillId="0" borderId="219" xfId="0" applyNumberFormat="1" applyFont="1" applyFill="1" applyBorder="1" applyAlignment="1" applyProtection="1">
      <alignment horizontal="centerContinuous"/>
    </xf>
    <xf numFmtId="0" fontId="227" fillId="0" borderId="221" xfId="0" applyNumberFormat="1" applyFont="1" applyFill="1" applyBorder="1" applyAlignment="1" applyProtection="1"/>
    <xf numFmtId="0" fontId="227" fillId="0" borderId="222" xfId="0" applyNumberFormat="1" applyFont="1" applyFill="1" applyBorder="1" applyAlignment="1" applyProtection="1"/>
    <xf numFmtId="0" fontId="227" fillId="0" borderId="223" xfId="0" applyNumberFormat="1" applyFont="1" applyFill="1" applyBorder="1" applyAlignment="1" applyProtection="1"/>
    <xf numFmtId="0" fontId="227" fillId="0" borderId="223" xfId="0" applyNumberFormat="1" applyFont="1" applyFill="1" applyBorder="1" applyAlignment="1" applyProtection="1">
      <alignment horizontal="centerContinuous"/>
    </xf>
    <xf numFmtId="0" fontId="224" fillId="0" borderId="222" xfId="0" applyNumberFormat="1" applyFont="1" applyFill="1" applyBorder="1" applyAlignment="1" applyProtection="1">
      <alignment horizontal="centerContinuous"/>
    </xf>
    <xf numFmtId="0" fontId="227" fillId="0" borderId="224" xfId="0" applyNumberFormat="1" applyFont="1" applyFill="1" applyBorder="1" applyAlignment="1" applyProtection="1">
      <alignment horizontal="right"/>
    </xf>
    <xf numFmtId="0" fontId="227" fillId="0" borderId="0" xfId="0" applyNumberFormat="1" applyFont="1" applyFill="1" applyBorder="1" applyAlignment="1" applyProtection="1">
      <alignment horizontal="right"/>
    </xf>
    <xf numFmtId="3" fontId="227" fillId="0" borderId="224" xfId="0" applyNumberFormat="1" applyFont="1" applyFill="1" applyBorder="1" applyAlignment="1" applyProtection="1"/>
    <xf numFmtId="3" fontId="227" fillId="0" borderId="225" xfId="0" applyNumberFormat="1" applyFont="1" applyFill="1" applyBorder="1" applyAlignment="1" applyProtection="1"/>
    <xf numFmtId="3" fontId="228" fillId="0" borderId="224" xfId="0" applyNumberFormat="1" applyFont="1" applyFill="1" applyBorder="1" applyAlignment="1" applyProtection="1"/>
    <xf numFmtId="3" fontId="227" fillId="0" borderId="0" xfId="0" applyNumberFormat="1" applyFont="1" applyFill="1" applyBorder="1" applyAlignment="1" applyProtection="1"/>
    <xf numFmtId="0" fontId="224" fillId="0" borderId="225" xfId="0" applyNumberFormat="1" applyFont="1" applyFill="1" applyBorder="1" applyAlignment="1" applyProtection="1"/>
    <xf numFmtId="0" fontId="0" fillId="112" borderId="226" xfId="0" applyNumberFormat="1" applyFont="1" applyFill="1" applyBorder="1" applyAlignment="1" applyProtection="1">
      <alignment horizontal="left"/>
    </xf>
    <xf numFmtId="172" fontId="0" fillId="112" borderId="0" xfId="0" applyNumberFormat="1" applyFont="1" applyFill="1" applyBorder="1" applyAlignment="1" applyProtection="1">
      <alignment horizontal="center"/>
    </xf>
    <xf numFmtId="3" fontId="227" fillId="0" borderId="224" xfId="0" applyNumberFormat="1" applyFont="1" applyFill="1" applyBorder="1" applyAlignment="1" applyProtection="1">
      <alignment horizontal="right"/>
    </xf>
    <xf numFmtId="0" fontId="227" fillId="0" borderId="221" xfId="0" applyNumberFormat="1" applyFont="1" applyFill="1" applyBorder="1" applyAlignment="1" applyProtection="1">
      <alignment horizontal="right"/>
    </xf>
    <xf numFmtId="0" fontId="227" fillId="0" borderId="223" xfId="0" applyNumberFormat="1" applyFont="1" applyFill="1" applyBorder="1" applyAlignment="1" applyProtection="1">
      <alignment horizontal="right"/>
    </xf>
    <xf numFmtId="3" fontId="227" fillId="0" borderId="221" xfId="0" applyNumberFormat="1" applyFont="1" applyFill="1" applyBorder="1" applyAlignment="1" applyProtection="1">
      <alignment horizontal="right"/>
    </xf>
    <xf numFmtId="3" fontId="227" fillId="0" borderId="222" xfId="0" applyNumberFormat="1" applyFont="1" applyFill="1" applyBorder="1" applyAlignment="1" applyProtection="1"/>
    <xf numFmtId="3" fontId="227" fillId="0" borderId="221" xfId="0" applyNumberFormat="1" applyFont="1" applyFill="1" applyBorder="1" applyAlignment="1" applyProtection="1"/>
    <xf numFmtId="0" fontId="224" fillId="0" borderId="222" xfId="0" applyNumberFormat="1" applyFont="1" applyFill="1" applyBorder="1" applyAlignment="1" applyProtection="1"/>
    <xf numFmtId="3" fontId="225" fillId="0" borderId="0" xfId="0" applyNumberFormat="1" applyFont="1" applyFill="1" applyBorder="1" applyAlignment="1" applyProtection="1"/>
    <xf numFmtId="172" fontId="120" fillId="0" borderId="0" xfId="0" applyNumberFormat="1" applyFont="1"/>
    <xf numFmtId="0" fontId="43" fillId="29" borderId="0" xfId="0" applyFont="1" applyFill="1" applyBorder="1" applyAlignment="1">
      <alignment horizontal="center" vertical="center" wrapText="1"/>
    </xf>
    <xf numFmtId="0" fontId="0" fillId="0" borderId="223" xfId="0" applyBorder="1"/>
    <xf numFmtId="0" fontId="24" fillId="0" borderId="0" xfId="0" applyNumberFormat="1" applyFont="1" applyFill="1" applyBorder="1" applyAlignment="1" applyProtection="1"/>
    <xf numFmtId="174" fontId="21" fillId="0" borderId="20" xfId="0" applyNumberFormat="1" applyFont="1" applyFill="1" applyBorder="1" applyAlignment="1">
      <alignment horizontal="left"/>
    </xf>
    <xf numFmtId="0" fontId="0" fillId="0" borderId="224" xfId="0" applyBorder="1"/>
    <xf numFmtId="0" fontId="0" fillId="0" borderId="220" xfId="0" applyBorder="1"/>
    <xf numFmtId="0" fontId="0" fillId="0" borderId="218" xfId="0" applyBorder="1"/>
    <xf numFmtId="0" fontId="21" fillId="0" borderId="27" xfId="0" applyFont="1" applyFill="1" applyBorder="1"/>
    <xf numFmtId="0" fontId="21" fillId="0" borderId="209" xfId="0" applyFont="1" applyFill="1" applyBorder="1"/>
    <xf numFmtId="0" fontId="21" fillId="0" borderId="0" xfId="5087" applyFont="1" applyFill="1" applyBorder="1" applyAlignment="1">
      <alignment horizontal="right"/>
    </xf>
    <xf numFmtId="2" fontId="219" fillId="0" borderId="0" xfId="0" applyNumberFormat="1" applyFont="1" applyFill="1" applyBorder="1" applyAlignment="1">
      <alignment horizontal="left"/>
    </xf>
    <xf numFmtId="0" fontId="43" fillId="106" borderId="220" xfId="0" applyFont="1" applyFill="1" applyBorder="1" applyAlignment="1">
      <alignment horizontal="left" vertical="center" wrapText="1"/>
    </xf>
    <xf numFmtId="0" fontId="43" fillId="106" borderId="220" xfId="0" applyFont="1" applyFill="1" applyBorder="1" applyAlignment="1">
      <alignment horizontal="center" vertical="center" wrapText="1"/>
    </xf>
    <xf numFmtId="0" fontId="44" fillId="113" borderId="15" xfId="0" applyFont="1" applyFill="1" applyBorder="1" applyAlignment="1">
      <alignment horizontal="left" vertical="top" wrapText="1"/>
    </xf>
    <xf numFmtId="0" fontId="44" fillId="113" borderId="220" xfId="0" applyFont="1" applyFill="1" applyBorder="1" applyAlignment="1">
      <alignment horizontal="left" vertical="top" wrapText="1"/>
    </xf>
    <xf numFmtId="0" fontId="0" fillId="0" borderId="27" xfId="0" applyFont="1" applyFill="1" applyBorder="1"/>
    <xf numFmtId="0" fontId="0" fillId="0" borderId="27" xfId="0" applyFont="1" applyFill="1" applyBorder="1" applyAlignment="1">
      <alignment horizontal="center"/>
    </xf>
    <xf numFmtId="172" fontId="21" fillId="0" borderId="27" xfId="5087" applyNumberFormat="1" applyFont="1" applyFill="1" applyBorder="1" applyAlignment="1">
      <alignment horizontal="center"/>
    </xf>
    <xf numFmtId="0" fontId="21" fillId="0" borderId="27" xfId="5087" applyFont="1" applyFill="1" applyBorder="1" applyAlignment="1">
      <alignment horizontal="center"/>
    </xf>
    <xf numFmtId="0" fontId="21" fillId="0" borderId="27" xfId="5087" applyNumberFormat="1" applyFont="1" applyFill="1" applyBorder="1" applyAlignment="1">
      <alignment horizontal="center"/>
    </xf>
    <xf numFmtId="1" fontId="21" fillId="0" borderId="0" xfId="0" applyNumberFormat="1" applyFont="1" applyFill="1" applyBorder="1" applyAlignment="1">
      <alignment horizontal="center"/>
    </xf>
    <xf numFmtId="172" fontId="21" fillId="0" borderId="27" xfId="0" applyNumberFormat="1" applyFont="1" applyFill="1" applyBorder="1"/>
    <xf numFmtId="0" fontId="0" fillId="0" borderId="0" xfId="0" applyFont="1" applyFill="1" applyBorder="1" applyAlignment="1">
      <alignment horizontal="center"/>
    </xf>
    <xf numFmtId="172" fontId="21" fillId="0" borderId="0" xfId="5087" applyNumberFormat="1" applyFont="1" applyFill="1" applyBorder="1" applyAlignment="1">
      <alignment horizontal="center"/>
    </xf>
    <xf numFmtId="0" fontId="21" fillId="0" borderId="0" xfId="5087" applyFont="1" applyFill="1" applyBorder="1" applyAlignment="1">
      <alignment horizontal="center"/>
    </xf>
    <xf numFmtId="0" fontId="21" fillId="0" borderId="0" xfId="5087" applyNumberFormat="1" applyFont="1" applyFill="1" applyBorder="1" applyAlignment="1">
      <alignment horizontal="center"/>
    </xf>
    <xf numFmtId="172" fontId="21" fillId="0" borderId="0" xfId="0" applyNumberFormat="1" applyFont="1" applyFill="1" applyBorder="1"/>
    <xf numFmtId="0" fontId="0" fillId="0" borderId="209" xfId="0" applyFont="1" applyFill="1" applyBorder="1"/>
    <xf numFmtId="0" fontId="0" fillId="0" borderId="209" xfId="0" applyFont="1" applyFill="1" applyBorder="1" applyAlignment="1">
      <alignment horizontal="center"/>
    </xf>
    <xf numFmtId="172" fontId="21" fillId="0" borderId="209" xfId="5087" applyNumberFormat="1" applyFont="1" applyFill="1" applyBorder="1" applyAlignment="1">
      <alignment horizontal="center"/>
    </xf>
    <xf numFmtId="0" fontId="21" fillId="0" borderId="209" xfId="5087" applyFont="1" applyFill="1" applyBorder="1" applyAlignment="1">
      <alignment horizontal="center"/>
    </xf>
    <xf numFmtId="0" fontId="21" fillId="0" borderId="209" xfId="5087" applyNumberFormat="1" applyFont="1" applyFill="1" applyBorder="1" applyAlignment="1">
      <alignment horizontal="center"/>
    </xf>
    <xf numFmtId="1" fontId="21" fillId="0" borderId="209" xfId="0" applyNumberFormat="1" applyFont="1" applyFill="1" applyBorder="1" applyAlignment="1">
      <alignment horizontal="center"/>
    </xf>
    <xf numFmtId="172" fontId="21" fillId="0" borderId="209" xfId="0" applyNumberFormat="1" applyFont="1" applyFill="1" applyBorder="1"/>
    <xf numFmtId="174" fontId="0" fillId="0" borderId="0" xfId="0" applyNumberFormat="1" applyFont="1" applyFill="1" applyBorder="1"/>
    <xf numFmtId="1" fontId="21" fillId="0" borderId="0" xfId="5087" applyNumberFormat="1" applyFont="1" applyFill="1" applyBorder="1" applyAlignment="1">
      <alignment horizontal="center"/>
    </xf>
    <xf numFmtId="0" fontId="21" fillId="0" borderId="0" xfId="0" applyFont="1" applyFill="1" applyBorder="1" applyAlignment="1">
      <alignment horizontal="right"/>
    </xf>
    <xf numFmtId="0" fontId="21" fillId="0" borderId="209" xfId="0" applyFont="1" applyFill="1" applyBorder="1" applyAlignment="1">
      <alignment horizontal="right"/>
    </xf>
    <xf numFmtId="1" fontId="43" fillId="105" borderId="205" xfId="543" applyNumberFormat="1" applyFont="1" applyFill="1" applyBorder="1" applyAlignment="1">
      <alignment horizontal="center"/>
    </xf>
    <xf numFmtId="0" fontId="43" fillId="28" borderId="209" xfId="543" applyFont="1" applyFill="1" applyBorder="1" applyAlignment="1">
      <alignment horizontal="right" wrapText="1"/>
    </xf>
    <xf numFmtId="0" fontId="233" fillId="0" borderId="0" xfId="543" applyFont="1" applyFill="1" applyBorder="1" applyAlignment="1">
      <alignment horizontal="right"/>
    </xf>
    <xf numFmtId="1" fontId="43" fillId="114" borderId="205" xfId="543" applyNumberFormat="1" applyFont="1" applyFill="1" applyBorder="1" applyAlignment="1">
      <alignment horizontal="center"/>
    </xf>
    <xf numFmtId="0" fontId="43" fillId="113" borderId="209" xfId="543" applyFont="1" applyFill="1" applyBorder="1" applyAlignment="1">
      <alignment horizontal="right" wrapText="1"/>
    </xf>
    <xf numFmtId="0" fontId="43" fillId="115" borderId="0" xfId="543" applyFont="1" applyFill="1" applyBorder="1"/>
    <xf numFmtId="0" fontId="0" fillId="0" borderId="0" xfId="0" applyAlignment="1">
      <alignment horizontal="center"/>
    </xf>
    <xf numFmtId="0" fontId="0" fillId="0" borderId="223" xfId="0" applyFont="1" applyFill="1" applyBorder="1"/>
    <xf numFmtId="0" fontId="0" fillId="0" borderId="223" xfId="0" applyFont="1" applyFill="1" applyBorder="1" applyAlignment="1">
      <alignment horizontal="center"/>
    </xf>
    <xf numFmtId="172" fontId="21" fillId="0" borderId="223" xfId="5087" applyNumberFormat="1" applyFont="1" applyFill="1" applyBorder="1" applyAlignment="1">
      <alignment horizontal="center"/>
    </xf>
    <xf numFmtId="0" fontId="21" fillId="0" borderId="223" xfId="5087" applyFont="1" applyFill="1" applyBorder="1" applyAlignment="1">
      <alignment horizontal="center"/>
    </xf>
    <xf numFmtId="172" fontId="21" fillId="0" borderId="223" xfId="0" applyNumberFormat="1" applyFont="1" applyFill="1" applyBorder="1"/>
    <xf numFmtId="0" fontId="21" fillId="0" borderId="223" xfId="0" applyFont="1" applyFill="1" applyBorder="1"/>
    <xf numFmtId="1" fontId="0" fillId="0" borderId="0" xfId="0" applyNumberFormat="1" applyBorder="1" applyAlignment="1">
      <alignment horizontal="center"/>
    </xf>
    <xf numFmtId="2" fontId="0" fillId="0" borderId="0" xfId="0" applyNumberFormat="1" applyBorder="1" applyAlignment="1">
      <alignment horizontal="center"/>
    </xf>
    <xf numFmtId="211" fontId="0" fillId="0" borderId="0" xfId="0" applyNumberFormat="1"/>
    <xf numFmtId="0" fontId="43" fillId="29" borderId="220" xfId="0" applyFont="1" applyFill="1" applyBorder="1" applyAlignment="1">
      <alignment horizontal="left" vertical="center" wrapText="1"/>
    </xf>
    <xf numFmtId="0" fontId="43" fillId="36" borderId="220" xfId="0" applyFont="1" applyFill="1" applyBorder="1" applyAlignment="1">
      <alignment horizontal="left" vertical="center" wrapText="1"/>
    </xf>
    <xf numFmtId="0" fontId="43" fillId="38" borderId="220" xfId="0" applyFont="1" applyFill="1" applyBorder="1" applyAlignment="1">
      <alignment horizontal="left" vertical="center" wrapText="1"/>
    </xf>
    <xf numFmtId="0" fontId="43" fillId="42" borderId="220" xfId="0" applyFont="1" applyFill="1" applyBorder="1" applyAlignment="1">
      <alignment horizontal="left" vertical="center" wrapText="1"/>
    </xf>
    <xf numFmtId="0" fontId="43" fillId="41" borderId="220" xfId="0" applyFont="1" applyFill="1" applyBorder="1" applyAlignment="1">
      <alignment horizontal="left" vertical="center" wrapText="1"/>
    </xf>
    <xf numFmtId="172" fontId="49" fillId="0" borderId="0" xfId="0" applyNumberFormat="1" applyFont="1" applyFill="1" applyBorder="1"/>
    <xf numFmtId="2" fontId="120" fillId="0" borderId="0" xfId="0" applyNumberFormat="1" applyFont="1" applyFill="1" applyBorder="1"/>
    <xf numFmtId="172" fontId="49" fillId="0" borderId="0" xfId="0" applyNumberFormat="1" applyFont="1" applyBorder="1"/>
    <xf numFmtId="0" fontId="21" fillId="0" borderId="94" xfId="0" applyFont="1" applyBorder="1"/>
    <xf numFmtId="0" fontId="21" fillId="0" borderId="95" xfId="0" applyFont="1" applyBorder="1"/>
    <xf numFmtId="9" fontId="21" fillId="0" borderId="99" xfId="844" applyFont="1" applyBorder="1"/>
    <xf numFmtId="1" fontId="0" fillId="0" borderId="0" xfId="0" applyNumberFormat="1" applyFont="1" applyFill="1" applyBorder="1" applyAlignment="1">
      <alignment horizontal="center"/>
    </xf>
    <xf numFmtId="0" fontId="234" fillId="0" borderId="0" xfId="0" applyFont="1"/>
    <xf numFmtId="1" fontId="21" fillId="0" borderId="223" xfId="0" applyNumberFormat="1" applyFont="1" applyFill="1" applyBorder="1" applyAlignment="1">
      <alignment horizontal="center"/>
    </xf>
    <xf numFmtId="0" fontId="0" fillId="0" borderId="0" xfId="0" applyBorder="1" applyAlignment="1">
      <alignment horizontal="left" vertical="top"/>
    </xf>
    <xf numFmtId="1" fontId="48" fillId="0" borderId="0" xfId="0" applyNumberFormat="1" applyFont="1" applyBorder="1" applyAlignment="1">
      <alignment horizontal="left" vertical="top"/>
    </xf>
    <xf numFmtId="0" fontId="21" fillId="0" borderId="0" xfId="0" applyNumberFormat="1" applyFont="1" applyBorder="1" applyAlignment="1">
      <alignment horizontal="center"/>
    </xf>
    <xf numFmtId="167" fontId="0" fillId="0" borderId="0" xfId="0" applyNumberFormat="1" applyAlignment="1">
      <alignment horizontal="left" vertical="top"/>
    </xf>
    <xf numFmtId="0" fontId="21" fillId="0" borderId="0" xfId="8801"/>
    <xf numFmtId="211" fontId="0" fillId="0" borderId="0" xfId="0" applyNumberFormat="1" applyAlignment="1">
      <alignment horizontal="left" vertical="top"/>
    </xf>
    <xf numFmtId="0" fontId="48" fillId="0" borderId="0" xfId="0" applyNumberFormat="1" applyFont="1" applyFill="1" applyBorder="1" applyAlignment="1" applyProtection="1"/>
    <xf numFmtId="1" fontId="0" fillId="0" borderId="0" xfId="0" applyNumberFormat="1" applyFont="1" applyFill="1" applyBorder="1" applyAlignment="1" applyProtection="1"/>
    <xf numFmtId="10" fontId="0" fillId="0" borderId="0" xfId="0" applyNumberFormat="1" applyFont="1" applyFill="1" applyBorder="1" applyAlignment="1" applyProtection="1"/>
    <xf numFmtId="167" fontId="21" fillId="111" borderId="72" xfId="0" applyNumberFormat="1" applyFont="1" applyFill="1" applyBorder="1" applyAlignment="1" applyProtection="1">
      <alignment horizontal="center" vertical="distributed"/>
    </xf>
    <xf numFmtId="167" fontId="21" fillId="111" borderId="172" xfId="0" applyNumberFormat="1" applyFont="1" applyFill="1" applyBorder="1" applyAlignment="1" applyProtection="1">
      <alignment horizontal="center" vertical="distributed"/>
    </xf>
    <xf numFmtId="167" fontId="47" fillId="111" borderId="72" xfId="0" applyNumberFormat="1" applyFont="1" applyFill="1" applyBorder="1" applyAlignment="1" applyProtection="1">
      <alignment horizontal="center" vertical="distributed"/>
    </xf>
    <xf numFmtId="167" fontId="235" fillId="111" borderId="172" xfId="0" applyNumberFormat="1" applyFont="1" applyFill="1" applyBorder="1" applyAlignment="1" applyProtection="1">
      <alignment horizontal="center" vertical="distributed"/>
    </xf>
    <xf numFmtId="167" fontId="21" fillId="111" borderId="227" xfId="0" applyNumberFormat="1" applyFont="1" applyFill="1" applyBorder="1" applyAlignment="1" applyProtection="1">
      <alignment horizontal="center" vertical="distributed"/>
    </xf>
    <xf numFmtId="167" fontId="21" fillId="111" borderId="228" xfId="0" applyNumberFormat="1" applyFont="1" applyFill="1" applyBorder="1" applyAlignment="1" applyProtection="1">
      <alignment horizontal="center" vertical="distributed"/>
    </xf>
    <xf numFmtId="167" fontId="47" fillId="111" borderId="227" xfId="0" applyNumberFormat="1" applyFont="1" applyFill="1" applyBorder="1" applyAlignment="1" applyProtection="1">
      <alignment horizontal="center" vertical="distributed"/>
    </xf>
    <xf numFmtId="0" fontId="0" fillId="0" borderId="229" xfId="0" applyBorder="1"/>
    <xf numFmtId="0" fontId="0" fillId="0" borderId="151" xfId="0" applyBorder="1"/>
    <xf numFmtId="0" fontId="0" fillId="0" borderId="85" xfId="0" applyBorder="1"/>
    <xf numFmtId="0" fontId="0" fillId="0" borderId="230" xfId="0" applyBorder="1"/>
    <xf numFmtId="0" fontId="21" fillId="0" borderId="223" xfId="0" applyFont="1" applyBorder="1"/>
    <xf numFmtId="0" fontId="21" fillId="0" borderId="231" xfId="0" applyFont="1" applyBorder="1"/>
    <xf numFmtId="0" fontId="0" fillId="0" borderId="226" xfId="0" applyBorder="1"/>
    <xf numFmtId="0" fontId="21" fillId="0" borderId="173" xfId="0" applyFont="1" applyBorder="1"/>
    <xf numFmtId="0" fontId="21" fillId="0" borderId="72" xfId="0" applyFont="1" applyBorder="1"/>
    <xf numFmtId="0" fontId="0" fillId="0" borderId="89" xfId="0" applyBorder="1"/>
    <xf numFmtId="0" fontId="0" fillId="0" borderId="227" xfId="0" applyBorder="1"/>
    <xf numFmtId="1" fontId="0" fillId="0" borderId="209" xfId="0" applyNumberFormat="1" applyBorder="1"/>
    <xf numFmtId="0" fontId="0" fillId="0" borderId="209" xfId="0" applyBorder="1"/>
    <xf numFmtId="167" fontId="0" fillId="0" borderId="209" xfId="0" applyNumberFormat="1" applyBorder="1"/>
    <xf numFmtId="167" fontId="0" fillId="0" borderId="232" xfId="0" applyNumberFormat="1" applyBorder="1"/>
    <xf numFmtId="0" fontId="21" fillId="0" borderId="20" xfId="5087" applyNumberFormat="1" applyFont="1" applyFill="1" applyBorder="1" applyAlignment="1">
      <alignment horizontal="center"/>
    </xf>
    <xf numFmtId="0" fontId="0" fillId="0" borderId="0" xfId="0" applyFont="1" applyBorder="1"/>
    <xf numFmtId="0" fontId="91" fillId="0" borderId="0" xfId="0" applyFont="1" applyBorder="1"/>
    <xf numFmtId="9" fontId="22" fillId="0" borderId="0" xfId="844" applyFont="1" applyBorder="1"/>
    <xf numFmtId="0" fontId="0" fillId="0" borderId="220" xfId="0" applyFont="1" applyBorder="1"/>
    <xf numFmtId="0" fontId="0" fillId="0" borderId="0" xfId="0" applyFont="1" applyFill="1" applyBorder="1" applyAlignment="1">
      <alignment horizontal="left" wrapText="1"/>
    </xf>
    <xf numFmtId="0" fontId="0" fillId="116" borderId="0" xfId="0" applyNumberFormat="1" applyFont="1" applyFill="1" applyBorder="1" applyAlignment="1" applyProtection="1"/>
    <xf numFmtId="0" fontId="0" fillId="0" borderId="0" xfId="0" applyNumberFormat="1" applyFont="1" applyFill="1" applyBorder="1" applyAlignment="1" applyProtection="1">
      <alignment horizontal="left"/>
    </xf>
    <xf numFmtId="2" fontId="23" fillId="0" borderId="0" xfId="0" applyNumberFormat="1" applyFont="1" applyFill="1" applyBorder="1" applyAlignment="1" applyProtection="1">
      <alignment horizontal="left"/>
    </xf>
    <xf numFmtId="0" fontId="43" fillId="117" borderId="233" xfId="0" applyNumberFormat="1" applyFont="1" applyFill="1" applyBorder="1" applyAlignment="1" applyProtection="1">
      <alignment horizontal="left" vertical="center" wrapText="1"/>
    </xf>
    <xf numFmtId="0" fontId="43" fillId="117" borderId="233" xfId="0" applyNumberFormat="1" applyFont="1" applyFill="1" applyBorder="1" applyAlignment="1" applyProtection="1">
      <alignment vertical="center" wrapText="1"/>
    </xf>
    <xf numFmtId="0" fontId="43" fillId="118" borderId="233" xfId="0" applyNumberFormat="1" applyFont="1" applyFill="1" applyBorder="1" applyAlignment="1" applyProtection="1">
      <alignment vertical="center" wrapText="1"/>
    </xf>
    <xf numFmtId="0" fontId="43" fillId="119" borderId="233" xfId="0" applyNumberFormat="1" applyFont="1" applyFill="1" applyBorder="1" applyAlignment="1" applyProtection="1">
      <alignment vertical="center" wrapText="1"/>
    </xf>
    <xf numFmtId="0" fontId="43" fillId="120" borderId="233" xfId="0" applyNumberFormat="1" applyFont="1" applyFill="1" applyBorder="1" applyAlignment="1" applyProtection="1">
      <alignment vertical="center" wrapText="1"/>
    </xf>
    <xf numFmtId="0" fontId="43" fillId="121" borderId="233" xfId="0" applyNumberFormat="1" applyFont="1" applyFill="1" applyBorder="1" applyAlignment="1" applyProtection="1">
      <alignment vertical="center" wrapText="1"/>
    </xf>
    <xf numFmtId="2" fontId="0" fillId="0" borderId="0" xfId="0" applyNumberFormat="1" applyFont="1" applyFill="1" applyBorder="1" applyAlignment="1" applyProtection="1"/>
    <xf numFmtId="0" fontId="44" fillId="122" borderId="234" xfId="0" applyNumberFormat="1" applyFont="1" applyFill="1" applyBorder="1" applyAlignment="1" applyProtection="1">
      <alignment horizontal="left" vertical="top" wrapText="1"/>
    </xf>
    <xf numFmtId="0" fontId="24" fillId="0" borderId="0" xfId="0" applyNumberFormat="1" applyFont="1" applyFill="1" applyBorder="1" applyAlignment="1" applyProtection="1">
      <alignment horizontal="left"/>
      <protection locked="0"/>
    </xf>
    <xf numFmtId="2" fontId="236" fillId="123" borderId="0" xfId="0" applyNumberFormat="1" applyFont="1" applyFill="1" applyBorder="1" applyAlignment="1" applyProtection="1">
      <alignment horizontal="right"/>
    </xf>
    <xf numFmtId="2" fontId="0" fillId="0" borderId="0" xfId="0" applyNumberFormat="1" applyFont="1" applyFill="1" applyBorder="1" applyAlignment="1" applyProtection="1">
      <alignment horizontal="right"/>
    </xf>
    <xf numFmtId="43" fontId="49" fillId="0" borderId="0" xfId="0" applyNumberFormat="1" applyFont="1" applyFill="1" applyBorder="1" applyAlignment="1" applyProtection="1">
      <alignment horizontal="right"/>
    </xf>
    <xf numFmtId="0" fontId="49" fillId="40" borderId="0" xfId="0" applyNumberFormat="1" applyFont="1" applyFill="1" applyBorder="1" applyAlignment="1" applyProtection="1">
      <alignment horizontal="right"/>
    </xf>
    <xf numFmtId="172" fontId="0" fillId="0" borderId="0" xfId="0" applyNumberFormat="1" applyFont="1" applyFill="1" applyBorder="1" applyAlignment="1" applyProtection="1">
      <alignment horizontal="right"/>
    </xf>
    <xf numFmtId="0" fontId="237" fillId="0" borderId="0" xfId="0" applyNumberFormat="1" applyFont="1" applyFill="1" applyBorder="1" applyAlignment="1" applyProtection="1">
      <alignment horizontal="right"/>
    </xf>
    <xf numFmtId="182" fontId="0" fillId="0" borderId="0" xfId="0" applyNumberFormat="1" applyFont="1" applyFill="1" applyBorder="1" applyAlignment="1" applyProtection="1"/>
    <xf numFmtId="212" fontId="0" fillId="0" borderId="0" xfId="0" applyNumberFormat="1" applyFont="1" applyFill="1" applyBorder="1" applyAlignment="1" applyProtection="1"/>
    <xf numFmtId="172" fontId="0" fillId="0" borderId="0" xfId="0" applyNumberFormat="1" applyFont="1" applyFill="1" applyBorder="1" applyAlignment="1" applyProtection="1">
      <alignment horizontal="center"/>
    </xf>
    <xf numFmtId="182" fontId="24" fillId="0" borderId="0" xfId="0" applyNumberFormat="1" applyFont="1" applyFill="1" applyBorder="1" applyAlignment="1" applyProtection="1"/>
    <xf numFmtId="0" fontId="49" fillId="0" borderId="0" xfId="0" applyNumberFormat="1" applyFont="1" applyFill="1" applyBorder="1" applyAlignment="1" applyProtection="1">
      <alignment horizontal="right"/>
    </xf>
    <xf numFmtId="0" fontId="0" fillId="0" borderId="235" xfId="0" applyNumberFormat="1" applyFont="1" applyFill="1" applyBorder="1" applyAlignment="1" applyProtection="1"/>
    <xf numFmtId="2" fontId="236" fillId="123" borderId="235" xfId="0" applyNumberFormat="1" applyFont="1" applyFill="1" applyBorder="1" applyAlignment="1" applyProtection="1">
      <alignment horizontal="right"/>
    </xf>
    <xf numFmtId="0" fontId="0" fillId="0" borderId="235" xfId="0" applyNumberFormat="1" applyFont="1" applyFill="1" applyBorder="1" applyAlignment="1" applyProtection="1">
      <alignment horizontal="right"/>
    </xf>
    <xf numFmtId="43" fontId="49" fillId="0" borderId="235" xfId="0" applyNumberFormat="1" applyFont="1" applyFill="1" applyBorder="1" applyAlignment="1" applyProtection="1">
      <alignment horizontal="right"/>
    </xf>
    <xf numFmtId="0" fontId="49" fillId="0" borderId="235" xfId="0" applyNumberFormat="1" applyFont="1" applyFill="1" applyBorder="1" applyAlignment="1" applyProtection="1">
      <alignment horizontal="right"/>
    </xf>
    <xf numFmtId="0" fontId="49" fillId="40" borderId="235" xfId="0" applyNumberFormat="1" applyFont="1" applyFill="1" applyBorder="1" applyAlignment="1" applyProtection="1">
      <alignment horizontal="right"/>
    </xf>
    <xf numFmtId="172" fontId="0" fillId="0" borderId="235" xfId="0" applyNumberFormat="1" applyFont="1" applyFill="1" applyBorder="1" applyAlignment="1" applyProtection="1">
      <alignment horizontal="right"/>
    </xf>
    <xf numFmtId="0" fontId="237" fillId="0" borderId="235" xfId="0" applyNumberFormat="1" applyFont="1" applyFill="1" applyBorder="1" applyAlignment="1" applyProtection="1">
      <alignment horizontal="right"/>
    </xf>
    <xf numFmtId="0" fontId="24" fillId="0" borderId="0" xfId="0" applyNumberFormat="1" applyFont="1" applyFill="1" applyBorder="1" applyAlignment="1" applyProtection="1">
      <alignment horizontal="right"/>
      <protection locked="0"/>
    </xf>
    <xf numFmtId="0" fontId="236" fillId="123" borderId="0" xfId="0" applyNumberFormat="1" applyFont="1" applyFill="1" applyBorder="1" applyAlignment="1" applyProtection="1">
      <alignment horizontal="right"/>
    </xf>
    <xf numFmtId="0" fontId="236" fillId="123" borderId="235" xfId="0" applyNumberFormat="1" applyFont="1" applyFill="1" applyBorder="1" applyAlignment="1" applyProtection="1">
      <alignment horizontal="right"/>
    </xf>
    <xf numFmtId="43" fontId="49" fillId="0" borderId="0" xfId="0" applyNumberFormat="1" applyFont="1" applyFill="1" applyBorder="1" applyAlignment="1" applyProtection="1"/>
    <xf numFmtId="213" fontId="49" fillId="0" borderId="0" xfId="0" applyNumberFormat="1" applyFont="1" applyFill="1" applyBorder="1" applyAlignment="1" applyProtection="1">
      <alignment horizontal="right"/>
    </xf>
    <xf numFmtId="182" fontId="24" fillId="0" borderId="0" xfId="0" applyNumberFormat="1" applyFont="1" applyFill="1" applyBorder="1" applyAlignment="1" applyProtection="1">
      <alignment horizontal="left"/>
      <protection locked="0"/>
    </xf>
    <xf numFmtId="0" fontId="43" fillId="0" borderId="0" xfId="0" applyNumberFormat="1" applyFont="1" applyFill="1" applyBorder="1" applyAlignment="1" applyProtection="1">
      <alignment vertical="center" wrapText="1"/>
    </xf>
    <xf numFmtId="0" fontId="44" fillId="0" borderId="0" xfId="0" applyNumberFormat="1" applyFont="1" applyFill="1" applyBorder="1" applyAlignment="1" applyProtection="1">
      <alignment horizontal="left" vertical="top" wrapText="1"/>
    </xf>
    <xf numFmtId="182" fontId="0" fillId="0" borderId="0" xfId="0" applyNumberFormat="1" applyFont="1" applyFill="1" applyBorder="1" applyAlignment="1" applyProtection="1">
      <alignment horizontal="right"/>
    </xf>
    <xf numFmtId="213" fontId="49" fillId="0" borderId="235" xfId="0" applyNumberFormat="1" applyFont="1" applyFill="1" applyBorder="1" applyAlignment="1" applyProtection="1">
      <alignment horizontal="right"/>
    </xf>
    <xf numFmtId="0" fontId="0" fillId="0" borderId="233" xfId="0" applyNumberFormat="1" applyFont="1" applyFill="1" applyBorder="1" applyAlignment="1" applyProtection="1"/>
    <xf numFmtId="0" fontId="236" fillId="123" borderId="233" xfId="0" applyNumberFormat="1" applyFont="1" applyFill="1" applyBorder="1" applyAlignment="1" applyProtection="1">
      <alignment horizontal="right"/>
    </xf>
    <xf numFmtId="2" fontId="236" fillId="123" borderId="233" xfId="0" applyNumberFormat="1" applyFont="1" applyFill="1" applyBorder="1" applyAlignment="1" applyProtection="1">
      <alignment horizontal="right"/>
    </xf>
    <xf numFmtId="0" fontId="0" fillId="0" borderId="233" xfId="0" applyNumberFormat="1" applyFont="1" applyFill="1" applyBorder="1" applyAlignment="1" applyProtection="1">
      <alignment horizontal="right"/>
    </xf>
    <xf numFmtId="213" fontId="49" fillId="0" borderId="233" xfId="0" applyNumberFormat="1" applyFont="1" applyFill="1" applyBorder="1" applyAlignment="1" applyProtection="1">
      <alignment horizontal="right"/>
    </xf>
    <xf numFmtId="43" fontId="49" fillId="0" borderId="233" xfId="0" applyNumberFormat="1" applyFont="1" applyFill="1" applyBorder="1" applyAlignment="1" applyProtection="1">
      <alignment horizontal="right"/>
    </xf>
    <xf numFmtId="0" fontId="49" fillId="40" borderId="233" xfId="0" applyNumberFormat="1" applyFont="1" applyFill="1" applyBorder="1" applyAlignment="1" applyProtection="1">
      <alignment horizontal="right"/>
    </xf>
    <xf numFmtId="172" fontId="0" fillId="0" borderId="233" xfId="0" applyNumberFormat="1" applyFont="1" applyFill="1" applyBorder="1" applyAlignment="1" applyProtection="1">
      <alignment horizontal="right"/>
    </xf>
    <xf numFmtId="0" fontId="237" fillId="0" borderId="233" xfId="0" applyNumberFormat="1" applyFont="1" applyFill="1" applyBorder="1" applyAlignment="1" applyProtection="1">
      <alignment horizontal="right"/>
    </xf>
    <xf numFmtId="0" fontId="33" fillId="0" borderId="0" xfId="0" applyNumberFormat="1" applyFont="1" applyFill="1" applyBorder="1" applyAlignment="1" applyProtection="1">
      <alignment horizontal="right"/>
    </xf>
    <xf numFmtId="43" fontId="49" fillId="0" borderId="0" xfId="0" applyNumberFormat="1" applyFont="1" applyFill="1" applyBorder="1" applyAlignment="1" applyProtection="1">
      <alignment horizontal="center"/>
    </xf>
    <xf numFmtId="172" fontId="0" fillId="0" borderId="0" xfId="0" applyNumberFormat="1" applyFont="1" applyFill="1" applyBorder="1" applyAlignment="1" applyProtection="1"/>
    <xf numFmtId="0" fontId="23" fillId="0" borderId="0" xfId="0" applyNumberFormat="1" applyFont="1" applyFill="1" applyBorder="1" applyAlignment="1" applyProtection="1">
      <alignment horizontal="left"/>
    </xf>
    <xf numFmtId="0" fontId="43" fillId="117" borderId="236" xfId="0" applyNumberFormat="1" applyFont="1" applyFill="1" applyBorder="1" applyAlignment="1" applyProtection="1">
      <alignment horizontal="left" vertical="center" wrapText="1"/>
    </xf>
    <xf numFmtId="0" fontId="43" fillId="95" borderId="236" xfId="0" applyNumberFormat="1" applyFont="1" applyFill="1" applyBorder="1" applyAlignment="1" applyProtection="1">
      <alignment horizontal="left" vertical="center" wrapText="1"/>
    </xf>
    <xf numFmtId="0" fontId="43" fillId="95" borderId="236" xfId="0" applyNumberFormat="1" applyFont="1" applyFill="1" applyBorder="1" applyAlignment="1" applyProtection="1">
      <alignment horizontal="right" vertical="center" wrapText="1"/>
    </xf>
    <xf numFmtId="198" fontId="0" fillId="0" borderId="0" xfId="0" applyNumberFormat="1" applyFont="1" applyFill="1" applyBorder="1" applyAlignment="1" applyProtection="1"/>
    <xf numFmtId="0" fontId="80" fillId="124" borderId="233" xfId="0" applyNumberFormat="1" applyFont="1" applyFill="1" applyBorder="1" applyAlignment="1" applyProtection="1">
      <alignment horizontal="left" wrapText="1"/>
    </xf>
    <xf numFmtId="168" fontId="80" fillId="124" borderId="233" xfId="0" applyNumberFormat="1" applyFont="1" applyFill="1" applyBorder="1" applyAlignment="1" applyProtection="1">
      <alignment horizontal="left"/>
    </xf>
    <xf numFmtId="168" fontId="80" fillId="124" borderId="233" xfId="0" applyNumberFormat="1" applyFont="1" applyFill="1" applyBorder="1" applyAlignment="1" applyProtection="1">
      <alignment horizontal="right"/>
    </xf>
    <xf numFmtId="2" fontId="80" fillId="124" borderId="233" xfId="0" applyNumberFormat="1" applyFont="1" applyFill="1" applyBorder="1" applyAlignment="1" applyProtection="1"/>
    <xf numFmtId="0" fontId="80" fillId="124" borderId="0" xfId="0" applyNumberFormat="1" applyFont="1" applyFill="1" applyBorder="1" applyAlignment="1" applyProtection="1">
      <alignment horizontal="left" wrapText="1"/>
    </xf>
    <xf numFmtId="168" fontId="80" fillId="124" borderId="0" xfId="0" applyNumberFormat="1" applyFont="1" applyFill="1" applyBorder="1" applyAlignment="1" applyProtection="1">
      <alignment horizontal="left"/>
    </xf>
    <xf numFmtId="168" fontId="80" fillId="124" borderId="0" xfId="0" applyNumberFormat="1" applyFont="1" applyFill="1" applyBorder="1" applyAlignment="1" applyProtection="1">
      <alignment horizontal="right"/>
    </xf>
    <xf numFmtId="2" fontId="80" fillId="124" borderId="0" xfId="0" applyNumberFormat="1" applyFont="1" applyFill="1" applyBorder="1" applyAlignment="1" applyProtection="1"/>
    <xf numFmtId="0" fontId="80" fillId="0" borderId="237" xfId="0" applyNumberFormat="1" applyFont="1" applyFill="1" applyBorder="1" applyAlignment="1" applyProtection="1">
      <alignment horizontal="left" wrapText="1"/>
    </xf>
    <xf numFmtId="168" fontId="80" fillId="95" borderId="235" xfId="0" applyNumberFormat="1" applyFont="1" applyFill="1" applyBorder="1" applyAlignment="1" applyProtection="1">
      <alignment horizontal="left"/>
    </xf>
    <xf numFmtId="168" fontId="80" fillId="95" borderId="0" xfId="0" applyNumberFormat="1" applyFont="1" applyFill="1" applyBorder="1" applyAlignment="1" applyProtection="1">
      <alignment horizontal="right"/>
    </xf>
    <xf numFmtId="1" fontId="238" fillId="119" borderId="235" xfId="0" applyNumberFormat="1" applyFont="1" applyFill="1" applyBorder="1" applyAlignment="1" applyProtection="1"/>
    <xf numFmtId="0" fontId="80" fillId="0" borderId="0" xfId="0" applyNumberFormat="1" applyFont="1" applyFill="1" applyBorder="1" applyAlignment="1" applyProtection="1">
      <alignment horizontal="left" wrapText="1"/>
    </xf>
    <xf numFmtId="168" fontId="80" fillId="95" borderId="0" xfId="0" applyNumberFormat="1" applyFont="1" applyFill="1" applyBorder="1" applyAlignment="1" applyProtection="1">
      <alignment horizontal="left"/>
    </xf>
    <xf numFmtId="1" fontId="238" fillId="119" borderId="0" xfId="0" applyNumberFormat="1" applyFont="1" applyFill="1" applyBorder="1" applyAlignment="1" applyProtection="1"/>
    <xf numFmtId="0" fontId="80" fillId="0" borderId="235" xfId="0" applyNumberFormat="1" applyFont="1" applyFill="1" applyBorder="1" applyAlignment="1" applyProtection="1">
      <alignment horizontal="left" wrapText="1"/>
    </xf>
    <xf numFmtId="1" fontId="238" fillId="124" borderId="0" xfId="0" applyNumberFormat="1" applyFont="1" applyFill="1" applyBorder="1" applyAlignment="1" applyProtection="1"/>
    <xf numFmtId="2" fontId="239" fillId="124" borderId="0" xfId="0" applyNumberFormat="1" applyFont="1" applyFill="1" applyBorder="1" applyAlignment="1" applyProtection="1"/>
    <xf numFmtId="2" fontId="80" fillId="119" borderId="0" xfId="0" applyNumberFormat="1" applyFont="1" applyFill="1" applyBorder="1" applyAlignment="1" applyProtection="1"/>
    <xf numFmtId="0" fontId="80" fillId="124" borderId="235" xfId="0" applyNumberFormat="1" applyFont="1" applyFill="1" applyBorder="1" applyAlignment="1" applyProtection="1">
      <alignment horizontal="left" wrapText="1"/>
    </xf>
    <xf numFmtId="168" fontId="80" fillId="124" borderId="235" xfId="0" applyNumberFormat="1" applyFont="1" applyFill="1" applyBorder="1" applyAlignment="1" applyProtection="1">
      <alignment horizontal="left"/>
    </xf>
    <xf numFmtId="168" fontId="80" fillId="124" borderId="235" xfId="0" applyNumberFormat="1" applyFont="1" applyFill="1" applyBorder="1" applyAlignment="1" applyProtection="1">
      <alignment horizontal="right"/>
    </xf>
    <xf numFmtId="2" fontId="80" fillId="124" borderId="235" xfId="0" applyNumberFormat="1" applyFont="1" applyFill="1" applyBorder="1" applyAlignment="1" applyProtection="1"/>
    <xf numFmtId="1" fontId="80" fillId="119" borderId="0" xfId="0" applyNumberFormat="1" applyFont="1" applyFill="1" applyBorder="1" applyAlignment="1" applyProtection="1"/>
    <xf numFmtId="178" fontId="0" fillId="0" borderId="0" xfId="0" applyNumberFormat="1" applyFont="1" applyFill="1" applyBorder="1" applyAlignment="1" applyProtection="1"/>
    <xf numFmtId="207" fontId="0" fillId="0" borderId="0" xfId="0" applyNumberFormat="1" applyFont="1" applyFill="1" applyBorder="1" applyAlignment="1" applyProtection="1"/>
    <xf numFmtId="0" fontId="21" fillId="0" borderId="0" xfId="0" applyNumberFormat="1" applyFont="1" applyFill="1" applyBorder="1" applyAlignment="1" applyProtection="1">
      <alignment wrapText="1"/>
    </xf>
    <xf numFmtId="0" fontId="0" fillId="0" borderId="0" xfId="0" applyNumberFormat="1" applyFont="1" applyFill="1" applyBorder="1" applyAlignment="1" applyProtection="1">
      <alignment horizontal="left" wrapText="1"/>
    </xf>
    <xf numFmtId="168" fontId="80" fillId="95" borderId="235" xfId="0" applyNumberFormat="1" applyFont="1" applyFill="1" applyBorder="1" applyAlignment="1" applyProtection="1">
      <alignment horizontal="right"/>
    </xf>
    <xf numFmtId="214" fontId="21" fillId="0" borderId="0" xfId="0" applyNumberFormat="1" applyFont="1" applyFill="1" applyBorder="1" applyAlignment="1" applyProtection="1"/>
    <xf numFmtId="43" fontId="0" fillId="0" borderId="0" xfId="0" applyNumberFormat="1" applyFont="1" applyFill="1" applyBorder="1" applyAlignment="1" applyProtection="1"/>
    <xf numFmtId="43" fontId="24" fillId="0" borderId="0" xfId="0" applyNumberFormat="1" applyFont="1" applyFill="1" applyBorder="1" applyAlignment="1" applyProtection="1"/>
    <xf numFmtId="2" fontId="0" fillId="0" borderId="22" xfId="844" applyNumberFormat="1" applyFont="1" applyBorder="1"/>
    <xf numFmtId="2" fontId="0" fillId="0" borderId="20" xfId="0" applyNumberFormat="1" applyBorder="1"/>
    <xf numFmtId="2" fontId="0" fillId="0" borderId="23" xfId="844" applyNumberFormat="1" applyFont="1" applyBorder="1"/>
    <xf numFmtId="0" fontId="0" fillId="0" borderId="235" xfId="0" applyBorder="1"/>
    <xf numFmtId="0" fontId="0" fillId="0" borderId="221" xfId="0" applyBorder="1"/>
    <xf numFmtId="9" fontId="0" fillId="0" borderId="235" xfId="0" applyNumberFormat="1" applyBorder="1"/>
    <xf numFmtId="10" fontId="0" fillId="0" borderId="0" xfId="0" applyNumberFormat="1"/>
    <xf numFmtId="174" fontId="21" fillId="0" borderId="0" xfId="0" applyNumberFormat="1" applyFont="1" applyFill="1" applyBorder="1" applyAlignment="1">
      <alignment horizontal="left"/>
    </xf>
    <xf numFmtId="0" fontId="0" fillId="0" borderId="225" xfId="0" applyFill="1" applyBorder="1"/>
    <xf numFmtId="0" fontId="0" fillId="0" borderId="224" xfId="0" applyFill="1" applyBorder="1"/>
    <xf numFmtId="0" fontId="0" fillId="0" borderId="224" xfId="0" applyFont="1" applyFill="1" applyBorder="1"/>
    <xf numFmtId="0" fontId="0" fillId="0" borderId="222" xfId="0" applyFill="1" applyBorder="1"/>
    <xf numFmtId="0" fontId="0" fillId="0" borderId="221" xfId="0" applyFill="1" applyBorder="1"/>
    <xf numFmtId="0" fontId="0" fillId="0" borderId="223" xfId="0" applyFill="1" applyBorder="1"/>
    <xf numFmtId="10" fontId="0" fillId="0" borderId="0" xfId="0" applyNumberFormat="1" applyFont="1" applyFill="1" applyBorder="1"/>
    <xf numFmtId="9" fontId="0" fillId="0" borderId="0" xfId="0" applyNumberFormat="1" applyFont="1" applyFill="1" applyBorder="1" applyAlignment="1">
      <alignment horizontal="center"/>
    </xf>
    <xf numFmtId="0" fontId="0" fillId="0" borderId="0" xfId="0" applyNumberFormat="1" applyFont="1" applyFill="1" applyBorder="1" applyAlignment="1">
      <alignment horizontal="center"/>
    </xf>
    <xf numFmtId="174" fontId="0" fillId="0" borderId="224" xfId="0" applyNumberFormat="1" applyFont="1" applyFill="1" applyBorder="1"/>
    <xf numFmtId="174" fontId="0" fillId="0" borderId="235" xfId="0" applyNumberFormat="1" applyBorder="1"/>
    <xf numFmtId="174" fontId="0" fillId="0" borderId="235" xfId="0" applyNumberFormat="1" applyFill="1" applyBorder="1"/>
    <xf numFmtId="174" fontId="0" fillId="0" borderId="235" xfId="0" applyNumberFormat="1" applyFont="1" applyFill="1" applyBorder="1"/>
    <xf numFmtId="174" fontId="21" fillId="0" borderId="235" xfId="0" applyNumberFormat="1" applyFont="1" applyFill="1" applyBorder="1"/>
    <xf numFmtId="203" fontId="0" fillId="0" borderId="0" xfId="0" applyNumberFormat="1" applyFont="1" applyFill="1" applyBorder="1"/>
    <xf numFmtId="0" fontId="0" fillId="0" borderId="0" xfId="844" applyNumberFormat="1" applyFont="1" applyFill="1" applyBorder="1" applyAlignment="1">
      <alignment horizontal="center"/>
    </xf>
    <xf numFmtId="9" fontId="0" fillId="0" borderId="223" xfId="0" applyNumberFormat="1" applyFont="1" applyFill="1" applyBorder="1"/>
    <xf numFmtId="9" fontId="0" fillId="0" borderId="0" xfId="0" applyNumberFormat="1" applyFont="1" applyFill="1" applyBorder="1"/>
    <xf numFmtId="0" fontId="0" fillId="0" borderId="218" xfId="0" applyFont="1" applyFill="1" applyBorder="1"/>
    <xf numFmtId="0" fontId="0" fillId="0" borderId="235" xfId="0" applyFill="1" applyBorder="1"/>
    <xf numFmtId="9" fontId="0" fillId="0" borderId="235" xfId="0" applyNumberFormat="1" applyFill="1" applyBorder="1"/>
    <xf numFmtId="174" fontId="21" fillId="0" borderId="0" xfId="5087" applyNumberFormat="1" applyFont="1" applyFill="1"/>
    <xf numFmtId="174" fontId="21" fillId="0" borderId="0" xfId="0" applyNumberFormat="1" applyFont="1" applyFill="1" applyAlignment="1">
      <alignment wrapText="1"/>
    </xf>
    <xf numFmtId="174" fontId="21" fillId="0" borderId="0" xfId="5087" applyNumberFormat="1" applyFont="1" applyFill="1" applyBorder="1"/>
    <xf numFmtId="174" fontId="49" fillId="0" borderId="235" xfId="0" applyNumberFormat="1" applyFont="1" applyFill="1" applyBorder="1"/>
    <xf numFmtId="164" fontId="0" fillId="0" borderId="0" xfId="0" applyNumberFormat="1"/>
    <xf numFmtId="0" fontId="21" fillId="44" borderId="0" xfId="0" applyFont="1" applyFill="1"/>
    <xf numFmtId="0" fontId="21" fillId="44" borderId="0" xfId="0" applyFont="1" applyFill="1" applyBorder="1" applyAlignment="1">
      <alignment horizontal="center"/>
    </xf>
    <xf numFmtId="1" fontId="21" fillId="0" borderId="0" xfId="0" applyNumberFormat="1" applyFont="1" applyBorder="1"/>
    <xf numFmtId="202" fontId="120" fillId="0" borderId="0" xfId="1179" applyNumberFormat="1"/>
    <xf numFmtId="9" fontId="21" fillId="0" borderId="0" xfId="0" applyNumberFormat="1" applyFont="1"/>
    <xf numFmtId="0" fontId="0" fillId="0" borderId="222" xfId="0" applyBorder="1"/>
    <xf numFmtId="1" fontId="43" fillId="105" borderId="236" xfId="543" applyNumberFormat="1" applyFont="1" applyFill="1" applyBorder="1" applyAlignment="1">
      <alignment horizontal="right"/>
    </xf>
    <xf numFmtId="0" fontId="43" fillId="28" borderId="237" xfId="543" applyFont="1" applyFill="1" applyBorder="1" applyAlignment="1">
      <alignment horizontal="right" wrapText="1"/>
    </xf>
    <xf numFmtId="0" fontId="103" fillId="49" borderId="0" xfId="0" applyFont="1" applyFill="1" applyBorder="1" applyAlignment="1">
      <alignment horizontal="center"/>
    </xf>
    <xf numFmtId="0" fontId="39" fillId="0" borderId="0" xfId="0" applyNumberFormat="1" applyFont="1" applyFill="1" applyBorder="1" applyAlignment="1" applyProtection="1">
      <alignment horizontal="center"/>
    </xf>
    <xf numFmtId="0" fontId="21" fillId="44" borderId="144" xfId="0" applyFont="1" applyFill="1" applyBorder="1" applyAlignment="1">
      <alignment horizontal="center" vertical="center" textRotation="180"/>
    </xf>
    <xf numFmtId="0" fontId="21" fillId="44" borderId="19" xfId="0" applyFont="1" applyFill="1" applyBorder="1" applyAlignment="1">
      <alignment horizontal="center" vertical="center" textRotation="180"/>
    </xf>
    <xf numFmtId="0" fontId="21" fillId="44" borderId="24" xfId="0" applyFont="1" applyFill="1" applyBorder="1" applyAlignment="1">
      <alignment horizontal="center" vertical="center" textRotation="180"/>
    </xf>
    <xf numFmtId="0" fontId="184" fillId="98" borderId="0" xfId="0" applyFont="1" applyFill="1" applyAlignment="1">
      <alignment horizontal="center"/>
    </xf>
    <xf numFmtId="0" fontId="184" fillId="96" borderId="0" xfId="0" applyFont="1" applyFill="1" applyAlignment="1">
      <alignment horizontal="center"/>
    </xf>
    <xf numFmtId="0" fontId="184" fillId="97" borderId="0" xfId="0" applyFont="1" applyFill="1" applyAlignment="1">
      <alignment horizontal="center"/>
    </xf>
    <xf numFmtId="0" fontId="48" fillId="0" borderId="0" xfId="0" applyFont="1" applyAlignment="1">
      <alignment horizontal="center" wrapText="1"/>
    </xf>
    <xf numFmtId="0" fontId="48" fillId="0" borderId="164" xfId="0" applyFont="1" applyBorder="1" applyAlignment="1">
      <alignment horizontal="center" wrapText="1"/>
    </xf>
    <xf numFmtId="0" fontId="21" fillId="44" borderId="144" xfId="0" applyFont="1" applyFill="1" applyBorder="1" applyAlignment="1">
      <alignment horizontal="left"/>
    </xf>
    <xf numFmtId="0" fontId="21" fillId="44" borderId="146" xfId="0" applyFont="1" applyFill="1" applyBorder="1" applyAlignment="1">
      <alignment horizontal="left"/>
    </xf>
    <xf numFmtId="0" fontId="21" fillId="44" borderId="144" xfId="0" applyFont="1" applyFill="1" applyBorder="1" applyAlignment="1">
      <alignment horizontal="center"/>
    </xf>
    <xf numFmtId="0" fontId="21" fillId="44" borderId="146" xfId="0" applyFont="1" applyFill="1" applyBorder="1" applyAlignment="1">
      <alignment horizontal="center"/>
    </xf>
    <xf numFmtId="0" fontId="21" fillId="103" borderId="0" xfId="0" applyFont="1" applyFill="1" applyAlignment="1">
      <alignment horizontal="center" vertical="top" wrapText="1"/>
    </xf>
    <xf numFmtId="0" fontId="0" fillId="0" borderId="0" xfId="0" applyAlignment="1">
      <alignment horizontal="center"/>
    </xf>
    <xf numFmtId="0" fontId="13" fillId="0" borderId="72" xfId="18965" applyBorder="1" applyAlignment="1">
      <alignment horizontal="center" vertical="center"/>
    </xf>
    <xf numFmtId="0" fontId="13" fillId="0" borderId="44" xfId="18965" applyBorder="1" applyAlignment="1">
      <alignment horizontal="center" vertical="center"/>
    </xf>
    <xf numFmtId="0" fontId="13" fillId="0" borderId="19" xfId="18965" applyBorder="1" applyAlignment="1">
      <alignment horizontal="center" vertical="center"/>
    </xf>
    <xf numFmtId="0" fontId="13" fillId="0" borderId="24" xfId="18965" applyBorder="1" applyAlignment="1">
      <alignment horizontal="center" vertical="center"/>
    </xf>
    <xf numFmtId="0" fontId="21" fillId="0" borderId="140" xfId="0" applyFont="1" applyBorder="1" applyAlignment="1">
      <alignment horizontal="center"/>
    </xf>
    <xf numFmtId="0" fontId="21" fillId="0" borderId="151" xfId="0" applyFont="1" applyBorder="1" applyAlignment="1">
      <alignment horizontal="center"/>
    </xf>
    <xf numFmtId="0" fontId="0" fillId="0" borderId="151" xfId="0" applyBorder="1" applyAlignment="1">
      <alignment horizontal="center"/>
    </xf>
    <xf numFmtId="0" fontId="0" fillId="0" borderId="169" xfId="0" applyBorder="1" applyAlignment="1">
      <alignment horizontal="center"/>
    </xf>
    <xf numFmtId="0" fontId="21" fillId="0" borderId="20" xfId="0" applyFont="1" applyBorder="1" applyAlignment="1">
      <alignment horizontal="center"/>
    </xf>
    <xf numFmtId="0" fontId="0" fillId="44" borderId="44" xfId="0" applyFill="1" applyBorder="1" applyAlignment="1">
      <alignment horizontal="center"/>
    </xf>
    <xf numFmtId="0" fontId="0" fillId="44" borderId="16" xfId="0" applyFill="1" applyBorder="1" applyAlignment="1">
      <alignment horizontal="center"/>
    </xf>
    <xf numFmtId="0" fontId="0" fillId="44" borderId="44" xfId="0" applyFill="1" applyBorder="1" applyAlignment="1">
      <alignment horizontal="left"/>
    </xf>
    <xf numFmtId="0" fontId="0" fillId="44" borderId="16" xfId="0" applyFill="1" applyBorder="1" applyAlignment="1">
      <alignment horizontal="left"/>
    </xf>
    <xf numFmtId="0" fontId="0" fillId="44" borderId="17" xfId="0" applyFill="1" applyBorder="1" applyAlignment="1">
      <alignment horizontal="left"/>
    </xf>
    <xf numFmtId="0" fontId="0" fillId="44" borderId="19" xfId="0" applyFill="1" applyBorder="1" applyAlignment="1">
      <alignment horizontal="left"/>
    </xf>
    <xf numFmtId="0" fontId="0" fillId="44" borderId="0" xfId="0" applyFill="1" applyBorder="1" applyAlignment="1">
      <alignment horizontal="left"/>
    </xf>
    <xf numFmtId="0" fontId="0" fillId="44" borderId="22" xfId="0" applyFill="1" applyBorder="1" applyAlignment="1">
      <alignment horizontal="left"/>
    </xf>
    <xf numFmtId="0" fontId="21" fillId="0" borderId="74" xfId="0" applyFont="1" applyBorder="1" applyAlignment="1">
      <alignment horizontal="center"/>
    </xf>
    <xf numFmtId="0" fontId="22" fillId="0" borderId="21" xfId="0" applyFont="1" applyBorder="1" applyAlignment="1">
      <alignment horizontal="center"/>
    </xf>
    <xf numFmtId="0" fontId="22" fillId="0" borderId="75" xfId="0" applyFont="1" applyBorder="1" applyAlignment="1">
      <alignment horizontal="center"/>
    </xf>
    <xf numFmtId="0" fontId="21" fillId="0" borderId="21" xfId="0" applyFont="1" applyBorder="1" applyAlignment="1">
      <alignment horizontal="center"/>
    </xf>
    <xf numFmtId="0" fontId="21" fillId="0" borderId="75" xfId="0" applyFont="1" applyBorder="1" applyAlignment="1">
      <alignment horizontal="center"/>
    </xf>
    <xf numFmtId="0" fontId="21" fillId="28" borderId="0" xfId="1518" applyFont="1" applyFill="1" applyAlignment="1">
      <alignment horizontal="center"/>
    </xf>
    <xf numFmtId="0" fontId="0" fillId="44" borderId="44" xfId="0" applyFill="1" applyBorder="1" applyAlignment="1">
      <alignment horizontal="center" vertical="center"/>
    </xf>
    <xf numFmtId="0" fontId="0" fillId="44" borderId="16" xfId="0" applyFill="1" applyBorder="1" applyAlignment="1">
      <alignment horizontal="center" vertical="center"/>
    </xf>
    <xf numFmtId="0" fontId="0" fillId="44" borderId="17" xfId="0" applyFill="1" applyBorder="1" applyAlignment="1">
      <alignment horizontal="center" vertical="center"/>
    </xf>
    <xf numFmtId="0" fontId="0" fillId="40" borderId="44" xfId="0" applyFill="1" applyBorder="1" applyAlignment="1">
      <alignment horizontal="center"/>
    </xf>
    <xf numFmtId="0" fontId="0" fillId="40" borderId="16" xfId="0" applyFill="1" applyBorder="1" applyAlignment="1">
      <alignment horizontal="center"/>
    </xf>
    <xf numFmtId="0" fontId="0" fillId="40" borderId="17" xfId="0" applyFill="1" applyBorder="1" applyAlignment="1">
      <alignment horizontal="center"/>
    </xf>
    <xf numFmtId="0" fontId="49" fillId="44" borderId="44" xfId="0" applyFont="1" applyFill="1" applyBorder="1" applyAlignment="1">
      <alignment horizontal="center"/>
    </xf>
    <xf numFmtId="0" fontId="49" fillId="44" borderId="16" xfId="0" applyFont="1" applyFill="1" applyBorder="1" applyAlignment="1">
      <alignment horizontal="center"/>
    </xf>
    <xf numFmtId="0" fontId="49" fillId="44" borderId="17" xfId="0" applyFont="1" applyFill="1" applyBorder="1" applyAlignment="1">
      <alignment horizontal="center"/>
    </xf>
    <xf numFmtId="0" fontId="0" fillId="44" borderId="17" xfId="0" applyFill="1" applyBorder="1" applyAlignment="1">
      <alignment horizontal="center"/>
    </xf>
    <xf numFmtId="0" fontId="49" fillId="44" borderId="144" xfId="0" applyFont="1" applyFill="1" applyBorder="1" applyAlignment="1">
      <alignment horizontal="center"/>
    </xf>
    <xf numFmtId="0" fontId="49" fillId="44" borderId="146" xfId="0" applyFont="1" applyFill="1" applyBorder="1" applyAlignment="1">
      <alignment horizontal="center"/>
    </xf>
    <xf numFmtId="0" fontId="49" fillId="44" borderId="142" xfId="0" applyFont="1" applyFill="1" applyBorder="1" applyAlignment="1">
      <alignment horizontal="center"/>
    </xf>
    <xf numFmtId="0" fontId="0" fillId="44" borderId="144" xfId="0" applyFill="1" applyBorder="1" applyAlignment="1">
      <alignment horizontal="center"/>
    </xf>
    <xf numFmtId="0" fontId="0" fillId="44" borderId="146" xfId="0" applyFill="1" applyBorder="1" applyAlignment="1">
      <alignment horizontal="center"/>
    </xf>
    <xf numFmtId="0" fontId="0" fillId="44" borderId="142" xfId="0" applyFill="1" applyBorder="1" applyAlignment="1">
      <alignment horizontal="center"/>
    </xf>
  </cellXfs>
  <cellStyles count="57625">
    <cellStyle name="_x000a_shell=progma 2" xfId="16684" xr:uid="{00000000-0005-0000-0000-000000000000}"/>
    <cellStyle name="_x000a_shell=progma 2 2" xfId="17954" xr:uid="{00000000-0005-0000-0000-000001000000}"/>
    <cellStyle name="1.000" xfId="16685" xr:uid="{00000000-0005-0000-0000-000002000000}"/>
    <cellStyle name="1.000 2" xfId="17955" xr:uid="{00000000-0005-0000-0000-000003000000}"/>
    <cellStyle name="20 % - Markeringsfarve1 10" xfId="1534" xr:uid="{00000000-0005-0000-0000-000004000000}"/>
    <cellStyle name="20 % - Markeringsfarve1 10 2" xfId="1535" xr:uid="{00000000-0005-0000-0000-000005000000}"/>
    <cellStyle name="20 % - Markeringsfarve1 10 2 2" xfId="7427" xr:uid="{00000000-0005-0000-0000-000006000000}"/>
    <cellStyle name="20 % - Markeringsfarve1 10 2 2 2" xfId="15329" xr:uid="{00000000-0005-0000-0000-000007000000}"/>
    <cellStyle name="20 % - Markeringsfarve1 10 2 2 2 2" xfId="31644" xr:uid="{00000000-0005-0000-0000-000008000000}"/>
    <cellStyle name="20 % - Markeringsfarve1 10 2 2 2 3" xfId="46608" xr:uid="{00000000-0005-0000-0000-000009000000}"/>
    <cellStyle name="20 % - Markeringsfarve1 10 2 2 3" xfId="24622" xr:uid="{00000000-0005-0000-0000-00000A000000}"/>
    <cellStyle name="20 % - Markeringsfarve1 10 2 2 4" xfId="39609" xr:uid="{00000000-0005-0000-0000-00000B000000}"/>
    <cellStyle name="20 % - Markeringsfarve1 10 2 3" xfId="10095" xr:uid="{00000000-0005-0000-0000-00000C000000}"/>
    <cellStyle name="20 % - Markeringsfarve1 10 2 3 2" xfId="26415" xr:uid="{00000000-0005-0000-0000-00000D000000}"/>
    <cellStyle name="20 % - Markeringsfarve1 10 2 3 3" xfId="41381" xr:uid="{00000000-0005-0000-0000-00000E000000}"/>
    <cellStyle name="20 % - Markeringsfarve1 10 2 4" xfId="19393" xr:uid="{00000000-0005-0000-0000-00000F000000}"/>
    <cellStyle name="20 % - Markeringsfarve1 10 2 5" xfId="34382" xr:uid="{00000000-0005-0000-0000-000010000000}"/>
    <cellStyle name="20 % - Markeringsfarve1 10 3" xfId="1536" xr:uid="{00000000-0005-0000-0000-000011000000}"/>
    <cellStyle name="20 % - Markeringsfarve1 10 3 2" xfId="7046" xr:uid="{00000000-0005-0000-0000-000012000000}"/>
    <cellStyle name="20 % - Markeringsfarve1 10 3 2 2" xfId="14957" xr:uid="{00000000-0005-0000-0000-000013000000}"/>
    <cellStyle name="20 % - Markeringsfarve1 10 3 2 2 2" xfId="31272" xr:uid="{00000000-0005-0000-0000-000014000000}"/>
    <cellStyle name="20 % - Markeringsfarve1 10 3 2 2 3" xfId="46236" xr:uid="{00000000-0005-0000-0000-000015000000}"/>
    <cellStyle name="20 % - Markeringsfarve1 10 3 2 3" xfId="24250" xr:uid="{00000000-0005-0000-0000-000016000000}"/>
    <cellStyle name="20 % - Markeringsfarve1 10 3 2 4" xfId="39237" xr:uid="{00000000-0005-0000-0000-000017000000}"/>
    <cellStyle name="20 % - Markeringsfarve1 10 3 3" xfId="10096" xr:uid="{00000000-0005-0000-0000-000018000000}"/>
    <cellStyle name="20 % - Markeringsfarve1 10 3 3 2" xfId="26416" xr:uid="{00000000-0005-0000-0000-000019000000}"/>
    <cellStyle name="20 % - Markeringsfarve1 10 3 3 3" xfId="41382" xr:uid="{00000000-0005-0000-0000-00001A000000}"/>
    <cellStyle name="20 % - Markeringsfarve1 10 3 4" xfId="19394" xr:uid="{00000000-0005-0000-0000-00001B000000}"/>
    <cellStyle name="20 % - Markeringsfarve1 10 3 5" xfId="34383" xr:uid="{00000000-0005-0000-0000-00001C000000}"/>
    <cellStyle name="20 % - Markeringsfarve1 10 4" xfId="5346" xr:uid="{00000000-0005-0000-0000-00001D000000}"/>
    <cellStyle name="20 % - Markeringsfarve1 10 4 2" xfId="13265" xr:uid="{00000000-0005-0000-0000-00001E000000}"/>
    <cellStyle name="20 % - Markeringsfarve1 10 4 2 2" xfId="29580" xr:uid="{00000000-0005-0000-0000-00001F000000}"/>
    <cellStyle name="20 % - Markeringsfarve1 10 4 2 3" xfId="44544" xr:uid="{00000000-0005-0000-0000-000020000000}"/>
    <cellStyle name="20 % - Markeringsfarve1 10 4 3" xfId="22558" xr:uid="{00000000-0005-0000-0000-000021000000}"/>
    <cellStyle name="20 % - Markeringsfarve1 10 4 4" xfId="37545" xr:uid="{00000000-0005-0000-0000-000022000000}"/>
    <cellStyle name="20 % - Markeringsfarve1 10 5" xfId="10094" xr:uid="{00000000-0005-0000-0000-000023000000}"/>
    <cellStyle name="20 % - Markeringsfarve1 10 5 2" xfId="26414" xr:uid="{00000000-0005-0000-0000-000024000000}"/>
    <cellStyle name="20 % - Markeringsfarve1 10 5 3" xfId="41380" xr:uid="{00000000-0005-0000-0000-000025000000}"/>
    <cellStyle name="20 % - Markeringsfarve1 10 6" xfId="19392" xr:uid="{00000000-0005-0000-0000-000026000000}"/>
    <cellStyle name="20 % - Markeringsfarve1 10 7" xfId="34381" xr:uid="{00000000-0005-0000-0000-000027000000}"/>
    <cellStyle name="20 % - Markeringsfarve1 11" xfId="1537" xr:uid="{00000000-0005-0000-0000-000028000000}"/>
    <cellStyle name="20 % - Markeringsfarve1 11 2" xfId="1538" xr:uid="{00000000-0005-0000-0000-000029000000}"/>
    <cellStyle name="20 % - Markeringsfarve1 11 2 2" xfId="8464" xr:uid="{00000000-0005-0000-0000-00002A000000}"/>
    <cellStyle name="20 % - Markeringsfarve1 11 2 2 2" xfId="16354" xr:uid="{00000000-0005-0000-0000-00002B000000}"/>
    <cellStyle name="20 % - Markeringsfarve1 11 2 2 2 2" xfId="32669" xr:uid="{00000000-0005-0000-0000-00002C000000}"/>
    <cellStyle name="20 % - Markeringsfarve1 11 2 2 2 3" xfId="47633" xr:uid="{00000000-0005-0000-0000-00002D000000}"/>
    <cellStyle name="20 % - Markeringsfarve1 11 2 2 3" xfId="25647" xr:uid="{00000000-0005-0000-0000-00002E000000}"/>
    <cellStyle name="20 % - Markeringsfarve1 11 2 2 4" xfId="40634" xr:uid="{00000000-0005-0000-0000-00002F000000}"/>
    <cellStyle name="20 % - Markeringsfarve1 11 2 3" xfId="10098" xr:uid="{00000000-0005-0000-0000-000030000000}"/>
    <cellStyle name="20 % - Markeringsfarve1 11 2 3 2" xfId="26418" xr:uid="{00000000-0005-0000-0000-000031000000}"/>
    <cellStyle name="20 % - Markeringsfarve1 11 2 3 3" xfId="41384" xr:uid="{00000000-0005-0000-0000-000032000000}"/>
    <cellStyle name="20 % - Markeringsfarve1 11 2 4" xfId="19396" xr:uid="{00000000-0005-0000-0000-000033000000}"/>
    <cellStyle name="20 % - Markeringsfarve1 11 2 5" xfId="34385" xr:uid="{00000000-0005-0000-0000-000034000000}"/>
    <cellStyle name="20 % - Markeringsfarve1 11 3" xfId="5347" xr:uid="{00000000-0005-0000-0000-000035000000}"/>
    <cellStyle name="20 % - Markeringsfarve1 11 3 2" xfId="13266" xr:uid="{00000000-0005-0000-0000-000036000000}"/>
    <cellStyle name="20 % - Markeringsfarve1 11 3 2 2" xfId="29581" xr:uid="{00000000-0005-0000-0000-000037000000}"/>
    <cellStyle name="20 % - Markeringsfarve1 11 3 2 3" xfId="44545" xr:uid="{00000000-0005-0000-0000-000038000000}"/>
    <cellStyle name="20 % - Markeringsfarve1 11 3 3" xfId="22559" xr:uid="{00000000-0005-0000-0000-000039000000}"/>
    <cellStyle name="20 % - Markeringsfarve1 11 3 4" xfId="37546" xr:uid="{00000000-0005-0000-0000-00003A000000}"/>
    <cellStyle name="20 % - Markeringsfarve1 11 4" xfId="10097" xr:uid="{00000000-0005-0000-0000-00003B000000}"/>
    <cellStyle name="20 % - Markeringsfarve1 11 4 2" xfId="26417" xr:uid="{00000000-0005-0000-0000-00003C000000}"/>
    <cellStyle name="20 % - Markeringsfarve1 11 4 3" xfId="41383" xr:uid="{00000000-0005-0000-0000-00003D000000}"/>
    <cellStyle name="20 % - Markeringsfarve1 11 5" xfId="19395" xr:uid="{00000000-0005-0000-0000-00003E000000}"/>
    <cellStyle name="20 % - Markeringsfarve1 11 6" xfId="34384" xr:uid="{00000000-0005-0000-0000-00003F000000}"/>
    <cellStyle name="20 % - Markeringsfarve1 12" xfId="1539" xr:uid="{00000000-0005-0000-0000-000040000000}"/>
    <cellStyle name="20 % - Markeringsfarve1 12 2" xfId="1540" xr:uid="{00000000-0005-0000-0000-000041000000}"/>
    <cellStyle name="20 % - Markeringsfarve1 12 2 2" xfId="7038" xr:uid="{00000000-0005-0000-0000-000042000000}"/>
    <cellStyle name="20 % - Markeringsfarve1 12 2 2 2" xfId="14949" xr:uid="{00000000-0005-0000-0000-000043000000}"/>
    <cellStyle name="20 % - Markeringsfarve1 12 2 2 2 2" xfId="31264" xr:uid="{00000000-0005-0000-0000-000044000000}"/>
    <cellStyle name="20 % - Markeringsfarve1 12 2 2 2 3" xfId="46228" xr:uid="{00000000-0005-0000-0000-000045000000}"/>
    <cellStyle name="20 % - Markeringsfarve1 12 2 2 3" xfId="24242" xr:uid="{00000000-0005-0000-0000-000046000000}"/>
    <cellStyle name="20 % - Markeringsfarve1 12 2 2 4" xfId="39229" xr:uid="{00000000-0005-0000-0000-000047000000}"/>
    <cellStyle name="20 % - Markeringsfarve1 12 2 3" xfId="10100" xr:uid="{00000000-0005-0000-0000-000048000000}"/>
    <cellStyle name="20 % - Markeringsfarve1 12 2 3 2" xfId="26420" xr:uid="{00000000-0005-0000-0000-000049000000}"/>
    <cellStyle name="20 % - Markeringsfarve1 12 2 3 3" xfId="41386" xr:uid="{00000000-0005-0000-0000-00004A000000}"/>
    <cellStyle name="20 % - Markeringsfarve1 12 2 4" xfId="19398" xr:uid="{00000000-0005-0000-0000-00004B000000}"/>
    <cellStyle name="20 % - Markeringsfarve1 12 2 5" xfId="34387" xr:uid="{00000000-0005-0000-0000-00004C000000}"/>
    <cellStyle name="20 % - Markeringsfarve1 12 3" xfId="5348" xr:uid="{00000000-0005-0000-0000-00004D000000}"/>
    <cellStyle name="20 % - Markeringsfarve1 12 3 2" xfId="13267" xr:uid="{00000000-0005-0000-0000-00004E000000}"/>
    <cellStyle name="20 % - Markeringsfarve1 12 3 2 2" xfId="29582" xr:uid="{00000000-0005-0000-0000-00004F000000}"/>
    <cellStyle name="20 % - Markeringsfarve1 12 3 2 3" xfId="44546" xr:uid="{00000000-0005-0000-0000-000050000000}"/>
    <cellStyle name="20 % - Markeringsfarve1 12 3 3" xfId="22560" xr:uid="{00000000-0005-0000-0000-000051000000}"/>
    <cellStyle name="20 % - Markeringsfarve1 12 3 4" xfId="37547" xr:uid="{00000000-0005-0000-0000-000052000000}"/>
    <cellStyle name="20 % - Markeringsfarve1 12 4" xfId="10099" xr:uid="{00000000-0005-0000-0000-000053000000}"/>
    <cellStyle name="20 % - Markeringsfarve1 12 4 2" xfId="26419" xr:uid="{00000000-0005-0000-0000-000054000000}"/>
    <cellStyle name="20 % - Markeringsfarve1 12 4 3" xfId="41385" xr:uid="{00000000-0005-0000-0000-000055000000}"/>
    <cellStyle name="20 % - Markeringsfarve1 12 5" xfId="19397" xr:uid="{00000000-0005-0000-0000-000056000000}"/>
    <cellStyle name="20 % - Markeringsfarve1 12 6" xfId="34386" xr:uid="{00000000-0005-0000-0000-000057000000}"/>
    <cellStyle name="20 % - Markeringsfarve1 13" xfId="1541" xr:uid="{00000000-0005-0000-0000-000058000000}"/>
    <cellStyle name="20 % - Markeringsfarve1 13 2" xfId="1542" xr:uid="{00000000-0005-0000-0000-000059000000}"/>
    <cellStyle name="20 % - Markeringsfarve1 13 2 2" xfId="8343" xr:uid="{00000000-0005-0000-0000-00005A000000}"/>
    <cellStyle name="20 % - Markeringsfarve1 13 2 2 2" xfId="16237" xr:uid="{00000000-0005-0000-0000-00005B000000}"/>
    <cellStyle name="20 % - Markeringsfarve1 13 2 2 2 2" xfId="32552" xr:uid="{00000000-0005-0000-0000-00005C000000}"/>
    <cellStyle name="20 % - Markeringsfarve1 13 2 2 2 3" xfId="47516" xr:uid="{00000000-0005-0000-0000-00005D000000}"/>
    <cellStyle name="20 % - Markeringsfarve1 13 2 2 3" xfId="25530" xr:uid="{00000000-0005-0000-0000-00005E000000}"/>
    <cellStyle name="20 % - Markeringsfarve1 13 2 2 4" xfId="40517" xr:uid="{00000000-0005-0000-0000-00005F000000}"/>
    <cellStyle name="20 % - Markeringsfarve1 13 2 3" xfId="10102" xr:uid="{00000000-0005-0000-0000-000060000000}"/>
    <cellStyle name="20 % - Markeringsfarve1 13 2 3 2" xfId="26422" xr:uid="{00000000-0005-0000-0000-000061000000}"/>
    <cellStyle name="20 % - Markeringsfarve1 13 2 3 3" xfId="41388" xr:uid="{00000000-0005-0000-0000-000062000000}"/>
    <cellStyle name="20 % - Markeringsfarve1 13 2 4" xfId="19400" xr:uid="{00000000-0005-0000-0000-000063000000}"/>
    <cellStyle name="20 % - Markeringsfarve1 13 2 5" xfId="34389" xr:uid="{00000000-0005-0000-0000-000064000000}"/>
    <cellStyle name="20 % - Markeringsfarve1 13 3" xfId="5345" xr:uid="{00000000-0005-0000-0000-000065000000}"/>
    <cellStyle name="20 % - Markeringsfarve1 13 3 2" xfId="13264" xr:uid="{00000000-0005-0000-0000-000066000000}"/>
    <cellStyle name="20 % - Markeringsfarve1 13 3 2 2" xfId="29579" xr:uid="{00000000-0005-0000-0000-000067000000}"/>
    <cellStyle name="20 % - Markeringsfarve1 13 3 2 3" xfId="44543" xr:uid="{00000000-0005-0000-0000-000068000000}"/>
    <cellStyle name="20 % - Markeringsfarve1 13 3 3" xfId="22557" xr:uid="{00000000-0005-0000-0000-000069000000}"/>
    <cellStyle name="20 % - Markeringsfarve1 13 3 4" xfId="37544" xr:uid="{00000000-0005-0000-0000-00006A000000}"/>
    <cellStyle name="20 % - Markeringsfarve1 13 4" xfId="10101" xr:uid="{00000000-0005-0000-0000-00006B000000}"/>
    <cellStyle name="20 % - Markeringsfarve1 13 4 2" xfId="26421" xr:uid="{00000000-0005-0000-0000-00006C000000}"/>
    <cellStyle name="20 % - Markeringsfarve1 13 4 3" xfId="41387" xr:uid="{00000000-0005-0000-0000-00006D000000}"/>
    <cellStyle name="20 % - Markeringsfarve1 13 5" xfId="19399" xr:uid="{00000000-0005-0000-0000-00006E000000}"/>
    <cellStyle name="20 % - Markeringsfarve1 13 6" xfId="34388" xr:uid="{00000000-0005-0000-0000-00006F000000}"/>
    <cellStyle name="20 % - Markeringsfarve1 14" xfId="1543" xr:uid="{00000000-0005-0000-0000-000070000000}"/>
    <cellStyle name="20 % - Markeringsfarve1 14 2" xfId="6648" xr:uid="{00000000-0005-0000-0000-000071000000}"/>
    <cellStyle name="20 % - Markeringsfarve1 14 2 2" xfId="14562" xr:uid="{00000000-0005-0000-0000-000072000000}"/>
    <cellStyle name="20 % - Markeringsfarve1 14 2 2 2" xfId="30877" xr:uid="{00000000-0005-0000-0000-000073000000}"/>
    <cellStyle name="20 % - Markeringsfarve1 14 2 2 3" xfId="45841" xr:uid="{00000000-0005-0000-0000-000074000000}"/>
    <cellStyle name="20 % - Markeringsfarve1 14 2 3" xfId="23855" xr:uid="{00000000-0005-0000-0000-000075000000}"/>
    <cellStyle name="20 % - Markeringsfarve1 14 2 4" xfId="38842" xr:uid="{00000000-0005-0000-0000-000076000000}"/>
    <cellStyle name="20 % - Markeringsfarve1 14 3" xfId="10103" xr:uid="{00000000-0005-0000-0000-000077000000}"/>
    <cellStyle name="20 % - Markeringsfarve1 14 3 2" xfId="26423" xr:uid="{00000000-0005-0000-0000-000078000000}"/>
    <cellStyle name="20 % - Markeringsfarve1 14 3 3" xfId="41389" xr:uid="{00000000-0005-0000-0000-000079000000}"/>
    <cellStyle name="20 % - Markeringsfarve1 14 4" xfId="19401" xr:uid="{00000000-0005-0000-0000-00007A000000}"/>
    <cellStyle name="20 % - Markeringsfarve1 14 5" xfId="34390" xr:uid="{00000000-0005-0000-0000-00007B000000}"/>
    <cellStyle name="20 % - Markeringsfarve1 15" xfId="1544" xr:uid="{00000000-0005-0000-0000-00007C000000}"/>
    <cellStyle name="20 % - Markeringsfarve1 15 2" xfId="8513" xr:uid="{00000000-0005-0000-0000-00007D000000}"/>
    <cellStyle name="20 % - Markeringsfarve1 15 2 2" xfId="16401" xr:uid="{00000000-0005-0000-0000-00007E000000}"/>
    <cellStyle name="20 % - Markeringsfarve1 15 2 2 2" xfId="32716" xr:uid="{00000000-0005-0000-0000-00007F000000}"/>
    <cellStyle name="20 % - Markeringsfarve1 15 2 2 3" xfId="47680" xr:uid="{00000000-0005-0000-0000-000080000000}"/>
    <cellStyle name="20 % - Markeringsfarve1 15 2 3" xfId="25694" xr:uid="{00000000-0005-0000-0000-000081000000}"/>
    <cellStyle name="20 % - Markeringsfarve1 15 2 4" xfId="40681" xr:uid="{00000000-0005-0000-0000-000082000000}"/>
    <cellStyle name="20 % - Markeringsfarve1 15 3" xfId="10104" xr:uid="{00000000-0005-0000-0000-000083000000}"/>
    <cellStyle name="20 % - Markeringsfarve1 15 3 2" xfId="26424" xr:uid="{00000000-0005-0000-0000-000084000000}"/>
    <cellStyle name="20 % - Markeringsfarve1 15 3 3" xfId="41390" xr:uid="{00000000-0005-0000-0000-000085000000}"/>
    <cellStyle name="20 % - Markeringsfarve1 15 4" xfId="19402" xr:uid="{00000000-0005-0000-0000-000086000000}"/>
    <cellStyle name="20 % - Markeringsfarve1 15 5" xfId="34391" xr:uid="{00000000-0005-0000-0000-000087000000}"/>
    <cellStyle name="20 % - Markeringsfarve1 16" xfId="1545" xr:uid="{00000000-0005-0000-0000-000088000000}"/>
    <cellStyle name="20 % - Markeringsfarve1 16 2" xfId="7054" xr:uid="{00000000-0005-0000-0000-000089000000}"/>
    <cellStyle name="20 % - Markeringsfarve1 16 2 2" xfId="14965" xr:uid="{00000000-0005-0000-0000-00008A000000}"/>
    <cellStyle name="20 % - Markeringsfarve1 16 2 2 2" xfId="31280" xr:uid="{00000000-0005-0000-0000-00008B000000}"/>
    <cellStyle name="20 % - Markeringsfarve1 16 2 2 3" xfId="46244" xr:uid="{00000000-0005-0000-0000-00008C000000}"/>
    <cellStyle name="20 % - Markeringsfarve1 16 2 3" xfId="24258" xr:uid="{00000000-0005-0000-0000-00008D000000}"/>
    <cellStyle name="20 % - Markeringsfarve1 16 2 4" xfId="39245" xr:uid="{00000000-0005-0000-0000-00008E000000}"/>
    <cellStyle name="20 % - Markeringsfarve1 16 3" xfId="10105" xr:uid="{00000000-0005-0000-0000-00008F000000}"/>
    <cellStyle name="20 % - Markeringsfarve1 16 3 2" xfId="26425" xr:uid="{00000000-0005-0000-0000-000090000000}"/>
    <cellStyle name="20 % - Markeringsfarve1 16 3 3" xfId="41391" xr:uid="{00000000-0005-0000-0000-000091000000}"/>
    <cellStyle name="20 % - Markeringsfarve1 16 4" xfId="19403" xr:uid="{00000000-0005-0000-0000-000092000000}"/>
    <cellStyle name="20 % - Markeringsfarve1 16 5" xfId="34392" xr:uid="{00000000-0005-0000-0000-000093000000}"/>
    <cellStyle name="20 % - Markeringsfarve1 17" xfId="5323" xr:uid="{00000000-0005-0000-0000-000094000000}"/>
    <cellStyle name="20 % - Markeringsfarve1 17 2" xfId="13252" xr:uid="{00000000-0005-0000-0000-000095000000}"/>
    <cellStyle name="20 % - Markeringsfarve1 17 2 2" xfId="29567" xr:uid="{00000000-0005-0000-0000-000096000000}"/>
    <cellStyle name="20 % - Markeringsfarve1 17 2 3" xfId="44531" xr:uid="{00000000-0005-0000-0000-000097000000}"/>
    <cellStyle name="20 % - Markeringsfarve1 17 3" xfId="22545" xr:uid="{00000000-0005-0000-0000-000098000000}"/>
    <cellStyle name="20 % - Markeringsfarve1 17 4" xfId="37532" xr:uid="{00000000-0005-0000-0000-000099000000}"/>
    <cellStyle name="20 % - Markeringsfarve1 18" xfId="1533" xr:uid="{00000000-0005-0000-0000-00009A000000}"/>
    <cellStyle name="20 % - Markeringsfarve1 18 2" xfId="10093" xr:uid="{00000000-0005-0000-0000-00009B000000}"/>
    <cellStyle name="20 % - Markeringsfarve1 18 2 2" xfId="26413" xr:uid="{00000000-0005-0000-0000-00009C000000}"/>
    <cellStyle name="20 % - Markeringsfarve1 18 2 3" xfId="41379" xr:uid="{00000000-0005-0000-0000-00009D000000}"/>
    <cellStyle name="20 % - Markeringsfarve1 18 3" xfId="19391" xr:uid="{00000000-0005-0000-0000-00009E000000}"/>
    <cellStyle name="20 % - Markeringsfarve1 18 4" xfId="34380" xr:uid="{00000000-0005-0000-0000-00009F000000}"/>
    <cellStyle name="20 % - Markeringsfarve1 2" xfId="1546" xr:uid="{00000000-0005-0000-0000-0000A0000000}"/>
    <cellStyle name="20 % - Markeringsfarve1 2 10" xfId="1547" xr:uid="{00000000-0005-0000-0000-0000A1000000}"/>
    <cellStyle name="20 % - Markeringsfarve1 2 10 2" xfId="6681" xr:uid="{00000000-0005-0000-0000-0000A2000000}"/>
    <cellStyle name="20 % - Markeringsfarve1 2 10 2 2" xfId="14593" xr:uid="{00000000-0005-0000-0000-0000A3000000}"/>
    <cellStyle name="20 % - Markeringsfarve1 2 10 2 2 2" xfId="30908" xr:uid="{00000000-0005-0000-0000-0000A4000000}"/>
    <cellStyle name="20 % - Markeringsfarve1 2 10 2 2 3" xfId="45872" xr:uid="{00000000-0005-0000-0000-0000A5000000}"/>
    <cellStyle name="20 % - Markeringsfarve1 2 10 2 3" xfId="23886" xr:uid="{00000000-0005-0000-0000-0000A6000000}"/>
    <cellStyle name="20 % - Markeringsfarve1 2 10 2 4" xfId="38873" xr:uid="{00000000-0005-0000-0000-0000A7000000}"/>
    <cellStyle name="20 % - Markeringsfarve1 2 10 3" xfId="10107" xr:uid="{00000000-0005-0000-0000-0000A8000000}"/>
    <cellStyle name="20 % - Markeringsfarve1 2 10 3 2" xfId="26427" xr:uid="{00000000-0005-0000-0000-0000A9000000}"/>
    <cellStyle name="20 % - Markeringsfarve1 2 10 3 3" xfId="41393" xr:uid="{00000000-0005-0000-0000-0000AA000000}"/>
    <cellStyle name="20 % - Markeringsfarve1 2 10 4" xfId="19405" xr:uid="{00000000-0005-0000-0000-0000AB000000}"/>
    <cellStyle name="20 % - Markeringsfarve1 2 10 5" xfId="34394" xr:uid="{00000000-0005-0000-0000-0000AC000000}"/>
    <cellStyle name="20 % - Markeringsfarve1 2 11" xfId="1548" xr:uid="{00000000-0005-0000-0000-0000AD000000}"/>
    <cellStyle name="20 % - Markeringsfarve1 2 11 2" xfId="7052" xr:uid="{00000000-0005-0000-0000-0000AE000000}"/>
    <cellStyle name="20 % - Markeringsfarve1 2 11 2 2" xfId="14963" xr:uid="{00000000-0005-0000-0000-0000AF000000}"/>
    <cellStyle name="20 % - Markeringsfarve1 2 11 2 2 2" xfId="31278" xr:uid="{00000000-0005-0000-0000-0000B0000000}"/>
    <cellStyle name="20 % - Markeringsfarve1 2 11 2 2 3" xfId="46242" xr:uid="{00000000-0005-0000-0000-0000B1000000}"/>
    <cellStyle name="20 % - Markeringsfarve1 2 11 2 3" xfId="24256" xr:uid="{00000000-0005-0000-0000-0000B2000000}"/>
    <cellStyle name="20 % - Markeringsfarve1 2 11 2 4" xfId="39243" xr:uid="{00000000-0005-0000-0000-0000B3000000}"/>
    <cellStyle name="20 % - Markeringsfarve1 2 11 3" xfId="10108" xr:uid="{00000000-0005-0000-0000-0000B4000000}"/>
    <cellStyle name="20 % - Markeringsfarve1 2 11 3 2" xfId="26428" xr:uid="{00000000-0005-0000-0000-0000B5000000}"/>
    <cellStyle name="20 % - Markeringsfarve1 2 11 3 3" xfId="41394" xr:uid="{00000000-0005-0000-0000-0000B6000000}"/>
    <cellStyle name="20 % - Markeringsfarve1 2 11 4" xfId="19406" xr:uid="{00000000-0005-0000-0000-0000B7000000}"/>
    <cellStyle name="20 % - Markeringsfarve1 2 11 5" xfId="34395" xr:uid="{00000000-0005-0000-0000-0000B8000000}"/>
    <cellStyle name="20 % - Markeringsfarve1 2 12" xfId="5349" xr:uid="{00000000-0005-0000-0000-0000B9000000}"/>
    <cellStyle name="20 % - Markeringsfarve1 2 12 2" xfId="13268" xr:uid="{00000000-0005-0000-0000-0000BA000000}"/>
    <cellStyle name="20 % - Markeringsfarve1 2 12 2 2" xfId="29583" xr:uid="{00000000-0005-0000-0000-0000BB000000}"/>
    <cellStyle name="20 % - Markeringsfarve1 2 12 2 3" xfId="44547" xr:uid="{00000000-0005-0000-0000-0000BC000000}"/>
    <cellStyle name="20 % - Markeringsfarve1 2 12 3" xfId="22561" xr:uid="{00000000-0005-0000-0000-0000BD000000}"/>
    <cellStyle name="20 % - Markeringsfarve1 2 12 4" xfId="37548" xr:uid="{00000000-0005-0000-0000-0000BE000000}"/>
    <cellStyle name="20 % - Markeringsfarve1 2 13" xfId="10106" xr:uid="{00000000-0005-0000-0000-0000BF000000}"/>
    <cellStyle name="20 % - Markeringsfarve1 2 13 2" xfId="26426" xr:uid="{00000000-0005-0000-0000-0000C0000000}"/>
    <cellStyle name="20 % - Markeringsfarve1 2 13 3" xfId="41392" xr:uid="{00000000-0005-0000-0000-0000C1000000}"/>
    <cellStyle name="20 % - Markeringsfarve1 2 14" xfId="19404" xr:uid="{00000000-0005-0000-0000-0000C2000000}"/>
    <cellStyle name="20 % - Markeringsfarve1 2 15" xfId="34393" xr:uid="{00000000-0005-0000-0000-0000C3000000}"/>
    <cellStyle name="20 % - Markeringsfarve1 2 16" xfId="53321" xr:uid="{00000000-0005-0000-0000-0000C4000000}"/>
    <cellStyle name="20 % - Markeringsfarve1 2 2" xfId="1549" xr:uid="{00000000-0005-0000-0000-0000C5000000}"/>
    <cellStyle name="20 % - Markeringsfarve1 2 2 10" xfId="5350" xr:uid="{00000000-0005-0000-0000-0000C6000000}"/>
    <cellStyle name="20 % - Markeringsfarve1 2 2 10 2" xfId="13269" xr:uid="{00000000-0005-0000-0000-0000C7000000}"/>
    <cellStyle name="20 % - Markeringsfarve1 2 2 10 2 2" xfId="29584" xr:uid="{00000000-0005-0000-0000-0000C8000000}"/>
    <cellStyle name="20 % - Markeringsfarve1 2 2 10 2 3" xfId="44548" xr:uid="{00000000-0005-0000-0000-0000C9000000}"/>
    <cellStyle name="20 % - Markeringsfarve1 2 2 10 3" xfId="22562" xr:uid="{00000000-0005-0000-0000-0000CA000000}"/>
    <cellStyle name="20 % - Markeringsfarve1 2 2 10 4" xfId="37549" xr:uid="{00000000-0005-0000-0000-0000CB000000}"/>
    <cellStyle name="20 % - Markeringsfarve1 2 2 11" xfId="10109" xr:uid="{00000000-0005-0000-0000-0000CC000000}"/>
    <cellStyle name="20 % - Markeringsfarve1 2 2 11 2" xfId="26429" xr:uid="{00000000-0005-0000-0000-0000CD000000}"/>
    <cellStyle name="20 % - Markeringsfarve1 2 2 11 3" xfId="41395" xr:uid="{00000000-0005-0000-0000-0000CE000000}"/>
    <cellStyle name="20 % - Markeringsfarve1 2 2 12" xfId="19407" xr:uid="{00000000-0005-0000-0000-0000CF000000}"/>
    <cellStyle name="20 % - Markeringsfarve1 2 2 13" xfId="34396" xr:uid="{00000000-0005-0000-0000-0000D0000000}"/>
    <cellStyle name="20 % - Markeringsfarve1 2 2 14" xfId="53320" xr:uid="{00000000-0005-0000-0000-0000D1000000}"/>
    <cellStyle name="20 % - Markeringsfarve1 2 2 2" xfId="1550" xr:uid="{00000000-0005-0000-0000-0000D2000000}"/>
    <cellStyle name="20 % - Markeringsfarve1 2 2 2 2" xfId="1551" xr:uid="{00000000-0005-0000-0000-0000D3000000}"/>
    <cellStyle name="20 % - Markeringsfarve1 2 2 2 2 2" xfId="1552" xr:uid="{00000000-0005-0000-0000-0000D4000000}"/>
    <cellStyle name="20 % - Markeringsfarve1 2 2 2 2 2 2" xfId="7612" xr:uid="{00000000-0005-0000-0000-0000D5000000}"/>
    <cellStyle name="20 % - Markeringsfarve1 2 2 2 2 2 2 2" xfId="15514" xr:uid="{00000000-0005-0000-0000-0000D6000000}"/>
    <cellStyle name="20 % - Markeringsfarve1 2 2 2 2 2 2 2 2" xfId="31829" xr:uid="{00000000-0005-0000-0000-0000D7000000}"/>
    <cellStyle name="20 % - Markeringsfarve1 2 2 2 2 2 2 2 3" xfId="46793" xr:uid="{00000000-0005-0000-0000-0000D8000000}"/>
    <cellStyle name="20 % - Markeringsfarve1 2 2 2 2 2 2 3" xfId="24807" xr:uid="{00000000-0005-0000-0000-0000D9000000}"/>
    <cellStyle name="20 % - Markeringsfarve1 2 2 2 2 2 2 4" xfId="39794" xr:uid="{00000000-0005-0000-0000-0000DA000000}"/>
    <cellStyle name="20 % - Markeringsfarve1 2 2 2 2 2 3" xfId="10112" xr:uid="{00000000-0005-0000-0000-0000DB000000}"/>
    <cellStyle name="20 % - Markeringsfarve1 2 2 2 2 2 3 2" xfId="26432" xr:uid="{00000000-0005-0000-0000-0000DC000000}"/>
    <cellStyle name="20 % - Markeringsfarve1 2 2 2 2 2 3 3" xfId="41398" xr:uid="{00000000-0005-0000-0000-0000DD000000}"/>
    <cellStyle name="20 % - Markeringsfarve1 2 2 2 2 2 4" xfId="19410" xr:uid="{00000000-0005-0000-0000-0000DE000000}"/>
    <cellStyle name="20 % - Markeringsfarve1 2 2 2 2 2 5" xfId="34399" xr:uid="{00000000-0005-0000-0000-0000DF000000}"/>
    <cellStyle name="20 % - Markeringsfarve1 2 2 2 2 3" xfId="6185" xr:uid="{00000000-0005-0000-0000-0000E0000000}"/>
    <cellStyle name="20 % - Markeringsfarve1 2 2 2 2 3 2" xfId="14103" xr:uid="{00000000-0005-0000-0000-0000E1000000}"/>
    <cellStyle name="20 % - Markeringsfarve1 2 2 2 2 3 2 2" xfId="30418" xr:uid="{00000000-0005-0000-0000-0000E2000000}"/>
    <cellStyle name="20 % - Markeringsfarve1 2 2 2 2 3 2 3" xfId="45382" xr:uid="{00000000-0005-0000-0000-0000E3000000}"/>
    <cellStyle name="20 % - Markeringsfarve1 2 2 2 2 3 3" xfId="23396" xr:uid="{00000000-0005-0000-0000-0000E4000000}"/>
    <cellStyle name="20 % - Markeringsfarve1 2 2 2 2 3 4" xfId="38383" xr:uid="{00000000-0005-0000-0000-0000E5000000}"/>
    <cellStyle name="20 % - Markeringsfarve1 2 2 2 2 4" xfId="10111" xr:uid="{00000000-0005-0000-0000-0000E6000000}"/>
    <cellStyle name="20 % - Markeringsfarve1 2 2 2 2 4 2" xfId="26431" xr:uid="{00000000-0005-0000-0000-0000E7000000}"/>
    <cellStyle name="20 % - Markeringsfarve1 2 2 2 2 4 3" xfId="41397" xr:uid="{00000000-0005-0000-0000-0000E8000000}"/>
    <cellStyle name="20 % - Markeringsfarve1 2 2 2 2 5" xfId="19409" xr:uid="{00000000-0005-0000-0000-0000E9000000}"/>
    <cellStyle name="20 % - Markeringsfarve1 2 2 2 2 6" xfId="34398" xr:uid="{00000000-0005-0000-0000-0000EA000000}"/>
    <cellStyle name="20 % - Markeringsfarve1 2 2 2 2 7" xfId="57124" xr:uid="{00000000-0005-0000-0000-0000EB000000}"/>
    <cellStyle name="20 % - Markeringsfarve1 2 2 2 3" xfId="1553" xr:uid="{00000000-0005-0000-0000-0000EC000000}"/>
    <cellStyle name="20 % - Markeringsfarve1 2 2 2 3 2" xfId="6842" xr:uid="{00000000-0005-0000-0000-0000ED000000}"/>
    <cellStyle name="20 % - Markeringsfarve1 2 2 2 3 2 2" xfId="14754" xr:uid="{00000000-0005-0000-0000-0000EE000000}"/>
    <cellStyle name="20 % - Markeringsfarve1 2 2 2 3 2 2 2" xfId="31069" xr:uid="{00000000-0005-0000-0000-0000EF000000}"/>
    <cellStyle name="20 % - Markeringsfarve1 2 2 2 3 2 2 3" xfId="46033" xr:uid="{00000000-0005-0000-0000-0000F0000000}"/>
    <cellStyle name="20 % - Markeringsfarve1 2 2 2 3 2 3" xfId="24047" xr:uid="{00000000-0005-0000-0000-0000F1000000}"/>
    <cellStyle name="20 % - Markeringsfarve1 2 2 2 3 2 4" xfId="39034" xr:uid="{00000000-0005-0000-0000-0000F2000000}"/>
    <cellStyle name="20 % - Markeringsfarve1 2 2 2 3 3" xfId="10113" xr:uid="{00000000-0005-0000-0000-0000F3000000}"/>
    <cellStyle name="20 % - Markeringsfarve1 2 2 2 3 3 2" xfId="26433" xr:uid="{00000000-0005-0000-0000-0000F4000000}"/>
    <cellStyle name="20 % - Markeringsfarve1 2 2 2 3 3 3" xfId="41399" xr:uid="{00000000-0005-0000-0000-0000F5000000}"/>
    <cellStyle name="20 % - Markeringsfarve1 2 2 2 3 4" xfId="19411" xr:uid="{00000000-0005-0000-0000-0000F6000000}"/>
    <cellStyle name="20 % - Markeringsfarve1 2 2 2 3 5" xfId="34400" xr:uid="{00000000-0005-0000-0000-0000F7000000}"/>
    <cellStyle name="20 % - Markeringsfarve1 2 2 2 4" xfId="1554" xr:uid="{00000000-0005-0000-0000-0000F8000000}"/>
    <cellStyle name="20 % - Markeringsfarve1 2 2 2 4 2" xfId="8320" xr:uid="{00000000-0005-0000-0000-0000F9000000}"/>
    <cellStyle name="20 % - Markeringsfarve1 2 2 2 4 2 2" xfId="16215" xr:uid="{00000000-0005-0000-0000-0000FA000000}"/>
    <cellStyle name="20 % - Markeringsfarve1 2 2 2 4 2 2 2" xfId="32530" xr:uid="{00000000-0005-0000-0000-0000FB000000}"/>
    <cellStyle name="20 % - Markeringsfarve1 2 2 2 4 2 2 3" xfId="47494" xr:uid="{00000000-0005-0000-0000-0000FC000000}"/>
    <cellStyle name="20 % - Markeringsfarve1 2 2 2 4 2 3" xfId="25508" xr:uid="{00000000-0005-0000-0000-0000FD000000}"/>
    <cellStyle name="20 % - Markeringsfarve1 2 2 2 4 2 4" xfId="40495" xr:uid="{00000000-0005-0000-0000-0000FE000000}"/>
    <cellStyle name="20 % - Markeringsfarve1 2 2 2 4 3" xfId="10114" xr:uid="{00000000-0005-0000-0000-0000FF000000}"/>
    <cellStyle name="20 % - Markeringsfarve1 2 2 2 4 3 2" xfId="26434" xr:uid="{00000000-0005-0000-0000-000000010000}"/>
    <cellStyle name="20 % - Markeringsfarve1 2 2 2 4 3 3" xfId="41400" xr:uid="{00000000-0005-0000-0000-000001010000}"/>
    <cellStyle name="20 % - Markeringsfarve1 2 2 2 4 4" xfId="19412" xr:uid="{00000000-0005-0000-0000-000002010000}"/>
    <cellStyle name="20 % - Markeringsfarve1 2 2 2 4 5" xfId="34401" xr:uid="{00000000-0005-0000-0000-000003010000}"/>
    <cellStyle name="20 % - Markeringsfarve1 2 2 2 5" xfId="5351" xr:uid="{00000000-0005-0000-0000-000004010000}"/>
    <cellStyle name="20 % - Markeringsfarve1 2 2 2 5 2" xfId="13270" xr:uid="{00000000-0005-0000-0000-000005010000}"/>
    <cellStyle name="20 % - Markeringsfarve1 2 2 2 5 2 2" xfId="29585" xr:uid="{00000000-0005-0000-0000-000006010000}"/>
    <cellStyle name="20 % - Markeringsfarve1 2 2 2 5 2 3" xfId="44549" xr:uid="{00000000-0005-0000-0000-000007010000}"/>
    <cellStyle name="20 % - Markeringsfarve1 2 2 2 5 3" xfId="22563" xr:uid="{00000000-0005-0000-0000-000008010000}"/>
    <cellStyle name="20 % - Markeringsfarve1 2 2 2 5 4" xfId="37550" xr:uid="{00000000-0005-0000-0000-000009010000}"/>
    <cellStyle name="20 % - Markeringsfarve1 2 2 2 6" xfId="10110" xr:uid="{00000000-0005-0000-0000-00000A010000}"/>
    <cellStyle name="20 % - Markeringsfarve1 2 2 2 6 2" xfId="26430" xr:uid="{00000000-0005-0000-0000-00000B010000}"/>
    <cellStyle name="20 % - Markeringsfarve1 2 2 2 6 3" xfId="41396" xr:uid="{00000000-0005-0000-0000-00000C010000}"/>
    <cellStyle name="20 % - Markeringsfarve1 2 2 2 7" xfId="19408" xr:uid="{00000000-0005-0000-0000-00000D010000}"/>
    <cellStyle name="20 % - Markeringsfarve1 2 2 2 8" xfId="34397" xr:uid="{00000000-0005-0000-0000-00000E010000}"/>
    <cellStyle name="20 % - Markeringsfarve1 2 2 2 9" xfId="53957" xr:uid="{00000000-0005-0000-0000-00000F010000}"/>
    <cellStyle name="20 % - Markeringsfarve1 2 2 3" xfId="1555" xr:uid="{00000000-0005-0000-0000-000010010000}"/>
    <cellStyle name="20 % - Markeringsfarve1 2 2 3 2" xfId="1556" xr:uid="{00000000-0005-0000-0000-000011010000}"/>
    <cellStyle name="20 % - Markeringsfarve1 2 2 3 2 2" xfId="1557" xr:uid="{00000000-0005-0000-0000-000012010000}"/>
    <cellStyle name="20 % - Markeringsfarve1 2 2 3 2 2 2" xfId="7666" xr:uid="{00000000-0005-0000-0000-000013010000}"/>
    <cellStyle name="20 % - Markeringsfarve1 2 2 3 2 2 2 2" xfId="15568" xr:uid="{00000000-0005-0000-0000-000014010000}"/>
    <cellStyle name="20 % - Markeringsfarve1 2 2 3 2 2 2 2 2" xfId="31883" xr:uid="{00000000-0005-0000-0000-000015010000}"/>
    <cellStyle name="20 % - Markeringsfarve1 2 2 3 2 2 2 2 3" xfId="46847" xr:uid="{00000000-0005-0000-0000-000016010000}"/>
    <cellStyle name="20 % - Markeringsfarve1 2 2 3 2 2 2 3" xfId="24861" xr:uid="{00000000-0005-0000-0000-000017010000}"/>
    <cellStyle name="20 % - Markeringsfarve1 2 2 3 2 2 2 4" xfId="39848" xr:uid="{00000000-0005-0000-0000-000018010000}"/>
    <cellStyle name="20 % - Markeringsfarve1 2 2 3 2 2 3" xfId="10117" xr:uid="{00000000-0005-0000-0000-000019010000}"/>
    <cellStyle name="20 % - Markeringsfarve1 2 2 3 2 2 3 2" xfId="26437" xr:uid="{00000000-0005-0000-0000-00001A010000}"/>
    <cellStyle name="20 % - Markeringsfarve1 2 2 3 2 2 3 3" xfId="41403" xr:uid="{00000000-0005-0000-0000-00001B010000}"/>
    <cellStyle name="20 % - Markeringsfarve1 2 2 3 2 2 4" xfId="19415" xr:uid="{00000000-0005-0000-0000-00001C010000}"/>
    <cellStyle name="20 % - Markeringsfarve1 2 2 3 2 2 5" xfId="34404" xr:uid="{00000000-0005-0000-0000-00001D010000}"/>
    <cellStyle name="20 % - Markeringsfarve1 2 2 3 2 3" xfId="6230" xr:uid="{00000000-0005-0000-0000-00001E010000}"/>
    <cellStyle name="20 % - Markeringsfarve1 2 2 3 2 3 2" xfId="14148" xr:uid="{00000000-0005-0000-0000-00001F010000}"/>
    <cellStyle name="20 % - Markeringsfarve1 2 2 3 2 3 2 2" xfId="30463" xr:uid="{00000000-0005-0000-0000-000020010000}"/>
    <cellStyle name="20 % - Markeringsfarve1 2 2 3 2 3 2 3" xfId="45427" xr:uid="{00000000-0005-0000-0000-000021010000}"/>
    <cellStyle name="20 % - Markeringsfarve1 2 2 3 2 3 3" xfId="23441" xr:uid="{00000000-0005-0000-0000-000022010000}"/>
    <cellStyle name="20 % - Markeringsfarve1 2 2 3 2 3 4" xfId="38428" xr:uid="{00000000-0005-0000-0000-000023010000}"/>
    <cellStyle name="20 % - Markeringsfarve1 2 2 3 2 4" xfId="10116" xr:uid="{00000000-0005-0000-0000-000024010000}"/>
    <cellStyle name="20 % - Markeringsfarve1 2 2 3 2 4 2" xfId="26436" xr:uid="{00000000-0005-0000-0000-000025010000}"/>
    <cellStyle name="20 % - Markeringsfarve1 2 2 3 2 4 3" xfId="41402" xr:uid="{00000000-0005-0000-0000-000026010000}"/>
    <cellStyle name="20 % - Markeringsfarve1 2 2 3 2 5" xfId="19414" xr:uid="{00000000-0005-0000-0000-000027010000}"/>
    <cellStyle name="20 % - Markeringsfarve1 2 2 3 2 6" xfId="34403" xr:uid="{00000000-0005-0000-0000-000028010000}"/>
    <cellStyle name="20 % - Markeringsfarve1 2 2 3 3" xfId="1558" xr:uid="{00000000-0005-0000-0000-000029010000}"/>
    <cellStyle name="20 % - Markeringsfarve1 2 2 3 3 2" xfId="6896" xr:uid="{00000000-0005-0000-0000-00002A010000}"/>
    <cellStyle name="20 % - Markeringsfarve1 2 2 3 3 2 2" xfId="14808" xr:uid="{00000000-0005-0000-0000-00002B010000}"/>
    <cellStyle name="20 % - Markeringsfarve1 2 2 3 3 2 2 2" xfId="31123" xr:uid="{00000000-0005-0000-0000-00002C010000}"/>
    <cellStyle name="20 % - Markeringsfarve1 2 2 3 3 2 2 3" xfId="46087" xr:uid="{00000000-0005-0000-0000-00002D010000}"/>
    <cellStyle name="20 % - Markeringsfarve1 2 2 3 3 2 3" xfId="24101" xr:uid="{00000000-0005-0000-0000-00002E010000}"/>
    <cellStyle name="20 % - Markeringsfarve1 2 2 3 3 2 4" xfId="39088" xr:uid="{00000000-0005-0000-0000-00002F010000}"/>
    <cellStyle name="20 % - Markeringsfarve1 2 2 3 3 3" xfId="10118" xr:uid="{00000000-0005-0000-0000-000030010000}"/>
    <cellStyle name="20 % - Markeringsfarve1 2 2 3 3 3 2" xfId="26438" xr:uid="{00000000-0005-0000-0000-000031010000}"/>
    <cellStyle name="20 % - Markeringsfarve1 2 2 3 3 3 3" xfId="41404" xr:uid="{00000000-0005-0000-0000-000032010000}"/>
    <cellStyle name="20 % - Markeringsfarve1 2 2 3 3 4" xfId="19416" xr:uid="{00000000-0005-0000-0000-000033010000}"/>
    <cellStyle name="20 % - Markeringsfarve1 2 2 3 3 5" xfId="34405" xr:uid="{00000000-0005-0000-0000-000034010000}"/>
    <cellStyle name="20 % - Markeringsfarve1 2 2 3 4" xfId="1559" xr:uid="{00000000-0005-0000-0000-000035010000}"/>
    <cellStyle name="20 % - Markeringsfarve1 2 2 3 4 2" xfId="8319" xr:uid="{00000000-0005-0000-0000-000036010000}"/>
    <cellStyle name="20 % - Markeringsfarve1 2 2 3 4 2 2" xfId="16214" xr:uid="{00000000-0005-0000-0000-000037010000}"/>
    <cellStyle name="20 % - Markeringsfarve1 2 2 3 4 2 2 2" xfId="32529" xr:uid="{00000000-0005-0000-0000-000038010000}"/>
    <cellStyle name="20 % - Markeringsfarve1 2 2 3 4 2 2 3" xfId="47493" xr:uid="{00000000-0005-0000-0000-000039010000}"/>
    <cellStyle name="20 % - Markeringsfarve1 2 2 3 4 2 3" xfId="25507" xr:uid="{00000000-0005-0000-0000-00003A010000}"/>
    <cellStyle name="20 % - Markeringsfarve1 2 2 3 4 2 4" xfId="40494" xr:uid="{00000000-0005-0000-0000-00003B010000}"/>
    <cellStyle name="20 % - Markeringsfarve1 2 2 3 4 3" xfId="10119" xr:uid="{00000000-0005-0000-0000-00003C010000}"/>
    <cellStyle name="20 % - Markeringsfarve1 2 2 3 4 3 2" xfId="26439" xr:uid="{00000000-0005-0000-0000-00003D010000}"/>
    <cellStyle name="20 % - Markeringsfarve1 2 2 3 4 3 3" xfId="41405" xr:uid="{00000000-0005-0000-0000-00003E010000}"/>
    <cellStyle name="20 % - Markeringsfarve1 2 2 3 4 4" xfId="19417" xr:uid="{00000000-0005-0000-0000-00003F010000}"/>
    <cellStyle name="20 % - Markeringsfarve1 2 2 3 4 5" xfId="34406" xr:uid="{00000000-0005-0000-0000-000040010000}"/>
    <cellStyle name="20 % - Markeringsfarve1 2 2 3 5" xfId="5352" xr:uid="{00000000-0005-0000-0000-000041010000}"/>
    <cellStyle name="20 % - Markeringsfarve1 2 2 3 5 2" xfId="13271" xr:uid="{00000000-0005-0000-0000-000042010000}"/>
    <cellStyle name="20 % - Markeringsfarve1 2 2 3 5 2 2" xfId="29586" xr:uid="{00000000-0005-0000-0000-000043010000}"/>
    <cellStyle name="20 % - Markeringsfarve1 2 2 3 5 2 3" xfId="44550" xr:uid="{00000000-0005-0000-0000-000044010000}"/>
    <cellStyle name="20 % - Markeringsfarve1 2 2 3 5 3" xfId="22564" xr:uid="{00000000-0005-0000-0000-000045010000}"/>
    <cellStyle name="20 % - Markeringsfarve1 2 2 3 5 4" xfId="37551" xr:uid="{00000000-0005-0000-0000-000046010000}"/>
    <cellStyle name="20 % - Markeringsfarve1 2 2 3 6" xfId="10115" xr:uid="{00000000-0005-0000-0000-000047010000}"/>
    <cellStyle name="20 % - Markeringsfarve1 2 2 3 6 2" xfId="26435" xr:uid="{00000000-0005-0000-0000-000048010000}"/>
    <cellStyle name="20 % - Markeringsfarve1 2 2 3 6 3" xfId="41401" xr:uid="{00000000-0005-0000-0000-000049010000}"/>
    <cellStyle name="20 % - Markeringsfarve1 2 2 3 7" xfId="19413" xr:uid="{00000000-0005-0000-0000-00004A010000}"/>
    <cellStyle name="20 % - Markeringsfarve1 2 2 3 8" xfId="34402" xr:uid="{00000000-0005-0000-0000-00004B010000}"/>
    <cellStyle name="20 % - Markeringsfarve1 2 2 3 9" xfId="56501" xr:uid="{00000000-0005-0000-0000-00004C010000}"/>
    <cellStyle name="20 % - Markeringsfarve1 2 2 4" xfId="1560" xr:uid="{00000000-0005-0000-0000-00004D010000}"/>
    <cellStyle name="20 % - Markeringsfarve1 2 2 4 2" xfId="1561" xr:uid="{00000000-0005-0000-0000-00004E010000}"/>
    <cellStyle name="20 % - Markeringsfarve1 2 2 4 2 2" xfId="1562" xr:uid="{00000000-0005-0000-0000-00004F010000}"/>
    <cellStyle name="20 % - Markeringsfarve1 2 2 4 2 2 2" xfId="7850" xr:uid="{00000000-0005-0000-0000-000050010000}"/>
    <cellStyle name="20 % - Markeringsfarve1 2 2 4 2 2 2 2" xfId="15752" xr:uid="{00000000-0005-0000-0000-000051010000}"/>
    <cellStyle name="20 % - Markeringsfarve1 2 2 4 2 2 2 2 2" xfId="32067" xr:uid="{00000000-0005-0000-0000-000052010000}"/>
    <cellStyle name="20 % - Markeringsfarve1 2 2 4 2 2 2 2 3" xfId="47031" xr:uid="{00000000-0005-0000-0000-000053010000}"/>
    <cellStyle name="20 % - Markeringsfarve1 2 2 4 2 2 2 3" xfId="25045" xr:uid="{00000000-0005-0000-0000-000054010000}"/>
    <cellStyle name="20 % - Markeringsfarve1 2 2 4 2 2 2 4" xfId="40032" xr:uid="{00000000-0005-0000-0000-000055010000}"/>
    <cellStyle name="20 % - Markeringsfarve1 2 2 4 2 2 3" xfId="10122" xr:uid="{00000000-0005-0000-0000-000056010000}"/>
    <cellStyle name="20 % - Markeringsfarve1 2 2 4 2 2 3 2" xfId="26442" xr:uid="{00000000-0005-0000-0000-000057010000}"/>
    <cellStyle name="20 % - Markeringsfarve1 2 2 4 2 2 3 3" xfId="41408" xr:uid="{00000000-0005-0000-0000-000058010000}"/>
    <cellStyle name="20 % - Markeringsfarve1 2 2 4 2 2 4" xfId="19420" xr:uid="{00000000-0005-0000-0000-000059010000}"/>
    <cellStyle name="20 % - Markeringsfarve1 2 2 4 2 2 5" xfId="34409" xr:uid="{00000000-0005-0000-0000-00005A010000}"/>
    <cellStyle name="20 % - Markeringsfarve1 2 2 4 2 3" xfId="6387" xr:uid="{00000000-0005-0000-0000-00005B010000}"/>
    <cellStyle name="20 % - Markeringsfarve1 2 2 4 2 3 2" xfId="14302" xr:uid="{00000000-0005-0000-0000-00005C010000}"/>
    <cellStyle name="20 % - Markeringsfarve1 2 2 4 2 3 2 2" xfId="30617" xr:uid="{00000000-0005-0000-0000-00005D010000}"/>
    <cellStyle name="20 % - Markeringsfarve1 2 2 4 2 3 2 3" xfId="45581" xr:uid="{00000000-0005-0000-0000-00005E010000}"/>
    <cellStyle name="20 % - Markeringsfarve1 2 2 4 2 3 3" xfId="23595" xr:uid="{00000000-0005-0000-0000-00005F010000}"/>
    <cellStyle name="20 % - Markeringsfarve1 2 2 4 2 3 4" xfId="38582" xr:uid="{00000000-0005-0000-0000-000060010000}"/>
    <cellStyle name="20 % - Markeringsfarve1 2 2 4 2 4" xfId="10121" xr:uid="{00000000-0005-0000-0000-000061010000}"/>
    <cellStyle name="20 % - Markeringsfarve1 2 2 4 2 4 2" xfId="26441" xr:uid="{00000000-0005-0000-0000-000062010000}"/>
    <cellStyle name="20 % - Markeringsfarve1 2 2 4 2 4 3" xfId="41407" xr:uid="{00000000-0005-0000-0000-000063010000}"/>
    <cellStyle name="20 % - Markeringsfarve1 2 2 4 2 5" xfId="19419" xr:uid="{00000000-0005-0000-0000-000064010000}"/>
    <cellStyle name="20 % - Markeringsfarve1 2 2 4 2 6" xfId="34408" xr:uid="{00000000-0005-0000-0000-000065010000}"/>
    <cellStyle name="20 % - Markeringsfarve1 2 2 4 3" xfId="1563" xr:uid="{00000000-0005-0000-0000-000066010000}"/>
    <cellStyle name="20 % - Markeringsfarve1 2 2 4 3 2" xfId="7126" xr:uid="{00000000-0005-0000-0000-000067010000}"/>
    <cellStyle name="20 % - Markeringsfarve1 2 2 4 3 2 2" xfId="15037" xr:uid="{00000000-0005-0000-0000-000068010000}"/>
    <cellStyle name="20 % - Markeringsfarve1 2 2 4 3 2 2 2" xfId="31352" xr:uid="{00000000-0005-0000-0000-000069010000}"/>
    <cellStyle name="20 % - Markeringsfarve1 2 2 4 3 2 2 3" xfId="46316" xr:uid="{00000000-0005-0000-0000-00006A010000}"/>
    <cellStyle name="20 % - Markeringsfarve1 2 2 4 3 2 3" xfId="24330" xr:uid="{00000000-0005-0000-0000-00006B010000}"/>
    <cellStyle name="20 % - Markeringsfarve1 2 2 4 3 2 4" xfId="39317" xr:uid="{00000000-0005-0000-0000-00006C010000}"/>
    <cellStyle name="20 % - Markeringsfarve1 2 2 4 3 3" xfId="10123" xr:uid="{00000000-0005-0000-0000-00006D010000}"/>
    <cellStyle name="20 % - Markeringsfarve1 2 2 4 3 3 2" xfId="26443" xr:uid="{00000000-0005-0000-0000-00006E010000}"/>
    <cellStyle name="20 % - Markeringsfarve1 2 2 4 3 3 3" xfId="41409" xr:uid="{00000000-0005-0000-0000-00006F010000}"/>
    <cellStyle name="20 % - Markeringsfarve1 2 2 4 3 4" xfId="19421" xr:uid="{00000000-0005-0000-0000-000070010000}"/>
    <cellStyle name="20 % - Markeringsfarve1 2 2 4 3 5" xfId="34410" xr:uid="{00000000-0005-0000-0000-000071010000}"/>
    <cellStyle name="20 % - Markeringsfarve1 2 2 4 4" xfId="1564" xr:uid="{00000000-0005-0000-0000-000072010000}"/>
    <cellStyle name="20 % - Markeringsfarve1 2 2 4 4 2" xfId="8318" xr:uid="{00000000-0005-0000-0000-000073010000}"/>
    <cellStyle name="20 % - Markeringsfarve1 2 2 4 4 2 2" xfId="16213" xr:uid="{00000000-0005-0000-0000-000074010000}"/>
    <cellStyle name="20 % - Markeringsfarve1 2 2 4 4 2 2 2" xfId="32528" xr:uid="{00000000-0005-0000-0000-000075010000}"/>
    <cellStyle name="20 % - Markeringsfarve1 2 2 4 4 2 2 3" xfId="47492" xr:uid="{00000000-0005-0000-0000-000076010000}"/>
    <cellStyle name="20 % - Markeringsfarve1 2 2 4 4 2 3" xfId="25506" xr:uid="{00000000-0005-0000-0000-000077010000}"/>
    <cellStyle name="20 % - Markeringsfarve1 2 2 4 4 2 4" xfId="40493" xr:uid="{00000000-0005-0000-0000-000078010000}"/>
    <cellStyle name="20 % - Markeringsfarve1 2 2 4 4 3" xfId="10124" xr:uid="{00000000-0005-0000-0000-000079010000}"/>
    <cellStyle name="20 % - Markeringsfarve1 2 2 4 4 3 2" xfId="26444" xr:uid="{00000000-0005-0000-0000-00007A010000}"/>
    <cellStyle name="20 % - Markeringsfarve1 2 2 4 4 3 3" xfId="41410" xr:uid="{00000000-0005-0000-0000-00007B010000}"/>
    <cellStyle name="20 % - Markeringsfarve1 2 2 4 4 4" xfId="19422" xr:uid="{00000000-0005-0000-0000-00007C010000}"/>
    <cellStyle name="20 % - Markeringsfarve1 2 2 4 4 5" xfId="34411" xr:uid="{00000000-0005-0000-0000-00007D010000}"/>
    <cellStyle name="20 % - Markeringsfarve1 2 2 4 5" xfId="5353" xr:uid="{00000000-0005-0000-0000-00007E010000}"/>
    <cellStyle name="20 % - Markeringsfarve1 2 2 4 5 2" xfId="13272" xr:uid="{00000000-0005-0000-0000-00007F010000}"/>
    <cellStyle name="20 % - Markeringsfarve1 2 2 4 5 2 2" xfId="29587" xr:uid="{00000000-0005-0000-0000-000080010000}"/>
    <cellStyle name="20 % - Markeringsfarve1 2 2 4 5 2 3" xfId="44551" xr:uid="{00000000-0005-0000-0000-000081010000}"/>
    <cellStyle name="20 % - Markeringsfarve1 2 2 4 5 3" xfId="22565" xr:uid="{00000000-0005-0000-0000-000082010000}"/>
    <cellStyle name="20 % - Markeringsfarve1 2 2 4 5 4" xfId="37552" xr:uid="{00000000-0005-0000-0000-000083010000}"/>
    <cellStyle name="20 % - Markeringsfarve1 2 2 4 6" xfId="10120" xr:uid="{00000000-0005-0000-0000-000084010000}"/>
    <cellStyle name="20 % - Markeringsfarve1 2 2 4 6 2" xfId="26440" xr:uid="{00000000-0005-0000-0000-000085010000}"/>
    <cellStyle name="20 % - Markeringsfarve1 2 2 4 6 3" xfId="41406" xr:uid="{00000000-0005-0000-0000-000086010000}"/>
    <cellStyle name="20 % - Markeringsfarve1 2 2 4 7" xfId="19418" xr:uid="{00000000-0005-0000-0000-000087010000}"/>
    <cellStyle name="20 % - Markeringsfarve1 2 2 4 8" xfId="34407" xr:uid="{00000000-0005-0000-0000-000088010000}"/>
    <cellStyle name="20 % - Markeringsfarve1 2 2 5" xfId="1565" xr:uid="{00000000-0005-0000-0000-000089010000}"/>
    <cellStyle name="20 % - Markeringsfarve1 2 2 5 2" xfId="1566" xr:uid="{00000000-0005-0000-0000-00008A010000}"/>
    <cellStyle name="20 % - Markeringsfarve1 2 2 5 2 2" xfId="1567" xr:uid="{00000000-0005-0000-0000-00008B010000}"/>
    <cellStyle name="20 % - Markeringsfarve1 2 2 5 2 2 2" xfId="7967" xr:uid="{00000000-0005-0000-0000-00008C010000}"/>
    <cellStyle name="20 % - Markeringsfarve1 2 2 5 2 2 2 2" xfId="15869" xr:uid="{00000000-0005-0000-0000-00008D010000}"/>
    <cellStyle name="20 % - Markeringsfarve1 2 2 5 2 2 2 2 2" xfId="32184" xr:uid="{00000000-0005-0000-0000-00008E010000}"/>
    <cellStyle name="20 % - Markeringsfarve1 2 2 5 2 2 2 2 3" xfId="47148" xr:uid="{00000000-0005-0000-0000-00008F010000}"/>
    <cellStyle name="20 % - Markeringsfarve1 2 2 5 2 2 2 3" xfId="25162" xr:uid="{00000000-0005-0000-0000-000090010000}"/>
    <cellStyle name="20 % - Markeringsfarve1 2 2 5 2 2 2 4" xfId="40149" xr:uid="{00000000-0005-0000-0000-000091010000}"/>
    <cellStyle name="20 % - Markeringsfarve1 2 2 5 2 2 3" xfId="10127" xr:uid="{00000000-0005-0000-0000-000092010000}"/>
    <cellStyle name="20 % - Markeringsfarve1 2 2 5 2 2 3 2" xfId="26447" xr:uid="{00000000-0005-0000-0000-000093010000}"/>
    <cellStyle name="20 % - Markeringsfarve1 2 2 5 2 2 3 3" xfId="41413" xr:uid="{00000000-0005-0000-0000-000094010000}"/>
    <cellStyle name="20 % - Markeringsfarve1 2 2 5 2 2 4" xfId="19425" xr:uid="{00000000-0005-0000-0000-000095010000}"/>
    <cellStyle name="20 % - Markeringsfarve1 2 2 5 2 2 5" xfId="34414" xr:uid="{00000000-0005-0000-0000-000096010000}"/>
    <cellStyle name="20 % - Markeringsfarve1 2 2 5 2 3" xfId="6486" xr:uid="{00000000-0005-0000-0000-000097010000}"/>
    <cellStyle name="20 % - Markeringsfarve1 2 2 5 2 3 2" xfId="14401" xr:uid="{00000000-0005-0000-0000-000098010000}"/>
    <cellStyle name="20 % - Markeringsfarve1 2 2 5 2 3 2 2" xfId="30716" xr:uid="{00000000-0005-0000-0000-000099010000}"/>
    <cellStyle name="20 % - Markeringsfarve1 2 2 5 2 3 2 3" xfId="45680" xr:uid="{00000000-0005-0000-0000-00009A010000}"/>
    <cellStyle name="20 % - Markeringsfarve1 2 2 5 2 3 3" xfId="23694" xr:uid="{00000000-0005-0000-0000-00009B010000}"/>
    <cellStyle name="20 % - Markeringsfarve1 2 2 5 2 3 4" xfId="38681" xr:uid="{00000000-0005-0000-0000-00009C010000}"/>
    <cellStyle name="20 % - Markeringsfarve1 2 2 5 2 4" xfId="10126" xr:uid="{00000000-0005-0000-0000-00009D010000}"/>
    <cellStyle name="20 % - Markeringsfarve1 2 2 5 2 4 2" xfId="26446" xr:uid="{00000000-0005-0000-0000-00009E010000}"/>
    <cellStyle name="20 % - Markeringsfarve1 2 2 5 2 4 3" xfId="41412" xr:uid="{00000000-0005-0000-0000-00009F010000}"/>
    <cellStyle name="20 % - Markeringsfarve1 2 2 5 2 5" xfId="19424" xr:uid="{00000000-0005-0000-0000-0000A0010000}"/>
    <cellStyle name="20 % - Markeringsfarve1 2 2 5 2 6" xfId="34413" xr:uid="{00000000-0005-0000-0000-0000A1010000}"/>
    <cellStyle name="20 % - Markeringsfarve1 2 2 5 3" xfId="1568" xr:uid="{00000000-0005-0000-0000-0000A2010000}"/>
    <cellStyle name="20 % - Markeringsfarve1 2 2 5 3 2" xfId="7243" xr:uid="{00000000-0005-0000-0000-0000A3010000}"/>
    <cellStyle name="20 % - Markeringsfarve1 2 2 5 3 2 2" xfId="15154" xr:uid="{00000000-0005-0000-0000-0000A4010000}"/>
    <cellStyle name="20 % - Markeringsfarve1 2 2 5 3 2 2 2" xfId="31469" xr:uid="{00000000-0005-0000-0000-0000A5010000}"/>
    <cellStyle name="20 % - Markeringsfarve1 2 2 5 3 2 2 3" xfId="46433" xr:uid="{00000000-0005-0000-0000-0000A6010000}"/>
    <cellStyle name="20 % - Markeringsfarve1 2 2 5 3 2 3" xfId="24447" xr:uid="{00000000-0005-0000-0000-0000A7010000}"/>
    <cellStyle name="20 % - Markeringsfarve1 2 2 5 3 2 4" xfId="39434" xr:uid="{00000000-0005-0000-0000-0000A8010000}"/>
    <cellStyle name="20 % - Markeringsfarve1 2 2 5 3 3" xfId="10128" xr:uid="{00000000-0005-0000-0000-0000A9010000}"/>
    <cellStyle name="20 % - Markeringsfarve1 2 2 5 3 3 2" xfId="26448" xr:uid="{00000000-0005-0000-0000-0000AA010000}"/>
    <cellStyle name="20 % - Markeringsfarve1 2 2 5 3 3 3" xfId="41414" xr:uid="{00000000-0005-0000-0000-0000AB010000}"/>
    <cellStyle name="20 % - Markeringsfarve1 2 2 5 3 4" xfId="19426" xr:uid="{00000000-0005-0000-0000-0000AC010000}"/>
    <cellStyle name="20 % - Markeringsfarve1 2 2 5 3 5" xfId="34415" xr:uid="{00000000-0005-0000-0000-0000AD010000}"/>
    <cellStyle name="20 % - Markeringsfarve1 2 2 5 4" xfId="1569" xr:uid="{00000000-0005-0000-0000-0000AE010000}"/>
    <cellStyle name="20 % - Markeringsfarve1 2 2 5 4 2" xfId="8317" xr:uid="{00000000-0005-0000-0000-0000AF010000}"/>
    <cellStyle name="20 % - Markeringsfarve1 2 2 5 4 2 2" xfId="16212" xr:uid="{00000000-0005-0000-0000-0000B0010000}"/>
    <cellStyle name="20 % - Markeringsfarve1 2 2 5 4 2 2 2" xfId="32527" xr:uid="{00000000-0005-0000-0000-0000B1010000}"/>
    <cellStyle name="20 % - Markeringsfarve1 2 2 5 4 2 2 3" xfId="47491" xr:uid="{00000000-0005-0000-0000-0000B2010000}"/>
    <cellStyle name="20 % - Markeringsfarve1 2 2 5 4 2 3" xfId="25505" xr:uid="{00000000-0005-0000-0000-0000B3010000}"/>
    <cellStyle name="20 % - Markeringsfarve1 2 2 5 4 2 4" xfId="40492" xr:uid="{00000000-0005-0000-0000-0000B4010000}"/>
    <cellStyle name="20 % - Markeringsfarve1 2 2 5 4 3" xfId="10129" xr:uid="{00000000-0005-0000-0000-0000B5010000}"/>
    <cellStyle name="20 % - Markeringsfarve1 2 2 5 4 3 2" xfId="26449" xr:uid="{00000000-0005-0000-0000-0000B6010000}"/>
    <cellStyle name="20 % - Markeringsfarve1 2 2 5 4 3 3" xfId="41415" xr:uid="{00000000-0005-0000-0000-0000B7010000}"/>
    <cellStyle name="20 % - Markeringsfarve1 2 2 5 4 4" xfId="19427" xr:uid="{00000000-0005-0000-0000-0000B8010000}"/>
    <cellStyle name="20 % - Markeringsfarve1 2 2 5 4 5" xfId="34416" xr:uid="{00000000-0005-0000-0000-0000B9010000}"/>
    <cellStyle name="20 % - Markeringsfarve1 2 2 5 5" xfId="5354" xr:uid="{00000000-0005-0000-0000-0000BA010000}"/>
    <cellStyle name="20 % - Markeringsfarve1 2 2 5 5 2" xfId="13273" xr:uid="{00000000-0005-0000-0000-0000BB010000}"/>
    <cellStyle name="20 % - Markeringsfarve1 2 2 5 5 2 2" xfId="29588" xr:uid="{00000000-0005-0000-0000-0000BC010000}"/>
    <cellStyle name="20 % - Markeringsfarve1 2 2 5 5 2 3" xfId="44552" xr:uid="{00000000-0005-0000-0000-0000BD010000}"/>
    <cellStyle name="20 % - Markeringsfarve1 2 2 5 5 3" xfId="22566" xr:uid="{00000000-0005-0000-0000-0000BE010000}"/>
    <cellStyle name="20 % - Markeringsfarve1 2 2 5 5 4" xfId="37553" xr:uid="{00000000-0005-0000-0000-0000BF010000}"/>
    <cellStyle name="20 % - Markeringsfarve1 2 2 5 6" xfId="10125" xr:uid="{00000000-0005-0000-0000-0000C0010000}"/>
    <cellStyle name="20 % - Markeringsfarve1 2 2 5 6 2" xfId="26445" xr:uid="{00000000-0005-0000-0000-0000C1010000}"/>
    <cellStyle name="20 % - Markeringsfarve1 2 2 5 6 3" xfId="41411" xr:uid="{00000000-0005-0000-0000-0000C2010000}"/>
    <cellStyle name="20 % - Markeringsfarve1 2 2 5 7" xfId="19423" xr:uid="{00000000-0005-0000-0000-0000C3010000}"/>
    <cellStyle name="20 % - Markeringsfarve1 2 2 5 8" xfId="34412" xr:uid="{00000000-0005-0000-0000-0000C4010000}"/>
    <cellStyle name="20 % - Markeringsfarve1 2 2 6" xfId="1570" xr:uid="{00000000-0005-0000-0000-0000C5010000}"/>
    <cellStyle name="20 % - Markeringsfarve1 2 2 6 2" xfId="1571" xr:uid="{00000000-0005-0000-0000-0000C6010000}"/>
    <cellStyle name="20 % - Markeringsfarve1 2 2 6 2 2" xfId="1572" xr:uid="{00000000-0005-0000-0000-0000C7010000}"/>
    <cellStyle name="20 % - Markeringsfarve1 2 2 6 2 2 2" xfId="8021" xr:uid="{00000000-0005-0000-0000-0000C8010000}"/>
    <cellStyle name="20 % - Markeringsfarve1 2 2 6 2 2 2 2" xfId="15923" xr:uid="{00000000-0005-0000-0000-0000C9010000}"/>
    <cellStyle name="20 % - Markeringsfarve1 2 2 6 2 2 2 2 2" xfId="32238" xr:uid="{00000000-0005-0000-0000-0000CA010000}"/>
    <cellStyle name="20 % - Markeringsfarve1 2 2 6 2 2 2 2 3" xfId="47202" xr:uid="{00000000-0005-0000-0000-0000CB010000}"/>
    <cellStyle name="20 % - Markeringsfarve1 2 2 6 2 2 2 3" xfId="25216" xr:uid="{00000000-0005-0000-0000-0000CC010000}"/>
    <cellStyle name="20 % - Markeringsfarve1 2 2 6 2 2 2 4" xfId="40203" xr:uid="{00000000-0005-0000-0000-0000CD010000}"/>
    <cellStyle name="20 % - Markeringsfarve1 2 2 6 2 2 3" xfId="10132" xr:uid="{00000000-0005-0000-0000-0000CE010000}"/>
    <cellStyle name="20 % - Markeringsfarve1 2 2 6 2 2 3 2" xfId="26452" xr:uid="{00000000-0005-0000-0000-0000CF010000}"/>
    <cellStyle name="20 % - Markeringsfarve1 2 2 6 2 2 3 3" xfId="41418" xr:uid="{00000000-0005-0000-0000-0000D0010000}"/>
    <cellStyle name="20 % - Markeringsfarve1 2 2 6 2 2 4" xfId="19430" xr:uid="{00000000-0005-0000-0000-0000D1010000}"/>
    <cellStyle name="20 % - Markeringsfarve1 2 2 6 2 2 5" xfId="34419" xr:uid="{00000000-0005-0000-0000-0000D2010000}"/>
    <cellStyle name="20 % - Markeringsfarve1 2 2 6 2 3" xfId="6532" xr:uid="{00000000-0005-0000-0000-0000D3010000}"/>
    <cellStyle name="20 % - Markeringsfarve1 2 2 6 2 3 2" xfId="14447" xr:uid="{00000000-0005-0000-0000-0000D4010000}"/>
    <cellStyle name="20 % - Markeringsfarve1 2 2 6 2 3 2 2" xfId="30762" xr:uid="{00000000-0005-0000-0000-0000D5010000}"/>
    <cellStyle name="20 % - Markeringsfarve1 2 2 6 2 3 2 3" xfId="45726" xr:uid="{00000000-0005-0000-0000-0000D6010000}"/>
    <cellStyle name="20 % - Markeringsfarve1 2 2 6 2 3 3" xfId="23740" xr:uid="{00000000-0005-0000-0000-0000D7010000}"/>
    <cellStyle name="20 % - Markeringsfarve1 2 2 6 2 3 4" xfId="38727" xr:uid="{00000000-0005-0000-0000-0000D8010000}"/>
    <cellStyle name="20 % - Markeringsfarve1 2 2 6 2 4" xfId="10131" xr:uid="{00000000-0005-0000-0000-0000D9010000}"/>
    <cellStyle name="20 % - Markeringsfarve1 2 2 6 2 4 2" xfId="26451" xr:uid="{00000000-0005-0000-0000-0000DA010000}"/>
    <cellStyle name="20 % - Markeringsfarve1 2 2 6 2 4 3" xfId="41417" xr:uid="{00000000-0005-0000-0000-0000DB010000}"/>
    <cellStyle name="20 % - Markeringsfarve1 2 2 6 2 5" xfId="19429" xr:uid="{00000000-0005-0000-0000-0000DC010000}"/>
    <cellStyle name="20 % - Markeringsfarve1 2 2 6 2 6" xfId="34418" xr:uid="{00000000-0005-0000-0000-0000DD010000}"/>
    <cellStyle name="20 % - Markeringsfarve1 2 2 6 3" xfId="1573" xr:uid="{00000000-0005-0000-0000-0000DE010000}"/>
    <cellStyle name="20 % - Markeringsfarve1 2 2 6 3 2" xfId="7298" xr:uid="{00000000-0005-0000-0000-0000DF010000}"/>
    <cellStyle name="20 % - Markeringsfarve1 2 2 6 3 2 2" xfId="15209" xr:uid="{00000000-0005-0000-0000-0000E0010000}"/>
    <cellStyle name="20 % - Markeringsfarve1 2 2 6 3 2 2 2" xfId="31524" xr:uid="{00000000-0005-0000-0000-0000E1010000}"/>
    <cellStyle name="20 % - Markeringsfarve1 2 2 6 3 2 2 3" xfId="46488" xr:uid="{00000000-0005-0000-0000-0000E2010000}"/>
    <cellStyle name="20 % - Markeringsfarve1 2 2 6 3 2 3" xfId="24502" xr:uid="{00000000-0005-0000-0000-0000E3010000}"/>
    <cellStyle name="20 % - Markeringsfarve1 2 2 6 3 2 4" xfId="39489" xr:uid="{00000000-0005-0000-0000-0000E4010000}"/>
    <cellStyle name="20 % - Markeringsfarve1 2 2 6 3 3" xfId="10133" xr:uid="{00000000-0005-0000-0000-0000E5010000}"/>
    <cellStyle name="20 % - Markeringsfarve1 2 2 6 3 3 2" xfId="26453" xr:uid="{00000000-0005-0000-0000-0000E6010000}"/>
    <cellStyle name="20 % - Markeringsfarve1 2 2 6 3 3 3" xfId="41419" xr:uid="{00000000-0005-0000-0000-0000E7010000}"/>
    <cellStyle name="20 % - Markeringsfarve1 2 2 6 3 4" xfId="19431" xr:uid="{00000000-0005-0000-0000-0000E8010000}"/>
    <cellStyle name="20 % - Markeringsfarve1 2 2 6 3 5" xfId="34420" xr:uid="{00000000-0005-0000-0000-0000E9010000}"/>
    <cellStyle name="20 % - Markeringsfarve1 2 2 6 4" xfId="1574" xr:uid="{00000000-0005-0000-0000-0000EA010000}"/>
    <cellStyle name="20 % - Markeringsfarve1 2 2 6 4 2" xfId="8316" xr:uid="{00000000-0005-0000-0000-0000EB010000}"/>
    <cellStyle name="20 % - Markeringsfarve1 2 2 6 4 2 2" xfId="16211" xr:uid="{00000000-0005-0000-0000-0000EC010000}"/>
    <cellStyle name="20 % - Markeringsfarve1 2 2 6 4 2 2 2" xfId="32526" xr:uid="{00000000-0005-0000-0000-0000ED010000}"/>
    <cellStyle name="20 % - Markeringsfarve1 2 2 6 4 2 2 3" xfId="47490" xr:uid="{00000000-0005-0000-0000-0000EE010000}"/>
    <cellStyle name="20 % - Markeringsfarve1 2 2 6 4 2 3" xfId="25504" xr:uid="{00000000-0005-0000-0000-0000EF010000}"/>
    <cellStyle name="20 % - Markeringsfarve1 2 2 6 4 2 4" xfId="40491" xr:uid="{00000000-0005-0000-0000-0000F0010000}"/>
    <cellStyle name="20 % - Markeringsfarve1 2 2 6 4 3" xfId="10134" xr:uid="{00000000-0005-0000-0000-0000F1010000}"/>
    <cellStyle name="20 % - Markeringsfarve1 2 2 6 4 3 2" xfId="26454" xr:uid="{00000000-0005-0000-0000-0000F2010000}"/>
    <cellStyle name="20 % - Markeringsfarve1 2 2 6 4 3 3" xfId="41420" xr:uid="{00000000-0005-0000-0000-0000F3010000}"/>
    <cellStyle name="20 % - Markeringsfarve1 2 2 6 4 4" xfId="19432" xr:uid="{00000000-0005-0000-0000-0000F4010000}"/>
    <cellStyle name="20 % - Markeringsfarve1 2 2 6 4 5" xfId="34421" xr:uid="{00000000-0005-0000-0000-0000F5010000}"/>
    <cellStyle name="20 % - Markeringsfarve1 2 2 6 5" xfId="5355" xr:uid="{00000000-0005-0000-0000-0000F6010000}"/>
    <cellStyle name="20 % - Markeringsfarve1 2 2 6 5 2" xfId="13274" xr:uid="{00000000-0005-0000-0000-0000F7010000}"/>
    <cellStyle name="20 % - Markeringsfarve1 2 2 6 5 2 2" xfId="29589" xr:uid="{00000000-0005-0000-0000-0000F8010000}"/>
    <cellStyle name="20 % - Markeringsfarve1 2 2 6 5 2 3" xfId="44553" xr:uid="{00000000-0005-0000-0000-0000F9010000}"/>
    <cellStyle name="20 % - Markeringsfarve1 2 2 6 5 3" xfId="22567" xr:uid="{00000000-0005-0000-0000-0000FA010000}"/>
    <cellStyle name="20 % - Markeringsfarve1 2 2 6 5 4" xfId="37554" xr:uid="{00000000-0005-0000-0000-0000FB010000}"/>
    <cellStyle name="20 % - Markeringsfarve1 2 2 6 6" xfId="10130" xr:uid="{00000000-0005-0000-0000-0000FC010000}"/>
    <cellStyle name="20 % - Markeringsfarve1 2 2 6 6 2" xfId="26450" xr:uid="{00000000-0005-0000-0000-0000FD010000}"/>
    <cellStyle name="20 % - Markeringsfarve1 2 2 6 6 3" xfId="41416" xr:uid="{00000000-0005-0000-0000-0000FE010000}"/>
    <cellStyle name="20 % - Markeringsfarve1 2 2 6 7" xfId="19428" xr:uid="{00000000-0005-0000-0000-0000FF010000}"/>
    <cellStyle name="20 % - Markeringsfarve1 2 2 6 8" xfId="34417" xr:uid="{00000000-0005-0000-0000-000000020000}"/>
    <cellStyle name="20 % - Markeringsfarve1 2 2 7" xfId="1575" xr:uid="{00000000-0005-0000-0000-000001020000}"/>
    <cellStyle name="20 % - Markeringsfarve1 2 2 7 2" xfId="1576" xr:uid="{00000000-0005-0000-0000-000002020000}"/>
    <cellStyle name="20 % - Markeringsfarve1 2 2 7 2 2" xfId="7493" xr:uid="{00000000-0005-0000-0000-000003020000}"/>
    <cellStyle name="20 % - Markeringsfarve1 2 2 7 2 2 2" xfId="15395" xr:uid="{00000000-0005-0000-0000-000004020000}"/>
    <cellStyle name="20 % - Markeringsfarve1 2 2 7 2 2 2 2" xfId="31710" xr:uid="{00000000-0005-0000-0000-000005020000}"/>
    <cellStyle name="20 % - Markeringsfarve1 2 2 7 2 2 2 3" xfId="46674" xr:uid="{00000000-0005-0000-0000-000006020000}"/>
    <cellStyle name="20 % - Markeringsfarve1 2 2 7 2 2 3" xfId="24688" xr:uid="{00000000-0005-0000-0000-000007020000}"/>
    <cellStyle name="20 % - Markeringsfarve1 2 2 7 2 2 4" xfId="39675" xr:uid="{00000000-0005-0000-0000-000008020000}"/>
    <cellStyle name="20 % - Markeringsfarve1 2 2 7 2 3" xfId="10136" xr:uid="{00000000-0005-0000-0000-000009020000}"/>
    <cellStyle name="20 % - Markeringsfarve1 2 2 7 2 3 2" xfId="26456" xr:uid="{00000000-0005-0000-0000-00000A020000}"/>
    <cellStyle name="20 % - Markeringsfarve1 2 2 7 2 3 3" xfId="41422" xr:uid="{00000000-0005-0000-0000-00000B020000}"/>
    <cellStyle name="20 % - Markeringsfarve1 2 2 7 2 4" xfId="19434" xr:uid="{00000000-0005-0000-0000-00000C020000}"/>
    <cellStyle name="20 % - Markeringsfarve1 2 2 7 2 5" xfId="34423" xr:uid="{00000000-0005-0000-0000-00000D020000}"/>
    <cellStyle name="20 % - Markeringsfarve1 2 2 7 3" xfId="6086" xr:uid="{00000000-0005-0000-0000-00000E020000}"/>
    <cellStyle name="20 % - Markeringsfarve1 2 2 7 3 2" xfId="14004" xr:uid="{00000000-0005-0000-0000-00000F020000}"/>
    <cellStyle name="20 % - Markeringsfarve1 2 2 7 3 2 2" xfId="30319" xr:uid="{00000000-0005-0000-0000-000010020000}"/>
    <cellStyle name="20 % - Markeringsfarve1 2 2 7 3 2 3" xfId="45283" xr:uid="{00000000-0005-0000-0000-000011020000}"/>
    <cellStyle name="20 % - Markeringsfarve1 2 2 7 3 3" xfId="23297" xr:uid="{00000000-0005-0000-0000-000012020000}"/>
    <cellStyle name="20 % - Markeringsfarve1 2 2 7 3 4" xfId="38284" xr:uid="{00000000-0005-0000-0000-000013020000}"/>
    <cellStyle name="20 % - Markeringsfarve1 2 2 7 4" xfId="10135" xr:uid="{00000000-0005-0000-0000-000014020000}"/>
    <cellStyle name="20 % - Markeringsfarve1 2 2 7 4 2" xfId="26455" xr:uid="{00000000-0005-0000-0000-000015020000}"/>
    <cellStyle name="20 % - Markeringsfarve1 2 2 7 4 3" xfId="41421" xr:uid="{00000000-0005-0000-0000-000016020000}"/>
    <cellStyle name="20 % - Markeringsfarve1 2 2 7 5" xfId="19433" xr:uid="{00000000-0005-0000-0000-000017020000}"/>
    <cellStyle name="20 % - Markeringsfarve1 2 2 7 6" xfId="34422" xr:uid="{00000000-0005-0000-0000-000018020000}"/>
    <cellStyle name="20 % - Markeringsfarve1 2 2 8" xfId="1577" xr:uid="{00000000-0005-0000-0000-000019020000}"/>
    <cellStyle name="20 % - Markeringsfarve1 2 2 8 2" xfId="6721" xr:uid="{00000000-0005-0000-0000-00001A020000}"/>
    <cellStyle name="20 % - Markeringsfarve1 2 2 8 2 2" xfId="14633" xr:uid="{00000000-0005-0000-0000-00001B020000}"/>
    <cellStyle name="20 % - Markeringsfarve1 2 2 8 2 2 2" xfId="30948" xr:uid="{00000000-0005-0000-0000-00001C020000}"/>
    <cellStyle name="20 % - Markeringsfarve1 2 2 8 2 2 3" xfId="45912" xr:uid="{00000000-0005-0000-0000-00001D020000}"/>
    <cellStyle name="20 % - Markeringsfarve1 2 2 8 2 3" xfId="23926" xr:uid="{00000000-0005-0000-0000-00001E020000}"/>
    <cellStyle name="20 % - Markeringsfarve1 2 2 8 2 4" xfId="38913" xr:uid="{00000000-0005-0000-0000-00001F020000}"/>
    <cellStyle name="20 % - Markeringsfarve1 2 2 8 3" xfId="10137" xr:uid="{00000000-0005-0000-0000-000020020000}"/>
    <cellStyle name="20 % - Markeringsfarve1 2 2 8 3 2" xfId="26457" xr:uid="{00000000-0005-0000-0000-000021020000}"/>
    <cellStyle name="20 % - Markeringsfarve1 2 2 8 3 3" xfId="41423" xr:uid="{00000000-0005-0000-0000-000022020000}"/>
    <cellStyle name="20 % - Markeringsfarve1 2 2 8 4" xfId="19435" xr:uid="{00000000-0005-0000-0000-000023020000}"/>
    <cellStyle name="20 % - Markeringsfarve1 2 2 8 5" xfId="34424" xr:uid="{00000000-0005-0000-0000-000024020000}"/>
    <cellStyle name="20 % - Markeringsfarve1 2 2 9" xfId="1578" xr:uid="{00000000-0005-0000-0000-000025020000}"/>
    <cellStyle name="20 % - Markeringsfarve1 2 2 9 2" xfId="8321" xr:uid="{00000000-0005-0000-0000-000026020000}"/>
    <cellStyle name="20 % - Markeringsfarve1 2 2 9 2 2" xfId="16216" xr:uid="{00000000-0005-0000-0000-000027020000}"/>
    <cellStyle name="20 % - Markeringsfarve1 2 2 9 2 2 2" xfId="32531" xr:uid="{00000000-0005-0000-0000-000028020000}"/>
    <cellStyle name="20 % - Markeringsfarve1 2 2 9 2 2 3" xfId="47495" xr:uid="{00000000-0005-0000-0000-000029020000}"/>
    <cellStyle name="20 % - Markeringsfarve1 2 2 9 2 3" xfId="25509" xr:uid="{00000000-0005-0000-0000-00002A020000}"/>
    <cellStyle name="20 % - Markeringsfarve1 2 2 9 2 4" xfId="40496" xr:uid="{00000000-0005-0000-0000-00002B020000}"/>
    <cellStyle name="20 % - Markeringsfarve1 2 2 9 3" xfId="10138" xr:uid="{00000000-0005-0000-0000-00002C020000}"/>
    <cellStyle name="20 % - Markeringsfarve1 2 2 9 3 2" xfId="26458" xr:uid="{00000000-0005-0000-0000-00002D020000}"/>
    <cellStyle name="20 % - Markeringsfarve1 2 2 9 3 3" xfId="41424" xr:uid="{00000000-0005-0000-0000-00002E020000}"/>
    <cellStyle name="20 % - Markeringsfarve1 2 2 9 4" xfId="19436" xr:uid="{00000000-0005-0000-0000-00002F020000}"/>
    <cellStyle name="20 % - Markeringsfarve1 2 2 9 5" xfId="34425" xr:uid="{00000000-0005-0000-0000-000030020000}"/>
    <cellStyle name="20 % - Markeringsfarve1 2 3" xfId="1579" xr:uid="{00000000-0005-0000-0000-000031020000}"/>
    <cellStyle name="20 % - Markeringsfarve1 2 3 10" xfId="5356" xr:uid="{00000000-0005-0000-0000-000032020000}"/>
    <cellStyle name="20 % - Markeringsfarve1 2 3 10 2" xfId="13275" xr:uid="{00000000-0005-0000-0000-000033020000}"/>
    <cellStyle name="20 % - Markeringsfarve1 2 3 10 2 2" xfId="29590" xr:uid="{00000000-0005-0000-0000-000034020000}"/>
    <cellStyle name="20 % - Markeringsfarve1 2 3 10 2 3" xfId="44554" xr:uid="{00000000-0005-0000-0000-000035020000}"/>
    <cellStyle name="20 % - Markeringsfarve1 2 3 10 3" xfId="22568" xr:uid="{00000000-0005-0000-0000-000036020000}"/>
    <cellStyle name="20 % - Markeringsfarve1 2 3 10 4" xfId="37555" xr:uid="{00000000-0005-0000-0000-000037020000}"/>
    <cellStyle name="20 % - Markeringsfarve1 2 3 11" xfId="10139" xr:uid="{00000000-0005-0000-0000-000038020000}"/>
    <cellStyle name="20 % - Markeringsfarve1 2 3 11 2" xfId="26459" xr:uid="{00000000-0005-0000-0000-000039020000}"/>
    <cellStyle name="20 % - Markeringsfarve1 2 3 11 3" xfId="41425" xr:uid="{00000000-0005-0000-0000-00003A020000}"/>
    <cellStyle name="20 % - Markeringsfarve1 2 3 12" xfId="19437" xr:uid="{00000000-0005-0000-0000-00003B020000}"/>
    <cellStyle name="20 % - Markeringsfarve1 2 3 13" xfId="34426" xr:uid="{00000000-0005-0000-0000-00003C020000}"/>
    <cellStyle name="20 % - Markeringsfarve1 2 3 14" xfId="53319" xr:uid="{00000000-0005-0000-0000-00003D020000}"/>
    <cellStyle name="20 % - Markeringsfarve1 2 3 2" xfId="1580" xr:uid="{00000000-0005-0000-0000-00003E020000}"/>
    <cellStyle name="20 % - Markeringsfarve1 2 3 2 2" xfId="1581" xr:uid="{00000000-0005-0000-0000-00003F020000}"/>
    <cellStyle name="20 % - Markeringsfarve1 2 3 2 2 2" xfId="1582" xr:uid="{00000000-0005-0000-0000-000040020000}"/>
    <cellStyle name="20 % - Markeringsfarve1 2 3 2 2 2 2" xfId="7651" xr:uid="{00000000-0005-0000-0000-000041020000}"/>
    <cellStyle name="20 % - Markeringsfarve1 2 3 2 2 2 2 2" xfId="15553" xr:uid="{00000000-0005-0000-0000-000042020000}"/>
    <cellStyle name="20 % - Markeringsfarve1 2 3 2 2 2 2 2 2" xfId="31868" xr:uid="{00000000-0005-0000-0000-000043020000}"/>
    <cellStyle name="20 % - Markeringsfarve1 2 3 2 2 2 2 2 3" xfId="46832" xr:uid="{00000000-0005-0000-0000-000044020000}"/>
    <cellStyle name="20 % - Markeringsfarve1 2 3 2 2 2 2 3" xfId="24846" xr:uid="{00000000-0005-0000-0000-000045020000}"/>
    <cellStyle name="20 % - Markeringsfarve1 2 3 2 2 2 2 4" xfId="39833" xr:uid="{00000000-0005-0000-0000-000046020000}"/>
    <cellStyle name="20 % - Markeringsfarve1 2 3 2 2 2 3" xfId="10142" xr:uid="{00000000-0005-0000-0000-000047020000}"/>
    <cellStyle name="20 % - Markeringsfarve1 2 3 2 2 2 3 2" xfId="26462" xr:uid="{00000000-0005-0000-0000-000048020000}"/>
    <cellStyle name="20 % - Markeringsfarve1 2 3 2 2 2 3 3" xfId="41428" xr:uid="{00000000-0005-0000-0000-000049020000}"/>
    <cellStyle name="20 % - Markeringsfarve1 2 3 2 2 2 4" xfId="19440" xr:uid="{00000000-0005-0000-0000-00004A020000}"/>
    <cellStyle name="20 % - Markeringsfarve1 2 3 2 2 2 5" xfId="34429" xr:uid="{00000000-0005-0000-0000-00004B020000}"/>
    <cellStyle name="20 % - Markeringsfarve1 2 3 2 2 3" xfId="6218" xr:uid="{00000000-0005-0000-0000-00004C020000}"/>
    <cellStyle name="20 % - Markeringsfarve1 2 3 2 2 3 2" xfId="14136" xr:uid="{00000000-0005-0000-0000-00004D020000}"/>
    <cellStyle name="20 % - Markeringsfarve1 2 3 2 2 3 2 2" xfId="30451" xr:uid="{00000000-0005-0000-0000-00004E020000}"/>
    <cellStyle name="20 % - Markeringsfarve1 2 3 2 2 3 2 3" xfId="45415" xr:uid="{00000000-0005-0000-0000-00004F020000}"/>
    <cellStyle name="20 % - Markeringsfarve1 2 3 2 2 3 3" xfId="23429" xr:uid="{00000000-0005-0000-0000-000050020000}"/>
    <cellStyle name="20 % - Markeringsfarve1 2 3 2 2 3 4" xfId="38416" xr:uid="{00000000-0005-0000-0000-000051020000}"/>
    <cellStyle name="20 % - Markeringsfarve1 2 3 2 2 4" xfId="10141" xr:uid="{00000000-0005-0000-0000-000052020000}"/>
    <cellStyle name="20 % - Markeringsfarve1 2 3 2 2 4 2" xfId="26461" xr:uid="{00000000-0005-0000-0000-000053020000}"/>
    <cellStyle name="20 % - Markeringsfarve1 2 3 2 2 4 3" xfId="41427" xr:uid="{00000000-0005-0000-0000-000054020000}"/>
    <cellStyle name="20 % - Markeringsfarve1 2 3 2 2 5" xfId="19439" xr:uid="{00000000-0005-0000-0000-000055020000}"/>
    <cellStyle name="20 % - Markeringsfarve1 2 3 2 2 6" xfId="34428" xr:uid="{00000000-0005-0000-0000-000056020000}"/>
    <cellStyle name="20 % - Markeringsfarve1 2 3 2 2 7" xfId="57123" xr:uid="{00000000-0005-0000-0000-000057020000}"/>
    <cellStyle name="20 % - Markeringsfarve1 2 3 2 3" xfId="1583" xr:uid="{00000000-0005-0000-0000-000058020000}"/>
    <cellStyle name="20 % - Markeringsfarve1 2 3 2 3 2" xfId="6881" xr:uid="{00000000-0005-0000-0000-000059020000}"/>
    <cellStyle name="20 % - Markeringsfarve1 2 3 2 3 2 2" xfId="14793" xr:uid="{00000000-0005-0000-0000-00005A020000}"/>
    <cellStyle name="20 % - Markeringsfarve1 2 3 2 3 2 2 2" xfId="31108" xr:uid="{00000000-0005-0000-0000-00005B020000}"/>
    <cellStyle name="20 % - Markeringsfarve1 2 3 2 3 2 2 3" xfId="46072" xr:uid="{00000000-0005-0000-0000-00005C020000}"/>
    <cellStyle name="20 % - Markeringsfarve1 2 3 2 3 2 3" xfId="24086" xr:uid="{00000000-0005-0000-0000-00005D020000}"/>
    <cellStyle name="20 % - Markeringsfarve1 2 3 2 3 2 4" xfId="39073" xr:uid="{00000000-0005-0000-0000-00005E020000}"/>
    <cellStyle name="20 % - Markeringsfarve1 2 3 2 3 3" xfId="10143" xr:uid="{00000000-0005-0000-0000-00005F020000}"/>
    <cellStyle name="20 % - Markeringsfarve1 2 3 2 3 3 2" xfId="26463" xr:uid="{00000000-0005-0000-0000-000060020000}"/>
    <cellStyle name="20 % - Markeringsfarve1 2 3 2 3 3 3" xfId="41429" xr:uid="{00000000-0005-0000-0000-000061020000}"/>
    <cellStyle name="20 % - Markeringsfarve1 2 3 2 3 4" xfId="19441" xr:uid="{00000000-0005-0000-0000-000062020000}"/>
    <cellStyle name="20 % - Markeringsfarve1 2 3 2 3 5" xfId="34430" xr:uid="{00000000-0005-0000-0000-000063020000}"/>
    <cellStyle name="20 % - Markeringsfarve1 2 3 2 4" xfId="1584" xr:uid="{00000000-0005-0000-0000-000064020000}"/>
    <cellStyle name="20 % - Markeringsfarve1 2 3 2 4 2" xfId="8314" xr:uid="{00000000-0005-0000-0000-000065020000}"/>
    <cellStyle name="20 % - Markeringsfarve1 2 3 2 4 2 2" xfId="16209" xr:uid="{00000000-0005-0000-0000-000066020000}"/>
    <cellStyle name="20 % - Markeringsfarve1 2 3 2 4 2 2 2" xfId="32524" xr:uid="{00000000-0005-0000-0000-000067020000}"/>
    <cellStyle name="20 % - Markeringsfarve1 2 3 2 4 2 2 3" xfId="47488" xr:uid="{00000000-0005-0000-0000-000068020000}"/>
    <cellStyle name="20 % - Markeringsfarve1 2 3 2 4 2 3" xfId="25502" xr:uid="{00000000-0005-0000-0000-000069020000}"/>
    <cellStyle name="20 % - Markeringsfarve1 2 3 2 4 2 4" xfId="40489" xr:uid="{00000000-0005-0000-0000-00006A020000}"/>
    <cellStyle name="20 % - Markeringsfarve1 2 3 2 4 3" xfId="10144" xr:uid="{00000000-0005-0000-0000-00006B020000}"/>
    <cellStyle name="20 % - Markeringsfarve1 2 3 2 4 3 2" xfId="26464" xr:uid="{00000000-0005-0000-0000-00006C020000}"/>
    <cellStyle name="20 % - Markeringsfarve1 2 3 2 4 3 3" xfId="41430" xr:uid="{00000000-0005-0000-0000-00006D020000}"/>
    <cellStyle name="20 % - Markeringsfarve1 2 3 2 4 4" xfId="19442" xr:uid="{00000000-0005-0000-0000-00006E020000}"/>
    <cellStyle name="20 % - Markeringsfarve1 2 3 2 4 5" xfId="34431" xr:uid="{00000000-0005-0000-0000-00006F020000}"/>
    <cellStyle name="20 % - Markeringsfarve1 2 3 2 5" xfId="5357" xr:uid="{00000000-0005-0000-0000-000070020000}"/>
    <cellStyle name="20 % - Markeringsfarve1 2 3 2 5 2" xfId="13276" xr:uid="{00000000-0005-0000-0000-000071020000}"/>
    <cellStyle name="20 % - Markeringsfarve1 2 3 2 5 2 2" xfId="29591" xr:uid="{00000000-0005-0000-0000-000072020000}"/>
    <cellStyle name="20 % - Markeringsfarve1 2 3 2 5 2 3" xfId="44555" xr:uid="{00000000-0005-0000-0000-000073020000}"/>
    <cellStyle name="20 % - Markeringsfarve1 2 3 2 5 3" xfId="22569" xr:uid="{00000000-0005-0000-0000-000074020000}"/>
    <cellStyle name="20 % - Markeringsfarve1 2 3 2 5 4" xfId="37556" xr:uid="{00000000-0005-0000-0000-000075020000}"/>
    <cellStyle name="20 % - Markeringsfarve1 2 3 2 6" xfId="10140" xr:uid="{00000000-0005-0000-0000-000076020000}"/>
    <cellStyle name="20 % - Markeringsfarve1 2 3 2 6 2" xfId="26460" xr:uid="{00000000-0005-0000-0000-000077020000}"/>
    <cellStyle name="20 % - Markeringsfarve1 2 3 2 6 3" xfId="41426" xr:uid="{00000000-0005-0000-0000-000078020000}"/>
    <cellStyle name="20 % - Markeringsfarve1 2 3 2 7" xfId="19438" xr:uid="{00000000-0005-0000-0000-000079020000}"/>
    <cellStyle name="20 % - Markeringsfarve1 2 3 2 8" xfId="34427" xr:uid="{00000000-0005-0000-0000-00007A020000}"/>
    <cellStyle name="20 % - Markeringsfarve1 2 3 2 9" xfId="53956" xr:uid="{00000000-0005-0000-0000-00007B020000}"/>
    <cellStyle name="20 % - Markeringsfarve1 2 3 3" xfId="1585" xr:uid="{00000000-0005-0000-0000-00007C020000}"/>
    <cellStyle name="20 % - Markeringsfarve1 2 3 3 2" xfId="1586" xr:uid="{00000000-0005-0000-0000-00007D020000}"/>
    <cellStyle name="20 % - Markeringsfarve1 2 3 3 2 2" xfId="1587" xr:uid="{00000000-0005-0000-0000-00007E020000}"/>
    <cellStyle name="20 % - Markeringsfarve1 2 3 3 2 2 2" xfId="7667" xr:uid="{00000000-0005-0000-0000-00007F020000}"/>
    <cellStyle name="20 % - Markeringsfarve1 2 3 3 2 2 2 2" xfId="15569" xr:uid="{00000000-0005-0000-0000-000080020000}"/>
    <cellStyle name="20 % - Markeringsfarve1 2 3 3 2 2 2 2 2" xfId="31884" xr:uid="{00000000-0005-0000-0000-000081020000}"/>
    <cellStyle name="20 % - Markeringsfarve1 2 3 3 2 2 2 2 3" xfId="46848" xr:uid="{00000000-0005-0000-0000-000082020000}"/>
    <cellStyle name="20 % - Markeringsfarve1 2 3 3 2 2 2 3" xfId="24862" xr:uid="{00000000-0005-0000-0000-000083020000}"/>
    <cellStyle name="20 % - Markeringsfarve1 2 3 3 2 2 2 4" xfId="39849" xr:uid="{00000000-0005-0000-0000-000084020000}"/>
    <cellStyle name="20 % - Markeringsfarve1 2 3 3 2 2 3" xfId="10147" xr:uid="{00000000-0005-0000-0000-000085020000}"/>
    <cellStyle name="20 % - Markeringsfarve1 2 3 3 2 2 3 2" xfId="26467" xr:uid="{00000000-0005-0000-0000-000086020000}"/>
    <cellStyle name="20 % - Markeringsfarve1 2 3 3 2 2 3 3" xfId="41433" xr:uid="{00000000-0005-0000-0000-000087020000}"/>
    <cellStyle name="20 % - Markeringsfarve1 2 3 3 2 2 4" xfId="19445" xr:uid="{00000000-0005-0000-0000-000088020000}"/>
    <cellStyle name="20 % - Markeringsfarve1 2 3 3 2 2 5" xfId="34434" xr:uid="{00000000-0005-0000-0000-000089020000}"/>
    <cellStyle name="20 % - Markeringsfarve1 2 3 3 2 3" xfId="6231" xr:uid="{00000000-0005-0000-0000-00008A020000}"/>
    <cellStyle name="20 % - Markeringsfarve1 2 3 3 2 3 2" xfId="14149" xr:uid="{00000000-0005-0000-0000-00008B020000}"/>
    <cellStyle name="20 % - Markeringsfarve1 2 3 3 2 3 2 2" xfId="30464" xr:uid="{00000000-0005-0000-0000-00008C020000}"/>
    <cellStyle name="20 % - Markeringsfarve1 2 3 3 2 3 2 3" xfId="45428" xr:uid="{00000000-0005-0000-0000-00008D020000}"/>
    <cellStyle name="20 % - Markeringsfarve1 2 3 3 2 3 3" xfId="23442" xr:uid="{00000000-0005-0000-0000-00008E020000}"/>
    <cellStyle name="20 % - Markeringsfarve1 2 3 3 2 3 4" xfId="38429" xr:uid="{00000000-0005-0000-0000-00008F020000}"/>
    <cellStyle name="20 % - Markeringsfarve1 2 3 3 2 4" xfId="10146" xr:uid="{00000000-0005-0000-0000-000090020000}"/>
    <cellStyle name="20 % - Markeringsfarve1 2 3 3 2 4 2" xfId="26466" xr:uid="{00000000-0005-0000-0000-000091020000}"/>
    <cellStyle name="20 % - Markeringsfarve1 2 3 3 2 4 3" xfId="41432" xr:uid="{00000000-0005-0000-0000-000092020000}"/>
    <cellStyle name="20 % - Markeringsfarve1 2 3 3 2 5" xfId="19444" xr:uid="{00000000-0005-0000-0000-000093020000}"/>
    <cellStyle name="20 % - Markeringsfarve1 2 3 3 2 6" xfId="34433" xr:uid="{00000000-0005-0000-0000-000094020000}"/>
    <cellStyle name="20 % - Markeringsfarve1 2 3 3 3" xfId="1588" xr:uid="{00000000-0005-0000-0000-000095020000}"/>
    <cellStyle name="20 % - Markeringsfarve1 2 3 3 3 2" xfId="6897" xr:uid="{00000000-0005-0000-0000-000096020000}"/>
    <cellStyle name="20 % - Markeringsfarve1 2 3 3 3 2 2" xfId="14809" xr:uid="{00000000-0005-0000-0000-000097020000}"/>
    <cellStyle name="20 % - Markeringsfarve1 2 3 3 3 2 2 2" xfId="31124" xr:uid="{00000000-0005-0000-0000-000098020000}"/>
    <cellStyle name="20 % - Markeringsfarve1 2 3 3 3 2 2 3" xfId="46088" xr:uid="{00000000-0005-0000-0000-000099020000}"/>
    <cellStyle name="20 % - Markeringsfarve1 2 3 3 3 2 3" xfId="24102" xr:uid="{00000000-0005-0000-0000-00009A020000}"/>
    <cellStyle name="20 % - Markeringsfarve1 2 3 3 3 2 4" xfId="39089" xr:uid="{00000000-0005-0000-0000-00009B020000}"/>
    <cellStyle name="20 % - Markeringsfarve1 2 3 3 3 3" xfId="10148" xr:uid="{00000000-0005-0000-0000-00009C020000}"/>
    <cellStyle name="20 % - Markeringsfarve1 2 3 3 3 3 2" xfId="26468" xr:uid="{00000000-0005-0000-0000-00009D020000}"/>
    <cellStyle name="20 % - Markeringsfarve1 2 3 3 3 3 3" xfId="41434" xr:uid="{00000000-0005-0000-0000-00009E020000}"/>
    <cellStyle name="20 % - Markeringsfarve1 2 3 3 3 4" xfId="19446" xr:uid="{00000000-0005-0000-0000-00009F020000}"/>
    <cellStyle name="20 % - Markeringsfarve1 2 3 3 3 5" xfId="34435" xr:uid="{00000000-0005-0000-0000-0000A0020000}"/>
    <cellStyle name="20 % - Markeringsfarve1 2 3 3 4" xfId="1589" xr:uid="{00000000-0005-0000-0000-0000A1020000}"/>
    <cellStyle name="20 % - Markeringsfarve1 2 3 3 4 2" xfId="8313" xr:uid="{00000000-0005-0000-0000-0000A2020000}"/>
    <cellStyle name="20 % - Markeringsfarve1 2 3 3 4 2 2" xfId="16208" xr:uid="{00000000-0005-0000-0000-0000A3020000}"/>
    <cellStyle name="20 % - Markeringsfarve1 2 3 3 4 2 2 2" xfId="32523" xr:uid="{00000000-0005-0000-0000-0000A4020000}"/>
    <cellStyle name="20 % - Markeringsfarve1 2 3 3 4 2 2 3" xfId="47487" xr:uid="{00000000-0005-0000-0000-0000A5020000}"/>
    <cellStyle name="20 % - Markeringsfarve1 2 3 3 4 2 3" xfId="25501" xr:uid="{00000000-0005-0000-0000-0000A6020000}"/>
    <cellStyle name="20 % - Markeringsfarve1 2 3 3 4 2 4" xfId="40488" xr:uid="{00000000-0005-0000-0000-0000A7020000}"/>
    <cellStyle name="20 % - Markeringsfarve1 2 3 3 4 3" xfId="10149" xr:uid="{00000000-0005-0000-0000-0000A8020000}"/>
    <cellStyle name="20 % - Markeringsfarve1 2 3 3 4 3 2" xfId="26469" xr:uid="{00000000-0005-0000-0000-0000A9020000}"/>
    <cellStyle name="20 % - Markeringsfarve1 2 3 3 4 3 3" xfId="41435" xr:uid="{00000000-0005-0000-0000-0000AA020000}"/>
    <cellStyle name="20 % - Markeringsfarve1 2 3 3 4 4" xfId="19447" xr:uid="{00000000-0005-0000-0000-0000AB020000}"/>
    <cellStyle name="20 % - Markeringsfarve1 2 3 3 4 5" xfId="34436" xr:uid="{00000000-0005-0000-0000-0000AC020000}"/>
    <cellStyle name="20 % - Markeringsfarve1 2 3 3 5" xfId="5358" xr:uid="{00000000-0005-0000-0000-0000AD020000}"/>
    <cellStyle name="20 % - Markeringsfarve1 2 3 3 5 2" xfId="13277" xr:uid="{00000000-0005-0000-0000-0000AE020000}"/>
    <cellStyle name="20 % - Markeringsfarve1 2 3 3 5 2 2" xfId="29592" xr:uid="{00000000-0005-0000-0000-0000AF020000}"/>
    <cellStyle name="20 % - Markeringsfarve1 2 3 3 5 2 3" xfId="44556" xr:uid="{00000000-0005-0000-0000-0000B0020000}"/>
    <cellStyle name="20 % - Markeringsfarve1 2 3 3 5 3" xfId="22570" xr:uid="{00000000-0005-0000-0000-0000B1020000}"/>
    <cellStyle name="20 % - Markeringsfarve1 2 3 3 5 4" xfId="37557" xr:uid="{00000000-0005-0000-0000-0000B2020000}"/>
    <cellStyle name="20 % - Markeringsfarve1 2 3 3 6" xfId="10145" xr:uid="{00000000-0005-0000-0000-0000B3020000}"/>
    <cellStyle name="20 % - Markeringsfarve1 2 3 3 6 2" xfId="26465" xr:uid="{00000000-0005-0000-0000-0000B4020000}"/>
    <cellStyle name="20 % - Markeringsfarve1 2 3 3 6 3" xfId="41431" xr:uid="{00000000-0005-0000-0000-0000B5020000}"/>
    <cellStyle name="20 % - Markeringsfarve1 2 3 3 7" xfId="19443" xr:uid="{00000000-0005-0000-0000-0000B6020000}"/>
    <cellStyle name="20 % - Markeringsfarve1 2 3 3 8" xfId="34432" xr:uid="{00000000-0005-0000-0000-0000B7020000}"/>
    <cellStyle name="20 % - Markeringsfarve1 2 3 3 9" xfId="56500" xr:uid="{00000000-0005-0000-0000-0000B8020000}"/>
    <cellStyle name="20 % - Markeringsfarve1 2 3 4" xfId="1590" xr:uid="{00000000-0005-0000-0000-0000B9020000}"/>
    <cellStyle name="20 % - Markeringsfarve1 2 3 4 2" xfId="1591" xr:uid="{00000000-0005-0000-0000-0000BA020000}"/>
    <cellStyle name="20 % - Markeringsfarve1 2 3 4 2 2" xfId="1592" xr:uid="{00000000-0005-0000-0000-0000BB020000}"/>
    <cellStyle name="20 % - Markeringsfarve1 2 3 4 2 2 2" xfId="7889" xr:uid="{00000000-0005-0000-0000-0000BC020000}"/>
    <cellStyle name="20 % - Markeringsfarve1 2 3 4 2 2 2 2" xfId="15791" xr:uid="{00000000-0005-0000-0000-0000BD020000}"/>
    <cellStyle name="20 % - Markeringsfarve1 2 3 4 2 2 2 2 2" xfId="32106" xr:uid="{00000000-0005-0000-0000-0000BE020000}"/>
    <cellStyle name="20 % - Markeringsfarve1 2 3 4 2 2 2 2 3" xfId="47070" xr:uid="{00000000-0005-0000-0000-0000BF020000}"/>
    <cellStyle name="20 % - Markeringsfarve1 2 3 4 2 2 2 3" xfId="25084" xr:uid="{00000000-0005-0000-0000-0000C0020000}"/>
    <cellStyle name="20 % - Markeringsfarve1 2 3 4 2 2 2 4" xfId="40071" xr:uid="{00000000-0005-0000-0000-0000C1020000}"/>
    <cellStyle name="20 % - Markeringsfarve1 2 3 4 2 2 3" xfId="10152" xr:uid="{00000000-0005-0000-0000-0000C2020000}"/>
    <cellStyle name="20 % - Markeringsfarve1 2 3 4 2 2 3 2" xfId="26472" xr:uid="{00000000-0005-0000-0000-0000C3020000}"/>
    <cellStyle name="20 % - Markeringsfarve1 2 3 4 2 2 3 3" xfId="41438" xr:uid="{00000000-0005-0000-0000-0000C4020000}"/>
    <cellStyle name="20 % - Markeringsfarve1 2 3 4 2 2 4" xfId="19450" xr:uid="{00000000-0005-0000-0000-0000C5020000}"/>
    <cellStyle name="20 % - Markeringsfarve1 2 3 4 2 2 5" xfId="34439" xr:uid="{00000000-0005-0000-0000-0000C6020000}"/>
    <cellStyle name="20 % - Markeringsfarve1 2 3 4 2 3" xfId="6420" xr:uid="{00000000-0005-0000-0000-0000C7020000}"/>
    <cellStyle name="20 % - Markeringsfarve1 2 3 4 2 3 2" xfId="14335" xr:uid="{00000000-0005-0000-0000-0000C8020000}"/>
    <cellStyle name="20 % - Markeringsfarve1 2 3 4 2 3 2 2" xfId="30650" xr:uid="{00000000-0005-0000-0000-0000C9020000}"/>
    <cellStyle name="20 % - Markeringsfarve1 2 3 4 2 3 2 3" xfId="45614" xr:uid="{00000000-0005-0000-0000-0000CA020000}"/>
    <cellStyle name="20 % - Markeringsfarve1 2 3 4 2 3 3" xfId="23628" xr:uid="{00000000-0005-0000-0000-0000CB020000}"/>
    <cellStyle name="20 % - Markeringsfarve1 2 3 4 2 3 4" xfId="38615" xr:uid="{00000000-0005-0000-0000-0000CC020000}"/>
    <cellStyle name="20 % - Markeringsfarve1 2 3 4 2 4" xfId="10151" xr:uid="{00000000-0005-0000-0000-0000CD020000}"/>
    <cellStyle name="20 % - Markeringsfarve1 2 3 4 2 4 2" xfId="26471" xr:uid="{00000000-0005-0000-0000-0000CE020000}"/>
    <cellStyle name="20 % - Markeringsfarve1 2 3 4 2 4 3" xfId="41437" xr:uid="{00000000-0005-0000-0000-0000CF020000}"/>
    <cellStyle name="20 % - Markeringsfarve1 2 3 4 2 5" xfId="19449" xr:uid="{00000000-0005-0000-0000-0000D0020000}"/>
    <cellStyle name="20 % - Markeringsfarve1 2 3 4 2 6" xfId="34438" xr:uid="{00000000-0005-0000-0000-0000D1020000}"/>
    <cellStyle name="20 % - Markeringsfarve1 2 3 4 3" xfId="1593" xr:uid="{00000000-0005-0000-0000-0000D2020000}"/>
    <cellStyle name="20 % - Markeringsfarve1 2 3 4 3 2" xfId="7165" xr:uid="{00000000-0005-0000-0000-0000D3020000}"/>
    <cellStyle name="20 % - Markeringsfarve1 2 3 4 3 2 2" xfId="15076" xr:uid="{00000000-0005-0000-0000-0000D4020000}"/>
    <cellStyle name="20 % - Markeringsfarve1 2 3 4 3 2 2 2" xfId="31391" xr:uid="{00000000-0005-0000-0000-0000D5020000}"/>
    <cellStyle name="20 % - Markeringsfarve1 2 3 4 3 2 2 3" xfId="46355" xr:uid="{00000000-0005-0000-0000-0000D6020000}"/>
    <cellStyle name="20 % - Markeringsfarve1 2 3 4 3 2 3" xfId="24369" xr:uid="{00000000-0005-0000-0000-0000D7020000}"/>
    <cellStyle name="20 % - Markeringsfarve1 2 3 4 3 2 4" xfId="39356" xr:uid="{00000000-0005-0000-0000-0000D8020000}"/>
    <cellStyle name="20 % - Markeringsfarve1 2 3 4 3 3" xfId="10153" xr:uid="{00000000-0005-0000-0000-0000D9020000}"/>
    <cellStyle name="20 % - Markeringsfarve1 2 3 4 3 3 2" xfId="26473" xr:uid="{00000000-0005-0000-0000-0000DA020000}"/>
    <cellStyle name="20 % - Markeringsfarve1 2 3 4 3 3 3" xfId="41439" xr:uid="{00000000-0005-0000-0000-0000DB020000}"/>
    <cellStyle name="20 % - Markeringsfarve1 2 3 4 3 4" xfId="19451" xr:uid="{00000000-0005-0000-0000-0000DC020000}"/>
    <cellStyle name="20 % - Markeringsfarve1 2 3 4 3 5" xfId="34440" xr:uid="{00000000-0005-0000-0000-0000DD020000}"/>
    <cellStyle name="20 % - Markeringsfarve1 2 3 4 4" xfId="1594" xr:uid="{00000000-0005-0000-0000-0000DE020000}"/>
    <cellStyle name="20 % - Markeringsfarve1 2 3 4 4 2" xfId="8312" xr:uid="{00000000-0005-0000-0000-0000DF020000}"/>
    <cellStyle name="20 % - Markeringsfarve1 2 3 4 4 2 2" xfId="16207" xr:uid="{00000000-0005-0000-0000-0000E0020000}"/>
    <cellStyle name="20 % - Markeringsfarve1 2 3 4 4 2 2 2" xfId="32522" xr:uid="{00000000-0005-0000-0000-0000E1020000}"/>
    <cellStyle name="20 % - Markeringsfarve1 2 3 4 4 2 2 3" xfId="47486" xr:uid="{00000000-0005-0000-0000-0000E2020000}"/>
    <cellStyle name="20 % - Markeringsfarve1 2 3 4 4 2 3" xfId="25500" xr:uid="{00000000-0005-0000-0000-0000E3020000}"/>
    <cellStyle name="20 % - Markeringsfarve1 2 3 4 4 2 4" xfId="40487" xr:uid="{00000000-0005-0000-0000-0000E4020000}"/>
    <cellStyle name="20 % - Markeringsfarve1 2 3 4 4 3" xfId="10154" xr:uid="{00000000-0005-0000-0000-0000E5020000}"/>
    <cellStyle name="20 % - Markeringsfarve1 2 3 4 4 3 2" xfId="26474" xr:uid="{00000000-0005-0000-0000-0000E6020000}"/>
    <cellStyle name="20 % - Markeringsfarve1 2 3 4 4 3 3" xfId="41440" xr:uid="{00000000-0005-0000-0000-0000E7020000}"/>
    <cellStyle name="20 % - Markeringsfarve1 2 3 4 4 4" xfId="19452" xr:uid="{00000000-0005-0000-0000-0000E8020000}"/>
    <cellStyle name="20 % - Markeringsfarve1 2 3 4 4 5" xfId="34441" xr:uid="{00000000-0005-0000-0000-0000E9020000}"/>
    <cellStyle name="20 % - Markeringsfarve1 2 3 4 5" xfId="5359" xr:uid="{00000000-0005-0000-0000-0000EA020000}"/>
    <cellStyle name="20 % - Markeringsfarve1 2 3 4 5 2" xfId="13278" xr:uid="{00000000-0005-0000-0000-0000EB020000}"/>
    <cellStyle name="20 % - Markeringsfarve1 2 3 4 5 2 2" xfId="29593" xr:uid="{00000000-0005-0000-0000-0000EC020000}"/>
    <cellStyle name="20 % - Markeringsfarve1 2 3 4 5 2 3" xfId="44557" xr:uid="{00000000-0005-0000-0000-0000ED020000}"/>
    <cellStyle name="20 % - Markeringsfarve1 2 3 4 5 3" xfId="22571" xr:uid="{00000000-0005-0000-0000-0000EE020000}"/>
    <cellStyle name="20 % - Markeringsfarve1 2 3 4 5 4" xfId="37558" xr:uid="{00000000-0005-0000-0000-0000EF020000}"/>
    <cellStyle name="20 % - Markeringsfarve1 2 3 4 6" xfId="10150" xr:uid="{00000000-0005-0000-0000-0000F0020000}"/>
    <cellStyle name="20 % - Markeringsfarve1 2 3 4 6 2" xfId="26470" xr:uid="{00000000-0005-0000-0000-0000F1020000}"/>
    <cellStyle name="20 % - Markeringsfarve1 2 3 4 6 3" xfId="41436" xr:uid="{00000000-0005-0000-0000-0000F2020000}"/>
    <cellStyle name="20 % - Markeringsfarve1 2 3 4 7" xfId="19448" xr:uid="{00000000-0005-0000-0000-0000F3020000}"/>
    <cellStyle name="20 % - Markeringsfarve1 2 3 4 8" xfId="34437" xr:uid="{00000000-0005-0000-0000-0000F4020000}"/>
    <cellStyle name="20 % - Markeringsfarve1 2 3 5" xfId="1595" xr:uid="{00000000-0005-0000-0000-0000F5020000}"/>
    <cellStyle name="20 % - Markeringsfarve1 2 3 5 2" xfId="1596" xr:uid="{00000000-0005-0000-0000-0000F6020000}"/>
    <cellStyle name="20 % - Markeringsfarve1 2 3 5 2 2" xfId="1597" xr:uid="{00000000-0005-0000-0000-0000F7020000}"/>
    <cellStyle name="20 % - Markeringsfarve1 2 3 5 2 2 2" xfId="8006" xr:uid="{00000000-0005-0000-0000-0000F8020000}"/>
    <cellStyle name="20 % - Markeringsfarve1 2 3 5 2 2 2 2" xfId="15908" xr:uid="{00000000-0005-0000-0000-0000F9020000}"/>
    <cellStyle name="20 % - Markeringsfarve1 2 3 5 2 2 2 2 2" xfId="32223" xr:uid="{00000000-0005-0000-0000-0000FA020000}"/>
    <cellStyle name="20 % - Markeringsfarve1 2 3 5 2 2 2 2 3" xfId="47187" xr:uid="{00000000-0005-0000-0000-0000FB020000}"/>
    <cellStyle name="20 % - Markeringsfarve1 2 3 5 2 2 2 3" xfId="25201" xr:uid="{00000000-0005-0000-0000-0000FC020000}"/>
    <cellStyle name="20 % - Markeringsfarve1 2 3 5 2 2 2 4" xfId="40188" xr:uid="{00000000-0005-0000-0000-0000FD020000}"/>
    <cellStyle name="20 % - Markeringsfarve1 2 3 5 2 2 3" xfId="10157" xr:uid="{00000000-0005-0000-0000-0000FE020000}"/>
    <cellStyle name="20 % - Markeringsfarve1 2 3 5 2 2 3 2" xfId="26477" xr:uid="{00000000-0005-0000-0000-0000FF020000}"/>
    <cellStyle name="20 % - Markeringsfarve1 2 3 5 2 2 3 3" xfId="41443" xr:uid="{00000000-0005-0000-0000-000000030000}"/>
    <cellStyle name="20 % - Markeringsfarve1 2 3 5 2 2 4" xfId="19455" xr:uid="{00000000-0005-0000-0000-000001030000}"/>
    <cellStyle name="20 % - Markeringsfarve1 2 3 5 2 2 5" xfId="34444" xr:uid="{00000000-0005-0000-0000-000002030000}"/>
    <cellStyle name="20 % - Markeringsfarve1 2 3 5 2 3" xfId="6519" xr:uid="{00000000-0005-0000-0000-000003030000}"/>
    <cellStyle name="20 % - Markeringsfarve1 2 3 5 2 3 2" xfId="14434" xr:uid="{00000000-0005-0000-0000-000004030000}"/>
    <cellStyle name="20 % - Markeringsfarve1 2 3 5 2 3 2 2" xfId="30749" xr:uid="{00000000-0005-0000-0000-000005030000}"/>
    <cellStyle name="20 % - Markeringsfarve1 2 3 5 2 3 2 3" xfId="45713" xr:uid="{00000000-0005-0000-0000-000006030000}"/>
    <cellStyle name="20 % - Markeringsfarve1 2 3 5 2 3 3" xfId="23727" xr:uid="{00000000-0005-0000-0000-000007030000}"/>
    <cellStyle name="20 % - Markeringsfarve1 2 3 5 2 3 4" xfId="38714" xr:uid="{00000000-0005-0000-0000-000008030000}"/>
    <cellStyle name="20 % - Markeringsfarve1 2 3 5 2 4" xfId="10156" xr:uid="{00000000-0005-0000-0000-000009030000}"/>
    <cellStyle name="20 % - Markeringsfarve1 2 3 5 2 4 2" xfId="26476" xr:uid="{00000000-0005-0000-0000-00000A030000}"/>
    <cellStyle name="20 % - Markeringsfarve1 2 3 5 2 4 3" xfId="41442" xr:uid="{00000000-0005-0000-0000-00000B030000}"/>
    <cellStyle name="20 % - Markeringsfarve1 2 3 5 2 5" xfId="19454" xr:uid="{00000000-0005-0000-0000-00000C030000}"/>
    <cellStyle name="20 % - Markeringsfarve1 2 3 5 2 6" xfId="34443" xr:uid="{00000000-0005-0000-0000-00000D030000}"/>
    <cellStyle name="20 % - Markeringsfarve1 2 3 5 3" xfId="1598" xr:uid="{00000000-0005-0000-0000-00000E030000}"/>
    <cellStyle name="20 % - Markeringsfarve1 2 3 5 3 2" xfId="7282" xr:uid="{00000000-0005-0000-0000-00000F030000}"/>
    <cellStyle name="20 % - Markeringsfarve1 2 3 5 3 2 2" xfId="15193" xr:uid="{00000000-0005-0000-0000-000010030000}"/>
    <cellStyle name="20 % - Markeringsfarve1 2 3 5 3 2 2 2" xfId="31508" xr:uid="{00000000-0005-0000-0000-000011030000}"/>
    <cellStyle name="20 % - Markeringsfarve1 2 3 5 3 2 2 3" xfId="46472" xr:uid="{00000000-0005-0000-0000-000012030000}"/>
    <cellStyle name="20 % - Markeringsfarve1 2 3 5 3 2 3" xfId="24486" xr:uid="{00000000-0005-0000-0000-000013030000}"/>
    <cellStyle name="20 % - Markeringsfarve1 2 3 5 3 2 4" xfId="39473" xr:uid="{00000000-0005-0000-0000-000014030000}"/>
    <cellStyle name="20 % - Markeringsfarve1 2 3 5 3 3" xfId="10158" xr:uid="{00000000-0005-0000-0000-000015030000}"/>
    <cellStyle name="20 % - Markeringsfarve1 2 3 5 3 3 2" xfId="26478" xr:uid="{00000000-0005-0000-0000-000016030000}"/>
    <cellStyle name="20 % - Markeringsfarve1 2 3 5 3 3 3" xfId="41444" xr:uid="{00000000-0005-0000-0000-000017030000}"/>
    <cellStyle name="20 % - Markeringsfarve1 2 3 5 3 4" xfId="19456" xr:uid="{00000000-0005-0000-0000-000018030000}"/>
    <cellStyle name="20 % - Markeringsfarve1 2 3 5 3 5" xfId="34445" xr:uid="{00000000-0005-0000-0000-000019030000}"/>
    <cellStyle name="20 % - Markeringsfarve1 2 3 5 4" xfId="1599" xr:uid="{00000000-0005-0000-0000-00001A030000}"/>
    <cellStyle name="20 % - Markeringsfarve1 2 3 5 4 2" xfId="8311" xr:uid="{00000000-0005-0000-0000-00001B030000}"/>
    <cellStyle name="20 % - Markeringsfarve1 2 3 5 4 2 2" xfId="16206" xr:uid="{00000000-0005-0000-0000-00001C030000}"/>
    <cellStyle name="20 % - Markeringsfarve1 2 3 5 4 2 2 2" xfId="32521" xr:uid="{00000000-0005-0000-0000-00001D030000}"/>
    <cellStyle name="20 % - Markeringsfarve1 2 3 5 4 2 2 3" xfId="47485" xr:uid="{00000000-0005-0000-0000-00001E030000}"/>
    <cellStyle name="20 % - Markeringsfarve1 2 3 5 4 2 3" xfId="25499" xr:uid="{00000000-0005-0000-0000-00001F030000}"/>
    <cellStyle name="20 % - Markeringsfarve1 2 3 5 4 2 4" xfId="40486" xr:uid="{00000000-0005-0000-0000-000020030000}"/>
    <cellStyle name="20 % - Markeringsfarve1 2 3 5 4 3" xfId="10159" xr:uid="{00000000-0005-0000-0000-000021030000}"/>
    <cellStyle name="20 % - Markeringsfarve1 2 3 5 4 3 2" xfId="26479" xr:uid="{00000000-0005-0000-0000-000022030000}"/>
    <cellStyle name="20 % - Markeringsfarve1 2 3 5 4 3 3" xfId="41445" xr:uid="{00000000-0005-0000-0000-000023030000}"/>
    <cellStyle name="20 % - Markeringsfarve1 2 3 5 4 4" xfId="19457" xr:uid="{00000000-0005-0000-0000-000024030000}"/>
    <cellStyle name="20 % - Markeringsfarve1 2 3 5 4 5" xfId="34446" xr:uid="{00000000-0005-0000-0000-000025030000}"/>
    <cellStyle name="20 % - Markeringsfarve1 2 3 5 5" xfId="5360" xr:uid="{00000000-0005-0000-0000-000026030000}"/>
    <cellStyle name="20 % - Markeringsfarve1 2 3 5 5 2" xfId="13279" xr:uid="{00000000-0005-0000-0000-000027030000}"/>
    <cellStyle name="20 % - Markeringsfarve1 2 3 5 5 2 2" xfId="29594" xr:uid="{00000000-0005-0000-0000-000028030000}"/>
    <cellStyle name="20 % - Markeringsfarve1 2 3 5 5 2 3" xfId="44558" xr:uid="{00000000-0005-0000-0000-000029030000}"/>
    <cellStyle name="20 % - Markeringsfarve1 2 3 5 5 3" xfId="22572" xr:uid="{00000000-0005-0000-0000-00002A030000}"/>
    <cellStyle name="20 % - Markeringsfarve1 2 3 5 5 4" xfId="37559" xr:uid="{00000000-0005-0000-0000-00002B030000}"/>
    <cellStyle name="20 % - Markeringsfarve1 2 3 5 6" xfId="10155" xr:uid="{00000000-0005-0000-0000-00002C030000}"/>
    <cellStyle name="20 % - Markeringsfarve1 2 3 5 6 2" xfId="26475" xr:uid="{00000000-0005-0000-0000-00002D030000}"/>
    <cellStyle name="20 % - Markeringsfarve1 2 3 5 6 3" xfId="41441" xr:uid="{00000000-0005-0000-0000-00002E030000}"/>
    <cellStyle name="20 % - Markeringsfarve1 2 3 5 7" xfId="19453" xr:uid="{00000000-0005-0000-0000-00002F030000}"/>
    <cellStyle name="20 % - Markeringsfarve1 2 3 5 8" xfId="34442" xr:uid="{00000000-0005-0000-0000-000030030000}"/>
    <cellStyle name="20 % - Markeringsfarve1 2 3 6" xfId="1600" xr:uid="{00000000-0005-0000-0000-000031030000}"/>
    <cellStyle name="20 % - Markeringsfarve1 2 3 6 2" xfId="1601" xr:uid="{00000000-0005-0000-0000-000032030000}"/>
    <cellStyle name="20 % - Markeringsfarve1 2 3 6 2 2" xfId="1602" xr:uid="{00000000-0005-0000-0000-000033030000}"/>
    <cellStyle name="20 % - Markeringsfarve1 2 3 6 2 2 2" xfId="8022" xr:uid="{00000000-0005-0000-0000-000034030000}"/>
    <cellStyle name="20 % - Markeringsfarve1 2 3 6 2 2 2 2" xfId="15924" xr:uid="{00000000-0005-0000-0000-000035030000}"/>
    <cellStyle name="20 % - Markeringsfarve1 2 3 6 2 2 2 2 2" xfId="32239" xr:uid="{00000000-0005-0000-0000-000036030000}"/>
    <cellStyle name="20 % - Markeringsfarve1 2 3 6 2 2 2 2 3" xfId="47203" xr:uid="{00000000-0005-0000-0000-000037030000}"/>
    <cellStyle name="20 % - Markeringsfarve1 2 3 6 2 2 2 3" xfId="25217" xr:uid="{00000000-0005-0000-0000-000038030000}"/>
    <cellStyle name="20 % - Markeringsfarve1 2 3 6 2 2 2 4" xfId="40204" xr:uid="{00000000-0005-0000-0000-000039030000}"/>
    <cellStyle name="20 % - Markeringsfarve1 2 3 6 2 2 3" xfId="10162" xr:uid="{00000000-0005-0000-0000-00003A030000}"/>
    <cellStyle name="20 % - Markeringsfarve1 2 3 6 2 2 3 2" xfId="26482" xr:uid="{00000000-0005-0000-0000-00003B030000}"/>
    <cellStyle name="20 % - Markeringsfarve1 2 3 6 2 2 3 3" xfId="41448" xr:uid="{00000000-0005-0000-0000-00003C030000}"/>
    <cellStyle name="20 % - Markeringsfarve1 2 3 6 2 2 4" xfId="19460" xr:uid="{00000000-0005-0000-0000-00003D030000}"/>
    <cellStyle name="20 % - Markeringsfarve1 2 3 6 2 2 5" xfId="34449" xr:uid="{00000000-0005-0000-0000-00003E030000}"/>
    <cellStyle name="20 % - Markeringsfarve1 2 3 6 2 3" xfId="6533" xr:uid="{00000000-0005-0000-0000-00003F030000}"/>
    <cellStyle name="20 % - Markeringsfarve1 2 3 6 2 3 2" xfId="14448" xr:uid="{00000000-0005-0000-0000-000040030000}"/>
    <cellStyle name="20 % - Markeringsfarve1 2 3 6 2 3 2 2" xfId="30763" xr:uid="{00000000-0005-0000-0000-000041030000}"/>
    <cellStyle name="20 % - Markeringsfarve1 2 3 6 2 3 2 3" xfId="45727" xr:uid="{00000000-0005-0000-0000-000042030000}"/>
    <cellStyle name="20 % - Markeringsfarve1 2 3 6 2 3 3" xfId="23741" xr:uid="{00000000-0005-0000-0000-000043030000}"/>
    <cellStyle name="20 % - Markeringsfarve1 2 3 6 2 3 4" xfId="38728" xr:uid="{00000000-0005-0000-0000-000044030000}"/>
    <cellStyle name="20 % - Markeringsfarve1 2 3 6 2 4" xfId="10161" xr:uid="{00000000-0005-0000-0000-000045030000}"/>
    <cellStyle name="20 % - Markeringsfarve1 2 3 6 2 4 2" xfId="26481" xr:uid="{00000000-0005-0000-0000-000046030000}"/>
    <cellStyle name="20 % - Markeringsfarve1 2 3 6 2 4 3" xfId="41447" xr:uid="{00000000-0005-0000-0000-000047030000}"/>
    <cellStyle name="20 % - Markeringsfarve1 2 3 6 2 5" xfId="19459" xr:uid="{00000000-0005-0000-0000-000048030000}"/>
    <cellStyle name="20 % - Markeringsfarve1 2 3 6 2 6" xfId="34448" xr:uid="{00000000-0005-0000-0000-000049030000}"/>
    <cellStyle name="20 % - Markeringsfarve1 2 3 6 3" xfId="1603" xr:uid="{00000000-0005-0000-0000-00004A030000}"/>
    <cellStyle name="20 % - Markeringsfarve1 2 3 6 3 2" xfId="7299" xr:uid="{00000000-0005-0000-0000-00004B030000}"/>
    <cellStyle name="20 % - Markeringsfarve1 2 3 6 3 2 2" xfId="15210" xr:uid="{00000000-0005-0000-0000-00004C030000}"/>
    <cellStyle name="20 % - Markeringsfarve1 2 3 6 3 2 2 2" xfId="31525" xr:uid="{00000000-0005-0000-0000-00004D030000}"/>
    <cellStyle name="20 % - Markeringsfarve1 2 3 6 3 2 2 3" xfId="46489" xr:uid="{00000000-0005-0000-0000-00004E030000}"/>
    <cellStyle name="20 % - Markeringsfarve1 2 3 6 3 2 3" xfId="24503" xr:uid="{00000000-0005-0000-0000-00004F030000}"/>
    <cellStyle name="20 % - Markeringsfarve1 2 3 6 3 2 4" xfId="39490" xr:uid="{00000000-0005-0000-0000-000050030000}"/>
    <cellStyle name="20 % - Markeringsfarve1 2 3 6 3 3" xfId="10163" xr:uid="{00000000-0005-0000-0000-000051030000}"/>
    <cellStyle name="20 % - Markeringsfarve1 2 3 6 3 3 2" xfId="26483" xr:uid="{00000000-0005-0000-0000-000052030000}"/>
    <cellStyle name="20 % - Markeringsfarve1 2 3 6 3 3 3" xfId="41449" xr:uid="{00000000-0005-0000-0000-000053030000}"/>
    <cellStyle name="20 % - Markeringsfarve1 2 3 6 3 4" xfId="19461" xr:uid="{00000000-0005-0000-0000-000054030000}"/>
    <cellStyle name="20 % - Markeringsfarve1 2 3 6 3 5" xfId="34450" xr:uid="{00000000-0005-0000-0000-000055030000}"/>
    <cellStyle name="20 % - Markeringsfarve1 2 3 6 4" xfId="1604" xr:uid="{00000000-0005-0000-0000-000056030000}"/>
    <cellStyle name="20 % - Markeringsfarve1 2 3 6 4 2" xfId="8310" xr:uid="{00000000-0005-0000-0000-000057030000}"/>
    <cellStyle name="20 % - Markeringsfarve1 2 3 6 4 2 2" xfId="16205" xr:uid="{00000000-0005-0000-0000-000058030000}"/>
    <cellStyle name="20 % - Markeringsfarve1 2 3 6 4 2 2 2" xfId="32520" xr:uid="{00000000-0005-0000-0000-000059030000}"/>
    <cellStyle name="20 % - Markeringsfarve1 2 3 6 4 2 2 3" xfId="47484" xr:uid="{00000000-0005-0000-0000-00005A030000}"/>
    <cellStyle name="20 % - Markeringsfarve1 2 3 6 4 2 3" xfId="25498" xr:uid="{00000000-0005-0000-0000-00005B030000}"/>
    <cellStyle name="20 % - Markeringsfarve1 2 3 6 4 2 4" xfId="40485" xr:uid="{00000000-0005-0000-0000-00005C030000}"/>
    <cellStyle name="20 % - Markeringsfarve1 2 3 6 4 3" xfId="10164" xr:uid="{00000000-0005-0000-0000-00005D030000}"/>
    <cellStyle name="20 % - Markeringsfarve1 2 3 6 4 3 2" xfId="26484" xr:uid="{00000000-0005-0000-0000-00005E030000}"/>
    <cellStyle name="20 % - Markeringsfarve1 2 3 6 4 3 3" xfId="41450" xr:uid="{00000000-0005-0000-0000-00005F030000}"/>
    <cellStyle name="20 % - Markeringsfarve1 2 3 6 4 4" xfId="19462" xr:uid="{00000000-0005-0000-0000-000060030000}"/>
    <cellStyle name="20 % - Markeringsfarve1 2 3 6 4 5" xfId="34451" xr:uid="{00000000-0005-0000-0000-000061030000}"/>
    <cellStyle name="20 % - Markeringsfarve1 2 3 6 5" xfId="5361" xr:uid="{00000000-0005-0000-0000-000062030000}"/>
    <cellStyle name="20 % - Markeringsfarve1 2 3 6 5 2" xfId="13280" xr:uid="{00000000-0005-0000-0000-000063030000}"/>
    <cellStyle name="20 % - Markeringsfarve1 2 3 6 5 2 2" xfId="29595" xr:uid="{00000000-0005-0000-0000-000064030000}"/>
    <cellStyle name="20 % - Markeringsfarve1 2 3 6 5 2 3" xfId="44559" xr:uid="{00000000-0005-0000-0000-000065030000}"/>
    <cellStyle name="20 % - Markeringsfarve1 2 3 6 5 3" xfId="22573" xr:uid="{00000000-0005-0000-0000-000066030000}"/>
    <cellStyle name="20 % - Markeringsfarve1 2 3 6 5 4" xfId="37560" xr:uid="{00000000-0005-0000-0000-000067030000}"/>
    <cellStyle name="20 % - Markeringsfarve1 2 3 6 6" xfId="10160" xr:uid="{00000000-0005-0000-0000-000068030000}"/>
    <cellStyle name="20 % - Markeringsfarve1 2 3 6 6 2" xfId="26480" xr:uid="{00000000-0005-0000-0000-000069030000}"/>
    <cellStyle name="20 % - Markeringsfarve1 2 3 6 6 3" xfId="41446" xr:uid="{00000000-0005-0000-0000-00006A030000}"/>
    <cellStyle name="20 % - Markeringsfarve1 2 3 6 7" xfId="19458" xr:uid="{00000000-0005-0000-0000-00006B030000}"/>
    <cellStyle name="20 % - Markeringsfarve1 2 3 6 8" xfId="34447" xr:uid="{00000000-0005-0000-0000-00006C030000}"/>
    <cellStyle name="20 % - Markeringsfarve1 2 3 7" xfId="1605" xr:uid="{00000000-0005-0000-0000-00006D030000}"/>
    <cellStyle name="20 % - Markeringsfarve1 2 3 7 2" xfId="1606" xr:uid="{00000000-0005-0000-0000-00006E030000}"/>
    <cellStyle name="20 % - Markeringsfarve1 2 3 7 2 2" xfId="7532" xr:uid="{00000000-0005-0000-0000-00006F030000}"/>
    <cellStyle name="20 % - Markeringsfarve1 2 3 7 2 2 2" xfId="15434" xr:uid="{00000000-0005-0000-0000-000070030000}"/>
    <cellStyle name="20 % - Markeringsfarve1 2 3 7 2 2 2 2" xfId="31749" xr:uid="{00000000-0005-0000-0000-000071030000}"/>
    <cellStyle name="20 % - Markeringsfarve1 2 3 7 2 2 2 3" xfId="46713" xr:uid="{00000000-0005-0000-0000-000072030000}"/>
    <cellStyle name="20 % - Markeringsfarve1 2 3 7 2 2 3" xfId="24727" xr:uid="{00000000-0005-0000-0000-000073030000}"/>
    <cellStyle name="20 % - Markeringsfarve1 2 3 7 2 2 4" xfId="39714" xr:uid="{00000000-0005-0000-0000-000074030000}"/>
    <cellStyle name="20 % - Markeringsfarve1 2 3 7 2 3" xfId="10166" xr:uid="{00000000-0005-0000-0000-000075030000}"/>
    <cellStyle name="20 % - Markeringsfarve1 2 3 7 2 3 2" xfId="26486" xr:uid="{00000000-0005-0000-0000-000076030000}"/>
    <cellStyle name="20 % - Markeringsfarve1 2 3 7 2 3 3" xfId="41452" xr:uid="{00000000-0005-0000-0000-000077030000}"/>
    <cellStyle name="20 % - Markeringsfarve1 2 3 7 2 4" xfId="19464" xr:uid="{00000000-0005-0000-0000-000078030000}"/>
    <cellStyle name="20 % - Markeringsfarve1 2 3 7 2 5" xfId="34453" xr:uid="{00000000-0005-0000-0000-000079030000}"/>
    <cellStyle name="20 % - Markeringsfarve1 2 3 7 3" xfId="6119" xr:uid="{00000000-0005-0000-0000-00007A030000}"/>
    <cellStyle name="20 % - Markeringsfarve1 2 3 7 3 2" xfId="14037" xr:uid="{00000000-0005-0000-0000-00007B030000}"/>
    <cellStyle name="20 % - Markeringsfarve1 2 3 7 3 2 2" xfId="30352" xr:uid="{00000000-0005-0000-0000-00007C030000}"/>
    <cellStyle name="20 % - Markeringsfarve1 2 3 7 3 2 3" xfId="45316" xr:uid="{00000000-0005-0000-0000-00007D030000}"/>
    <cellStyle name="20 % - Markeringsfarve1 2 3 7 3 3" xfId="23330" xr:uid="{00000000-0005-0000-0000-00007E030000}"/>
    <cellStyle name="20 % - Markeringsfarve1 2 3 7 3 4" xfId="38317" xr:uid="{00000000-0005-0000-0000-00007F030000}"/>
    <cellStyle name="20 % - Markeringsfarve1 2 3 7 4" xfId="10165" xr:uid="{00000000-0005-0000-0000-000080030000}"/>
    <cellStyle name="20 % - Markeringsfarve1 2 3 7 4 2" xfId="26485" xr:uid="{00000000-0005-0000-0000-000081030000}"/>
    <cellStyle name="20 % - Markeringsfarve1 2 3 7 4 3" xfId="41451" xr:uid="{00000000-0005-0000-0000-000082030000}"/>
    <cellStyle name="20 % - Markeringsfarve1 2 3 7 5" xfId="19463" xr:uid="{00000000-0005-0000-0000-000083030000}"/>
    <cellStyle name="20 % - Markeringsfarve1 2 3 7 6" xfId="34452" xr:uid="{00000000-0005-0000-0000-000084030000}"/>
    <cellStyle name="20 % - Markeringsfarve1 2 3 8" xfId="1607" xr:uid="{00000000-0005-0000-0000-000085030000}"/>
    <cellStyle name="20 % - Markeringsfarve1 2 3 8 2" xfId="6760" xr:uid="{00000000-0005-0000-0000-000086030000}"/>
    <cellStyle name="20 % - Markeringsfarve1 2 3 8 2 2" xfId="14672" xr:uid="{00000000-0005-0000-0000-000087030000}"/>
    <cellStyle name="20 % - Markeringsfarve1 2 3 8 2 2 2" xfId="30987" xr:uid="{00000000-0005-0000-0000-000088030000}"/>
    <cellStyle name="20 % - Markeringsfarve1 2 3 8 2 2 3" xfId="45951" xr:uid="{00000000-0005-0000-0000-000089030000}"/>
    <cellStyle name="20 % - Markeringsfarve1 2 3 8 2 3" xfId="23965" xr:uid="{00000000-0005-0000-0000-00008A030000}"/>
    <cellStyle name="20 % - Markeringsfarve1 2 3 8 2 4" xfId="38952" xr:uid="{00000000-0005-0000-0000-00008B030000}"/>
    <cellStyle name="20 % - Markeringsfarve1 2 3 8 3" xfId="10167" xr:uid="{00000000-0005-0000-0000-00008C030000}"/>
    <cellStyle name="20 % - Markeringsfarve1 2 3 8 3 2" xfId="26487" xr:uid="{00000000-0005-0000-0000-00008D030000}"/>
    <cellStyle name="20 % - Markeringsfarve1 2 3 8 3 3" xfId="41453" xr:uid="{00000000-0005-0000-0000-00008E030000}"/>
    <cellStyle name="20 % - Markeringsfarve1 2 3 8 4" xfId="19465" xr:uid="{00000000-0005-0000-0000-00008F030000}"/>
    <cellStyle name="20 % - Markeringsfarve1 2 3 8 5" xfId="34454" xr:uid="{00000000-0005-0000-0000-000090030000}"/>
    <cellStyle name="20 % - Markeringsfarve1 2 3 9" xfId="1608" xr:uid="{00000000-0005-0000-0000-000091030000}"/>
    <cellStyle name="20 % - Markeringsfarve1 2 3 9 2" xfId="8315" xr:uid="{00000000-0005-0000-0000-000092030000}"/>
    <cellStyle name="20 % - Markeringsfarve1 2 3 9 2 2" xfId="16210" xr:uid="{00000000-0005-0000-0000-000093030000}"/>
    <cellStyle name="20 % - Markeringsfarve1 2 3 9 2 2 2" xfId="32525" xr:uid="{00000000-0005-0000-0000-000094030000}"/>
    <cellStyle name="20 % - Markeringsfarve1 2 3 9 2 2 3" xfId="47489" xr:uid="{00000000-0005-0000-0000-000095030000}"/>
    <cellStyle name="20 % - Markeringsfarve1 2 3 9 2 3" xfId="25503" xr:uid="{00000000-0005-0000-0000-000096030000}"/>
    <cellStyle name="20 % - Markeringsfarve1 2 3 9 2 4" xfId="40490" xr:uid="{00000000-0005-0000-0000-000097030000}"/>
    <cellStyle name="20 % - Markeringsfarve1 2 3 9 3" xfId="10168" xr:uid="{00000000-0005-0000-0000-000098030000}"/>
    <cellStyle name="20 % - Markeringsfarve1 2 3 9 3 2" xfId="26488" xr:uid="{00000000-0005-0000-0000-000099030000}"/>
    <cellStyle name="20 % - Markeringsfarve1 2 3 9 3 3" xfId="41454" xr:uid="{00000000-0005-0000-0000-00009A030000}"/>
    <cellStyle name="20 % - Markeringsfarve1 2 3 9 4" xfId="19466" xr:uid="{00000000-0005-0000-0000-00009B030000}"/>
    <cellStyle name="20 % - Markeringsfarve1 2 3 9 5" xfId="34455" xr:uid="{00000000-0005-0000-0000-00009C030000}"/>
    <cellStyle name="20 % - Markeringsfarve1 2 4" xfId="1609" xr:uid="{00000000-0005-0000-0000-00009D030000}"/>
    <cellStyle name="20 % - Markeringsfarve1 2 4 2" xfId="1610" xr:uid="{00000000-0005-0000-0000-00009E030000}"/>
    <cellStyle name="20 % - Markeringsfarve1 2 4 2 2" xfId="1611" xr:uid="{00000000-0005-0000-0000-00009F030000}"/>
    <cellStyle name="20 % - Markeringsfarve1 2 4 2 2 2" xfId="7573" xr:uid="{00000000-0005-0000-0000-0000A0030000}"/>
    <cellStyle name="20 % - Markeringsfarve1 2 4 2 2 2 2" xfId="15475" xr:uid="{00000000-0005-0000-0000-0000A1030000}"/>
    <cellStyle name="20 % - Markeringsfarve1 2 4 2 2 2 2 2" xfId="31790" xr:uid="{00000000-0005-0000-0000-0000A2030000}"/>
    <cellStyle name="20 % - Markeringsfarve1 2 4 2 2 2 2 3" xfId="46754" xr:uid="{00000000-0005-0000-0000-0000A3030000}"/>
    <cellStyle name="20 % - Markeringsfarve1 2 4 2 2 2 3" xfId="24768" xr:uid="{00000000-0005-0000-0000-0000A4030000}"/>
    <cellStyle name="20 % - Markeringsfarve1 2 4 2 2 2 4" xfId="39755" xr:uid="{00000000-0005-0000-0000-0000A5030000}"/>
    <cellStyle name="20 % - Markeringsfarve1 2 4 2 2 3" xfId="10171" xr:uid="{00000000-0005-0000-0000-0000A6030000}"/>
    <cellStyle name="20 % - Markeringsfarve1 2 4 2 2 3 2" xfId="26491" xr:uid="{00000000-0005-0000-0000-0000A7030000}"/>
    <cellStyle name="20 % - Markeringsfarve1 2 4 2 2 3 3" xfId="41457" xr:uid="{00000000-0005-0000-0000-0000A8030000}"/>
    <cellStyle name="20 % - Markeringsfarve1 2 4 2 2 4" xfId="19469" xr:uid="{00000000-0005-0000-0000-0000A9030000}"/>
    <cellStyle name="20 % - Markeringsfarve1 2 4 2 2 5" xfId="34458" xr:uid="{00000000-0005-0000-0000-0000AA030000}"/>
    <cellStyle name="20 % - Markeringsfarve1 2 4 2 3" xfId="6152" xr:uid="{00000000-0005-0000-0000-0000AB030000}"/>
    <cellStyle name="20 % - Markeringsfarve1 2 4 2 3 2" xfId="14070" xr:uid="{00000000-0005-0000-0000-0000AC030000}"/>
    <cellStyle name="20 % - Markeringsfarve1 2 4 2 3 2 2" xfId="30385" xr:uid="{00000000-0005-0000-0000-0000AD030000}"/>
    <cellStyle name="20 % - Markeringsfarve1 2 4 2 3 2 3" xfId="45349" xr:uid="{00000000-0005-0000-0000-0000AE030000}"/>
    <cellStyle name="20 % - Markeringsfarve1 2 4 2 3 3" xfId="23363" xr:uid="{00000000-0005-0000-0000-0000AF030000}"/>
    <cellStyle name="20 % - Markeringsfarve1 2 4 2 3 4" xfId="38350" xr:uid="{00000000-0005-0000-0000-0000B0030000}"/>
    <cellStyle name="20 % - Markeringsfarve1 2 4 2 4" xfId="10170" xr:uid="{00000000-0005-0000-0000-0000B1030000}"/>
    <cellStyle name="20 % - Markeringsfarve1 2 4 2 4 2" xfId="26490" xr:uid="{00000000-0005-0000-0000-0000B2030000}"/>
    <cellStyle name="20 % - Markeringsfarve1 2 4 2 4 3" xfId="41456" xr:uid="{00000000-0005-0000-0000-0000B3030000}"/>
    <cellStyle name="20 % - Markeringsfarve1 2 4 2 5" xfId="19468" xr:uid="{00000000-0005-0000-0000-0000B4030000}"/>
    <cellStyle name="20 % - Markeringsfarve1 2 4 2 6" xfId="34457" xr:uid="{00000000-0005-0000-0000-0000B5030000}"/>
    <cellStyle name="20 % - Markeringsfarve1 2 4 2 7" xfId="57125" xr:uid="{00000000-0005-0000-0000-0000B6030000}"/>
    <cellStyle name="20 % - Markeringsfarve1 2 4 3" xfId="1612" xr:uid="{00000000-0005-0000-0000-0000B7030000}"/>
    <cellStyle name="20 % - Markeringsfarve1 2 4 3 2" xfId="6803" xr:uid="{00000000-0005-0000-0000-0000B8030000}"/>
    <cellStyle name="20 % - Markeringsfarve1 2 4 3 2 2" xfId="14715" xr:uid="{00000000-0005-0000-0000-0000B9030000}"/>
    <cellStyle name="20 % - Markeringsfarve1 2 4 3 2 2 2" xfId="31030" xr:uid="{00000000-0005-0000-0000-0000BA030000}"/>
    <cellStyle name="20 % - Markeringsfarve1 2 4 3 2 2 3" xfId="45994" xr:uid="{00000000-0005-0000-0000-0000BB030000}"/>
    <cellStyle name="20 % - Markeringsfarve1 2 4 3 2 3" xfId="24008" xr:uid="{00000000-0005-0000-0000-0000BC030000}"/>
    <cellStyle name="20 % - Markeringsfarve1 2 4 3 2 4" xfId="38995" xr:uid="{00000000-0005-0000-0000-0000BD030000}"/>
    <cellStyle name="20 % - Markeringsfarve1 2 4 3 3" xfId="10172" xr:uid="{00000000-0005-0000-0000-0000BE030000}"/>
    <cellStyle name="20 % - Markeringsfarve1 2 4 3 3 2" xfId="26492" xr:uid="{00000000-0005-0000-0000-0000BF030000}"/>
    <cellStyle name="20 % - Markeringsfarve1 2 4 3 3 3" xfId="41458" xr:uid="{00000000-0005-0000-0000-0000C0030000}"/>
    <cellStyle name="20 % - Markeringsfarve1 2 4 3 4" xfId="19470" xr:uid="{00000000-0005-0000-0000-0000C1030000}"/>
    <cellStyle name="20 % - Markeringsfarve1 2 4 3 5" xfId="34459" xr:uid="{00000000-0005-0000-0000-0000C2030000}"/>
    <cellStyle name="20 % - Markeringsfarve1 2 4 4" xfId="1613" xr:uid="{00000000-0005-0000-0000-0000C3030000}"/>
    <cellStyle name="20 % - Markeringsfarve1 2 4 4 2" xfId="8309" xr:uid="{00000000-0005-0000-0000-0000C4030000}"/>
    <cellStyle name="20 % - Markeringsfarve1 2 4 4 2 2" xfId="16204" xr:uid="{00000000-0005-0000-0000-0000C5030000}"/>
    <cellStyle name="20 % - Markeringsfarve1 2 4 4 2 2 2" xfId="32519" xr:uid="{00000000-0005-0000-0000-0000C6030000}"/>
    <cellStyle name="20 % - Markeringsfarve1 2 4 4 2 2 3" xfId="47483" xr:uid="{00000000-0005-0000-0000-0000C7030000}"/>
    <cellStyle name="20 % - Markeringsfarve1 2 4 4 2 3" xfId="25497" xr:uid="{00000000-0005-0000-0000-0000C8030000}"/>
    <cellStyle name="20 % - Markeringsfarve1 2 4 4 2 4" xfId="40484" xr:uid="{00000000-0005-0000-0000-0000C9030000}"/>
    <cellStyle name="20 % - Markeringsfarve1 2 4 4 3" xfId="10173" xr:uid="{00000000-0005-0000-0000-0000CA030000}"/>
    <cellStyle name="20 % - Markeringsfarve1 2 4 4 3 2" xfId="26493" xr:uid="{00000000-0005-0000-0000-0000CB030000}"/>
    <cellStyle name="20 % - Markeringsfarve1 2 4 4 3 3" xfId="41459" xr:uid="{00000000-0005-0000-0000-0000CC030000}"/>
    <cellStyle name="20 % - Markeringsfarve1 2 4 4 4" xfId="19471" xr:uid="{00000000-0005-0000-0000-0000CD030000}"/>
    <cellStyle name="20 % - Markeringsfarve1 2 4 4 5" xfId="34460" xr:uid="{00000000-0005-0000-0000-0000CE030000}"/>
    <cellStyle name="20 % - Markeringsfarve1 2 4 5" xfId="5362" xr:uid="{00000000-0005-0000-0000-0000CF030000}"/>
    <cellStyle name="20 % - Markeringsfarve1 2 4 5 2" xfId="13281" xr:uid="{00000000-0005-0000-0000-0000D0030000}"/>
    <cellStyle name="20 % - Markeringsfarve1 2 4 5 2 2" xfId="29596" xr:uid="{00000000-0005-0000-0000-0000D1030000}"/>
    <cellStyle name="20 % - Markeringsfarve1 2 4 5 2 3" xfId="44560" xr:uid="{00000000-0005-0000-0000-0000D2030000}"/>
    <cellStyle name="20 % - Markeringsfarve1 2 4 5 3" xfId="22574" xr:uid="{00000000-0005-0000-0000-0000D3030000}"/>
    <cellStyle name="20 % - Markeringsfarve1 2 4 5 4" xfId="37561" xr:uid="{00000000-0005-0000-0000-0000D4030000}"/>
    <cellStyle name="20 % - Markeringsfarve1 2 4 6" xfId="10169" xr:uid="{00000000-0005-0000-0000-0000D5030000}"/>
    <cellStyle name="20 % - Markeringsfarve1 2 4 6 2" xfId="26489" xr:uid="{00000000-0005-0000-0000-0000D6030000}"/>
    <cellStyle name="20 % - Markeringsfarve1 2 4 6 3" xfId="41455" xr:uid="{00000000-0005-0000-0000-0000D7030000}"/>
    <cellStyle name="20 % - Markeringsfarve1 2 4 7" xfId="19467" xr:uid="{00000000-0005-0000-0000-0000D8030000}"/>
    <cellStyle name="20 % - Markeringsfarve1 2 4 8" xfId="34456" xr:uid="{00000000-0005-0000-0000-0000D9030000}"/>
    <cellStyle name="20 % - Markeringsfarve1 2 4 9" xfId="53958" xr:uid="{00000000-0005-0000-0000-0000DA030000}"/>
    <cellStyle name="20 % - Markeringsfarve1 2 5" xfId="1614" xr:uid="{00000000-0005-0000-0000-0000DB030000}"/>
    <cellStyle name="20 % - Markeringsfarve1 2 5 2" xfId="1615" xr:uid="{00000000-0005-0000-0000-0000DC030000}"/>
    <cellStyle name="20 % - Markeringsfarve1 2 5 2 2" xfId="1616" xr:uid="{00000000-0005-0000-0000-0000DD030000}"/>
    <cellStyle name="20 % - Markeringsfarve1 2 5 2 2 2" xfId="7665" xr:uid="{00000000-0005-0000-0000-0000DE030000}"/>
    <cellStyle name="20 % - Markeringsfarve1 2 5 2 2 2 2" xfId="15567" xr:uid="{00000000-0005-0000-0000-0000DF030000}"/>
    <cellStyle name="20 % - Markeringsfarve1 2 5 2 2 2 2 2" xfId="31882" xr:uid="{00000000-0005-0000-0000-0000E0030000}"/>
    <cellStyle name="20 % - Markeringsfarve1 2 5 2 2 2 2 3" xfId="46846" xr:uid="{00000000-0005-0000-0000-0000E1030000}"/>
    <cellStyle name="20 % - Markeringsfarve1 2 5 2 2 2 3" xfId="24860" xr:uid="{00000000-0005-0000-0000-0000E2030000}"/>
    <cellStyle name="20 % - Markeringsfarve1 2 5 2 2 2 4" xfId="39847" xr:uid="{00000000-0005-0000-0000-0000E3030000}"/>
    <cellStyle name="20 % - Markeringsfarve1 2 5 2 2 3" xfId="10176" xr:uid="{00000000-0005-0000-0000-0000E4030000}"/>
    <cellStyle name="20 % - Markeringsfarve1 2 5 2 2 3 2" xfId="26496" xr:uid="{00000000-0005-0000-0000-0000E5030000}"/>
    <cellStyle name="20 % - Markeringsfarve1 2 5 2 2 3 3" xfId="41462" xr:uid="{00000000-0005-0000-0000-0000E6030000}"/>
    <cellStyle name="20 % - Markeringsfarve1 2 5 2 2 4" xfId="19474" xr:uid="{00000000-0005-0000-0000-0000E7030000}"/>
    <cellStyle name="20 % - Markeringsfarve1 2 5 2 2 5" xfId="34463" xr:uid="{00000000-0005-0000-0000-0000E8030000}"/>
    <cellStyle name="20 % - Markeringsfarve1 2 5 2 3" xfId="6229" xr:uid="{00000000-0005-0000-0000-0000E9030000}"/>
    <cellStyle name="20 % - Markeringsfarve1 2 5 2 3 2" xfId="14147" xr:uid="{00000000-0005-0000-0000-0000EA030000}"/>
    <cellStyle name="20 % - Markeringsfarve1 2 5 2 3 2 2" xfId="30462" xr:uid="{00000000-0005-0000-0000-0000EB030000}"/>
    <cellStyle name="20 % - Markeringsfarve1 2 5 2 3 2 3" xfId="45426" xr:uid="{00000000-0005-0000-0000-0000EC030000}"/>
    <cellStyle name="20 % - Markeringsfarve1 2 5 2 3 3" xfId="23440" xr:uid="{00000000-0005-0000-0000-0000ED030000}"/>
    <cellStyle name="20 % - Markeringsfarve1 2 5 2 3 4" xfId="38427" xr:uid="{00000000-0005-0000-0000-0000EE030000}"/>
    <cellStyle name="20 % - Markeringsfarve1 2 5 2 4" xfId="10175" xr:uid="{00000000-0005-0000-0000-0000EF030000}"/>
    <cellStyle name="20 % - Markeringsfarve1 2 5 2 4 2" xfId="26495" xr:uid="{00000000-0005-0000-0000-0000F0030000}"/>
    <cellStyle name="20 % - Markeringsfarve1 2 5 2 4 3" xfId="41461" xr:uid="{00000000-0005-0000-0000-0000F1030000}"/>
    <cellStyle name="20 % - Markeringsfarve1 2 5 2 5" xfId="19473" xr:uid="{00000000-0005-0000-0000-0000F2030000}"/>
    <cellStyle name="20 % - Markeringsfarve1 2 5 2 6" xfId="34462" xr:uid="{00000000-0005-0000-0000-0000F3030000}"/>
    <cellStyle name="20 % - Markeringsfarve1 2 5 3" xfId="1617" xr:uid="{00000000-0005-0000-0000-0000F4030000}"/>
    <cellStyle name="20 % - Markeringsfarve1 2 5 3 2" xfId="6895" xr:uid="{00000000-0005-0000-0000-0000F5030000}"/>
    <cellStyle name="20 % - Markeringsfarve1 2 5 3 2 2" xfId="14807" xr:uid="{00000000-0005-0000-0000-0000F6030000}"/>
    <cellStyle name="20 % - Markeringsfarve1 2 5 3 2 2 2" xfId="31122" xr:uid="{00000000-0005-0000-0000-0000F7030000}"/>
    <cellStyle name="20 % - Markeringsfarve1 2 5 3 2 2 3" xfId="46086" xr:uid="{00000000-0005-0000-0000-0000F8030000}"/>
    <cellStyle name="20 % - Markeringsfarve1 2 5 3 2 3" xfId="24100" xr:uid="{00000000-0005-0000-0000-0000F9030000}"/>
    <cellStyle name="20 % - Markeringsfarve1 2 5 3 2 4" xfId="39087" xr:uid="{00000000-0005-0000-0000-0000FA030000}"/>
    <cellStyle name="20 % - Markeringsfarve1 2 5 3 3" xfId="10177" xr:uid="{00000000-0005-0000-0000-0000FB030000}"/>
    <cellStyle name="20 % - Markeringsfarve1 2 5 3 3 2" xfId="26497" xr:uid="{00000000-0005-0000-0000-0000FC030000}"/>
    <cellStyle name="20 % - Markeringsfarve1 2 5 3 3 3" xfId="41463" xr:uid="{00000000-0005-0000-0000-0000FD030000}"/>
    <cellStyle name="20 % - Markeringsfarve1 2 5 3 4" xfId="19475" xr:uid="{00000000-0005-0000-0000-0000FE030000}"/>
    <cellStyle name="20 % - Markeringsfarve1 2 5 3 5" xfId="34464" xr:uid="{00000000-0005-0000-0000-0000FF030000}"/>
    <cellStyle name="20 % - Markeringsfarve1 2 5 4" xfId="1618" xr:uid="{00000000-0005-0000-0000-000000040000}"/>
    <cellStyle name="20 % - Markeringsfarve1 2 5 4 2" xfId="8308" xr:uid="{00000000-0005-0000-0000-000001040000}"/>
    <cellStyle name="20 % - Markeringsfarve1 2 5 4 2 2" xfId="16203" xr:uid="{00000000-0005-0000-0000-000002040000}"/>
    <cellStyle name="20 % - Markeringsfarve1 2 5 4 2 2 2" xfId="32518" xr:uid="{00000000-0005-0000-0000-000003040000}"/>
    <cellStyle name="20 % - Markeringsfarve1 2 5 4 2 2 3" xfId="47482" xr:uid="{00000000-0005-0000-0000-000004040000}"/>
    <cellStyle name="20 % - Markeringsfarve1 2 5 4 2 3" xfId="25496" xr:uid="{00000000-0005-0000-0000-000005040000}"/>
    <cellStyle name="20 % - Markeringsfarve1 2 5 4 2 4" xfId="40483" xr:uid="{00000000-0005-0000-0000-000006040000}"/>
    <cellStyle name="20 % - Markeringsfarve1 2 5 4 3" xfId="10178" xr:uid="{00000000-0005-0000-0000-000007040000}"/>
    <cellStyle name="20 % - Markeringsfarve1 2 5 4 3 2" xfId="26498" xr:uid="{00000000-0005-0000-0000-000008040000}"/>
    <cellStyle name="20 % - Markeringsfarve1 2 5 4 3 3" xfId="41464" xr:uid="{00000000-0005-0000-0000-000009040000}"/>
    <cellStyle name="20 % - Markeringsfarve1 2 5 4 4" xfId="19476" xr:uid="{00000000-0005-0000-0000-00000A040000}"/>
    <cellStyle name="20 % - Markeringsfarve1 2 5 4 5" xfId="34465" xr:uid="{00000000-0005-0000-0000-00000B040000}"/>
    <cellStyle name="20 % - Markeringsfarve1 2 5 5" xfId="5363" xr:uid="{00000000-0005-0000-0000-00000C040000}"/>
    <cellStyle name="20 % - Markeringsfarve1 2 5 5 2" xfId="13282" xr:uid="{00000000-0005-0000-0000-00000D040000}"/>
    <cellStyle name="20 % - Markeringsfarve1 2 5 5 2 2" xfId="29597" xr:uid="{00000000-0005-0000-0000-00000E040000}"/>
    <cellStyle name="20 % - Markeringsfarve1 2 5 5 2 3" xfId="44561" xr:uid="{00000000-0005-0000-0000-00000F040000}"/>
    <cellStyle name="20 % - Markeringsfarve1 2 5 5 3" xfId="22575" xr:uid="{00000000-0005-0000-0000-000010040000}"/>
    <cellStyle name="20 % - Markeringsfarve1 2 5 5 4" xfId="37562" xr:uid="{00000000-0005-0000-0000-000011040000}"/>
    <cellStyle name="20 % - Markeringsfarve1 2 5 6" xfId="10174" xr:uid="{00000000-0005-0000-0000-000012040000}"/>
    <cellStyle name="20 % - Markeringsfarve1 2 5 6 2" xfId="26494" xr:uid="{00000000-0005-0000-0000-000013040000}"/>
    <cellStyle name="20 % - Markeringsfarve1 2 5 6 3" xfId="41460" xr:uid="{00000000-0005-0000-0000-000014040000}"/>
    <cellStyle name="20 % - Markeringsfarve1 2 5 7" xfId="19472" xr:uid="{00000000-0005-0000-0000-000015040000}"/>
    <cellStyle name="20 % - Markeringsfarve1 2 5 8" xfId="34461" xr:uid="{00000000-0005-0000-0000-000016040000}"/>
    <cellStyle name="20 % - Markeringsfarve1 2 5 9" xfId="56502" xr:uid="{00000000-0005-0000-0000-000017040000}"/>
    <cellStyle name="20 % - Markeringsfarve1 2 6" xfId="1619" xr:uid="{00000000-0005-0000-0000-000018040000}"/>
    <cellStyle name="20 % - Markeringsfarve1 2 6 2" xfId="1620" xr:uid="{00000000-0005-0000-0000-000019040000}"/>
    <cellStyle name="20 % - Markeringsfarve1 2 6 2 2" xfId="1621" xr:uid="{00000000-0005-0000-0000-00001A040000}"/>
    <cellStyle name="20 % - Markeringsfarve1 2 6 2 2 2" xfId="7811" xr:uid="{00000000-0005-0000-0000-00001B040000}"/>
    <cellStyle name="20 % - Markeringsfarve1 2 6 2 2 2 2" xfId="15713" xr:uid="{00000000-0005-0000-0000-00001C040000}"/>
    <cellStyle name="20 % - Markeringsfarve1 2 6 2 2 2 2 2" xfId="32028" xr:uid="{00000000-0005-0000-0000-00001D040000}"/>
    <cellStyle name="20 % - Markeringsfarve1 2 6 2 2 2 2 3" xfId="46992" xr:uid="{00000000-0005-0000-0000-00001E040000}"/>
    <cellStyle name="20 % - Markeringsfarve1 2 6 2 2 2 3" xfId="25006" xr:uid="{00000000-0005-0000-0000-00001F040000}"/>
    <cellStyle name="20 % - Markeringsfarve1 2 6 2 2 2 4" xfId="39993" xr:uid="{00000000-0005-0000-0000-000020040000}"/>
    <cellStyle name="20 % - Markeringsfarve1 2 6 2 2 3" xfId="10181" xr:uid="{00000000-0005-0000-0000-000021040000}"/>
    <cellStyle name="20 % - Markeringsfarve1 2 6 2 2 3 2" xfId="26501" xr:uid="{00000000-0005-0000-0000-000022040000}"/>
    <cellStyle name="20 % - Markeringsfarve1 2 6 2 2 3 3" xfId="41467" xr:uid="{00000000-0005-0000-0000-000023040000}"/>
    <cellStyle name="20 % - Markeringsfarve1 2 6 2 2 4" xfId="19479" xr:uid="{00000000-0005-0000-0000-000024040000}"/>
    <cellStyle name="20 % - Markeringsfarve1 2 6 2 2 5" xfId="34468" xr:uid="{00000000-0005-0000-0000-000025040000}"/>
    <cellStyle name="20 % - Markeringsfarve1 2 6 2 3" xfId="6354" xr:uid="{00000000-0005-0000-0000-000026040000}"/>
    <cellStyle name="20 % - Markeringsfarve1 2 6 2 3 2" xfId="14269" xr:uid="{00000000-0005-0000-0000-000027040000}"/>
    <cellStyle name="20 % - Markeringsfarve1 2 6 2 3 2 2" xfId="30584" xr:uid="{00000000-0005-0000-0000-000028040000}"/>
    <cellStyle name="20 % - Markeringsfarve1 2 6 2 3 2 3" xfId="45548" xr:uid="{00000000-0005-0000-0000-000029040000}"/>
    <cellStyle name="20 % - Markeringsfarve1 2 6 2 3 3" xfId="23562" xr:uid="{00000000-0005-0000-0000-00002A040000}"/>
    <cellStyle name="20 % - Markeringsfarve1 2 6 2 3 4" xfId="38549" xr:uid="{00000000-0005-0000-0000-00002B040000}"/>
    <cellStyle name="20 % - Markeringsfarve1 2 6 2 4" xfId="10180" xr:uid="{00000000-0005-0000-0000-00002C040000}"/>
    <cellStyle name="20 % - Markeringsfarve1 2 6 2 4 2" xfId="26500" xr:uid="{00000000-0005-0000-0000-00002D040000}"/>
    <cellStyle name="20 % - Markeringsfarve1 2 6 2 4 3" xfId="41466" xr:uid="{00000000-0005-0000-0000-00002E040000}"/>
    <cellStyle name="20 % - Markeringsfarve1 2 6 2 5" xfId="19478" xr:uid="{00000000-0005-0000-0000-00002F040000}"/>
    <cellStyle name="20 % - Markeringsfarve1 2 6 2 6" xfId="34467" xr:uid="{00000000-0005-0000-0000-000030040000}"/>
    <cellStyle name="20 % - Markeringsfarve1 2 6 3" xfId="1622" xr:uid="{00000000-0005-0000-0000-000031040000}"/>
    <cellStyle name="20 % - Markeringsfarve1 2 6 3 2" xfId="7087" xr:uid="{00000000-0005-0000-0000-000032040000}"/>
    <cellStyle name="20 % - Markeringsfarve1 2 6 3 2 2" xfId="14998" xr:uid="{00000000-0005-0000-0000-000033040000}"/>
    <cellStyle name="20 % - Markeringsfarve1 2 6 3 2 2 2" xfId="31313" xr:uid="{00000000-0005-0000-0000-000034040000}"/>
    <cellStyle name="20 % - Markeringsfarve1 2 6 3 2 2 3" xfId="46277" xr:uid="{00000000-0005-0000-0000-000035040000}"/>
    <cellStyle name="20 % - Markeringsfarve1 2 6 3 2 3" xfId="24291" xr:uid="{00000000-0005-0000-0000-000036040000}"/>
    <cellStyle name="20 % - Markeringsfarve1 2 6 3 2 4" xfId="39278" xr:uid="{00000000-0005-0000-0000-000037040000}"/>
    <cellStyle name="20 % - Markeringsfarve1 2 6 3 3" xfId="10182" xr:uid="{00000000-0005-0000-0000-000038040000}"/>
    <cellStyle name="20 % - Markeringsfarve1 2 6 3 3 2" xfId="26502" xr:uid="{00000000-0005-0000-0000-000039040000}"/>
    <cellStyle name="20 % - Markeringsfarve1 2 6 3 3 3" xfId="41468" xr:uid="{00000000-0005-0000-0000-00003A040000}"/>
    <cellStyle name="20 % - Markeringsfarve1 2 6 3 4" xfId="19480" xr:uid="{00000000-0005-0000-0000-00003B040000}"/>
    <cellStyle name="20 % - Markeringsfarve1 2 6 3 5" xfId="34469" xr:uid="{00000000-0005-0000-0000-00003C040000}"/>
    <cellStyle name="20 % - Markeringsfarve1 2 6 4" xfId="1623" xr:uid="{00000000-0005-0000-0000-00003D040000}"/>
    <cellStyle name="20 % - Markeringsfarve1 2 6 4 2" xfId="8307" xr:uid="{00000000-0005-0000-0000-00003E040000}"/>
    <cellStyle name="20 % - Markeringsfarve1 2 6 4 2 2" xfId="16202" xr:uid="{00000000-0005-0000-0000-00003F040000}"/>
    <cellStyle name="20 % - Markeringsfarve1 2 6 4 2 2 2" xfId="32517" xr:uid="{00000000-0005-0000-0000-000040040000}"/>
    <cellStyle name="20 % - Markeringsfarve1 2 6 4 2 2 3" xfId="47481" xr:uid="{00000000-0005-0000-0000-000041040000}"/>
    <cellStyle name="20 % - Markeringsfarve1 2 6 4 2 3" xfId="25495" xr:uid="{00000000-0005-0000-0000-000042040000}"/>
    <cellStyle name="20 % - Markeringsfarve1 2 6 4 2 4" xfId="40482" xr:uid="{00000000-0005-0000-0000-000043040000}"/>
    <cellStyle name="20 % - Markeringsfarve1 2 6 4 3" xfId="10183" xr:uid="{00000000-0005-0000-0000-000044040000}"/>
    <cellStyle name="20 % - Markeringsfarve1 2 6 4 3 2" xfId="26503" xr:uid="{00000000-0005-0000-0000-000045040000}"/>
    <cellStyle name="20 % - Markeringsfarve1 2 6 4 3 3" xfId="41469" xr:uid="{00000000-0005-0000-0000-000046040000}"/>
    <cellStyle name="20 % - Markeringsfarve1 2 6 4 4" xfId="19481" xr:uid="{00000000-0005-0000-0000-000047040000}"/>
    <cellStyle name="20 % - Markeringsfarve1 2 6 4 5" xfId="34470" xr:uid="{00000000-0005-0000-0000-000048040000}"/>
    <cellStyle name="20 % - Markeringsfarve1 2 6 5" xfId="5364" xr:uid="{00000000-0005-0000-0000-000049040000}"/>
    <cellStyle name="20 % - Markeringsfarve1 2 6 5 2" xfId="13283" xr:uid="{00000000-0005-0000-0000-00004A040000}"/>
    <cellStyle name="20 % - Markeringsfarve1 2 6 5 2 2" xfId="29598" xr:uid="{00000000-0005-0000-0000-00004B040000}"/>
    <cellStyle name="20 % - Markeringsfarve1 2 6 5 2 3" xfId="44562" xr:uid="{00000000-0005-0000-0000-00004C040000}"/>
    <cellStyle name="20 % - Markeringsfarve1 2 6 5 3" xfId="22576" xr:uid="{00000000-0005-0000-0000-00004D040000}"/>
    <cellStyle name="20 % - Markeringsfarve1 2 6 5 4" xfId="37563" xr:uid="{00000000-0005-0000-0000-00004E040000}"/>
    <cellStyle name="20 % - Markeringsfarve1 2 6 6" xfId="10179" xr:uid="{00000000-0005-0000-0000-00004F040000}"/>
    <cellStyle name="20 % - Markeringsfarve1 2 6 6 2" xfId="26499" xr:uid="{00000000-0005-0000-0000-000050040000}"/>
    <cellStyle name="20 % - Markeringsfarve1 2 6 6 3" xfId="41465" xr:uid="{00000000-0005-0000-0000-000051040000}"/>
    <cellStyle name="20 % - Markeringsfarve1 2 6 7" xfId="19477" xr:uid="{00000000-0005-0000-0000-000052040000}"/>
    <cellStyle name="20 % - Markeringsfarve1 2 6 8" xfId="34466" xr:uid="{00000000-0005-0000-0000-000053040000}"/>
    <cellStyle name="20 % - Markeringsfarve1 2 7" xfId="1624" xr:uid="{00000000-0005-0000-0000-000054040000}"/>
    <cellStyle name="20 % - Markeringsfarve1 2 7 2" xfId="1625" xr:uid="{00000000-0005-0000-0000-000055040000}"/>
    <cellStyle name="20 % - Markeringsfarve1 2 7 2 2" xfId="1626" xr:uid="{00000000-0005-0000-0000-000056040000}"/>
    <cellStyle name="20 % - Markeringsfarve1 2 7 2 2 2" xfId="7928" xr:uid="{00000000-0005-0000-0000-000057040000}"/>
    <cellStyle name="20 % - Markeringsfarve1 2 7 2 2 2 2" xfId="15830" xr:uid="{00000000-0005-0000-0000-000058040000}"/>
    <cellStyle name="20 % - Markeringsfarve1 2 7 2 2 2 2 2" xfId="32145" xr:uid="{00000000-0005-0000-0000-000059040000}"/>
    <cellStyle name="20 % - Markeringsfarve1 2 7 2 2 2 2 3" xfId="47109" xr:uid="{00000000-0005-0000-0000-00005A040000}"/>
    <cellStyle name="20 % - Markeringsfarve1 2 7 2 2 2 3" xfId="25123" xr:uid="{00000000-0005-0000-0000-00005B040000}"/>
    <cellStyle name="20 % - Markeringsfarve1 2 7 2 2 2 4" xfId="40110" xr:uid="{00000000-0005-0000-0000-00005C040000}"/>
    <cellStyle name="20 % - Markeringsfarve1 2 7 2 2 3" xfId="10186" xr:uid="{00000000-0005-0000-0000-00005D040000}"/>
    <cellStyle name="20 % - Markeringsfarve1 2 7 2 2 3 2" xfId="26506" xr:uid="{00000000-0005-0000-0000-00005E040000}"/>
    <cellStyle name="20 % - Markeringsfarve1 2 7 2 2 3 3" xfId="41472" xr:uid="{00000000-0005-0000-0000-00005F040000}"/>
    <cellStyle name="20 % - Markeringsfarve1 2 7 2 2 4" xfId="19484" xr:uid="{00000000-0005-0000-0000-000060040000}"/>
    <cellStyle name="20 % - Markeringsfarve1 2 7 2 2 5" xfId="34473" xr:uid="{00000000-0005-0000-0000-000061040000}"/>
    <cellStyle name="20 % - Markeringsfarve1 2 7 2 3" xfId="6453" xr:uid="{00000000-0005-0000-0000-000062040000}"/>
    <cellStyle name="20 % - Markeringsfarve1 2 7 2 3 2" xfId="14368" xr:uid="{00000000-0005-0000-0000-000063040000}"/>
    <cellStyle name="20 % - Markeringsfarve1 2 7 2 3 2 2" xfId="30683" xr:uid="{00000000-0005-0000-0000-000064040000}"/>
    <cellStyle name="20 % - Markeringsfarve1 2 7 2 3 2 3" xfId="45647" xr:uid="{00000000-0005-0000-0000-000065040000}"/>
    <cellStyle name="20 % - Markeringsfarve1 2 7 2 3 3" xfId="23661" xr:uid="{00000000-0005-0000-0000-000066040000}"/>
    <cellStyle name="20 % - Markeringsfarve1 2 7 2 3 4" xfId="38648" xr:uid="{00000000-0005-0000-0000-000067040000}"/>
    <cellStyle name="20 % - Markeringsfarve1 2 7 2 4" xfId="10185" xr:uid="{00000000-0005-0000-0000-000068040000}"/>
    <cellStyle name="20 % - Markeringsfarve1 2 7 2 4 2" xfId="26505" xr:uid="{00000000-0005-0000-0000-000069040000}"/>
    <cellStyle name="20 % - Markeringsfarve1 2 7 2 4 3" xfId="41471" xr:uid="{00000000-0005-0000-0000-00006A040000}"/>
    <cellStyle name="20 % - Markeringsfarve1 2 7 2 5" xfId="19483" xr:uid="{00000000-0005-0000-0000-00006B040000}"/>
    <cellStyle name="20 % - Markeringsfarve1 2 7 2 6" xfId="34472" xr:uid="{00000000-0005-0000-0000-00006C040000}"/>
    <cellStyle name="20 % - Markeringsfarve1 2 7 3" xfId="1627" xr:uid="{00000000-0005-0000-0000-00006D040000}"/>
    <cellStyle name="20 % - Markeringsfarve1 2 7 3 2" xfId="7204" xr:uid="{00000000-0005-0000-0000-00006E040000}"/>
    <cellStyle name="20 % - Markeringsfarve1 2 7 3 2 2" xfId="15115" xr:uid="{00000000-0005-0000-0000-00006F040000}"/>
    <cellStyle name="20 % - Markeringsfarve1 2 7 3 2 2 2" xfId="31430" xr:uid="{00000000-0005-0000-0000-000070040000}"/>
    <cellStyle name="20 % - Markeringsfarve1 2 7 3 2 2 3" xfId="46394" xr:uid="{00000000-0005-0000-0000-000071040000}"/>
    <cellStyle name="20 % - Markeringsfarve1 2 7 3 2 3" xfId="24408" xr:uid="{00000000-0005-0000-0000-000072040000}"/>
    <cellStyle name="20 % - Markeringsfarve1 2 7 3 2 4" xfId="39395" xr:uid="{00000000-0005-0000-0000-000073040000}"/>
    <cellStyle name="20 % - Markeringsfarve1 2 7 3 3" xfId="10187" xr:uid="{00000000-0005-0000-0000-000074040000}"/>
    <cellStyle name="20 % - Markeringsfarve1 2 7 3 3 2" xfId="26507" xr:uid="{00000000-0005-0000-0000-000075040000}"/>
    <cellStyle name="20 % - Markeringsfarve1 2 7 3 3 3" xfId="41473" xr:uid="{00000000-0005-0000-0000-000076040000}"/>
    <cellStyle name="20 % - Markeringsfarve1 2 7 3 4" xfId="19485" xr:uid="{00000000-0005-0000-0000-000077040000}"/>
    <cellStyle name="20 % - Markeringsfarve1 2 7 3 5" xfId="34474" xr:uid="{00000000-0005-0000-0000-000078040000}"/>
    <cellStyle name="20 % - Markeringsfarve1 2 7 4" xfId="1628" xr:uid="{00000000-0005-0000-0000-000079040000}"/>
    <cellStyle name="20 % - Markeringsfarve1 2 7 4 2" xfId="8306" xr:uid="{00000000-0005-0000-0000-00007A040000}"/>
    <cellStyle name="20 % - Markeringsfarve1 2 7 4 2 2" xfId="16201" xr:uid="{00000000-0005-0000-0000-00007B040000}"/>
    <cellStyle name="20 % - Markeringsfarve1 2 7 4 2 2 2" xfId="32516" xr:uid="{00000000-0005-0000-0000-00007C040000}"/>
    <cellStyle name="20 % - Markeringsfarve1 2 7 4 2 2 3" xfId="47480" xr:uid="{00000000-0005-0000-0000-00007D040000}"/>
    <cellStyle name="20 % - Markeringsfarve1 2 7 4 2 3" xfId="25494" xr:uid="{00000000-0005-0000-0000-00007E040000}"/>
    <cellStyle name="20 % - Markeringsfarve1 2 7 4 2 4" xfId="40481" xr:uid="{00000000-0005-0000-0000-00007F040000}"/>
    <cellStyle name="20 % - Markeringsfarve1 2 7 4 3" xfId="10188" xr:uid="{00000000-0005-0000-0000-000080040000}"/>
    <cellStyle name="20 % - Markeringsfarve1 2 7 4 3 2" xfId="26508" xr:uid="{00000000-0005-0000-0000-000081040000}"/>
    <cellStyle name="20 % - Markeringsfarve1 2 7 4 3 3" xfId="41474" xr:uid="{00000000-0005-0000-0000-000082040000}"/>
    <cellStyle name="20 % - Markeringsfarve1 2 7 4 4" xfId="19486" xr:uid="{00000000-0005-0000-0000-000083040000}"/>
    <cellStyle name="20 % - Markeringsfarve1 2 7 4 5" xfId="34475" xr:uid="{00000000-0005-0000-0000-000084040000}"/>
    <cellStyle name="20 % - Markeringsfarve1 2 7 5" xfId="5365" xr:uid="{00000000-0005-0000-0000-000085040000}"/>
    <cellStyle name="20 % - Markeringsfarve1 2 7 5 2" xfId="13284" xr:uid="{00000000-0005-0000-0000-000086040000}"/>
    <cellStyle name="20 % - Markeringsfarve1 2 7 5 2 2" xfId="29599" xr:uid="{00000000-0005-0000-0000-000087040000}"/>
    <cellStyle name="20 % - Markeringsfarve1 2 7 5 2 3" xfId="44563" xr:uid="{00000000-0005-0000-0000-000088040000}"/>
    <cellStyle name="20 % - Markeringsfarve1 2 7 5 3" xfId="22577" xr:uid="{00000000-0005-0000-0000-000089040000}"/>
    <cellStyle name="20 % - Markeringsfarve1 2 7 5 4" xfId="37564" xr:uid="{00000000-0005-0000-0000-00008A040000}"/>
    <cellStyle name="20 % - Markeringsfarve1 2 7 6" xfId="10184" xr:uid="{00000000-0005-0000-0000-00008B040000}"/>
    <cellStyle name="20 % - Markeringsfarve1 2 7 6 2" xfId="26504" xr:uid="{00000000-0005-0000-0000-00008C040000}"/>
    <cellStyle name="20 % - Markeringsfarve1 2 7 6 3" xfId="41470" xr:uid="{00000000-0005-0000-0000-00008D040000}"/>
    <cellStyle name="20 % - Markeringsfarve1 2 7 7" xfId="19482" xr:uid="{00000000-0005-0000-0000-00008E040000}"/>
    <cellStyle name="20 % - Markeringsfarve1 2 7 8" xfId="34471" xr:uid="{00000000-0005-0000-0000-00008F040000}"/>
    <cellStyle name="20 % - Markeringsfarve1 2 8" xfId="1629" xr:uid="{00000000-0005-0000-0000-000090040000}"/>
    <cellStyle name="20 % - Markeringsfarve1 2 8 2" xfId="1630" xr:uid="{00000000-0005-0000-0000-000091040000}"/>
    <cellStyle name="20 % - Markeringsfarve1 2 8 2 2" xfId="1631" xr:uid="{00000000-0005-0000-0000-000092040000}"/>
    <cellStyle name="20 % - Markeringsfarve1 2 8 2 2 2" xfId="8020" xr:uid="{00000000-0005-0000-0000-000093040000}"/>
    <cellStyle name="20 % - Markeringsfarve1 2 8 2 2 2 2" xfId="15922" xr:uid="{00000000-0005-0000-0000-000094040000}"/>
    <cellStyle name="20 % - Markeringsfarve1 2 8 2 2 2 2 2" xfId="32237" xr:uid="{00000000-0005-0000-0000-000095040000}"/>
    <cellStyle name="20 % - Markeringsfarve1 2 8 2 2 2 2 3" xfId="47201" xr:uid="{00000000-0005-0000-0000-000096040000}"/>
    <cellStyle name="20 % - Markeringsfarve1 2 8 2 2 2 3" xfId="25215" xr:uid="{00000000-0005-0000-0000-000097040000}"/>
    <cellStyle name="20 % - Markeringsfarve1 2 8 2 2 2 4" xfId="40202" xr:uid="{00000000-0005-0000-0000-000098040000}"/>
    <cellStyle name="20 % - Markeringsfarve1 2 8 2 2 3" xfId="10191" xr:uid="{00000000-0005-0000-0000-000099040000}"/>
    <cellStyle name="20 % - Markeringsfarve1 2 8 2 2 3 2" xfId="26511" xr:uid="{00000000-0005-0000-0000-00009A040000}"/>
    <cellStyle name="20 % - Markeringsfarve1 2 8 2 2 3 3" xfId="41477" xr:uid="{00000000-0005-0000-0000-00009B040000}"/>
    <cellStyle name="20 % - Markeringsfarve1 2 8 2 2 4" xfId="19489" xr:uid="{00000000-0005-0000-0000-00009C040000}"/>
    <cellStyle name="20 % - Markeringsfarve1 2 8 2 2 5" xfId="34478" xr:uid="{00000000-0005-0000-0000-00009D040000}"/>
    <cellStyle name="20 % - Markeringsfarve1 2 8 2 3" xfId="6531" xr:uid="{00000000-0005-0000-0000-00009E040000}"/>
    <cellStyle name="20 % - Markeringsfarve1 2 8 2 3 2" xfId="14446" xr:uid="{00000000-0005-0000-0000-00009F040000}"/>
    <cellStyle name="20 % - Markeringsfarve1 2 8 2 3 2 2" xfId="30761" xr:uid="{00000000-0005-0000-0000-0000A0040000}"/>
    <cellStyle name="20 % - Markeringsfarve1 2 8 2 3 2 3" xfId="45725" xr:uid="{00000000-0005-0000-0000-0000A1040000}"/>
    <cellStyle name="20 % - Markeringsfarve1 2 8 2 3 3" xfId="23739" xr:uid="{00000000-0005-0000-0000-0000A2040000}"/>
    <cellStyle name="20 % - Markeringsfarve1 2 8 2 3 4" xfId="38726" xr:uid="{00000000-0005-0000-0000-0000A3040000}"/>
    <cellStyle name="20 % - Markeringsfarve1 2 8 2 4" xfId="10190" xr:uid="{00000000-0005-0000-0000-0000A4040000}"/>
    <cellStyle name="20 % - Markeringsfarve1 2 8 2 4 2" xfId="26510" xr:uid="{00000000-0005-0000-0000-0000A5040000}"/>
    <cellStyle name="20 % - Markeringsfarve1 2 8 2 4 3" xfId="41476" xr:uid="{00000000-0005-0000-0000-0000A6040000}"/>
    <cellStyle name="20 % - Markeringsfarve1 2 8 2 5" xfId="19488" xr:uid="{00000000-0005-0000-0000-0000A7040000}"/>
    <cellStyle name="20 % - Markeringsfarve1 2 8 2 6" xfId="34477" xr:uid="{00000000-0005-0000-0000-0000A8040000}"/>
    <cellStyle name="20 % - Markeringsfarve1 2 8 3" xfId="1632" xr:uid="{00000000-0005-0000-0000-0000A9040000}"/>
    <cellStyle name="20 % - Markeringsfarve1 2 8 3 2" xfId="7297" xr:uid="{00000000-0005-0000-0000-0000AA040000}"/>
    <cellStyle name="20 % - Markeringsfarve1 2 8 3 2 2" xfId="15208" xr:uid="{00000000-0005-0000-0000-0000AB040000}"/>
    <cellStyle name="20 % - Markeringsfarve1 2 8 3 2 2 2" xfId="31523" xr:uid="{00000000-0005-0000-0000-0000AC040000}"/>
    <cellStyle name="20 % - Markeringsfarve1 2 8 3 2 2 3" xfId="46487" xr:uid="{00000000-0005-0000-0000-0000AD040000}"/>
    <cellStyle name="20 % - Markeringsfarve1 2 8 3 2 3" xfId="24501" xr:uid="{00000000-0005-0000-0000-0000AE040000}"/>
    <cellStyle name="20 % - Markeringsfarve1 2 8 3 2 4" xfId="39488" xr:uid="{00000000-0005-0000-0000-0000AF040000}"/>
    <cellStyle name="20 % - Markeringsfarve1 2 8 3 3" xfId="10192" xr:uid="{00000000-0005-0000-0000-0000B0040000}"/>
    <cellStyle name="20 % - Markeringsfarve1 2 8 3 3 2" xfId="26512" xr:uid="{00000000-0005-0000-0000-0000B1040000}"/>
    <cellStyle name="20 % - Markeringsfarve1 2 8 3 3 3" xfId="41478" xr:uid="{00000000-0005-0000-0000-0000B2040000}"/>
    <cellStyle name="20 % - Markeringsfarve1 2 8 3 4" xfId="19490" xr:uid="{00000000-0005-0000-0000-0000B3040000}"/>
    <cellStyle name="20 % - Markeringsfarve1 2 8 3 5" xfId="34479" xr:uid="{00000000-0005-0000-0000-0000B4040000}"/>
    <cellStyle name="20 % - Markeringsfarve1 2 8 4" xfId="1633" xr:uid="{00000000-0005-0000-0000-0000B5040000}"/>
    <cellStyle name="20 % - Markeringsfarve1 2 8 4 2" xfId="8305" xr:uid="{00000000-0005-0000-0000-0000B6040000}"/>
    <cellStyle name="20 % - Markeringsfarve1 2 8 4 2 2" xfId="16200" xr:uid="{00000000-0005-0000-0000-0000B7040000}"/>
    <cellStyle name="20 % - Markeringsfarve1 2 8 4 2 2 2" xfId="32515" xr:uid="{00000000-0005-0000-0000-0000B8040000}"/>
    <cellStyle name="20 % - Markeringsfarve1 2 8 4 2 2 3" xfId="47479" xr:uid="{00000000-0005-0000-0000-0000B9040000}"/>
    <cellStyle name="20 % - Markeringsfarve1 2 8 4 2 3" xfId="25493" xr:uid="{00000000-0005-0000-0000-0000BA040000}"/>
    <cellStyle name="20 % - Markeringsfarve1 2 8 4 2 4" xfId="40480" xr:uid="{00000000-0005-0000-0000-0000BB040000}"/>
    <cellStyle name="20 % - Markeringsfarve1 2 8 4 3" xfId="10193" xr:uid="{00000000-0005-0000-0000-0000BC040000}"/>
    <cellStyle name="20 % - Markeringsfarve1 2 8 4 3 2" xfId="26513" xr:uid="{00000000-0005-0000-0000-0000BD040000}"/>
    <cellStyle name="20 % - Markeringsfarve1 2 8 4 3 3" xfId="41479" xr:uid="{00000000-0005-0000-0000-0000BE040000}"/>
    <cellStyle name="20 % - Markeringsfarve1 2 8 4 4" xfId="19491" xr:uid="{00000000-0005-0000-0000-0000BF040000}"/>
    <cellStyle name="20 % - Markeringsfarve1 2 8 4 5" xfId="34480" xr:uid="{00000000-0005-0000-0000-0000C0040000}"/>
    <cellStyle name="20 % - Markeringsfarve1 2 8 5" xfId="5366" xr:uid="{00000000-0005-0000-0000-0000C1040000}"/>
    <cellStyle name="20 % - Markeringsfarve1 2 8 5 2" xfId="13285" xr:uid="{00000000-0005-0000-0000-0000C2040000}"/>
    <cellStyle name="20 % - Markeringsfarve1 2 8 5 2 2" xfId="29600" xr:uid="{00000000-0005-0000-0000-0000C3040000}"/>
    <cellStyle name="20 % - Markeringsfarve1 2 8 5 2 3" xfId="44564" xr:uid="{00000000-0005-0000-0000-0000C4040000}"/>
    <cellStyle name="20 % - Markeringsfarve1 2 8 5 3" xfId="22578" xr:uid="{00000000-0005-0000-0000-0000C5040000}"/>
    <cellStyle name="20 % - Markeringsfarve1 2 8 5 4" xfId="37565" xr:uid="{00000000-0005-0000-0000-0000C6040000}"/>
    <cellStyle name="20 % - Markeringsfarve1 2 8 6" xfId="10189" xr:uid="{00000000-0005-0000-0000-0000C7040000}"/>
    <cellStyle name="20 % - Markeringsfarve1 2 8 6 2" xfId="26509" xr:uid="{00000000-0005-0000-0000-0000C8040000}"/>
    <cellStyle name="20 % - Markeringsfarve1 2 8 6 3" xfId="41475" xr:uid="{00000000-0005-0000-0000-0000C9040000}"/>
    <cellStyle name="20 % - Markeringsfarve1 2 8 7" xfId="19487" xr:uid="{00000000-0005-0000-0000-0000CA040000}"/>
    <cellStyle name="20 % - Markeringsfarve1 2 8 8" xfId="34476" xr:uid="{00000000-0005-0000-0000-0000CB040000}"/>
    <cellStyle name="20 % - Markeringsfarve1 2 9" xfId="1634" xr:uid="{00000000-0005-0000-0000-0000CC040000}"/>
    <cellStyle name="20 % - Markeringsfarve1 2 9 2" xfId="1635" xr:uid="{00000000-0005-0000-0000-0000CD040000}"/>
    <cellStyle name="20 % - Markeringsfarve1 2 9 2 2" xfId="7454" xr:uid="{00000000-0005-0000-0000-0000CE040000}"/>
    <cellStyle name="20 % - Markeringsfarve1 2 9 2 2 2" xfId="15356" xr:uid="{00000000-0005-0000-0000-0000CF040000}"/>
    <cellStyle name="20 % - Markeringsfarve1 2 9 2 2 2 2" xfId="31671" xr:uid="{00000000-0005-0000-0000-0000D0040000}"/>
    <cellStyle name="20 % - Markeringsfarve1 2 9 2 2 2 3" xfId="46635" xr:uid="{00000000-0005-0000-0000-0000D1040000}"/>
    <cellStyle name="20 % - Markeringsfarve1 2 9 2 2 3" xfId="24649" xr:uid="{00000000-0005-0000-0000-0000D2040000}"/>
    <cellStyle name="20 % - Markeringsfarve1 2 9 2 2 4" xfId="39636" xr:uid="{00000000-0005-0000-0000-0000D3040000}"/>
    <cellStyle name="20 % - Markeringsfarve1 2 9 2 3" xfId="10195" xr:uid="{00000000-0005-0000-0000-0000D4040000}"/>
    <cellStyle name="20 % - Markeringsfarve1 2 9 2 3 2" xfId="26515" xr:uid="{00000000-0005-0000-0000-0000D5040000}"/>
    <cellStyle name="20 % - Markeringsfarve1 2 9 2 3 3" xfId="41481" xr:uid="{00000000-0005-0000-0000-0000D6040000}"/>
    <cellStyle name="20 % - Markeringsfarve1 2 9 2 4" xfId="19493" xr:uid="{00000000-0005-0000-0000-0000D7040000}"/>
    <cellStyle name="20 % - Markeringsfarve1 2 9 2 5" xfId="34482" xr:uid="{00000000-0005-0000-0000-0000D8040000}"/>
    <cellStyle name="20 % - Markeringsfarve1 2 9 3" xfId="6053" xr:uid="{00000000-0005-0000-0000-0000D9040000}"/>
    <cellStyle name="20 % - Markeringsfarve1 2 9 3 2" xfId="13971" xr:uid="{00000000-0005-0000-0000-0000DA040000}"/>
    <cellStyle name="20 % - Markeringsfarve1 2 9 3 2 2" xfId="30286" xr:uid="{00000000-0005-0000-0000-0000DB040000}"/>
    <cellStyle name="20 % - Markeringsfarve1 2 9 3 2 3" xfId="45250" xr:uid="{00000000-0005-0000-0000-0000DC040000}"/>
    <cellStyle name="20 % - Markeringsfarve1 2 9 3 3" xfId="23264" xr:uid="{00000000-0005-0000-0000-0000DD040000}"/>
    <cellStyle name="20 % - Markeringsfarve1 2 9 3 4" xfId="38251" xr:uid="{00000000-0005-0000-0000-0000DE040000}"/>
    <cellStyle name="20 % - Markeringsfarve1 2 9 4" xfId="10194" xr:uid="{00000000-0005-0000-0000-0000DF040000}"/>
    <cellStyle name="20 % - Markeringsfarve1 2 9 4 2" xfId="26514" xr:uid="{00000000-0005-0000-0000-0000E0040000}"/>
    <cellStyle name="20 % - Markeringsfarve1 2 9 4 3" xfId="41480" xr:uid="{00000000-0005-0000-0000-0000E1040000}"/>
    <cellStyle name="20 % - Markeringsfarve1 2 9 5" xfId="19492" xr:uid="{00000000-0005-0000-0000-0000E2040000}"/>
    <cellStyle name="20 % - Markeringsfarve1 2 9 6" xfId="34481" xr:uid="{00000000-0005-0000-0000-0000E3040000}"/>
    <cellStyle name="20 % - Markeringsfarve1 3" xfId="1636" xr:uid="{00000000-0005-0000-0000-0000E4040000}"/>
    <cellStyle name="20 % - Markeringsfarve1 3 10" xfId="1637" xr:uid="{00000000-0005-0000-0000-0000E5040000}"/>
    <cellStyle name="20 % - Markeringsfarve1 3 10 2" xfId="6667" xr:uid="{00000000-0005-0000-0000-0000E6040000}"/>
    <cellStyle name="20 % - Markeringsfarve1 3 10 2 2" xfId="14580" xr:uid="{00000000-0005-0000-0000-0000E7040000}"/>
    <cellStyle name="20 % - Markeringsfarve1 3 10 2 2 2" xfId="30895" xr:uid="{00000000-0005-0000-0000-0000E8040000}"/>
    <cellStyle name="20 % - Markeringsfarve1 3 10 2 2 3" xfId="45859" xr:uid="{00000000-0005-0000-0000-0000E9040000}"/>
    <cellStyle name="20 % - Markeringsfarve1 3 10 2 3" xfId="23873" xr:uid="{00000000-0005-0000-0000-0000EA040000}"/>
    <cellStyle name="20 % - Markeringsfarve1 3 10 2 4" xfId="38860" xr:uid="{00000000-0005-0000-0000-0000EB040000}"/>
    <cellStyle name="20 % - Markeringsfarve1 3 10 3" xfId="10197" xr:uid="{00000000-0005-0000-0000-0000EC040000}"/>
    <cellStyle name="20 % - Markeringsfarve1 3 10 3 2" xfId="26517" xr:uid="{00000000-0005-0000-0000-0000ED040000}"/>
    <cellStyle name="20 % - Markeringsfarve1 3 10 3 3" xfId="41483" xr:uid="{00000000-0005-0000-0000-0000EE040000}"/>
    <cellStyle name="20 % - Markeringsfarve1 3 10 4" xfId="19495" xr:uid="{00000000-0005-0000-0000-0000EF040000}"/>
    <cellStyle name="20 % - Markeringsfarve1 3 10 5" xfId="34484" xr:uid="{00000000-0005-0000-0000-0000F0040000}"/>
    <cellStyle name="20 % - Markeringsfarve1 3 11" xfId="1638" xr:uid="{00000000-0005-0000-0000-0000F1040000}"/>
    <cellStyle name="20 % - Markeringsfarve1 3 11 2" xfId="8304" xr:uid="{00000000-0005-0000-0000-0000F2040000}"/>
    <cellStyle name="20 % - Markeringsfarve1 3 11 2 2" xfId="16199" xr:uid="{00000000-0005-0000-0000-0000F3040000}"/>
    <cellStyle name="20 % - Markeringsfarve1 3 11 2 2 2" xfId="32514" xr:uid="{00000000-0005-0000-0000-0000F4040000}"/>
    <cellStyle name="20 % - Markeringsfarve1 3 11 2 2 3" xfId="47478" xr:uid="{00000000-0005-0000-0000-0000F5040000}"/>
    <cellStyle name="20 % - Markeringsfarve1 3 11 2 3" xfId="25492" xr:uid="{00000000-0005-0000-0000-0000F6040000}"/>
    <cellStyle name="20 % - Markeringsfarve1 3 11 2 4" xfId="40479" xr:uid="{00000000-0005-0000-0000-0000F7040000}"/>
    <cellStyle name="20 % - Markeringsfarve1 3 11 3" xfId="10198" xr:uid="{00000000-0005-0000-0000-0000F8040000}"/>
    <cellStyle name="20 % - Markeringsfarve1 3 11 3 2" xfId="26518" xr:uid="{00000000-0005-0000-0000-0000F9040000}"/>
    <cellStyle name="20 % - Markeringsfarve1 3 11 3 3" xfId="41484" xr:uid="{00000000-0005-0000-0000-0000FA040000}"/>
    <cellStyle name="20 % - Markeringsfarve1 3 11 4" xfId="19496" xr:uid="{00000000-0005-0000-0000-0000FB040000}"/>
    <cellStyle name="20 % - Markeringsfarve1 3 11 5" xfId="34485" xr:uid="{00000000-0005-0000-0000-0000FC040000}"/>
    <cellStyle name="20 % - Markeringsfarve1 3 12" xfId="5367" xr:uid="{00000000-0005-0000-0000-0000FD040000}"/>
    <cellStyle name="20 % - Markeringsfarve1 3 12 2" xfId="13286" xr:uid="{00000000-0005-0000-0000-0000FE040000}"/>
    <cellStyle name="20 % - Markeringsfarve1 3 12 2 2" xfId="29601" xr:uid="{00000000-0005-0000-0000-0000FF040000}"/>
    <cellStyle name="20 % - Markeringsfarve1 3 12 2 3" xfId="44565" xr:uid="{00000000-0005-0000-0000-000000050000}"/>
    <cellStyle name="20 % - Markeringsfarve1 3 12 3" xfId="22579" xr:uid="{00000000-0005-0000-0000-000001050000}"/>
    <cellStyle name="20 % - Markeringsfarve1 3 12 4" xfId="37566" xr:uid="{00000000-0005-0000-0000-000002050000}"/>
    <cellStyle name="20 % - Markeringsfarve1 3 13" xfId="10196" xr:uid="{00000000-0005-0000-0000-000003050000}"/>
    <cellStyle name="20 % - Markeringsfarve1 3 13 2" xfId="26516" xr:uid="{00000000-0005-0000-0000-000004050000}"/>
    <cellStyle name="20 % - Markeringsfarve1 3 13 3" xfId="41482" xr:uid="{00000000-0005-0000-0000-000005050000}"/>
    <cellStyle name="20 % - Markeringsfarve1 3 14" xfId="19494" xr:uid="{00000000-0005-0000-0000-000006050000}"/>
    <cellStyle name="20 % - Markeringsfarve1 3 15" xfId="34483" xr:uid="{00000000-0005-0000-0000-000007050000}"/>
    <cellStyle name="20 % - Markeringsfarve1 3 16" xfId="53318" xr:uid="{00000000-0005-0000-0000-000008050000}"/>
    <cellStyle name="20 % - Markeringsfarve1 3 2" xfId="1639" xr:uid="{00000000-0005-0000-0000-000009050000}"/>
    <cellStyle name="20 % - Markeringsfarve1 3 2 10" xfId="5368" xr:uid="{00000000-0005-0000-0000-00000A050000}"/>
    <cellStyle name="20 % - Markeringsfarve1 3 2 10 2" xfId="13287" xr:uid="{00000000-0005-0000-0000-00000B050000}"/>
    <cellStyle name="20 % - Markeringsfarve1 3 2 10 2 2" xfId="29602" xr:uid="{00000000-0005-0000-0000-00000C050000}"/>
    <cellStyle name="20 % - Markeringsfarve1 3 2 10 2 3" xfId="44566" xr:uid="{00000000-0005-0000-0000-00000D050000}"/>
    <cellStyle name="20 % - Markeringsfarve1 3 2 10 3" xfId="22580" xr:uid="{00000000-0005-0000-0000-00000E050000}"/>
    <cellStyle name="20 % - Markeringsfarve1 3 2 10 4" xfId="37567" xr:uid="{00000000-0005-0000-0000-00000F050000}"/>
    <cellStyle name="20 % - Markeringsfarve1 3 2 11" xfId="10199" xr:uid="{00000000-0005-0000-0000-000010050000}"/>
    <cellStyle name="20 % - Markeringsfarve1 3 2 11 2" xfId="26519" xr:uid="{00000000-0005-0000-0000-000011050000}"/>
    <cellStyle name="20 % - Markeringsfarve1 3 2 11 3" xfId="41485" xr:uid="{00000000-0005-0000-0000-000012050000}"/>
    <cellStyle name="20 % - Markeringsfarve1 3 2 12" xfId="19497" xr:uid="{00000000-0005-0000-0000-000013050000}"/>
    <cellStyle name="20 % - Markeringsfarve1 3 2 13" xfId="34486" xr:uid="{00000000-0005-0000-0000-000014050000}"/>
    <cellStyle name="20 % - Markeringsfarve1 3 2 14" xfId="53264" xr:uid="{00000000-0005-0000-0000-000015050000}"/>
    <cellStyle name="20 % - Markeringsfarve1 3 2 2" xfId="1640" xr:uid="{00000000-0005-0000-0000-000016050000}"/>
    <cellStyle name="20 % - Markeringsfarve1 3 2 2 2" xfId="1641" xr:uid="{00000000-0005-0000-0000-000017050000}"/>
    <cellStyle name="20 % - Markeringsfarve1 3 2 2 2 2" xfId="1642" xr:uid="{00000000-0005-0000-0000-000018050000}"/>
    <cellStyle name="20 % - Markeringsfarve1 3 2 2 2 2 2" xfId="7600" xr:uid="{00000000-0005-0000-0000-000019050000}"/>
    <cellStyle name="20 % - Markeringsfarve1 3 2 2 2 2 2 2" xfId="15502" xr:uid="{00000000-0005-0000-0000-00001A050000}"/>
    <cellStyle name="20 % - Markeringsfarve1 3 2 2 2 2 2 2 2" xfId="31817" xr:uid="{00000000-0005-0000-0000-00001B050000}"/>
    <cellStyle name="20 % - Markeringsfarve1 3 2 2 2 2 2 2 3" xfId="46781" xr:uid="{00000000-0005-0000-0000-00001C050000}"/>
    <cellStyle name="20 % - Markeringsfarve1 3 2 2 2 2 2 3" xfId="24795" xr:uid="{00000000-0005-0000-0000-00001D050000}"/>
    <cellStyle name="20 % - Markeringsfarve1 3 2 2 2 2 2 4" xfId="39782" xr:uid="{00000000-0005-0000-0000-00001E050000}"/>
    <cellStyle name="20 % - Markeringsfarve1 3 2 2 2 2 3" xfId="10202" xr:uid="{00000000-0005-0000-0000-00001F050000}"/>
    <cellStyle name="20 % - Markeringsfarve1 3 2 2 2 2 3 2" xfId="26522" xr:uid="{00000000-0005-0000-0000-000020050000}"/>
    <cellStyle name="20 % - Markeringsfarve1 3 2 2 2 2 3 3" xfId="41488" xr:uid="{00000000-0005-0000-0000-000021050000}"/>
    <cellStyle name="20 % - Markeringsfarve1 3 2 2 2 2 4" xfId="19500" xr:uid="{00000000-0005-0000-0000-000022050000}"/>
    <cellStyle name="20 % - Markeringsfarve1 3 2 2 2 2 5" xfId="34489" xr:uid="{00000000-0005-0000-0000-000023050000}"/>
    <cellStyle name="20 % - Markeringsfarve1 3 2 2 2 3" xfId="6175" xr:uid="{00000000-0005-0000-0000-000024050000}"/>
    <cellStyle name="20 % - Markeringsfarve1 3 2 2 2 3 2" xfId="14093" xr:uid="{00000000-0005-0000-0000-000025050000}"/>
    <cellStyle name="20 % - Markeringsfarve1 3 2 2 2 3 2 2" xfId="30408" xr:uid="{00000000-0005-0000-0000-000026050000}"/>
    <cellStyle name="20 % - Markeringsfarve1 3 2 2 2 3 2 3" xfId="45372" xr:uid="{00000000-0005-0000-0000-000027050000}"/>
    <cellStyle name="20 % - Markeringsfarve1 3 2 2 2 3 3" xfId="23386" xr:uid="{00000000-0005-0000-0000-000028050000}"/>
    <cellStyle name="20 % - Markeringsfarve1 3 2 2 2 3 4" xfId="38373" xr:uid="{00000000-0005-0000-0000-000029050000}"/>
    <cellStyle name="20 % - Markeringsfarve1 3 2 2 2 4" xfId="10201" xr:uid="{00000000-0005-0000-0000-00002A050000}"/>
    <cellStyle name="20 % - Markeringsfarve1 3 2 2 2 4 2" xfId="26521" xr:uid="{00000000-0005-0000-0000-00002B050000}"/>
    <cellStyle name="20 % - Markeringsfarve1 3 2 2 2 4 3" xfId="41487" xr:uid="{00000000-0005-0000-0000-00002C050000}"/>
    <cellStyle name="20 % - Markeringsfarve1 3 2 2 2 5" xfId="19499" xr:uid="{00000000-0005-0000-0000-00002D050000}"/>
    <cellStyle name="20 % - Markeringsfarve1 3 2 2 2 6" xfId="34488" xr:uid="{00000000-0005-0000-0000-00002E050000}"/>
    <cellStyle name="20 % - Markeringsfarve1 3 2 2 2 7" xfId="57068" xr:uid="{00000000-0005-0000-0000-00002F050000}"/>
    <cellStyle name="20 % - Markeringsfarve1 3 2 2 3" xfId="1643" xr:uid="{00000000-0005-0000-0000-000030050000}"/>
    <cellStyle name="20 % - Markeringsfarve1 3 2 2 3 2" xfId="6830" xr:uid="{00000000-0005-0000-0000-000031050000}"/>
    <cellStyle name="20 % - Markeringsfarve1 3 2 2 3 2 2" xfId="14742" xr:uid="{00000000-0005-0000-0000-000032050000}"/>
    <cellStyle name="20 % - Markeringsfarve1 3 2 2 3 2 2 2" xfId="31057" xr:uid="{00000000-0005-0000-0000-000033050000}"/>
    <cellStyle name="20 % - Markeringsfarve1 3 2 2 3 2 2 3" xfId="46021" xr:uid="{00000000-0005-0000-0000-000034050000}"/>
    <cellStyle name="20 % - Markeringsfarve1 3 2 2 3 2 3" xfId="24035" xr:uid="{00000000-0005-0000-0000-000035050000}"/>
    <cellStyle name="20 % - Markeringsfarve1 3 2 2 3 2 4" xfId="39022" xr:uid="{00000000-0005-0000-0000-000036050000}"/>
    <cellStyle name="20 % - Markeringsfarve1 3 2 2 3 3" xfId="10203" xr:uid="{00000000-0005-0000-0000-000037050000}"/>
    <cellStyle name="20 % - Markeringsfarve1 3 2 2 3 3 2" xfId="26523" xr:uid="{00000000-0005-0000-0000-000038050000}"/>
    <cellStyle name="20 % - Markeringsfarve1 3 2 2 3 3 3" xfId="41489" xr:uid="{00000000-0005-0000-0000-000039050000}"/>
    <cellStyle name="20 % - Markeringsfarve1 3 2 2 3 4" xfId="19501" xr:uid="{00000000-0005-0000-0000-00003A050000}"/>
    <cellStyle name="20 % - Markeringsfarve1 3 2 2 3 5" xfId="34490" xr:uid="{00000000-0005-0000-0000-00003B050000}"/>
    <cellStyle name="20 % - Markeringsfarve1 3 2 2 4" xfId="1644" xr:uid="{00000000-0005-0000-0000-00003C050000}"/>
    <cellStyle name="20 % - Markeringsfarve1 3 2 2 4 2" xfId="8302" xr:uid="{00000000-0005-0000-0000-00003D050000}"/>
    <cellStyle name="20 % - Markeringsfarve1 3 2 2 4 2 2" xfId="16197" xr:uid="{00000000-0005-0000-0000-00003E050000}"/>
    <cellStyle name="20 % - Markeringsfarve1 3 2 2 4 2 2 2" xfId="32512" xr:uid="{00000000-0005-0000-0000-00003F050000}"/>
    <cellStyle name="20 % - Markeringsfarve1 3 2 2 4 2 2 3" xfId="47476" xr:uid="{00000000-0005-0000-0000-000040050000}"/>
    <cellStyle name="20 % - Markeringsfarve1 3 2 2 4 2 3" xfId="25490" xr:uid="{00000000-0005-0000-0000-000041050000}"/>
    <cellStyle name="20 % - Markeringsfarve1 3 2 2 4 2 4" xfId="40477" xr:uid="{00000000-0005-0000-0000-000042050000}"/>
    <cellStyle name="20 % - Markeringsfarve1 3 2 2 4 3" xfId="10204" xr:uid="{00000000-0005-0000-0000-000043050000}"/>
    <cellStyle name="20 % - Markeringsfarve1 3 2 2 4 3 2" xfId="26524" xr:uid="{00000000-0005-0000-0000-000044050000}"/>
    <cellStyle name="20 % - Markeringsfarve1 3 2 2 4 3 3" xfId="41490" xr:uid="{00000000-0005-0000-0000-000045050000}"/>
    <cellStyle name="20 % - Markeringsfarve1 3 2 2 4 4" xfId="19502" xr:uid="{00000000-0005-0000-0000-000046050000}"/>
    <cellStyle name="20 % - Markeringsfarve1 3 2 2 4 5" xfId="34491" xr:uid="{00000000-0005-0000-0000-000047050000}"/>
    <cellStyle name="20 % - Markeringsfarve1 3 2 2 5" xfId="5369" xr:uid="{00000000-0005-0000-0000-000048050000}"/>
    <cellStyle name="20 % - Markeringsfarve1 3 2 2 5 2" xfId="13288" xr:uid="{00000000-0005-0000-0000-000049050000}"/>
    <cellStyle name="20 % - Markeringsfarve1 3 2 2 5 2 2" xfId="29603" xr:uid="{00000000-0005-0000-0000-00004A050000}"/>
    <cellStyle name="20 % - Markeringsfarve1 3 2 2 5 2 3" xfId="44567" xr:uid="{00000000-0005-0000-0000-00004B050000}"/>
    <cellStyle name="20 % - Markeringsfarve1 3 2 2 5 3" xfId="22581" xr:uid="{00000000-0005-0000-0000-00004C050000}"/>
    <cellStyle name="20 % - Markeringsfarve1 3 2 2 5 4" xfId="37568" xr:uid="{00000000-0005-0000-0000-00004D050000}"/>
    <cellStyle name="20 % - Markeringsfarve1 3 2 2 6" xfId="10200" xr:uid="{00000000-0005-0000-0000-00004E050000}"/>
    <cellStyle name="20 % - Markeringsfarve1 3 2 2 6 2" xfId="26520" xr:uid="{00000000-0005-0000-0000-00004F050000}"/>
    <cellStyle name="20 % - Markeringsfarve1 3 2 2 6 3" xfId="41486" xr:uid="{00000000-0005-0000-0000-000050050000}"/>
    <cellStyle name="20 % - Markeringsfarve1 3 2 2 7" xfId="19498" xr:uid="{00000000-0005-0000-0000-000051050000}"/>
    <cellStyle name="20 % - Markeringsfarve1 3 2 2 8" xfId="34487" xr:uid="{00000000-0005-0000-0000-000052050000}"/>
    <cellStyle name="20 % - Markeringsfarve1 3 2 2 9" xfId="53901" xr:uid="{00000000-0005-0000-0000-000053050000}"/>
    <cellStyle name="20 % - Markeringsfarve1 3 2 3" xfId="1645" xr:uid="{00000000-0005-0000-0000-000054050000}"/>
    <cellStyle name="20 % - Markeringsfarve1 3 2 3 2" xfId="1646" xr:uid="{00000000-0005-0000-0000-000055050000}"/>
    <cellStyle name="20 % - Markeringsfarve1 3 2 3 2 2" xfId="1647" xr:uid="{00000000-0005-0000-0000-000056050000}"/>
    <cellStyle name="20 % - Markeringsfarve1 3 2 3 2 2 2" xfId="7669" xr:uid="{00000000-0005-0000-0000-000057050000}"/>
    <cellStyle name="20 % - Markeringsfarve1 3 2 3 2 2 2 2" xfId="15571" xr:uid="{00000000-0005-0000-0000-000058050000}"/>
    <cellStyle name="20 % - Markeringsfarve1 3 2 3 2 2 2 2 2" xfId="31886" xr:uid="{00000000-0005-0000-0000-000059050000}"/>
    <cellStyle name="20 % - Markeringsfarve1 3 2 3 2 2 2 2 3" xfId="46850" xr:uid="{00000000-0005-0000-0000-00005A050000}"/>
    <cellStyle name="20 % - Markeringsfarve1 3 2 3 2 2 2 3" xfId="24864" xr:uid="{00000000-0005-0000-0000-00005B050000}"/>
    <cellStyle name="20 % - Markeringsfarve1 3 2 3 2 2 2 4" xfId="39851" xr:uid="{00000000-0005-0000-0000-00005C050000}"/>
    <cellStyle name="20 % - Markeringsfarve1 3 2 3 2 2 3" xfId="10207" xr:uid="{00000000-0005-0000-0000-00005D050000}"/>
    <cellStyle name="20 % - Markeringsfarve1 3 2 3 2 2 3 2" xfId="26527" xr:uid="{00000000-0005-0000-0000-00005E050000}"/>
    <cellStyle name="20 % - Markeringsfarve1 3 2 3 2 2 3 3" xfId="41493" xr:uid="{00000000-0005-0000-0000-00005F050000}"/>
    <cellStyle name="20 % - Markeringsfarve1 3 2 3 2 2 4" xfId="19505" xr:uid="{00000000-0005-0000-0000-000060050000}"/>
    <cellStyle name="20 % - Markeringsfarve1 3 2 3 2 2 5" xfId="34494" xr:uid="{00000000-0005-0000-0000-000061050000}"/>
    <cellStyle name="20 % - Markeringsfarve1 3 2 3 2 3" xfId="6233" xr:uid="{00000000-0005-0000-0000-000062050000}"/>
    <cellStyle name="20 % - Markeringsfarve1 3 2 3 2 3 2" xfId="14151" xr:uid="{00000000-0005-0000-0000-000063050000}"/>
    <cellStyle name="20 % - Markeringsfarve1 3 2 3 2 3 2 2" xfId="30466" xr:uid="{00000000-0005-0000-0000-000064050000}"/>
    <cellStyle name="20 % - Markeringsfarve1 3 2 3 2 3 2 3" xfId="45430" xr:uid="{00000000-0005-0000-0000-000065050000}"/>
    <cellStyle name="20 % - Markeringsfarve1 3 2 3 2 3 3" xfId="23444" xr:uid="{00000000-0005-0000-0000-000066050000}"/>
    <cellStyle name="20 % - Markeringsfarve1 3 2 3 2 3 4" xfId="38431" xr:uid="{00000000-0005-0000-0000-000067050000}"/>
    <cellStyle name="20 % - Markeringsfarve1 3 2 3 2 4" xfId="10206" xr:uid="{00000000-0005-0000-0000-000068050000}"/>
    <cellStyle name="20 % - Markeringsfarve1 3 2 3 2 4 2" xfId="26526" xr:uid="{00000000-0005-0000-0000-000069050000}"/>
    <cellStyle name="20 % - Markeringsfarve1 3 2 3 2 4 3" xfId="41492" xr:uid="{00000000-0005-0000-0000-00006A050000}"/>
    <cellStyle name="20 % - Markeringsfarve1 3 2 3 2 5" xfId="19504" xr:uid="{00000000-0005-0000-0000-00006B050000}"/>
    <cellStyle name="20 % - Markeringsfarve1 3 2 3 2 6" xfId="34493" xr:uid="{00000000-0005-0000-0000-00006C050000}"/>
    <cellStyle name="20 % - Markeringsfarve1 3 2 3 3" xfId="1648" xr:uid="{00000000-0005-0000-0000-00006D050000}"/>
    <cellStyle name="20 % - Markeringsfarve1 3 2 3 3 2" xfId="6899" xr:uid="{00000000-0005-0000-0000-00006E050000}"/>
    <cellStyle name="20 % - Markeringsfarve1 3 2 3 3 2 2" xfId="14811" xr:uid="{00000000-0005-0000-0000-00006F050000}"/>
    <cellStyle name="20 % - Markeringsfarve1 3 2 3 3 2 2 2" xfId="31126" xr:uid="{00000000-0005-0000-0000-000070050000}"/>
    <cellStyle name="20 % - Markeringsfarve1 3 2 3 3 2 2 3" xfId="46090" xr:uid="{00000000-0005-0000-0000-000071050000}"/>
    <cellStyle name="20 % - Markeringsfarve1 3 2 3 3 2 3" xfId="24104" xr:uid="{00000000-0005-0000-0000-000072050000}"/>
    <cellStyle name="20 % - Markeringsfarve1 3 2 3 3 2 4" xfId="39091" xr:uid="{00000000-0005-0000-0000-000073050000}"/>
    <cellStyle name="20 % - Markeringsfarve1 3 2 3 3 3" xfId="10208" xr:uid="{00000000-0005-0000-0000-000074050000}"/>
    <cellStyle name="20 % - Markeringsfarve1 3 2 3 3 3 2" xfId="26528" xr:uid="{00000000-0005-0000-0000-000075050000}"/>
    <cellStyle name="20 % - Markeringsfarve1 3 2 3 3 3 3" xfId="41494" xr:uid="{00000000-0005-0000-0000-000076050000}"/>
    <cellStyle name="20 % - Markeringsfarve1 3 2 3 3 4" xfId="19506" xr:uid="{00000000-0005-0000-0000-000077050000}"/>
    <cellStyle name="20 % - Markeringsfarve1 3 2 3 3 5" xfId="34495" xr:uid="{00000000-0005-0000-0000-000078050000}"/>
    <cellStyle name="20 % - Markeringsfarve1 3 2 3 4" xfId="1649" xr:uid="{00000000-0005-0000-0000-000079050000}"/>
    <cellStyle name="20 % - Markeringsfarve1 3 2 3 4 2" xfId="8301" xr:uid="{00000000-0005-0000-0000-00007A050000}"/>
    <cellStyle name="20 % - Markeringsfarve1 3 2 3 4 2 2" xfId="16196" xr:uid="{00000000-0005-0000-0000-00007B050000}"/>
    <cellStyle name="20 % - Markeringsfarve1 3 2 3 4 2 2 2" xfId="32511" xr:uid="{00000000-0005-0000-0000-00007C050000}"/>
    <cellStyle name="20 % - Markeringsfarve1 3 2 3 4 2 2 3" xfId="47475" xr:uid="{00000000-0005-0000-0000-00007D050000}"/>
    <cellStyle name="20 % - Markeringsfarve1 3 2 3 4 2 3" xfId="25489" xr:uid="{00000000-0005-0000-0000-00007E050000}"/>
    <cellStyle name="20 % - Markeringsfarve1 3 2 3 4 2 4" xfId="40476" xr:uid="{00000000-0005-0000-0000-00007F050000}"/>
    <cellStyle name="20 % - Markeringsfarve1 3 2 3 4 3" xfId="10209" xr:uid="{00000000-0005-0000-0000-000080050000}"/>
    <cellStyle name="20 % - Markeringsfarve1 3 2 3 4 3 2" xfId="26529" xr:uid="{00000000-0005-0000-0000-000081050000}"/>
    <cellStyle name="20 % - Markeringsfarve1 3 2 3 4 3 3" xfId="41495" xr:uid="{00000000-0005-0000-0000-000082050000}"/>
    <cellStyle name="20 % - Markeringsfarve1 3 2 3 4 4" xfId="19507" xr:uid="{00000000-0005-0000-0000-000083050000}"/>
    <cellStyle name="20 % - Markeringsfarve1 3 2 3 4 5" xfId="34496" xr:uid="{00000000-0005-0000-0000-000084050000}"/>
    <cellStyle name="20 % - Markeringsfarve1 3 2 3 5" xfId="5370" xr:uid="{00000000-0005-0000-0000-000085050000}"/>
    <cellStyle name="20 % - Markeringsfarve1 3 2 3 5 2" xfId="13289" xr:uid="{00000000-0005-0000-0000-000086050000}"/>
    <cellStyle name="20 % - Markeringsfarve1 3 2 3 5 2 2" xfId="29604" xr:uid="{00000000-0005-0000-0000-000087050000}"/>
    <cellStyle name="20 % - Markeringsfarve1 3 2 3 5 2 3" xfId="44568" xr:uid="{00000000-0005-0000-0000-000088050000}"/>
    <cellStyle name="20 % - Markeringsfarve1 3 2 3 5 3" xfId="22582" xr:uid="{00000000-0005-0000-0000-000089050000}"/>
    <cellStyle name="20 % - Markeringsfarve1 3 2 3 5 4" xfId="37569" xr:uid="{00000000-0005-0000-0000-00008A050000}"/>
    <cellStyle name="20 % - Markeringsfarve1 3 2 3 6" xfId="10205" xr:uid="{00000000-0005-0000-0000-00008B050000}"/>
    <cellStyle name="20 % - Markeringsfarve1 3 2 3 6 2" xfId="26525" xr:uid="{00000000-0005-0000-0000-00008C050000}"/>
    <cellStyle name="20 % - Markeringsfarve1 3 2 3 6 3" xfId="41491" xr:uid="{00000000-0005-0000-0000-00008D050000}"/>
    <cellStyle name="20 % - Markeringsfarve1 3 2 3 7" xfId="19503" xr:uid="{00000000-0005-0000-0000-00008E050000}"/>
    <cellStyle name="20 % - Markeringsfarve1 3 2 3 8" xfId="34492" xr:uid="{00000000-0005-0000-0000-00008F050000}"/>
    <cellStyle name="20 % - Markeringsfarve1 3 2 3 9" xfId="56445" xr:uid="{00000000-0005-0000-0000-000090050000}"/>
    <cellStyle name="20 % - Markeringsfarve1 3 2 4" xfId="1650" xr:uid="{00000000-0005-0000-0000-000091050000}"/>
    <cellStyle name="20 % - Markeringsfarve1 3 2 4 2" xfId="1651" xr:uid="{00000000-0005-0000-0000-000092050000}"/>
    <cellStyle name="20 % - Markeringsfarve1 3 2 4 2 2" xfId="1652" xr:uid="{00000000-0005-0000-0000-000093050000}"/>
    <cellStyle name="20 % - Markeringsfarve1 3 2 4 2 2 2" xfId="7838" xr:uid="{00000000-0005-0000-0000-000094050000}"/>
    <cellStyle name="20 % - Markeringsfarve1 3 2 4 2 2 2 2" xfId="15740" xr:uid="{00000000-0005-0000-0000-000095050000}"/>
    <cellStyle name="20 % - Markeringsfarve1 3 2 4 2 2 2 2 2" xfId="32055" xr:uid="{00000000-0005-0000-0000-000096050000}"/>
    <cellStyle name="20 % - Markeringsfarve1 3 2 4 2 2 2 2 3" xfId="47019" xr:uid="{00000000-0005-0000-0000-000097050000}"/>
    <cellStyle name="20 % - Markeringsfarve1 3 2 4 2 2 2 3" xfId="25033" xr:uid="{00000000-0005-0000-0000-000098050000}"/>
    <cellStyle name="20 % - Markeringsfarve1 3 2 4 2 2 2 4" xfId="40020" xr:uid="{00000000-0005-0000-0000-000099050000}"/>
    <cellStyle name="20 % - Markeringsfarve1 3 2 4 2 2 3" xfId="10212" xr:uid="{00000000-0005-0000-0000-00009A050000}"/>
    <cellStyle name="20 % - Markeringsfarve1 3 2 4 2 2 3 2" xfId="26532" xr:uid="{00000000-0005-0000-0000-00009B050000}"/>
    <cellStyle name="20 % - Markeringsfarve1 3 2 4 2 2 3 3" xfId="41498" xr:uid="{00000000-0005-0000-0000-00009C050000}"/>
    <cellStyle name="20 % - Markeringsfarve1 3 2 4 2 2 4" xfId="19510" xr:uid="{00000000-0005-0000-0000-00009D050000}"/>
    <cellStyle name="20 % - Markeringsfarve1 3 2 4 2 2 5" xfId="34499" xr:uid="{00000000-0005-0000-0000-00009E050000}"/>
    <cellStyle name="20 % - Markeringsfarve1 3 2 4 2 3" xfId="6377" xr:uid="{00000000-0005-0000-0000-00009F050000}"/>
    <cellStyle name="20 % - Markeringsfarve1 3 2 4 2 3 2" xfId="14292" xr:uid="{00000000-0005-0000-0000-0000A0050000}"/>
    <cellStyle name="20 % - Markeringsfarve1 3 2 4 2 3 2 2" xfId="30607" xr:uid="{00000000-0005-0000-0000-0000A1050000}"/>
    <cellStyle name="20 % - Markeringsfarve1 3 2 4 2 3 2 3" xfId="45571" xr:uid="{00000000-0005-0000-0000-0000A2050000}"/>
    <cellStyle name="20 % - Markeringsfarve1 3 2 4 2 3 3" xfId="23585" xr:uid="{00000000-0005-0000-0000-0000A3050000}"/>
    <cellStyle name="20 % - Markeringsfarve1 3 2 4 2 3 4" xfId="38572" xr:uid="{00000000-0005-0000-0000-0000A4050000}"/>
    <cellStyle name="20 % - Markeringsfarve1 3 2 4 2 4" xfId="10211" xr:uid="{00000000-0005-0000-0000-0000A5050000}"/>
    <cellStyle name="20 % - Markeringsfarve1 3 2 4 2 4 2" xfId="26531" xr:uid="{00000000-0005-0000-0000-0000A6050000}"/>
    <cellStyle name="20 % - Markeringsfarve1 3 2 4 2 4 3" xfId="41497" xr:uid="{00000000-0005-0000-0000-0000A7050000}"/>
    <cellStyle name="20 % - Markeringsfarve1 3 2 4 2 5" xfId="19509" xr:uid="{00000000-0005-0000-0000-0000A8050000}"/>
    <cellStyle name="20 % - Markeringsfarve1 3 2 4 2 6" xfId="34498" xr:uid="{00000000-0005-0000-0000-0000A9050000}"/>
    <cellStyle name="20 % - Markeringsfarve1 3 2 4 3" xfId="1653" xr:uid="{00000000-0005-0000-0000-0000AA050000}"/>
    <cellStyle name="20 % - Markeringsfarve1 3 2 4 3 2" xfId="7114" xr:uid="{00000000-0005-0000-0000-0000AB050000}"/>
    <cellStyle name="20 % - Markeringsfarve1 3 2 4 3 2 2" xfId="15025" xr:uid="{00000000-0005-0000-0000-0000AC050000}"/>
    <cellStyle name="20 % - Markeringsfarve1 3 2 4 3 2 2 2" xfId="31340" xr:uid="{00000000-0005-0000-0000-0000AD050000}"/>
    <cellStyle name="20 % - Markeringsfarve1 3 2 4 3 2 2 3" xfId="46304" xr:uid="{00000000-0005-0000-0000-0000AE050000}"/>
    <cellStyle name="20 % - Markeringsfarve1 3 2 4 3 2 3" xfId="24318" xr:uid="{00000000-0005-0000-0000-0000AF050000}"/>
    <cellStyle name="20 % - Markeringsfarve1 3 2 4 3 2 4" xfId="39305" xr:uid="{00000000-0005-0000-0000-0000B0050000}"/>
    <cellStyle name="20 % - Markeringsfarve1 3 2 4 3 3" xfId="10213" xr:uid="{00000000-0005-0000-0000-0000B1050000}"/>
    <cellStyle name="20 % - Markeringsfarve1 3 2 4 3 3 2" xfId="26533" xr:uid="{00000000-0005-0000-0000-0000B2050000}"/>
    <cellStyle name="20 % - Markeringsfarve1 3 2 4 3 3 3" xfId="41499" xr:uid="{00000000-0005-0000-0000-0000B3050000}"/>
    <cellStyle name="20 % - Markeringsfarve1 3 2 4 3 4" xfId="19511" xr:uid="{00000000-0005-0000-0000-0000B4050000}"/>
    <cellStyle name="20 % - Markeringsfarve1 3 2 4 3 5" xfId="34500" xr:uid="{00000000-0005-0000-0000-0000B5050000}"/>
    <cellStyle name="20 % - Markeringsfarve1 3 2 4 4" xfId="1654" xr:uid="{00000000-0005-0000-0000-0000B6050000}"/>
    <cellStyle name="20 % - Markeringsfarve1 3 2 4 4 2" xfId="8300" xr:uid="{00000000-0005-0000-0000-0000B7050000}"/>
    <cellStyle name="20 % - Markeringsfarve1 3 2 4 4 2 2" xfId="16195" xr:uid="{00000000-0005-0000-0000-0000B8050000}"/>
    <cellStyle name="20 % - Markeringsfarve1 3 2 4 4 2 2 2" xfId="32510" xr:uid="{00000000-0005-0000-0000-0000B9050000}"/>
    <cellStyle name="20 % - Markeringsfarve1 3 2 4 4 2 2 3" xfId="47474" xr:uid="{00000000-0005-0000-0000-0000BA050000}"/>
    <cellStyle name="20 % - Markeringsfarve1 3 2 4 4 2 3" xfId="25488" xr:uid="{00000000-0005-0000-0000-0000BB050000}"/>
    <cellStyle name="20 % - Markeringsfarve1 3 2 4 4 2 4" xfId="40475" xr:uid="{00000000-0005-0000-0000-0000BC050000}"/>
    <cellStyle name="20 % - Markeringsfarve1 3 2 4 4 3" xfId="10214" xr:uid="{00000000-0005-0000-0000-0000BD050000}"/>
    <cellStyle name="20 % - Markeringsfarve1 3 2 4 4 3 2" xfId="26534" xr:uid="{00000000-0005-0000-0000-0000BE050000}"/>
    <cellStyle name="20 % - Markeringsfarve1 3 2 4 4 3 3" xfId="41500" xr:uid="{00000000-0005-0000-0000-0000BF050000}"/>
    <cellStyle name="20 % - Markeringsfarve1 3 2 4 4 4" xfId="19512" xr:uid="{00000000-0005-0000-0000-0000C0050000}"/>
    <cellStyle name="20 % - Markeringsfarve1 3 2 4 4 5" xfId="34501" xr:uid="{00000000-0005-0000-0000-0000C1050000}"/>
    <cellStyle name="20 % - Markeringsfarve1 3 2 4 5" xfId="5371" xr:uid="{00000000-0005-0000-0000-0000C2050000}"/>
    <cellStyle name="20 % - Markeringsfarve1 3 2 4 5 2" xfId="13290" xr:uid="{00000000-0005-0000-0000-0000C3050000}"/>
    <cellStyle name="20 % - Markeringsfarve1 3 2 4 5 2 2" xfId="29605" xr:uid="{00000000-0005-0000-0000-0000C4050000}"/>
    <cellStyle name="20 % - Markeringsfarve1 3 2 4 5 2 3" xfId="44569" xr:uid="{00000000-0005-0000-0000-0000C5050000}"/>
    <cellStyle name="20 % - Markeringsfarve1 3 2 4 5 3" xfId="22583" xr:uid="{00000000-0005-0000-0000-0000C6050000}"/>
    <cellStyle name="20 % - Markeringsfarve1 3 2 4 5 4" xfId="37570" xr:uid="{00000000-0005-0000-0000-0000C7050000}"/>
    <cellStyle name="20 % - Markeringsfarve1 3 2 4 6" xfId="10210" xr:uid="{00000000-0005-0000-0000-0000C8050000}"/>
    <cellStyle name="20 % - Markeringsfarve1 3 2 4 6 2" xfId="26530" xr:uid="{00000000-0005-0000-0000-0000C9050000}"/>
    <cellStyle name="20 % - Markeringsfarve1 3 2 4 6 3" xfId="41496" xr:uid="{00000000-0005-0000-0000-0000CA050000}"/>
    <cellStyle name="20 % - Markeringsfarve1 3 2 4 7" xfId="19508" xr:uid="{00000000-0005-0000-0000-0000CB050000}"/>
    <cellStyle name="20 % - Markeringsfarve1 3 2 4 8" xfId="34497" xr:uid="{00000000-0005-0000-0000-0000CC050000}"/>
    <cellStyle name="20 % - Markeringsfarve1 3 2 5" xfId="1655" xr:uid="{00000000-0005-0000-0000-0000CD050000}"/>
    <cellStyle name="20 % - Markeringsfarve1 3 2 5 2" xfId="1656" xr:uid="{00000000-0005-0000-0000-0000CE050000}"/>
    <cellStyle name="20 % - Markeringsfarve1 3 2 5 2 2" xfId="1657" xr:uid="{00000000-0005-0000-0000-0000CF050000}"/>
    <cellStyle name="20 % - Markeringsfarve1 3 2 5 2 2 2" xfId="7955" xr:uid="{00000000-0005-0000-0000-0000D0050000}"/>
    <cellStyle name="20 % - Markeringsfarve1 3 2 5 2 2 2 2" xfId="15857" xr:uid="{00000000-0005-0000-0000-0000D1050000}"/>
    <cellStyle name="20 % - Markeringsfarve1 3 2 5 2 2 2 2 2" xfId="32172" xr:uid="{00000000-0005-0000-0000-0000D2050000}"/>
    <cellStyle name="20 % - Markeringsfarve1 3 2 5 2 2 2 2 3" xfId="47136" xr:uid="{00000000-0005-0000-0000-0000D3050000}"/>
    <cellStyle name="20 % - Markeringsfarve1 3 2 5 2 2 2 3" xfId="25150" xr:uid="{00000000-0005-0000-0000-0000D4050000}"/>
    <cellStyle name="20 % - Markeringsfarve1 3 2 5 2 2 2 4" xfId="40137" xr:uid="{00000000-0005-0000-0000-0000D5050000}"/>
    <cellStyle name="20 % - Markeringsfarve1 3 2 5 2 2 3" xfId="10217" xr:uid="{00000000-0005-0000-0000-0000D6050000}"/>
    <cellStyle name="20 % - Markeringsfarve1 3 2 5 2 2 3 2" xfId="26537" xr:uid="{00000000-0005-0000-0000-0000D7050000}"/>
    <cellStyle name="20 % - Markeringsfarve1 3 2 5 2 2 3 3" xfId="41503" xr:uid="{00000000-0005-0000-0000-0000D8050000}"/>
    <cellStyle name="20 % - Markeringsfarve1 3 2 5 2 2 4" xfId="19515" xr:uid="{00000000-0005-0000-0000-0000D9050000}"/>
    <cellStyle name="20 % - Markeringsfarve1 3 2 5 2 2 5" xfId="34504" xr:uid="{00000000-0005-0000-0000-0000DA050000}"/>
    <cellStyle name="20 % - Markeringsfarve1 3 2 5 2 3" xfId="6476" xr:uid="{00000000-0005-0000-0000-0000DB050000}"/>
    <cellStyle name="20 % - Markeringsfarve1 3 2 5 2 3 2" xfId="14391" xr:uid="{00000000-0005-0000-0000-0000DC050000}"/>
    <cellStyle name="20 % - Markeringsfarve1 3 2 5 2 3 2 2" xfId="30706" xr:uid="{00000000-0005-0000-0000-0000DD050000}"/>
    <cellStyle name="20 % - Markeringsfarve1 3 2 5 2 3 2 3" xfId="45670" xr:uid="{00000000-0005-0000-0000-0000DE050000}"/>
    <cellStyle name="20 % - Markeringsfarve1 3 2 5 2 3 3" xfId="23684" xr:uid="{00000000-0005-0000-0000-0000DF050000}"/>
    <cellStyle name="20 % - Markeringsfarve1 3 2 5 2 3 4" xfId="38671" xr:uid="{00000000-0005-0000-0000-0000E0050000}"/>
    <cellStyle name="20 % - Markeringsfarve1 3 2 5 2 4" xfId="10216" xr:uid="{00000000-0005-0000-0000-0000E1050000}"/>
    <cellStyle name="20 % - Markeringsfarve1 3 2 5 2 4 2" xfId="26536" xr:uid="{00000000-0005-0000-0000-0000E2050000}"/>
    <cellStyle name="20 % - Markeringsfarve1 3 2 5 2 4 3" xfId="41502" xr:uid="{00000000-0005-0000-0000-0000E3050000}"/>
    <cellStyle name="20 % - Markeringsfarve1 3 2 5 2 5" xfId="19514" xr:uid="{00000000-0005-0000-0000-0000E4050000}"/>
    <cellStyle name="20 % - Markeringsfarve1 3 2 5 2 6" xfId="34503" xr:uid="{00000000-0005-0000-0000-0000E5050000}"/>
    <cellStyle name="20 % - Markeringsfarve1 3 2 5 3" xfId="1658" xr:uid="{00000000-0005-0000-0000-0000E6050000}"/>
    <cellStyle name="20 % - Markeringsfarve1 3 2 5 3 2" xfId="7231" xr:uid="{00000000-0005-0000-0000-0000E7050000}"/>
    <cellStyle name="20 % - Markeringsfarve1 3 2 5 3 2 2" xfId="15142" xr:uid="{00000000-0005-0000-0000-0000E8050000}"/>
    <cellStyle name="20 % - Markeringsfarve1 3 2 5 3 2 2 2" xfId="31457" xr:uid="{00000000-0005-0000-0000-0000E9050000}"/>
    <cellStyle name="20 % - Markeringsfarve1 3 2 5 3 2 2 3" xfId="46421" xr:uid="{00000000-0005-0000-0000-0000EA050000}"/>
    <cellStyle name="20 % - Markeringsfarve1 3 2 5 3 2 3" xfId="24435" xr:uid="{00000000-0005-0000-0000-0000EB050000}"/>
    <cellStyle name="20 % - Markeringsfarve1 3 2 5 3 2 4" xfId="39422" xr:uid="{00000000-0005-0000-0000-0000EC050000}"/>
    <cellStyle name="20 % - Markeringsfarve1 3 2 5 3 3" xfId="10218" xr:uid="{00000000-0005-0000-0000-0000ED050000}"/>
    <cellStyle name="20 % - Markeringsfarve1 3 2 5 3 3 2" xfId="26538" xr:uid="{00000000-0005-0000-0000-0000EE050000}"/>
    <cellStyle name="20 % - Markeringsfarve1 3 2 5 3 3 3" xfId="41504" xr:uid="{00000000-0005-0000-0000-0000EF050000}"/>
    <cellStyle name="20 % - Markeringsfarve1 3 2 5 3 4" xfId="19516" xr:uid="{00000000-0005-0000-0000-0000F0050000}"/>
    <cellStyle name="20 % - Markeringsfarve1 3 2 5 3 5" xfId="34505" xr:uid="{00000000-0005-0000-0000-0000F1050000}"/>
    <cellStyle name="20 % - Markeringsfarve1 3 2 5 4" xfId="1659" xr:uid="{00000000-0005-0000-0000-0000F2050000}"/>
    <cellStyle name="20 % - Markeringsfarve1 3 2 5 4 2" xfId="8299" xr:uid="{00000000-0005-0000-0000-0000F3050000}"/>
    <cellStyle name="20 % - Markeringsfarve1 3 2 5 4 2 2" xfId="16194" xr:uid="{00000000-0005-0000-0000-0000F4050000}"/>
    <cellStyle name="20 % - Markeringsfarve1 3 2 5 4 2 2 2" xfId="32509" xr:uid="{00000000-0005-0000-0000-0000F5050000}"/>
    <cellStyle name="20 % - Markeringsfarve1 3 2 5 4 2 2 3" xfId="47473" xr:uid="{00000000-0005-0000-0000-0000F6050000}"/>
    <cellStyle name="20 % - Markeringsfarve1 3 2 5 4 2 3" xfId="25487" xr:uid="{00000000-0005-0000-0000-0000F7050000}"/>
    <cellStyle name="20 % - Markeringsfarve1 3 2 5 4 2 4" xfId="40474" xr:uid="{00000000-0005-0000-0000-0000F8050000}"/>
    <cellStyle name="20 % - Markeringsfarve1 3 2 5 4 3" xfId="10219" xr:uid="{00000000-0005-0000-0000-0000F9050000}"/>
    <cellStyle name="20 % - Markeringsfarve1 3 2 5 4 3 2" xfId="26539" xr:uid="{00000000-0005-0000-0000-0000FA050000}"/>
    <cellStyle name="20 % - Markeringsfarve1 3 2 5 4 3 3" xfId="41505" xr:uid="{00000000-0005-0000-0000-0000FB050000}"/>
    <cellStyle name="20 % - Markeringsfarve1 3 2 5 4 4" xfId="19517" xr:uid="{00000000-0005-0000-0000-0000FC050000}"/>
    <cellStyle name="20 % - Markeringsfarve1 3 2 5 4 5" xfId="34506" xr:uid="{00000000-0005-0000-0000-0000FD050000}"/>
    <cellStyle name="20 % - Markeringsfarve1 3 2 5 5" xfId="5372" xr:uid="{00000000-0005-0000-0000-0000FE050000}"/>
    <cellStyle name="20 % - Markeringsfarve1 3 2 5 5 2" xfId="13291" xr:uid="{00000000-0005-0000-0000-0000FF050000}"/>
    <cellStyle name="20 % - Markeringsfarve1 3 2 5 5 2 2" xfId="29606" xr:uid="{00000000-0005-0000-0000-000000060000}"/>
    <cellStyle name="20 % - Markeringsfarve1 3 2 5 5 2 3" xfId="44570" xr:uid="{00000000-0005-0000-0000-000001060000}"/>
    <cellStyle name="20 % - Markeringsfarve1 3 2 5 5 3" xfId="22584" xr:uid="{00000000-0005-0000-0000-000002060000}"/>
    <cellStyle name="20 % - Markeringsfarve1 3 2 5 5 4" xfId="37571" xr:uid="{00000000-0005-0000-0000-000003060000}"/>
    <cellStyle name="20 % - Markeringsfarve1 3 2 5 6" xfId="10215" xr:uid="{00000000-0005-0000-0000-000004060000}"/>
    <cellStyle name="20 % - Markeringsfarve1 3 2 5 6 2" xfId="26535" xr:uid="{00000000-0005-0000-0000-000005060000}"/>
    <cellStyle name="20 % - Markeringsfarve1 3 2 5 6 3" xfId="41501" xr:uid="{00000000-0005-0000-0000-000006060000}"/>
    <cellStyle name="20 % - Markeringsfarve1 3 2 5 7" xfId="19513" xr:uid="{00000000-0005-0000-0000-000007060000}"/>
    <cellStyle name="20 % - Markeringsfarve1 3 2 5 8" xfId="34502" xr:uid="{00000000-0005-0000-0000-000008060000}"/>
    <cellStyle name="20 % - Markeringsfarve1 3 2 6" xfId="1660" xr:uid="{00000000-0005-0000-0000-000009060000}"/>
    <cellStyle name="20 % - Markeringsfarve1 3 2 6 2" xfId="1661" xr:uid="{00000000-0005-0000-0000-00000A060000}"/>
    <cellStyle name="20 % - Markeringsfarve1 3 2 6 2 2" xfId="1662" xr:uid="{00000000-0005-0000-0000-00000B060000}"/>
    <cellStyle name="20 % - Markeringsfarve1 3 2 6 2 2 2" xfId="8024" xr:uid="{00000000-0005-0000-0000-00000C060000}"/>
    <cellStyle name="20 % - Markeringsfarve1 3 2 6 2 2 2 2" xfId="15926" xr:uid="{00000000-0005-0000-0000-00000D060000}"/>
    <cellStyle name="20 % - Markeringsfarve1 3 2 6 2 2 2 2 2" xfId="32241" xr:uid="{00000000-0005-0000-0000-00000E060000}"/>
    <cellStyle name="20 % - Markeringsfarve1 3 2 6 2 2 2 2 3" xfId="47205" xr:uid="{00000000-0005-0000-0000-00000F060000}"/>
    <cellStyle name="20 % - Markeringsfarve1 3 2 6 2 2 2 3" xfId="25219" xr:uid="{00000000-0005-0000-0000-000010060000}"/>
    <cellStyle name="20 % - Markeringsfarve1 3 2 6 2 2 2 4" xfId="40206" xr:uid="{00000000-0005-0000-0000-000011060000}"/>
    <cellStyle name="20 % - Markeringsfarve1 3 2 6 2 2 3" xfId="10222" xr:uid="{00000000-0005-0000-0000-000012060000}"/>
    <cellStyle name="20 % - Markeringsfarve1 3 2 6 2 2 3 2" xfId="26542" xr:uid="{00000000-0005-0000-0000-000013060000}"/>
    <cellStyle name="20 % - Markeringsfarve1 3 2 6 2 2 3 3" xfId="41508" xr:uid="{00000000-0005-0000-0000-000014060000}"/>
    <cellStyle name="20 % - Markeringsfarve1 3 2 6 2 2 4" xfId="19520" xr:uid="{00000000-0005-0000-0000-000015060000}"/>
    <cellStyle name="20 % - Markeringsfarve1 3 2 6 2 2 5" xfId="34509" xr:uid="{00000000-0005-0000-0000-000016060000}"/>
    <cellStyle name="20 % - Markeringsfarve1 3 2 6 2 3" xfId="6535" xr:uid="{00000000-0005-0000-0000-000017060000}"/>
    <cellStyle name="20 % - Markeringsfarve1 3 2 6 2 3 2" xfId="14450" xr:uid="{00000000-0005-0000-0000-000018060000}"/>
    <cellStyle name="20 % - Markeringsfarve1 3 2 6 2 3 2 2" xfId="30765" xr:uid="{00000000-0005-0000-0000-000019060000}"/>
    <cellStyle name="20 % - Markeringsfarve1 3 2 6 2 3 2 3" xfId="45729" xr:uid="{00000000-0005-0000-0000-00001A060000}"/>
    <cellStyle name="20 % - Markeringsfarve1 3 2 6 2 3 3" xfId="23743" xr:uid="{00000000-0005-0000-0000-00001B060000}"/>
    <cellStyle name="20 % - Markeringsfarve1 3 2 6 2 3 4" xfId="38730" xr:uid="{00000000-0005-0000-0000-00001C060000}"/>
    <cellStyle name="20 % - Markeringsfarve1 3 2 6 2 4" xfId="10221" xr:uid="{00000000-0005-0000-0000-00001D060000}"/>
    <cellStyle name="20 % - Markeringsfarve1 3 2 6 2 4 2" xfId="26541" xr:uid="{00000000-0005-0000-0000-00001E060000}"/>
    <cellStyle name="20 % - Markeringsfarve1 3 2 6 2 4 3" xfId="41507" xr:uid="{00000000-0005-0000-0000-00001F060000}"/>
    <cellStyle name="20 % - Markeringsfarve1 3 2 6 2 5" xfId="19519" xr:uid="{00000000-0005-0000-0000-000020060000}"/>
    <cellStyle name="20 % - Markeringsfarve1 3 2 6 2 6" xfId="34508" xr:uid="{00000000-0005-0000-0000-000021060000}"/>
    <cellStyle name="20 % - Markeringsfarve1 3 2 6 3" xfId="1663" xr:uid="{00000000-0005-0000-0000-000022060000}"/>
    <cellStyle name="20 % - Markeringsfarve1 3 2 6 3 2" xfId="7301" xr:uid="{00000000-0005-0000-0000-000023060000}"/>
    <cellStyle name="20 % - Markeringsfarve1 3 2 6 3 2 2" xfId="15212" xr:uid="{00000000-0005-0000-0000-000024060000}"/>
    <cellStyle name="20 % - Markeringsfarve1 3 2 6 3 2 2 2" xfId="31527" xr:uid="{00000000-0005-0000-0000-000025060000}"/>
    <cellStyle name="20 % - Markeringsfarve1 3 2 6 3 2 2 3" xfId="46491" xr:uid="{00000000-0005-0000-0000-000026060000}"/>
    <cellStyle name="20 % - Markeringsfarve1 3 2 6 3 2 3" xfId="24505" xr:uid="{00000000-0005-0000-0000-000027060000}"/>
    <cellStyle name="20 % - Markeringsfarve1 3 2 6 3 2 4" xfId="39492" xr:uid="{00000000-0005-0000-0000-000028060000}"/>
    <cellStyle name="20 % - Markeringsfarve1 3 2 6 3 3" xfId="10223" xr:uid="{00000000-0005-0000-0000-000029060000}"/>
    <cellStyle name="20 % - Markeringsfarve1 3 2 6 3 3 2" xfId="26543" xr:uid="{00000000-0005-0000-0000-00002A060000}"/>
    <cellStyle name="20 % - Markeringsfarve1 3 2 6 3 3 3" xfId="41509" xr:uid="{00000000-0005-0000-0000-00002B060000}"/>
    <cellStyle name="20 % - Markeringsfarve1 3 2 6 3 4" xfId="19521" xr:uid="{00000000-0005-0000-0000-00002C060000}"/>
    <cellStyle name="20 % - Markeringsfarve1 3 2 6 3 5" xfId="34510" xr:uid="{00000000-0005-0000-0000-00002D060000}"/>
    <cellStyle name="20 % - Markeringsfarve1 3 2 6 4" xfId="1664" xr:uid="{00000000-0005-0000-0000-00002E060000}"/>
    <cellStyle name="20 % - Markeringsfarve1 3 2 6 4 2" xfId="8298" xr:uid="{00000000-0005-0000-0000-00002F060000}"/>
    <cellStyle name="20 % - Markeringsfarve1 3 2 6 4 2 2" xfId="16193" xr:uid="{00000000-0005-0000-0000-000030060000}"/>
    <cellStyle name="20 % - Markeringsfarve1 3 2 6 4 2 2 2" xfId="32508" xr:uid="{00000000-0005-0000-0000-000031060000}"/>
    <cellStyle name="20 % - Markeringsfarve1 3 2 6 4 2 2 3" xfId="47472" xr:uid="{00000000-0005-0000-0000-000032060000}"/>
    <cellStyle name="20 % - Markeringsfarve1 3 2 6 4 2 3" xfId="25486" xr:uid="{00000000-0005-0000-0000-000033060000}"/>
    <cellStyle name="20 % - Markeringsfarve1 3 2 6 4 2 4" xfId="40473" xr:uid="{00000000-0005-0000-0000-000034060000}"/>
    <cellStyle name="20 % - Markeringsfarve1 3 2 6 4 3" xfId="10224" xr:uid="{00000000-0005-0000-0000-000035060000}"/>
    <cellStyle name="20 % - Markeringsfarve1 3 2 6 4 3 2" xfId="26544" xr:uid="{00000000-0005-0000-0000-000036060000}"/>
    <cellStyle name="20 % - Markeringsfarve1 3 2 6 4 3 3" xfId="41510" xr:uid="{00000000-0005-0000-0000-000037060000}"/>
    <cellStyle name="20 % - Markeringsfarve1 3 2 6 4 4" xfId="19522" xr:uid="{00000000-0005-0000-0000-000038060000}"/>
    <cellStyle name="20 % - Markeringsfarve1 3 2 6 4 5" xfId="34511" xr:uid="{00000000-0005-0000-0000-000039060000}"/>
    <cellStyle name="20 % - Markeringsfarve1 3 2 6 5" xfId="5373" xr:uid="{00000000-0005-0000-0000-00003A060000}"/>
    <cellStyle name="20 % - Markeringsfarve1 3 2 6 5 2" xfId="13292" xr:uid="{00000000-0005-0000-0000-00003B060000}"/>
    <cellStyle name="20 % - Markeringsfarve1 3 2 6 5 2 2" xfId="29607" xr:uid="{00000000-0005-0000-0000-00003C060000}"/>
    <cellStyle name="20 % - Markeringsfarve1 3 2 6 5 2 3" xfId="44571" xr:uid="{00000000-0005-0000-0000-00003D060000}"/>
    <cellStyle name="20 % - Markeringsfarve1 3 2 6 5 3" xfId="22585" xr:uid="{00000000-0005-0000-0000-00003E060000}"/>
    <cellStyle name="20 % - Markeringsfarve1 3 2 6 5 4" xfId="37572" xr:uid="{00000000-0005-0000-0000-00003F060000}"/>
    <cellStyle name="20 % - Markeringsfarve1 3 2 6 6" xfId="10220" xr:uid="{00000000-0005-0000-0000-000040060000}"/>
    <cellStyle name="20 % - Markeringsfarve1 3 2 6 6 2" xfId="26540" xr:uid="{00000000-0005-0000-0000-000041060000}"/>
    <cellStyle name="20 % - Markeringsfarve1 3 2 6 6 3" xfId="41506" xr:uid="{00000000-0005-0000-0000-000042060000}"/>
    <cellStyle name="20 % - Markeringsfarve1 3 2 6 7" xfId="19518" xr:uid="{00000000-0005-0000-0000-000043060000}"/>
    <cellStyle name="20 % - Markeringsfarve1 3 2 6 8" xfId="34507" xr:uid="{00000000-0005-0000-0000-000044060000}"/>
    <cellStyle name="20 % - Markeringsfarve1 3 2 7" xfId="1665" xr:uid="{00000000-0005-0000-0000-000045060000}"/>
    <cellStyle name="20 % - Markeringsfarve1 3 2 7 2" xfId="1666" xr:uid="{00000000-0005-0000-0000-000046060000}"/>
    <cellStyle name="20 % - Markeringsfarve1 3 2 7 2 2" xfId="7481" xr:uid="{00000000-0005-0000-0000-000047060000}"/>
    <cellStyle name="20 % - Markeringsfarve1 3 2 7 2 2 2" xfId="15383" xr:uid="{00000000-0005-0000-0000-000048060000}"/>
    <cellStyle name="20 % - Markeringsfarve1 3 2 7 2 2 2 2" xfId="31698" xr:uid="{00000000-0005-0000-0000-000049060000}"/>
    <cellStyle name="20 % - Markeringsfarve1 3 2 7 2 2 2 3" xfId="46662" xr:uid="{00000000-0005-0000-0000-00004A060000}"/>
    <cellStyle name="20 % - Markeringsfarve1 3 2 7 2 2 3" xfId="24676" xr:uid="{00000000-0005-0000-0000-00004B060000}"/>
    <cellStyle name="20 % - Markeringsfarve1 3 2 7 2 2 4" xfId="39663" xr:uid="{00000000-0005-0000-0000-00004C060000}"/>
    <cellStyle name="20 % - Markeringsfarve1 3 2 7 2 3" xfId="10226" xr:uid="{00000000-0005-0000-0000-00004D060000}"/>
    <cellStyle name="20 % - Markeringsfarve1 3 2 7 2 3 2" xfId="26546" xr:uid="{00000000-0005-0000-0000-00004E060000}"/>
    <cellStyle name="20 % - Markeringsfarve1 3 2 7 2 3 3" xfId="41512" xr:uid="{00000000-0005-0000-0000-00004F060000}"/>
    <cellStyle name="20 % - Markeringsfarve1 3 2 7 2 4" xfId="19524" xr:uid="{00000000-0005-0000-0000-000050060000}"/>
    <cellStyle name="20 % - Markeringsfarve1 3 2 7 2 5" xfId="34513" xr:uid="{00000000-0005-0000-0000-000051060000}"/>
    <cellStyle name="20 % - Markeringsfarve1 3 2 7 3" xfId="6076" xr:uid="{00000000-0005-0000-0000-000052060000}"/>
    <cellStyle name="20 % - Markeringsfarve1 3 2 7 3 2" xfId="13994" xr:uid="{00000000-0005-0000-0000-000053060000}"/>
    <cellStyle name="20 % - Markeringsfarve1 3 2 7 3 2 2" xfId="30309" xr:uid="{00000000-0005-0000-0000-000054060000}"/>
    <cellStyle name="20 % - Markeringsfarve1 3 2 7 3 2 3" xfId="45273" xr:uid="{00000000-0005-0000-0000-000055060000}"/>
    <cellStyle name="20 % - Markeringsfarve1 3 2 7 3 3" xfId="23287" xr:uid="{00000000-0005-0000-0000-000056060000}"/>
    <cellStyle name="20 % - Markeringsfarve1 3 2 7 3 4" xfId="38274" xr:uid="{00000000-0005-0000-0000-000057060000}"/>
    <cellStyle name="20 % - Markeringsfarve1 3 2 7 4" xfId="10225" xr:uid="{00000000-0005-0000-0000-000058060000}"/>
    <cellStyle name="20 % - Markeringsfarve1 3 2 7 4 2" xfId="26545" xr:uid="{00000000-0005-0000-0000-000059060000}"/>
    <cellStyle name="20 % - Markeringsfarve1 3 2 7 4 3" xfId="41511" xr:uid="{00000000-0005-0000-0000-00005A060000}"/>
    <cellStyle name="20 % - Markeringsfarve1 3 2 7 5" xfId="19523" xr:uid="{00000000-0005-0000-0000-00005B060000}"/>
    <cellStyle name="20 % - Markeringsfarve1 3 2 7 6" xfId="34512" xr:uid="{00000000-0005-0000-0000-00005C060000}"/>
    <cellStyle name="20 % - Markeringsfarve1 3 2 8" xfId="1667" xr:uid="{00000000-0005-0000-0000-00005D060000}"/>
    <cellStyle name="20 % - Markeringsfarve1 3 2 8 2" xfId="6709" xr:uid="{00000000-0005-0000-0000-00005E060000}"/>
    <cellStyle name="20 % - Markeringsfarve1 3 2 8 2 2" xfId="14621" xr:uid="{00000000-0005-0000-0000-00005F060000}"/>
    <cellStyle name="20 % - Markeringsfarve1 3 2 8 2 2 2" xfId="30936" xr:uid="{00000000-0005-0000-0000-000060060000}"/>
    <cellStyle name="20 % - Markeringsfarve1 3 2 8 2 2 3" xfId="45900" xr:uid="{00000000-0005-0000-0000-000061060000}"/>
    <cellStyle name="20 % - Markeringsfarve1 3 2 8 2 3" xfId="23914" xr:uid="{00000000-0005-0000-0000-000062060000}"/>
    <cellStyle name="20 % - Markeringsfarve1 3 2 8 2 4" xfId="38901" xr:uid="{00000000-0005-0000-0000-000063060000}"/>
    <cellStyle name="20 % - Markeringsfarve1 3 2 8 3" xfId="10227" xr:uid="{00000000-0005-0000-0000-000064060000}"/>
    <cellStyle name="20 % - Markeringsfarve1 3 2 8 3 2" xfId="26547" xr:uid="{00000000-0005-0000-0000-000065060000}"/>
    <cellStyle name="20 % - Markeringsfarve1 3 2 8 3 3" xfId="41513" xr:uid="{00000000-0005-0000-0000-000066060000}"/>
    <cellStyle name="20 % - Markeringsfarve1 3 2 8 4" xfId="19525" xr:uid="{00000000-0005-0000-0000-000067060000}"/>
    <cellStyle name="20 % - Markeringsfarve1 3 2 8 5" xfId="34514" xr:uid="{00000000-0005-0000-0000-000068060000}"/>
    <cellStyle name="20 % - Markeringsfarve1 3 2 9" xfId="1668" xr:uid="{00000000-0005-0000-0000-000069060000}"/>
    <cellStyle name="20 % - Markeringsfarve1 3 2 9 2" xfId="8303" xr:uid="{00000000-0005-0000-0000-00006A060000}"/>
    <cellStyle name="20 % - Markeringsfarve1 3 2 9 2 2" xfId="16198" xr:uid="{00000000-0005-0000-0000-00006B060000}"/>
    <cellStyle name="20 % - Markeringsfarve1 3 2 9 2 2 2" xfId="32513" xr:uid="{00000000-0005-0000-0000-00006C060000}"/>
    <cellStyle name="20 % - Markeringsfarve1 3 2 9 2 2 3" xfId="47477" xr:uid="{00000000-0005-0000-0000-00006D060000}"/>
    <cellStyle name="20 % - Markeringsfarve1 3 2 9 2 3" xfId="25491" xr:uid="{00000000-0005-0000-0000-00006E060000}"/>
    <cellStyle name="20 % - Markeringsfarve1 3 2 9 2 4" xfId="40478" xr:uid="{00000000-0005-0000-0000-00006F060000}"/>
    <cellStyle name="20 % - Markeringsfarve1 3 2 9 3" xfId="10228" xr:uid="{00000000-0005-0000-0000-000070060000}"/>
    <cellStyle name="20 % - Markeringsfarve1 3 2 9 3 2" xfId="26548" xr:uid="{00000000-0005-0000-0000-000071060000}"/>
    <cellStyle name="20 % - Markeringsfarve1 3 2 9 3 3" xfId="41514" xr:uid="{00000000-0005-0000-0000-000072060000}"/>
    <cellStyle name="20 % - Markeringsfarve1 3 2 9 4" xfId="19526" xr:uid="{00000000-0005-0000-0000-000073060000}"/>
    <cellStyle name="20 % - Markeringsfarve1 3 2 9 5" xfId="34515" xr:uid="{00000000-0005-0000-0000-000074060000}"/>
    <cellStyle name="20 % - Markeringsfarve1 3 3" xfId="1669" xr:uid="{00000000-0005-0000-0000-000075060000}"/>
    <cellStyle name="20 % - Markeringsfarve1 3 3 10" xfId="5374" xr:uid="{00000000-0005-0000-0000-000076060000}"/>
    <cellStyle name="20 % - Markeringsfarve1 3 3 10 2" xfId="13293" xr:uid="{00000000-0005-0000-0000-000077060000}"/>
    <cellStyle name="20 % - Markeringsfarve1 3 3 10 2 2" xfId="29608" xr:uid="{00000000-0005-0000-0000-000078060000}"/>
    <cellStyle name="20 % - Markeringsfarve1 3 3 10 2 3" xfId="44572" xr:uid="{00000000-0005-0000-0000-000079060000}"/>
    <cellStyle name="20 % - Markeringsfarve1 3 3 10 3" xfId="22586" xr:uid="{00000000-0005-0000-0000-00007A060000}"/>
    <cellStyle name="20 % - Markeringsfarve1 3 3 10 4" xfId="37573" xr:uid="{00000000-0005-0000-0000-00007B060000}"/>
    <cellStyle name="20 % - Markeringsfarve1 3 3 11" xfId="10229" xr:uid="{00000000-0005-0000-0000-00007C060000}"/>
    <cellStyle name="20 % - Markeringsfarve1 3 3 11 2" xfId="26549" xr:uid="{00000000-0005-0000-0000-00007D060000}"/>
    <cellStyle name="20 % - Markeringsfarve1 3 3 11 3" xfId="41515" xr:uid="{00000000-0005-0000-0000-00007E060000}"/>
    <cellStyle name="20 % - Markeringsfarve1 3 3 12" xfId="19527" xr:uid="{00000000-0005-0000-0000-00007F060000}"/>
    <cellStyle name="20 % - Markeringsfarve1 3 3 13" xfId="34516" xr:uid="{00000000-0005-0000-0000-000080060000}"/>
    <cellStyle name="20 % - Markeringsfarve1 3 3 14" xfId="53955" xr:uid="{00000000-0005-0000-0000-000081060000}"/>
    <cellStyle name="20 % - Markeringsfarve1 3 3 2" xfId="1670" xr:uid="{00000000-0005-0000-0000-000082060000}"/>
    <cellStyle name="20 % - Markeringsfarve1 3 3 2 2" xfId="1671" xr:uid="{00000000-0005-0000-0000-000083060000}"/>
    <cellStyle name="20 % - Markeringsfarve1 3 3 2 2 2" xfId="1672" xr:uid="{00000000-0005-0000-0000-000084060000}"/>
    <cellStyle name="20 % - Markeringsfarve1 3 3 2 2 2 2" xfId="7639" xr:uid="{00000000-0005-0000-0000-000085060000}"/>
    <cellStyle name="20 % - Markeringsfarve1 3 3 2 2 2 2 2" xfId="15541" xr:uid="{00000000-0005-0000-0000-000086060000}"/>
    <cellStyle name="20 % - Markeringsfarve1 3 3 2 2 2 2 2 2" xfId="31856" xr:uid="{00000000-0005-0000-0000-000087060000}"/>
    <cellStyle name="20 % - Markeringsfarve1 3 3 2 2 2 2 2 3" xfId="46820" xr:uid="{00000000-0005-0000-0000-000088060000}"/>
    <cellStyle name="20 % - Markeringsfarve1 3 3 2 2 2 2 3" xfId="24834" xr:uid="{00000000-0005-0000-0000-000089060000}"/>
    <cellStyle name="20 % - Markeringsfarve1 3 3 2 2 2 2 4" xfId="39821" xr:uid="{00000000-0005-0000-0000-00008A060000}"/>
    <cellStyle name="20 % - Markeringsfarve1 3 3 2 2 2 3" xfId="10232" xr:uid="{00000000-0005-0000-0000-00008B060000}"/>
    <cellStyle name="20 % - Markeringsfarve1 3 3 2 2 2 3 2" xfId="26552" xr:uid="{00000000-0005-0000-0000-00008C060000}"/>
    <cellStyle name="20 % - Markeringsfarve1 3 3 2 2 2 3 3" xfId="41518" xr:uid="{00000000-0005-0000-0000-00008D060000}"/>
    <cellStyle name="20 % - Markeringsfarve1 3 3 2 2 2 4" xfId="19530" xr:uid="{00000000-0005-0000-0000-00008E060000}"/>
    <cellStyle name="20 % - Markeringsfarve1 3 3 2 2 2 5" xfId="34519" xr:uid="{00000000-0005-0000-0000-00008F060000}"/>
    <cellStyle name="20 % - Markeringsfarve1 3 3 2 2 3" xfId="6208" xr:uid="{00000000-0005-0000-0000-000090060000}"/>
    <cellStyle name="20 % - Markeringsfarve1 3 3 2 2 3 2" xfId="14126" xr:uid="{00000000-0005-0000-0000-000091060000}"/>
    <cellStyle name="20 % - Markeringsfarve1 3 3 2 2 3 2 2" xfId="30441" xr:uid="{00000000-0005-0000-0000-000092060000}"/>
    <cellStyle name="20 % - Markeringsfarve1 3 3 2 2 3 2 3" xfId="45405" xr:uid="{00000000-0005-0000-0000-000093060000}"/>
    <cellStyle name="20 % - Markeringsfarve1 3 3 2 2 3 3" xfId="23419" xr:uid="{00000000-0005-0000-0000-000094060000}"/>
    <cellStyle name="20 % - Markeringsfarve1 3 3 2 2 3 4" xfId="38406" xr:uid="{00000000-0005-0000-0000-000095060000}"/>
    <cellStyle name="20 % - Markeringsfarve1 3 3 2 2 4" xfId="10231" xr:uid="{00000000-0005-0000-0000-000096060000}"/>
    <cellStyle name="20 % - Markeringsfarve1 3 3 2 2 4 2" xfId="26551" xr:uid="{00000000-0005-0000-0000-000097060000}"/>
    <cellStyle name="20 % - Markeringsfarve1 3 3 2 2 4 3" xfId="41517" xr:uid="{00000000-0005-0000-0000-000098060000}"/>
    <cellStyle name="20 % - Markeringsfarve1 3 3 2 2 5" xfId="19529" xr:uid="{00000000-0005-0000-0000-000099060000}"/>
    <cellStyle name="20 % - Markeringsfarve1 3 3 2 2 6" xfId="34518" xr:uid="{00000000-0005-0000-0000-00009A060000}"/>
    <cellStyle name="20 % - Markeringsfarve1 3 3 2 3" xfId="1673" xr:uid="{00000000-0005-0000-0000-00009B060000}"/>
    <cellStyle name="20 % - Markeringsfarve1 3 3 2 3 2" xfId="6869" xr:uid="{00000000-0005-0000-0000-00009C060000}"/>
    <cellStyle name="20 % - Markeringsfarve1 3 3 2 3 2 2" xfId="14781" xr:uid="{00000000-0005-0000-0000-00009D060000}"/>
    <cellStyle name="20 % - Markeringsfarve1 3 3 2 3 2 2 2" xfId="31096" xr:uid="{00000000-0005-0000-0000-00009E060000}"/>
    <cellStyle name="20 % - Markeringsfarve1 3 3 2 3 2 2 3" xfId="46060" xr:uid="{00000000-0005-0000-0000-00009F060000}"/>
    <cellStyle name="20 % - Markeringsfarve1 3 3 2 3 2 3" xfId="24074" xr:uid="{00000000-0005-0000-0000-0000A0060000}"/>
    <cellStyle name="20 % - Markeringsfarve1 3 3 2 3 2 4" xfId="39061" xr:uid="{00000000-0005-0000-0000-0000A1060000}"/>
    <cellStyle name="20 % - Markeringsfarve1 3 3 2 3 3" xfId="10233" xr:uid="{00000000-0005-0000-0000-0000A2060000}"/>
    <cellStyle name="20 % - Markeringsfarve1 3 3 2 3 3 2" xfId="26553" xr:uid="{00000000-0005-0000-0000-0000A3060000}"/>
    <cellStyle name="20 % - Markeringsfarve1 3 3 2 3 3 3" xfId="41519" xr:uid="{00000000-0005-0000-0000-0000A4060000}"/>
    <cellStyle name="20 % - Markeringsfarve1 3 3 2 3 4" xfId="19531" xr:uid="{00000000-0005-0000-0000-0000A5060000}"/>
    <cellStyle name="20 % - Markeringsfarve1 3 3 2 3 5" xfId="34520" xr:uid="{00000000-0005-0000-0000-0000A6060000}"/>
    <cellStyle name="20 % - Markeringsfarve1 3 3 2 4" xfId="1674" xr:uid="{00000000-0005-0000-0000-0000A7060000}"/>
    <cellStyle name="20 % - Markeringsfarve1 3 3 2 4 2" xfId="8296" xr:uid="{00000000-0005-0000-0000-0000A8060000}"/>
    <cellStyle name="20 % - Markeringsfarve1 3 3 2 4 2 2" xfId="16191" xr:uid="{00000000-0005-0000-0000-0000A9060000}"/>
    <cellStyle name="20 % - Markeringsfarve1 3 3 2 4 2 2 2" xfId="32506" xr:uid="{00000000-0005-0000-0000-0000AA060000}"/>
    <cellStyle name="20 % - Markeringsfarve1 3 3 2 4 2 2 3" xfId="47470" xr:uid="{00000000-0005-0000-0000-0000AB060000}"/>
    <cellStyle name="20 % - Markeringsfarve1 3 3 2 4 2 3" xfId="25484" xr:uid="{00000000-0005-0000-0000-0000AC060000}"/>
    <cellStyle name="20 % - Markeringsfarve1 3 3 2 4 2 4" xfId="40471" xr:uid="{00000000-0005-0000-0000-0000AD060000}"/>
    <cellStyle name="20 % - Markeringsfarve1 3 3 2 4 3" xfId="10234" xr:uid="{00000000-0005-0000-0000-0000AE060000}"/>
    <cellStyle name="20 % - Markeringsfarve1 3 3 2 4 3 2" xfId="26554" xr:uid="{00000000-0005-0000-0000-0000AF060000}"/>
    <cellStyle name="20 % - Markeringsfarve1 3 3 2 4 3 3" xfId="41520" xr:uid="{00000000-0005-0000-0000-0000B0060000}"/>
    <cellStyle name="20 % - Markeringsfarve1 3 3 2 4 4" xfId="19532" xr:uid="{00000000-0005-0000-0000-0000B1060000}"/>
    <cellStyle name="20 % - Markeringsfarve1 3 3 2 4 5" xfId="34521" xr:uid="{00000000-0005-0000-0000-0000B2060000}"/>
    <cellStyle name="20 % - Markeringsfarve1 3 3 2 5" xfId="5375" xr:uid="{00000000-0005-0000-0000-0000B3060000}"/>
    <cellStyle name="20 % - Markeringsfarve1 3 3 2 5 2" xfId="13294" xr:uid="{00000000-0005-0000-0000-0000B4060000}"/>
    <cellStyle name="20 % - Markeringsfarve1 3 3 2 5 2 2" xfId="29609" xr:uid="{00000000-0005-0000-0000-0000B5060000}"/>
    <cellStyle name="20 % - Markeringsfarve1 3 3 2 5 2 3" xfId="44573" xr:uid="{00000000-0005-0000-0000-0000B6060000}"/>
    <cellStyle name="20 % - Markeringsfarve1 3 3 2 5 3" xfId="22587" xr:uid="{00000000-0005-0000-0000-0000B7060000}"/>
    <cellStyle name="20 % - Markeringsfarve1 3 3 2 5 4" xfId="37574" xr:uid="{00000000-0005-0000-0000-0000B8060000}"/>
    <cellStyle name="20 % - Markeringsfarve1 3 3 2 6" xfId="10230" xr:uid="{00000000-0005-0000-0000-0000B9060000}"/>
    <cellStyle name="20 % - Markeringsfarve1 3 3 2 6 2" xfId="26550" xr:uid="{00000000-0005-0000-0000-0000BA060000}"/>
    <cellStyle name="20 % - Markeringsfarve1 3 3 2 6 3" xfId="41516" xr:uid="{00000000-0005-0000-0000-0000BB060000}"/>
    <cellStyle name="20 % - Markeringsfarve1 3 3 2 7" xfId="19528" xr:uid="{00000000-0005-0000-0000-0000BC060000}"/>
    <cellStyle name="20 % - Markeringsfarve1 3 3 2 8" xfId="34517" xr:uid="{00000000-0005-0000-0000-0000BD060000}"/>
    <cellStyle name="20 % - Markeringsfarve1 3 3 2 9" xfId="57122" xr:uid="{00000000-0005-0000-0000-0000BE060000}"/>
    <cellStyle name="20 % - Markeringsfarve1 3 3 3" xfId="1675" xr:uid="{00000000-0005-0000-0000-0000BF060000}"/>
    <cellStyle name="20 % - Markeringsfarve1 3 3 3 2" xfId="1676" xr:uid="{00000000-0005-0000-0000-0000C0060000}"/>
    <cellStyle name="20 % - Markeringsfarve1 3 3 3 2 2" xfId="1677" xr:uid="{00000000-0005-0000-0000-0000C1060000}"/>
    <cellStyle name="20 % - Markeringsfarve1 3 3 3 2 2 2" xfId="7670" xr:uid="{00000000-0005-0000-0000-0000C2060000}"/>
    <cellStyle name="20 % - Markeringsfarve1 3 3 3 2 2 2 2" xfId="15572" xr:uid="{00000000-0005-0000-0000-0000C3060000}"/>
    <cellStyle name="20 % - Markeringsfarve1 3 3 3 2 2 2 2 2" xfId="31887" xr:uid="{00000000-0005-0000-0000-0000C4060000}"/>
    <cellStyle name="20 % - Markeringsfarve1 3 3 3 2 2 2 2 3" xfId="46851" xr:uid="{00000000-0005-0000-0000-0000C5060000}"/>
    <cellStyle name="20 % - Markeringsfarve1 3 3 3 2 2 2 3" xfId="24865" xr:uid="{00000000-0005-0000-0000-0000C6060000}"/>
    <cellStyle name="20 % - Markeringsfarve1 3 3 3 2 2 2 4" xfId="39852" xr:uid="{00000000-0005-0000-0000-0000C7060000}"/>
    <cellStyle name="20 % - Markeringsfarve1 3 3 3 2 2 3" xfId="10237" xr:uid="{00000000-0005-0000-0000-0000C8060000}"/>
    <cellStyle name="20 % - Markeringsfarve1 3 3 3 2 2 3 2" xfId="26557" xr:uid="{00000000-0005-0000-0000-0000C9060000}"/>
    <cellStyle name="20 % - Markeringsfarve1 3 3 3 2 2 3 3" xfId="41523" xr:uid="{00000000-0005-0000-0000-0000CA060000}"/>
    <cellStyle name="20 % - Markeringsfarve1 3 3 3 2 2 4" xfId="19535" xr:uid="{00000000-0005-0000-0000-0000CB060000}"/>
    <cellStyle name="20 % - Markeringsfarve1 3 3 3 2 2 5" xfId="34524" xr:uid="{00000000-0005-0000-0000-0000CC060000}"/>
    <cellStyle name="20 % - Markeringsfarve1 3 3 3 2 3" xfId="6234" xr:uid="{00000000-0005-0000-0000-0000CD060000}"/>
    <cellStyle name="20 % - Markeringsfarve1 3 3 3 2 3 2" xfId="14152" xr:uid="{00000000-0005-0000-0000-0000CE060000}"/>
    <cellStyle name="20 % - Markeringsfarve1 3 3 3 2 3 2 2" xfId="30467" xr:uid="{00000000-0005-0000-0000-0000CF060000}"/>
    <cellStyle name="20 % - Markeringsfarve1 3 3 3 2 3 2 3" xfId="45431" xr:uid="{00000000-0005-0000-0000-0000D0060000}"/>
    <cellStyle name="20 % - Markeringsfarve1 3 3 3 2 3 3" xfId="23445" xr:uid="{00000000-0005-0000-0000-0000D1060000}"/>
    <cellStyle name="20 % - Markeringsfarve1 3 3 3 2 3 4" xfId="38432" xr:uid="{00000000-0005-0000-0000-0000D2060000}"/>
    <cellStyle name="20 % - Markeringsfarve1 3 3 3 2 4" xfId="10236" xr:uid="{00000000-0005-0000-0000-0000D3060000}"/>
    <cellStyle name="20 % - Markeringsfarve1 3 3 3 2 4 2" xfId="26556" xr:uid="{00000000-0005-0000-0000-0000D4060000}"/>
    <cellStyle name="20 % - Markeringsfarve1 3 3 3 2 4 3" xfId="41522" xr:uid="{00000000-0005-0000-0000-0000D5060000}"/>
    <cellStyle name="20 % - Markeringsfarve1 3 3 3 2 5" xfId="19534" xr:uid="{00000000-0005-0000-0000-0000D6060000}"/>
    <cellStyle name="20 % - Markeringsfarve1 3 3 3 2 6" xfId="34523" xr:uid="{00000000-0005-0000-0000-0000D7060000}"/>
    <cellStyle name="20 % - Markeringsfarve1 3 3 3 3" xfId="1678" xr:uid="{00000000-0005-0000-0000-0000D8060000}"/>
    <cellStyle name="20 % - Markeringsfarve1 3 3 3 3 2" xfId="6900" xr:uid="{00000000-0005-0000-0000-0000D9060000}"/>
    <cellStyle name="20 % - Markeringsfarve1 3 3 3 3 2 2" xfId="14812" xr:uid="{00000000-0005-0000-0000-0000DA060000}"/>
    <cellStyle name="20 % - Markeringsfarve1 3 3 3 3 2 2 2" xfId="31127" xr:uid="{00000000-0005-0000-0000-0000DB060000}"/>
    <cellStyle name="20 % - Markeringsfarve1 3 3 3 3 2 2 3" xfId="46091" xr:uid="{00000000-0005-0000-0000-0000DC060000}"/>
    <cellStyle name="20 % - Markeringsfarve1 3 3 3 3 2 3" xfId="24105" xr:uid="{00000000-0005-0000-0000-0000DD060000}"/>
    <cellStyle name="20 % - Markeringsfarve1 3 3 3 3 2 4" xfId="39092" xr:uid="{00000000-0005-0000-0000-0000DE060000}"/>
    <cellStyle name="20 % - Markeringsfarve1 3 3 3 3 3" xfId="10238" xr:uid="{00000000-0005-0000-0000-0000DF060000}"/>
    <cellStyle name="20 % - Markeringsfarve1 3 3 3 3 3 2" xfId="26558" xr:uid="{00000000-0005-0000-0000-0000E0060000}"/>
    <cellStyle name="20 % - Markeringsfarve1 3 3 3 3 3 3" xfId="41524" xr:uid="{00000000-0005-0000-0000-0000E1060000}"/>
    <cellStyle name="20 % - Markeringsfarve1 3 3 3 3 4" xfId="19536" xr:uid="{00000000-0005-0000-0000-0000E2060000}"/>
    <cellStyle name="20 % - Markeringsfarve1 3 3 3 3 5" xfId="34525" xr:uid="{00000000-0005-0000-0000-0000E3060000}"/>
    <cellStyle name="20 % - Markeringsfarve1 3 3 3 4" xfId="1679" xr:uid="{00000000-0005-0000-0000-0000E4060000}"/>
    <cellStyle name="20 % - Markeringsfarve1 3 3 3 4 2" xfId="8295" xr:uid="{00000000-0005-0000-0000-0000E5060000}"/>
    <cellStyle name="20 % - Markeringsfarve1 3 3 3 4 2 2" xfId="16190" xr:uid="{00000000-0005-0000-0000-0000E6060000}"/>
    <cellStyle name="20 % - Markeringsfarve1 3 3 3 4 2 2 2" xfId="32505" xr:uid="{00000000-0005-0000-0000-0000E7060000}"/>
    <cellStyle name="20 % - Markeringsfarve1 3 3 3 4 2 2 3" xfId="47469" xr:uid="{00000000-0005-0000-0000-0000E8060000}"/>
    <cellStyle name="20 % - Markeringsfarve1 3 3 3 4 2 3" xfId="25483" xr:uid="{00000000-0005-0000-0000-0000E9060000}"/>
    <cellStyle name="20 % - Markeringsfarve1 3 3 3 4 2 4" xfId="40470" xr:uid="{00000000-0005-0000-0000-0000EA060000}"/>
    <cellStyle name="20 % - Markeringsfarve1 3 3 3 4 3" xfId="10239" xr:uid="{00000000-0005-0000-0000-0000EB060000}"/>
    <cellStyle name="20 % - Markeringsfarve1 3 3 3 4 3 2" xfId="26559" xr:uid="{00000000-0005-0000-0000-0000EC060000}"/>
    <cellStyle name="20 % - Markeringsfarve1 3 3 3 4 3 3" xfId="41525" xr:uid="{00000000-0005-0000-0000-0000ED060000}"/>
    <cellStyle name="20 % - Markeringsfarve1 3 3 3 4 4" xfId="19537" xr:uid="{00000000-0005-0000-0000-0000EE060000}"/>
    <cellStyle name="20 % - Markeringsfarve1 3 3 3 4 5" xfId="34526" xr:uid="{00000000-0005-0000-0000-0000EF060000}"/>
    <cellStyle name="20 % - Markeringsfarve1 3 3 3 5" xfId="5376" xr:uid="{00000000-0005-0000-0000-0000F0060000}"/>
    <cellStyle name="20 % - Markeringsfarve1 3 3 3 5 2" xfId="13295" xr:uid="{00000000-0005-0000-0000-0000F1060000}"/>
    <cellStyle name="20 % - Markeringsfarve1 3 3 3 5 2 2" xfId="29610" xr:uid="{00000000-0005-0000-0000-0000F2060000}"/>
    <cellStyle name="20 % - Markeringsfarve1 3 3 3 5 2 3" xfId="44574" xr:uid="{00000000-0005-0000-0000-0000F3060000}"/>
    <cellStyle name="20 % - Markeringsfarve1 3 3 3 5 3" xfId="22588" xr:uid="{00000000-0005-0000-0000-0000F4060000}"/>
    <cellStyle name="20 % - Markeringsfarve1 3 3 3 5 4" xfId="37575" xr:uid="{00000000-0005-0000-0000-0000F5060000}"/>
    <cellStyle name="20 % - Markeringsfarve1 3 3 3 6" xfId="10235" xr:uid="{00000000-0005-0000-0000-0000F6060000}"/>
    <cellStyle name="20 % - Markeringsfarve1 3 3 3 6 2" xfId="26555" xr:uid="{00000000-0005-0000-0000-0000F7060000}"/>
    <cellStyle name="20 % - Markeringsfarve1 3 3 3 6 3" xfId="41521" xr:uid="{00000000-0005-0000-0000-0000F8060000}"/>
    <cellStyle name="20 % - Markeringsfarve1 3 3 3 7" xfId="19533" xr:uid="{00000000-0005-0000-0000-0000F9060000}"/>
    <cellStyle name="20 % - Markeringsfarve1 3 3 3 8" xfId="34522" xr:uid="{00000000-0005-0000-0000-0000FA060000}"/>
    <cellStyle name="20 % - Markeringsfarve1 3 3 4" xfId="1680" xr:uid="{00000000-0005-0000-0000-0000FB060000}"/>
    <cellStyle name="20 % - Markeringsfarve1 3 3 4 2" xfId="1681" xr:uid="{00000000-0005-0000-0000-0000FC060000}"/>
    <cellStyle name="20 % - Markeringsfarve1 3 3 4 2 2" xfId="1682" xr:uid="{00000000-0005-0000-0000-0000FD060000}"/>
    <cellStyle name="20 % - Markeringsfarve1 3 3 4 2 2 2" xfId="7877" xr:uid="{00000000-0005-0000-0000-0000FE060000}"/>
    <cellStyle name="20 % - Markeringsfarve1 3 3 4 2 2 2 2" xfId="15779" xr:uid="{00000000-0005-0000-0000-0000FF060000}"/>
    <cellStyle name="20 % - Markeringsfarve1 3 3 4 2 2 2 2 2" xfId="32094" xr:uid="{00000000-0005-0000-0000-000000070000}"/>
    <cellStyle name="20 % - Markeringsfarve1 3 3 4 2 2 2 2 3" xfId="47058" xr:uid="{00000000-0005-0000-0000-000001070000}"/>
    <cellStyle name="20 % - Markeringsfarve1 3 3 4 2 2 2 3" xfId="25072" xr:uid="{00000000-0005-0000-0000-000002070000}"/>
    <cellStyle name="20 % - Markeringsfarve1 3 3 4 2 2 2 4" xfId="40059" xr:uid="{00000000-0005-0000-0000-000003070000}"/>
    <cellStyle name="20 % - Markeringsfarve1 3 3 4 2 2 3" xfId="10242" xr:uid="{00000000-0005-0000-0000-000004070000}"/>
    <cellStyle name="20 % - Markeringsfarve1 3 3 4 2 2 3 2" xfId="26562" xr:uid="{00000000-0005-0000-0000-000005070000}"/>
    <cellStyle name="20 % - Markeringsfarve1 3 3 4 2 2 3 3" xfId="41528" xr:uid="{00000000-0005-0000-0000-000006070000}"/>
    <cellStyle name="20 % - Markeringsfarve1 3 3 4 2 2 4" xfId="19540" xr:uid="{00000000-0005-0000-0000-000007070000}"/>
    <cellStyle name="20 % - Markeringsfarve1 3 3 4 2 2 5" xfId="34529" xr:uid="{00000000-0005-0000-0000-000008070000}"/>
    <cellStyle name="20 % - Markeringsfarve1 3 3 4 2 3" xfId="6410" xr:uid="{00000000-0005-0000-0000-000009070000}"/>
    <cellStyle name="20 % - Markeringsfarve1 3 3 4 2 3 2" xfId="14325" xr:uid="{00000000-0005-0000-0000-00000A070000}"/>
    <cellStyle name="20 % - Markeringsfarve1 3 3 4 2 3 2 2" xfId="30640" xr:uid="{00000000-0005-0000-0000-00000B070000}"/>
    <cellStyle name="20 % - Markeringsfarve1 3 3 4 2 3 2 3" xfId="45604" xr:uid="{00000000-0005-0000-0000-00000C070000}"/>
    <cellStyle name="20 % - Markeringsfarve1 3 3 4 2 3 3" xfId="23618" xr:uid="{00000000-0005-0000-0000-00000D070000}"/>
    <cellStyle name="20 % - Markeringsfarve1 3 3 4 2 3 4" xfId="38605" xr:uid="{00000000-0005-0000-0000-00000E070000}"/>
    <cellStyle name="20 % - Markeringsfarve1 3 3 4 2 4" xfId="10241" xr:uid="{00000000-0005-0000-0000-00000F070000}"/>
    <cellStyle name="20 % - Markeringsfarve1 3 3 4 2 4 2" xfId="26561" xr:uid="{00000000-0005-0000-0000-000010070000}"/>
    <cellStyle name="20 % - Markeringsfarve1 3 3 4 2 4 3" xfId="41527" xr:uid="{00000000-0005-0000-0000-000011070000}"/>
    <cellStyle name="20 % - Markeringsfarve1 3 3 4 2 5" xfId="19539" xr:uid="{00000000-0005-0000-0000-000012070000}"/>
    <cellStyle name="20 % - Markeringsfarve1 3 3 4 2 6" xfId="34528" xr:uid="{00000000-0005-0000-0000-000013070000}"/>
    <cellStyle name="20 % - Markeringsfarve1 3 3 4 3" xfId="1683" xr:uid="{00000000-0005-0000-0000-000014070000}"/>
    <cellStyle name="20 % - Markeringsfarve1 3 3 4 3 2" xfId="7153" xr:uid="{00000000-0005-0000-0000-000015070000}"/>
    <cellStyle name="20 % - Markeringsfarve1 3 3 4 3 2 2" xfId="15064" xr:uid="{00000000-0005-0000-0000-000016070000}"/>
    <cellStyle name="20 % - Markeringsfarve1 3 3 4 3 2 2 2" xfId="31379" xr:uid="{00000000-0005-0000-0000-000017070000}"/>
    <cellStyle name="20 % - Markeringsfarve1 3 3 4 3 2 2 3" xfId="46343" xr:uid="{00000000-0005-0000-0000-000018070000}"/>
    <cellStyle name="20 % - Markeringsfarve1 3 3 4 3 2 3" xfId="24357" xr:uid="{00000000-0005-0000-0000-000019070000}"/>
    <cellStyle name="20 % - Markeringsfarve1 3 3 4 3 2 4" xfId="39344" xr:uid="{00000000-0005-0000-0000-00001A070000}"/>
    <cellStyle name="20 % - Markeringsfarve1 3 3 4 3 3" xfId="10243" xr:uid="{00000000-0005-0000-0000-00001B070000}"/>
    <cellStyle name="20 % - Markeringsfarve1 3 3 4 3 3 2" xfId="26563" xr:uid="{00000000-0005-0000-0000-00001C070000}"/>
    <cellStyle name="20 % - Markeringsfarve1 3 3 4 3 3 3" xfId="41529" xr:uid="{00000000-0005-0000-0000-00001D070000}"/>
    <cellStyle name="20 % - Markeringsfarve1 3 3 4 3 4" xfId="19541" xr:uid="{00000000-0005-0000-0000-00001E070000}"/>
    <cellStyle name="20 % - Markeringsfarve1 3 3 4 3 5" xfId="34530" xr:uid="{00000000-0005-0000-0000-00001F070000}"/>
    <cellStyle name="20 % - Markeringsfarve1 3 3 4 4" xfId="1684" xr:uid="{00000000-0005-0000-0000-000020070000}"/>
    <cellStyle name="20 % - Markeringsfarve1 3 3 4 4 2" xfId="8294" xr:uid="{00000000-0005-0000-0000-000021070000}"/>
    <cellStyle name="20 % - Markeringsfarve1 3 3 4 4 2 2" xfId="16189" xr:uid="{00000000-0005-0000-0000-000022070000}"/>
    <cellStyle name="20 % - Markeringsfarve1 3 3 4 4 2 2 2" xfId="32504" xr:uid="{00000000-0005-0000-0000-000023070000}"/>
    <cellStyle name="20 % - Markeringsfarve1 3 3 4 4 2 2 3" xfId="47468" xr:uid="{00000000-0005-0000-0000-000024070000}"/>
    <cellStyle name="20 % - Markeringsfarve1 3 3 4 4 2 3" xfId="25482" xr:uid="{00000000-0005-0000-0000-000025070000}"/>
    <cellStyle name="20 % - Markeringsfarve1 3 3 4 4 2 4" xfId="40469" xr:uid="{00000000-0005-0000-0000-000026070000}"/>
    <cellStyle name="20 % - Markeringsfarve1 3 3 4 4 3" xfId="10244" xr:uid="{00000000-0005-0000-0000-000027070000}"/>
    <cellStyle name="20 % - Markeringsfarve1 3 3 4 4 3 2" xfId="26564" xr:uid="{00000000-0005-0000-0000-000028070000}"/>
    <cellStyle name="20 % - Markeringsfarve1 3 3 4 4 3 3" xfId="41530" xr:uid="{00000000-0005-0000-0000-000029070000}"/>
    <cellStyle name="20 % - Markeringsfarve1 3 3 4 4 4" xfId="19542" xr:uid="{00000000-0005-0000-0000-00002A070000}"/>
    <cellStyle name="20 % - Markeringsfarve1 3 3 4 4 5" xfId="34531" xr:uid="{00000000-0005-0000-0000-00002B070000}"/>
    <cellStyle name="20 % - Markeringsfarve1 3 3 4 5" xfId="5377" xr:uid="{00000000-0005-0000-0000-00002C070000}"/>
    <cellStyle name="20 % - Markeringsfarve1 3 3 4 5 2" xfId="13296" xr:uid="{00000000-0005-0000-0000-00002D070000}"/>
    <cellStyle name="20 % - Markeringsfarve1 3 3 4 5 2 2" xfId="29611" xr:uid="{00000000-0005-0000-0000-00002E070000}"/>
    <cellStyle name="20 % - Markeringsfarve1 3 3 4 5 2 3" xfId="44575" xr:uid="{00000000-0005-0000-0000-00002F070000}"/>
    <cellStyle name="20 % - Markeringsfarve1 3 3 4 5 3" xfId="22589" xr:uid="{00000000-0005-0000-0000-000030070000}"/>
    <cellStyle name="20 % - Markeringsfarve1 3 3 4 5 4" xfId="37576" xr:uid="{00000000-0005-0000-0000-000031070000}"/>
    <cellStyle name="20 % - Markeringsfarve1 3 3 4 6" xfId="10240" xr:uid="{00000000-0005-0000-0000-000032070000}"/>
    <cellStyle name="20 % - Markeringsfarve1 3 3 4 6 2" xfId="26560" xr:uid="{00000000-0005-0000-0000-000033070000}"/>
    <cellStyle name="20 % - Markeringsfarve1 3 3 4 6 3" xfId="41526" xr:uid="{00000000-0005-0000-0000-000034070000}"/>
    <cellStyle name="20 % - Markeringsfarve1 3 3 4 7" xfId="19538" xr:uid="{00000000-0005-0000-0000-000035070000}"/>
    <cellStyle name="20 % - Markeringsfarve1 3 3 4 8" xfId="34527" xr:uid="{00000000-0005-0000-0000-000036070000}"/>
    <cellStyle name="20 % - Markeringsfarve1 3 3 5" xfId="1685" xr:uid="{00000000-0005-0000-0000-000037070000}"/>
    <cellStyle name="20 % - Markeringsfarve1 3 3 5 2" xfId="1686" xr:uid="{00000000-0005-0000-0000-000038070000}"/>
    <cellStyle name="20 % - Markeringsfarve1 3 3 5 2 2" xfId="1687" xr:uid="{00000000-0005-0000-0000-000039070000}"/>
    <cellStyle name="20 % - Markeringsfarve1 3 3 5 2 2 2" xfId="7994" xr:uid="{00000000-0005-0000-0000-00003A070000}"/>
    <cellStyle name="20 % - Markeringsfarve1 3 3 5 2 2 2 2" xfId="15896" xr:uid="{00000000-0005-0000-0000-00003B070000}"/>
    <cellStyle name="20 % - Markeringsfarve1 3 3 5 2 2 2 2 2" xfId="32211" xr:uid="{00000000-0005-0000-0000-00003C070000}"/>
    <cellStyle name="20 % - Markeringsfarve1 3 3 5 2 2 2 2 3" xfId="47175" xr:uid="{00000000-0005-0000-0000-00003D070000}"/>
    <cellStyle name="20 % - Markeringsfarve1 3 3 5 2 2 2 3" xfId="25189" xr:uid="{00000000-0005-0000-0000-00003E070000}"/>
    <cellStyle name="20 % - Markeringsfarve1 3 3 5 2 2 2 4" xfId="40176" xr:uid="{00000000-0005-0000-0000-00003F070000}"/>
    <cellStyle name="20 % - Markeringsfarve1 3 3 5 2 2 3" xfId="10247" xr:uid="{00000000-0005-0000-0000-000040070000}"/>
    <cellStyle name="20 % - Markeringsfarve1 3 3 5 2 2 3 2" xfId="26567" xr:uid="{00000000-0005-0000-0000-000041070000}"/>
    <cellStyle name="20 % - Markeringsfarve1 3 3 5 2 2 3 3" xfId="41533" xr:uid="{00000000-0005-0000-0000-000042070000}"/>
    <cellStyle name="20 % - Markeringsfarve1 3 3 5 2 2 4" xfId="19545" xr:uid="{00000000-0005-0000-0000-000043070000}"/>
    <cellStyle name="20 % - Markeringsfarve1 3 3 5 2 2 5" xfId="34534" xr:uid="{00000000-0005-0000-0000-000044070000}"/>
    <cellStyle name="20 % - Markeringsfarve1 3 3 5 2 3" xfId="6509" xr:uid="{00000000-0005-0000-0000-000045070000}"/>
    <cellStyle name="20 % - Markeringsfarve1 3 3 5 2 3 2" xfId="14424" xr:uid="{00000000-0005-0000-0000-000046070000}"/>
    <cellStyle name="20 % - Markeringsfarve1 3 3 5 2 3 2 2" xfId="30739" xr:uid="{00000000-0005-0000-0000-000047070000}"/>
    <cellStyle name="20 % - Markeringsfarve1 3 3 5 2 3 2 3" xfId="45703" xr:uid="{00000000-0005-0000-0000-000048070000}"/>
    <cellStyle name="20 % - Markeringsfarve1 3 3 5 2 3 3" xfId="23717" xr:uid="{00000000-0005-0000-0000-000049070000}"/>
    <cellStyle name="20 % - Markeringsfarve1 3 3 5 2 3 4" xfId="38704" xr:uid="{00000000-0005-0000-0000-00004A070000}"/>
    <cellStyle name="20 % - Markeringsfarve1 3 3 5 2 4" xfId="10246" xr:uid="{00000000-0005-0000-0000-00004B070000}"/>
    <cellStyle name="20 % - Markeringsfarve1 3 3 5 2 4 2" xfId="26566" xr:uid="{00000000-0005-0000-0000-00004C070000}"/>
    <cellStyle name="20 % - Markeringsfarve1 3 3 5 2 4 3" xfId="41532" xr:uid="{00000000-0005-0000-0000-00004D070000}"/>
    <cellStyle name="20 % - Markeringsfarve1 3 3 5 2 5" xfId="19544" xr:uid="{00000000-0005-0000-0000-00004E070000}"/>
    <cellStyle name="20 % - Markeringsfarve1 3 3 5 2 6" xfId="34533" xr:uid="{00000000-0005-0000-0000-00004F070000}"/>
    <cellStyle name="20 % - Markeringsfarve1 3 3 5 3" xfId="1688" xr:uid="{00000000-0005-0000-0000-000050070000}"/>
    <cellStyle name="20 % - Markeringsfarve1 3 3 5 3 2" xfId="7270" xr:uid="{00000000-0005-0000-0000-000051070000}"/>
    <cellStyle name="20 % - Markeringsfarve1 3 3 5 3 2 2" xfId="15181" xr:uid="{00000000-0005-0000-0000-000052070000}"/>
    <cellStyle name="20 % - Markeringsfarve1 3 3 5 3 2 2 2" xfId="31496" xr:uid="{00000000-0005-0000-0000-000053070000}"/>
    <cellStyle name="20 % - Markeringsfarve1 3 3 5 3 2 2 3" xfId="46460" xr:uid="{00000000-0005-0000-0000-000054070000}"/>
    <cellStyle name="20 % - Markeringsfarve1 3 3 5 3 2 3" xfId="24474" xr:uid="{00000000-0005-0000-0000-000055070000}"/>
    <cellStyle name="20 % - Markeringsfarve1 3 3 5 3 2 4" xfId="39461" xr:uid="{00000000-0005-0000-0000-000056070000}"/>
    <cellStyle name="20 % - Markeringsfarve1 3 3 5 3 3" xfId="10248" xr:uid="{00000000-0005-0000-0000-000057070000}"/>
    <cellStyle name="20 % - Markeringsfarve1 3 3 5 3 3 2" xfId="26568" xr:uid="{00000000-0005-0000-0000-000058070000}"/>
    <cellStyle name="20 % - Markeringsfarve1 3 3 5 3 3 3" xfId="41534" xr:uid="{00000000-0005-0000-0000-000059070000}"/>
    <cellStyle name="20 % - Markeringsfarve1 3 3 5 3 4" xfId="19546" xr:uid="{00000000-0005-0000-0000-00005A070000}"/>
    <cellStyle name="20 % - Markeringsfarve1 3 3 5 3 5" xfId="34535" xr:uid="{00000000-0005-0000-0000-00005B070000}"/>
    <cellStyle name="20 % - Markeringsfarve1 3 3 5 4" xfId="1689" xr:uid="{00000000-0005-0000-0000-00005C070000}"/>
    <cellStyle name="20 % - Markeringsfarve1 3 3 5 4 2" xfId="8293" xr:uid="{00000000-0005-0000-0000-00005D070000}"/>
    <cellStyle name="20 % - Markeringsfarve1 3 3 5 4 2 2" xfId="16188" xr:uid="{00000000-0005-0000-0000-00005E070000}"/>
    <cellStyle name="20 % - Markeringsfarve1 3 3 5 4 2 2 2" xfId="32503" xr:uid="{00000000-0005-0000-0000-00005F070000}"/>
    <cellStyle name="20 % - Markeringsfarve1 3 3 5 4 2 2 3" xfId="47467" xr:uid="{00000000-0005-0000-0000-000060070000}"/>
    <cellStyle name="20 % - Markeringsfarve1 3 3 5 4 2 3" xfId="25481" xr:uid="{00000000-0005-0000-0000-000061070000}"/>
    <cellStyle name="20 % - Markeringsfarve1 3 3 5 4 2 4" xfId="40468" xr:uid="{00000000-0005-0000-0000-000062070000}"/>
    <cellStyle name="20 % - Markeringsfarve1 3 3 5 4 3" xfId="10249" xr:uid="{00000000-0005-0000-0000-000063070000}"/>
    <cellStyle name="20 % - Markeringsfarve1 3 3 5 4 3 2" xfId="26569" xr:uid="{00000000-0005-0000-0000-000064070000}"/>
    <cellStyle name="20 % - Markeringsfarve1 3 3 5 4 3 3" xfId="41535" xr:uid="{00000000-0005-0000-0000-000065070000}"/>
    <cellStyle name="20 % - Markeringsfarve1 3 3 5 4 4" xfId="19547" xr:uid="{00000000-0005-0000-0000-000066070000}"/>
    <cellStyle name="20 % - Markeringsfarve1 3 3 5 4 5" xfId="34536" xr:uid="{00000000-0005-0000-0000-000067070000}"/>
    <cellStyle name="20 % - Markeringsfarve1 3 3 5 5" xfId="5378" xr:uid="{00000000-0005-0000-0000-000068070000}"/>
    <cellStyle name="20 % - Markeringsfarve1 3 3 5 5 2" xfId="13297" xr:uid="{00000000-0005-0000-0000-000069070000}"/>
    <cellStyle name="20 % - Markeringsfarve1 3 3 5 5 2 2" xfId="29612" xr:uid="{00000000-0005-0000-0000-00006A070000}"/>
    <cellStyle name="20 % - Markeringsfarve1 3 3 5 5 2 3" xfId="44576" xr:uid="{00000000-0005-0000-0000-00006B070000}"/>
    <cellStyle name="20 % - Markeringsfarve1 3 3 5 5 3" xfId="22590" xr:uid="{00000000-0005-0000-0000-00006C070000}"/>
    <cellStyle name="20 % - Markeringsfarve1 3 3 5 5 4" xfId="37577" xr:uid="{00000000-0005-0000-0000-00006D070000}"/>
    <cellStyle name="20 % - Markeringsfarve1 3 3 5 6" xfId="10245" xr:uid="{00000000-0005-0000-0000-00006E070000}"/>
    <cellStyle name="20 % - Markeringsfarve1 3 3 5 6 2" xfId="26565" xr:uid="{00000000-0005-0000-0000-00006F070000}"/>
    <cellStyle name="20 % - Markeringsfarve1 3 3 5 6 3" xfId="41531" xr:uid="{00000000-0005-0000-0000-000070070000}"/>
    <cellStyle name="20 % - Markeringsfarve1 3 3 5 7" xfId="19543" xr:uid="{00000000-0005-0000-0000-000071070000}"/>
    <cellStyle name="20 % - Markeringsfarve1 3 3 5 8" xfId="34532" xr:uid="{00000000-0005-0000-0000-000072070000}"/>
    <cellStyle name="20 % - Markeringsfarve1 3 3 6" xfId="1690" xr:uid="{00000000-0005-0000-0000-000073070000}"/>
    <cellStyle name="20 % - Markeringsfarve1 3 3 6 2" xfId="1691" xr:uid="{00000000-0005-0000-0000-000074070000}"/>
    <cellStyle name="20 % - Markeringsfarve1 3 3 6 2 2" xfId="1692" xr:uid="{00000000-0005-0000-0000-000075070000}"/>
    <cellStyle name="20 % - Markeringsfarve1 3 3 6 2 2 2" xfId="8025" xr:uid="{00000000-0005-0000-0000-000076070000}"/>
    <cellStyle name="20 % - Markeringsfarve1 3 3 6 2 2 2 2" xfId="15927" xr:uid="{00000000-0005-0000-0000-000077070000}"/>
    <cellStyle name="20 % - Markeringsfarve1 3 3 6 2 2 2 2 2" xfId="32242" xr:uid="{00000000-0005-0000-0000-000078070000}"/>
    <cellStyle name="20 % - Markeringsfarve1 3 3 6 2 2 2 2 3" xfId="47206" xr:uid="{00000000-0005-0000-0000-000079070000}"/>
    <cellStyle name="20 % - Markeringsfarve1 3 3 6 2 2 2 3" xfId="25220" xr:uid="{00000000-0005-0000-0000-00007A070000}"/>
    <cellStyle name="20 % - Markeringsfarve1 3 3 6 2 2 2 4" xfId="40207" xr:uid="{00000000-0005-0000-0000-00007B070000}"/>
    <cellStyle name="20 % - Markeringsfarve1 3 3 6 2 2 3" xfId="10252" xr:uid="{00000000-0005-0000-0000-00007C070000}"/>
    <cellStyle name="20 % - Markeringsfarve1 3 3 6 2 2 3 2" xfId="26572" xr:uid="{00000000-0005-0000-0000-00007D070000}"/>
    <cellStyle name="20 % - Markeringsfarve1 3 3 6 2 2 3 3" xfId="41538" xr:uid="{00000000-0005-0000-0000-00007E070000}"/>
    <cellStyle name="20 % - Markeringsfarve1 3 3 6 2 2 4" xfId="19550" xr:uid="{00000000-0005-0000-0000-00007F070000}"/>
    <cellStyle name="20 % - Markeringsfarve1 3 3 6 2 2 5" xfId="34539" xr:uid="{00000000-0005-0000-0000-000080070000}"/>
    <cellStyle name="20 % - Markeringsfarve1 3 3 6 2 3" xfId="6536" xr:uid="{00000000-0005-0000-0000-000081070000}"/>
    <cellStyle name="20 % - Markeringsfarve1 3 3 6 2 3 2" xfId="14451" xr:uid="{00000000-0005-0000-0000-000082070000}"/>
    <cellStyle name="20 % - Markeringsfarve1 3 3 6 2 3 2 2" xfId="30766" xr:uid="{00000000-0005-0000-0000-000083070000}"/>
    <cellStyle name="20 % - Markeringsfarve1 3 3 6 2 3 2 3" xfId="45730" xr:uid="{00000000-0005-0000-0000-000084070000}"/>
    <cellStyle name="20 % - Markeringsfarve1 3 3 6 2 3 3" xfId="23744" xr:uid="{00000000-0005-0000-0000-000085070000}"/>
    <cellStyle name="20 % - Markeringsfarve1 3 3 6 2 3 4" xfId="38731" xr:uid="{00000000-0005-0000-0000-000086070000}"/>
    <cellStyle name="20 % - Markeringsfarve1 3 3 6 2 4" xfId="10251" xr:uid="{00000000-0005-0000-0000-000087070000}"/>
    <cellStyle name="20 % - Markeringsfarve1 3 3 6 2 4 2" xfId="26571" xr:uid="{00000000-0005-0000-0000-000088070000}"/>
    <cellStyle name="20 % - Markeringsfarve1 3 3 6 2 4 3" xfId="41537" xr:uid="{00000000-0005-0000-0000-000089070000}"/>
    <cellStyle name="20 % - Markeringsfarve1 3 3 6 2 5" xfId="19549" xr:uid="{00000000-0005-0000-0000-00008A070000}"/>
    <cellStyle name="20 % - Markeringsfarve1 3 3 6 2 6" xfId="34538" xr:uid="{00000000-0005-0000-0000-00008B070000}"/>
    <cellStyle name="20 % - Markeringsfarve1 3 3 6 3" xfId="1693" xr:uid="{00000000-0005-0000-0000-00008C070000}"/>
    <cellStyle name="20 % - Markeringsfarve1 3 3 6 3 2" xfId="7302" xr:uid="{00000000-0005-0000-0000-00008D070000}"/>
    <cellStyle name="20 % - Markeringsfarve1 3 3 6 3 2 2" xfId="15213" xr:uid="{00000000-0005-0000-0000-00008E070000}"/>
    <cellStyle name="20 % - Markeringsfarve1 3 3 6 3 2 2 2" xfId="31528" xr:uid="{00000000-0005-0000-0000-00008F070000}"/>
    <cellStyle name="20 % - Markeringsfarve1 3 3 6 3 2 2 3" xfId="46492" xr:uid="{00000000-0005-0000-0000-000090070000}"/>
    <cellStyle name="20 % - Markeringsfarve1 3 3 6 3 2 3" xfId="24506" xr:uid="{00000000-0005-0000-0000-000091070000}"/>
    <cellStyle name="20 % - Markeringsfarve1 3 3 6 3 2 4" xfId="39493" xr:uid="{00000000-0005-0000-0000-000092070000}"/>
    <cellStyle name="20 % - Markeringsfarve1 3 3 6 3 3" xfId="10253" xr:uid="{00000000-0005-0000-0000-000093070000}"/>
    <cellStyle name="20 % - Markeringsfarve1 3 3 6 3 3 2" xfId="26573" xr:uid="{00000000-0005-0000-0000-000094070000}"/>
    <cellStyle name="20 % - Markeringsfarve1 3 3 6 3 3 3" xfId="41539" xr:uid="{00000000-0005-0000-0000-000095070000}"/>
    <cellStyle name="20 % - Markeringsfarve1 3 3 6 3 4" xfId="19551" xr:uid="{00000000-0005-0000-0000-000096070000}"/>
    <cellStyle name="20 % - Markeringsfarve1 3 3 6 3 5" xfId="34540" xr:uid="{00000000-0005-0000-0000-000097070000}"/>
    <cellStyle name="20 % - Markeringsfarve1 3 3 6 4" xfId="1694" xr:uid="{00000000-0005-0000-0000-000098070000}"/>
    <cellStyle name="20 % - Markeringsfarve1 3 3 6 4 2" xfId="8292" xr:uid="{00000000-0005-0000-0000-000099070000}"/>
    <cellStyle name="20 % - Markeringsfarve1 3 3 6 4 2 2" xfId="16187" xr:uid="{00000000-0005-0000-0000-00009A070000}"/>
    <cellStyle name="20 % - Markeringsfarve1 3 3 6 4 2 2 2" xfId="32502" xr:uid="{00000000-0005-0000-0000-00009B070000}"/>
    <cellStyle name="20 % - Markeringsfarve1 3 3 6 4 2 2 3" xfId="47466" xr:uid="{00000000-0005-0000-0000-00009C070000}"/>
    <cellStyle name="20 % - Markeringsfarve1 3 3 6 4 2 3" xfId="25480" xr:uid="{00000000-0005-0000-0000-00009D070000}"/>
    <cellStyle name="20 % - Markeringsfarve1 3 3 6 4 2 4" xfId="40467" xr:uid="{00000000-0005-0000-0000-00009E070000}"/>
    <cellStyle name="20 % - Markeringsfarve1 3 3 6 4 3" xfId="10254" xr:uid="{00000000-0005-0000-0000-00009F070000}"/>
    <cellStyle name="20 % - Markeringsfarve1 3 3 6 4 3 2" xfId="26574" xr:uid="{00000000-0005-0000-0000-0000A0070000}"/>
    <cellStyle name="20 % - Markeringsfarve1 3 3 6 4 3 3" xfId="41540" xr:uid="{00000000-0005-0000-0000-0000A1070000}"/>
    <cellStyle name="20 % - Markeringsfarve1 3 3 6 4 4" xfId="19552" xr:uid="{00000000-0005-0000-0000-0000A2070000}"/>
    <cellStyle name="20 % - Markeringsfarve1 3 3 6 4 5" xfId="34541" xr:uid="{00000000-0005-0000-0000-0000A3070000}"/>
    <cellStyle name="20 % - Markeringsfarve1 3 3 6 5" xfId="5379" xr:uid="{00000000-0005-0000-0000-0000A4070000}"/>
    <cellStyle name="20 % - Markeringsfarve1 3 3 6 5 2" xfId="13298" xr:uid="{00000000-0005-0000-0000-0000A5070000}"/>
    <cellStyle name="20 % - Markeringsfarve1 3 3 6 5 2 2" xfId="29613" xr:uid="{00000000-0005-0000-0000-0000A6070000}"/>
    <cellStyle name="20 % - Markeringsfarve1 3 3 6 5 2 3" xfId="44577" xr:uid="{00000000-0005-0000-0000-0000A7070000}"/>
    <cellStyle name="20 % - Markeringsfarve1 3 3 6 5 3" xfId="22591" xr:uid="{00000000-0005-0000-0000-0000A8070000}"/>
    <cellStyle name="20 % - Markeringsfarve1 3 3 6 5 4" xfId="37578" xr:uid="{00000000-0005-0000-0000-0000A9070000}"/>
    <cellStyle name="20 % - Markeringsfarve1 3 3 6 6" xfId="10250" xr:uid="{00000000-0005-0000-0000-0000AA070000}"/>
    <cellStyle name="20 % - Markeringsfarve1 3 3 6 6 2" xfId="26570" xr:uid="{00000000-0005-0000-0000-0000AB070000}"/>
    <cellStyle name="20 % - Markeringsfarve1 3 3 6 6 3" xfId="41536" xr:uid="{00000000-0005-0000-0000-0000AC070000}"/>
    <cellStyle name="20 % - Markeringsfarve1 3 3 6 7" xfId="19548" xr:uid="{00000000-0005-0000-0000-0000AD070000}"/>
    <cellStyle name="20 % - Markeringsfarve1 3 3 6 8" xfId="34537" xr:uid="{00000000-0005-0000-0000-0000AE070000}"/>
    <cellStyle name="20 % - Markeringsfarve1 3 3 7" xfId="1695" xr:uid="{00000000-0005-0000-0000-0000AF070000}"/>
    <cellStyle name="20 % - Markeringsfarve1 3 3 7 2" xfId="1696" xr:uid="{00000000-0005-0000-0000-0000B0070000}"/>
    <cellStyle name="20 % - Markeringsfarve1 3 3 7 2 2" xfId="7520" xr:uid="{00000000-0005-0000-0000-0000B1070000}"/>
    <cellStyle name="20 % - Markeringsfarve1 3 3 7 2 2 2" xfId="15422" xr:uid="{00000000-0005-0000-0000-0000B2070000}"/>
    <cellStyle name="20 % - Markeringsfarve1 3 3 7 2 2 2 2" xfId="31737" xr:uid="{00000000-0005-0000-0000-0000B3070000}"/>
    <cellStyle name="20 % - Markeringsfarve1 3 3 7 2 2 2 3" xfId="46701" xr:uid="{00000000-0005-0000-0000-0000B4070000}"/>
    <cellStyle name="20 % - Markeringsfarve1 3 3 7 2 2 3" xfId="24715" xr:uid="{00000000-0005-0000-0000-0000B5070000}"/>
    <cellStyle name="20 % - Markeringsfarve1 3 3 7 2 2 4" xfId="39702" xr:uid="{00000000-0005-0000-0000-0000B6070000}"/>
    <cellStyle name="20 % - Markeringsfarve1 3 3 7 2 3" xfId="10256" xr:uid="{00000000-0005-0000-0000-0000B7070000}"/>
    <cellStyle name="20 % - Markeringsfarve1 3 3 7 2 3 2" xfId="26576" xr:uid="{00000000-0005-0000-0000-0000B8070000}"/>
    <cellStyle name="20 % - Markeringsfarve1 3 3 7 2 3 3" xfId="41542" xr:uid="{00000000-0005-0000-0000-0000B9070000}"/>
    <cellStyle name="20 % - Markeringsfarve1 3 3 7 2 4" xfId="19554" xr:uid="{00000000-0005-0000-0000-0000BA070000}"/>
    <cellStyle name="20 % - Markeringsfarve1 3 3 7 2 5" xfId="34543" xr:uid="{00000000-0005-0000-0000-0000BB070000}"/>
    <cellStyle name="20 % - Markeringsfarve1 3 3 7 3" xfId="6109" xr:uid="{00000000-0005-0000-0000-0000BC070000}"/>
    <cellStyle name="20 % - Markeringsfarve1 3 3 7 3 2" xfId="14027" xr:uid="{00000000-0005-0000-0000-0000BD070000}"/>
    <cellStyle name="20 % - Markeringsfarve1 3 3 7 3 2 2" xfId="30342" xr:uid="{00000000-0005-0000-0000-0000BE070000}"/>
    <cellStyle name="20 % - Markeringsfarve1 3 3 7 3 2 3" xfId="45306" xr:uid="{00000000-0005-0000-0000-0000BF070000}"/>
    <cellStyle name="20 % - Markeringsfarve1 3 3 7 3 3" xfId="23320" xr:uid="{00000000-0005-0000-0000-0000C0070000}"/>
    <cellStyle name="20 % - Markeringsfarve1 3 3 7 3 4" xfId="38307" xr:uid="{00000000-0005-0000-0000-0000C1070000}"/>
    <cellStyle name="20 % - Markeringsfarve1 3 3 7 4" xfId="10255" xr:uid="{00000000-0005-0000-0000-0000C2070000}"/>
    <cellStyle name="20 % - Markeringsfarve1 3 3 7 4 2" xfId="26575" xr:uid="{00000000-0005-0000-0000-0000C3070000}"/>
    <cellStyle name="20 % - Markeringsfarve1 3 3 7 4 3" xfId="41541" xr:uid="{00000000-0005-0000-0000-0000C4070000}"/>
    <cellStyle name="20 % - Markeringsfarve1 3 3 7 5" xfId="19553" xr:uid="{00000000-0005-0000-0000-0000C5070000}"/>
    <cellStyle name="20 % - Markeringsfarve1 3 3 7 6" xfId="34542" xr:uid="{00000000-0005-0000-0000-0000C6070000}"/>
    <cellStyle name="20 % - Markeringsfarve1 3 3 8" xfId="1697" xr:uid="{00000000-0005-0000-0000-0000C7070000}"/>
    <cellStyle name="20 % - Markeringsfarve1 3 3 8 2" xfId="6748" xr:uid="{00000000-0005-0000-0000-0000C8070000}"/>
    <cellStyle name="20 % - Markeringsfarve1 3 3 8 2 2" xfId="14660" xr:uid="{00000000-0005-0000-0000-0000C9070000}"/>
    <cellStyle name="20 % - Markeringsfarve1 3 3 8 2 2 2" xfId="30975" xr:uid="{00000000-0005-0000-0000-0000CA070000}"/>
    <cellStyle name="20 % - Markeringsfarve1 3 3 8 2 2 3" xfId="45939" xr:uid="{00000000-0005-0000-0000-0000CB070000}"/>
    <cellStyle name="20 % - Markeringsfarve1 3 3 8 2 3" xfId="23953" xr:uid="{00000000-0005-0000-0000-0000CC070000}"/>
    <cellStyle name="20 % - Markeringsfarve1 3 3 8 2 4" xfId="38940" xr:uid="{00000000-0005-0000-0000-0000CD070000}"/>
    <cellStyle name="20 % - Markeringsfarve1 3 3 8 3" xfId="10257" xr:uid="{00000000-0005-0000-0000-0000CE070000}"/>
    <cellStyle name="20 % - Markeringsfarve1 3 3 8 3 2" xfId="26577" xr:uid="{00000000-0005-0000-0000-0000CF070000}"/>
    <cellStyle name="20 % - Markeringsfarve1 3 3 8 3 3" xfId="41543" xr:uid="{00000000-0005-0000-0000-0000D0070000}"/>
    <cellStyle name="20 % - Markeringsfarve1 3 3 8 4" xfId="19555" xr:uid="{00000000-0005-0000-0000-0000D1070000}"/>
    <cellStyle name="20 % - Markeringsfarve1 3 3 8 5" xfId="34544" xr:uid="{00000000-0005-0000-0000-0000D2070000}"/>
    <cellStyle name="20 % - Markeringsfarve1 3 3 9" xfId="1698" xr:uid="{00000000-0005-0000-0000-0000D3070000}"/>
    <cellStyle name="20 % - Markeringsfarve1 3 3 9 2" xfId="8297" xr:uid="{00000000-0005-0000-0000-0000D4070000}"/>
    <cellStyle name="20 % - Markeringsfarve1 3 3 9 2 2" xfId="16192" xr:uid="{00000000-0005-0000-0000-0000D5070000}"/>
    <cellStyle name="20 % - Markeringsfarve1 3 3 9 2 2 2" xfId="32507" xr:uid="{00000000-0005-0000-0000-0000D6070000}"/>
    <cellStyle name="20 % - Markeringsfarve1 3 3 9 2 2 3" xfId="47471" xr:uid="{00000000-0005-0000-0000-0000D7070000}"/>
    <cellStyle name="20 % - Markeringsfarve1 3 3 9 2 3" xfId="25485" xr:uid="{00000000-0005-0000-0000-0000D8070000}"/>
    <cellStyle name="20 % - Markeringsfarve1 3 3 9 2 4" xfId="40472" xr:uid="{00000000-0005-0000-0000-0000D9070000}"/>
    <cellStyle name="20 % - Markeringsfarve1 3 3 9 3" xfId="10258" xr:uid="{00000000-0005-0000-0000-0000DA070000}"/>
    <cellStyle name="20 % - Markeringsfarve1 3 3 9 3 2" xfId="26578" xr:uid="{00000000-0005-0000-0000-0000DB070000}"/>
    <cellStyle name="20 % - Markeringsfarve1 3 3 9 3 3" xfId="41544" xr:uid="{00000000-0005-0000-0000-0000DC070000}"/>
    <cellStyle name="20 % - Markeringsfarve1 3 3 9 4" xfId="19556" xr:uid="{00000000-0005-0000-0000-0000DD070000}"/>
    <cellStyle name="20 % - Markeringsfarve1 3 3 9 5" xfId="34545" xr:uid="{00000000-0005-0000-0000-0000DE070000}"/>
    <cellStyle name="20 % - Markeringsfarve1 3 4" xfId="1699" xr:uid="{00000000-0005-0000-0000-0000DF070000}"/>
    <cellStyle name="20 % - Markeringsfarve1 3 4 2" xfId="1700" xr:uid="{00000000-0005-0000-0000-0000E0070000}"/>
    <cellStyle name="20 % - Markeringsfarve1 3 4 2 2" xfId="1701" xr:uid="{00000000-0005-0000-0000-0000E1070000}"/>
    <cellStyle name="20 % - Markeringsfarve1 3 4 2 2 2" xfId="7561" xr:uid="{00000000-0005-0000-0000-0000E2070000}"/>
    <cellStyle name="20 % - Markeringsfarve1 3 4 2 2 2 2" xfId="15463" xr:uid="{00000000-0005-0000-0000-0000E3070000}"/>
    <cellStyle name="20 % - Markeringsfarve1 3 4 2 2 2 2 2" xfId="31778" xr:uid="{00000000-0005-0000-0000-0000E4070000}"/>
    <cellStyle name="20 % - Markeringsfarve1 3 4 2 2 2 2 3" xfId="46742" xr:uid="{00000000-0005-0000-0000-0000E5070000}"/>
    <cellStyle name="20 % - Markeringsfarve1 3 4 2 2 2 3" xfId="24756" xr:uid="{00000000-0005-0000-0000-0000E6070000}"/>
    <cellStyle name="20 % - Markeringsfarve1 3 4 2 2 2 4" xfId="39743" xr:uid="{00000000-0005-0000-0000-0000E7070000}"/>
    <cellStyle name="20 % - Markeringsfarve1 3 4 2 2 3" xfId="10261" xr:uid="{00000000-0005-0000-0000-0000E8070000}"/>
    <cellStyle name="20 % - Markeringsfarve1 3 4 2 2 3 2" xfId="26581" xr:uid="{00000000-0005-0000-0000-0000E9070000}"/>
    <cellStyle name="20 % - Markeringsfarve1 3 4 2 2 3 3" xfId="41547" xr:uid="{00000000-0005-0000-0000-0000EA070000}"/>
    <cellStyle name="20 % - Markeringsfarve1 3 4 2 2 4" xfId="19559" xr:uid="{00000000-0005-0000-0000-0000EB070000}"/>
    <cellStyle name="20 % - Markeringsfarve1 3 4 2 2 5" xfId="34548" xr:uid="{00000000-0005-0000-0000-0000EC070000}"/>
    <cellStyle name="20 % - Markeringsfarve1 3 4 2 3" xfId="6142" xr:uid="{00000000-0005-0000-0000-0000ED070000}"/>
    <cellStyle name="20 % - Markeringsfarve1 3 4 2 3 2" xfId="14060" xr:uid="{00000000-0005-0000-0000-0000EE070000}"/>
    <cellStyle name="20 % - Markeringsfarve1 3 4 2 3 2 2" xfId="30375" xr:uid="{00000000-0005-0000-0000-0000EF070000}"/>
    <cellStyle name="20 % - Markeringsfarve1 3 4 2 3 2 3" xfId="45339" xr:uid="{00000000-0005-0000-0000-0000F0070000}"/>
    <cellStyle name="20 % - Markeringsfarve1 3 4 2 3 3" xfId="23353" xr:uid="{00000000-0005-0000-0000-0000F1070000}"/>
    <cellStyle name="20 % - Markeringsfarve1 3 4 2 3 4" xfId="38340" xr:uid="{00000000-0005-0000-0000-0000F2070000}"/>
    <cellStyle name="20 % - Markeringsfarve1 3 4 2 4" xfId="10260" xr:uid="{00000000-0005-0000-0000-0000F3070000}"/>
    <cellStyle name="20 % - Markeringsfarve1 3 4 2 4 2" xfId="26580" xr:uid="{00000000-0005-0000-0000-0000F4070000}"/>
    <cellStyle name="20 % - Markeringsfarve1 3 4 2 4 3" xfId="41546" xr:uid="{00000000-0005-0000-0000-0000F5070000}"/>
    <cellStyle name="20 % - Markeringsfarve1 3 4 2 5" xfId="19558" xr:uid="{00000000-0005-0000-0000-0000F6070000}"/>
    <cellStyle name="20 % - Markeringsfarve1 3 4 2 6" xfId="34547" xr:uid="{00000000-0005-0000-0000-0000F7070000}"/>
    <cellStyle name="20 % - Markeringsfarve1 3 4 3" xfId="1702" xr:uid="{00000000-0005-0000-0000-0000F8070000}"/>
    <cellStyle name="20 % - Markeringsfarve1 3 4 3 2" xfId="6791" xr:uid="{00000000-0005-0000-0000-0000F9070000}"/>
    <cellStyle name="20 % - Markeringsfarve1 3 4 3 2 2" xfId="14703" xr:uid="{00000000-0005-0000-0000-0000FA070000}"/>
    <cellStyle name="20 % - Markeringsfarve1 3 4 3 2 2 2" xfId="31018" xr:uid="{00000000-0005-0000-0000-0000FB070000}"/>
    <cellStyle name="20 % - Markeringsfarve1 3 4 3 2 2 3" xfId="45982" xr:uid="{00000000-0005-0000-0000-0000FC070000}"/>
    <cellStyle name="20 % - Markeringsfarve1 3 4 3 2 3" xfId="23996" xr:uid="{00000000-0005-0000-0000-0000FD070000}"/>
    <cellStyle name="20 % - Markeringsfarve1 3 4 3 2 4" xfId="38983" xr:uid="{00000000-0005-0000-0000-0000FE070000}"/>
    <cellStyle name="20 % - Markeringsfarve1 3 4 3 3" xfId="10262" xr:uid="{00000000-0005-0000-0000-0000FF070000}"/>
    <cellStyle name="20 % - Markeringsfarve1 3 4 3 3 2" xfId="26582" xr:uid="{00000000-0005-0000-0000-000000080000}"/>
    <cellStyle name="20 % - Markeringsfarve1 3 4 3 3 3" xfId="41548" xr:uid="{00000000-0005-0000-0000-000001080000}"/>
    <cellStyle name="20 % - Markeringsfarve1 3 4 3 4" xfId="19560" xr:uid="{00000000-0005-0000-0000-000002080000}"/>
    <cellStyle name="20 % - Markeringsfarve1 3 4 3 5" xfId="34549" xr:uid="{00000000-0005-0000-0000-000003080000}"/>
    <cellStyle name="20 % - Markeringsfarve1 3 4 4" xfId="1703" xr:uid="{00000000-0005-0000-0000-000004080000}"/>
    <cellStyle name="20 % - Markeringsfarve1 3 4 4 2" xfId="8291" xr:uid="{00000000-0005-0000-0000-000005080000}"/>
    <cellStyle name="20 % - Markeringsfarve1 3 4 4 2 2" xfId="16186" xr:uid="{00000000-0005-0000-0000-000006080000}"/>
    <cellStyle name="20 % - Markeringsfarve1 3 4 4 2 2 2" xfId="32501" xr:uid="{00000000-0005-0000-0000-000007080000}"/>
    <cellStyle name="20 % - Markeringsfarve1 3 4 4 2 2 3" xfId="47465" xr:uid="{00000000-0005-0000-0000-000008080000}"/>
    <cellStyle name="20 % - Markeringsfarve1 3 4 4 2 3" xfId="25479" xr:uid="{00000000-0005-0000-0000-000009080000}"/>
    <cellStyle name="20 % - Markeringsfarve1 3 4 4 2 4" xfId="40466" xr:uid="{00000000-0005-0000-0000-00000A080000}"/>
    <cellStyle name="20 % - Markeringsfarve1 3 4 4 3" xfId="10263" xr:uid="{00000000-0005-0000-0000-00000B080000}"/>
    <cellStyle name="20 % - Markeringsfarve1 3 4 4 3 2" xfId="26583" xr:uid="{00000000-0005-0000-0000-00000C080000}"/>
    <cellStyle name="20 % - Markeringsfarve1 3 4 4 3 3" xfId="41549" xr:uid="{00000000-0005-0000-0000-00000D080000}"/>
    <cellStyle name="20 % - Markeringsfarve1 3 4 4 4" xfId="19561" xr:uid="{00000000-0005-0000-0000-00000E080000}"/>
    <cellStyle name="20 % - Markeringsfarve1 3 4 4 5" xfId="34550" xr:uid="{00000000-0005-0000-0000-00000F080000}"/>
    <cellStyle name="20 % - Markeringsfarve1 3 4 5" xfId="5380" xr:uid="{00000000-0005-0000-0000-000010080000}"/>
    <cellStyle name="20 % - Markeringsfarve1 3 4 5 2" xfId="13299" xr:uid="{00000000-0005-0000-0000-000011080000}"/>
    <cellStyle name="20 % - Markeringsfarve1 3 4 5 2 2" xfId="29614" xr:uid="{00000000-0005-0000-0000-000012080000}"/>
    <cellStyle name="20 % - Markeringsfarve1 3 4 5 2 3" xfId="44578" xr:uid="{00000000-0005-0000-0000-000013080000}"/>
    <cellStyle name="20 % - Markeringsfarve1 3 4 5 3" xfId="22592" xr:uid="{00000000-0005-0000-0000-000014080000}"/>
    <cellStyle name="20 % - Markeringsfarve1 3 4 5 4" xfId="37579" xr:uid="{00000000-0005-0000-0000-000015080000}"/>
    <cellStyle name="20 % - Markeringsfarve1 3 4 6" xfId="10259" xr:uid="{00000000-0005-0000-0000-000016080000}"/>
    <cellStyle name="20 % - Markeringsfarve1 3 4 6 2" xfId="26579" xr:uid="{00000000-0005-0000-0000-000017080000}"/>
    <cellStyle name="20 % - Markeringsfarve1 3 4 6 3" xfId="41545" xr:uid="{00000000-0005-0000-0000-000018080000}"/>
    <cellStyle name="20 % - Markeringsfarve1 3 4 7" xfId="19557" xr:uid="{00000000-0005-0000-0000-000019080000}"/>
    <cellStyle name="20 % - Markeringsfarve1 3 4 8" xfId="34546" xr:uid="{00000000-0005-0000-0000-00001A080000}"/>
    <cellStyle name="20 % - Markeringsfarve1 3 4 9" xfId="56499" xr:uid="{00000000-0005-0000-0000-00001B080000}"/>
    <cellStyle name="20 % - Markeringsfarve1 3 5" xfId="1704" xr:uid="{00000000-0005-0000-0000-00001C080000}"/>
    <cellStyle name="20 % - Markeringsfarve1 3 5 2" xfId="1705" xr:uid="{00000000-0005-0000-0000-00001D080000}"/>
    <cellStyle name="20 % - Markeringsfarve1 3 5 2 2" xfId="1706" xr:uid="{00000000-0005-0000-0000-00001E080000}"/>
    <cellStyle name="20 % - Markeringsfarve1 3 5 2 2 2" xfId="7668" xr:uid="{00000000-0005-0000-0000-00001F080000}"/>
    <cellStyle name="20 % - Markeringsfarve1 3 5 2 2 2 2" xfId="15570" xr:uid="{00000000-0005-0000-0000-000020080000}"/>
    <cellStyle name="20 % - Markeringsfarve1 3 5 2 2 2 2 2" xfId="31885" xr:uid="{00000000-0005-0000-0000-000021080000}"/>
    <cellStyle name="20 % - Markeringsfarve1 3 5 2 2 2 2 3" xfId="46849" xr:uid="{00000000-0005-0000-0000-000022080000}"/>
    <cellStyle name="20 % - Markeringsfarve1 3 5 2 2 2 3" xfId="24863" xr:uid="{00000000-0005-0000-0000-000023080000}"/>
    <cellStyle name="20 % - Markeringsfarve1 3 5 2 2 2 4" xfId="39850" xr:uid="{00000000-0005-0000-0000-000024080000}"/>
    <cellStyle name="20 % - Markeringsfarve1 3 5 2 2 3" xfId="10266" xr:uid="{00000000-0005-0000-0000-000025080000}"/>
    <cellStyle name="20 % - Markeringsfarve1 3 5 2 2 3 2" xfId="26586" xr:uid="{00000000-0005-0000-0000-000026080000}"/>
    <cellStyle name="20 % - Markeringsfarve1 3 5 2 2 3 3" xfId="41552" xr:uid="{00000000-0005-0000-0000-000027080000}"/>
    <cellStyle name="20 % - Markeringsfarve1 3 5 2 2 4" xfId="19564" xr:uid="{00000000-0005-0000-0000-000028080000}"/>
    <cellStyle name="20 % - Markeringsfarve1 3 5 2 2 5" xfId="34553" xr:uid="{00000000-0005-0000-0000-000029080000}"/>
    <cellStyle name="20 % - Markeringsfarve1 3 5 2 3" xfId="6232" xr:uid="{00000000-0005-0000-0000-00002A080000}"/>
    <cellStyle name="20 % - Markeringsfarve1 3 5 2 3 2" xfId="14150" xr:uid="{00000000-0005-0000-0000-00002B080000}"/>
    <cellStyle name="20 % - Markeringsfarve1 3 5 2 3 2 2" xfId="30465" xr:uid="{00000000-0005-0000-0000-00002C080000}"/>
    <cellStyle name="20 % - Markeringsfarve1 3 5 2 3 2 3" xfId="45429" xr:uid="{00000000-0005-0000-0000-00002D080000}"/>
    <cellStyle name="20 % - Markeringsfarve1 3 5 2 3 3" xfId="23443" xr:uid="{00000000-0005-0000-0000-00002E080000}"/>
    <cellStyle name="20 % - Markeringsfarve1 3 5 2 3 4" xfId="38430" xr:uid="{00000000-0005-0000-0000-00002F080000}"/>
    <cellStyle name="20 % - Markeringsfarve1 3 5 2 4" xfId="10265" xr:uid="{00000000-0005-0000-0000-000030080000}"/>
    <cellStyle name="20 % - Markeringsfarve1 3 5 2 4 2" xfId="26585" xr:uid="{00000000-0005-0000-0000-000031080000}"/>
    <cellStyle name="20 % - Markeringsfarve1 3 5 2 4 3" xfId="41551" xr:uid="{00000000-0005-0000-0000-000032080000}"/>
    <cellStyle name="20 % - Markeringsfarve1 3 5 2 5" xfId="19563" xr:uid="{00000000-0005-0000-0000-000033080000}"/>
    <cellStyle name="20 % - Markeringsfarve1 3 5 2 6" xfId="34552" xr:uid="{00000000-0005-0000-0000-000034080000}"/>
    <cellStyle name="20 % - Markeringsfarve1 3 5 3" xfId="1707" xr:uid="{00000000-0005-0000-0000-000035080000}"/>
    <cellStyle name="20 % - Markeringsfarve1 3 5 3 2" xfId="6898" xr:uid="{00000000-0005-0000-0000-000036080000}"/>
    <cellStyle name="20 % - Markeringsfarve1 3 5 3 2 2" xfId="14810" xr:uid="{00000000-0005-0000-0000-000037080000}"/>
    <cellStyle name="20 % - Markeringsfarve1 3 5 3 2 2 2" xfId="31125" xr:uid="{00000000-0005-0000-0000-000038080000}"/>
    <cellStyle name="20 % - Markeringsfarve1 3 5 3 2 2 3" xfId="46089" xr:uid="{00000000-0005-0000-0000-000039080000}"/>
    <cellStyle name="20 % - Markeringsfarve1 3 5 3 2 3" xfId="24103" xr:uid="{00000000-0005-0000-0000-00003A080000}"/>
    <cellStyle name="20 % - Markeringsfarve1 3 5 3 2 4" xfId="39090" xr:uid="{00000000-0005-0000-0000-00003B080000}"/>
    <cellStyle name="20 % - Markeringsfarve1 3 5 3 3" xfId="10267" xr:uid="{00000000-0005-0000-0000-00003C080000}"/>
    <cellStyle name="20 % - Markeringsfarve1 3 5 3 3 2" xfId="26587" xr:uid="{00000000-0005-0000-0000-00003D080000}"/>
    <cellStyle name="20 % - Markeringsfarve1 3 5 3 3 3" xfId="41553" xr:uid="{00000000-0005-0000-0000-00003E080000}"/>
    <cellStyle name="20 % - Markeringsfarve1 3 5 3 4" xfId="19565" xr:uid="{00000000-0005-0000-0000-00003F080000}"/>
    <cellStyle name="20 % - Markeringsfarve1 3 5 3 5" xfId="34554" xr:uid="{00000000-0005-0000-0000-000040080000}"/>
    <cellStyle name="20 % - Markeringsfarve1 3 5 4" xfId="1708" xr:uid="{00000000-0005-0000-0000-000041080000}"/>
    <cellStyle name="20 % - Markeringsfarve1 3 5 4 2" xfId="8290" xr:uid="{00000000-0005-0000-0000-000042080000}"/>
    <cellStyle name="20 % - Markeringsfarve1 3 5 4 2 2" xfId="16185" xr:uid="{00000000-0005-0000-0000-000043080000}"/>
    <cellStyle name="20 % - Markeringsfarve1 3 5 4 2 2 2" xfId="32500" xr:uid="{00000000-0005-0000-0000-000044080000}"/>
    <cellStyle name="20 % - Markeringsfarve1 3 5 4 2 2 3" xfId="47464" xr:uid="{00000000-0005-0000-0000-000045080000}"/>
    <cellStyle name="20 % - Markeringsfarve1 3 5 4 2 3" xfId="25478" xr:uid="{00000000-0005-0000-0000-000046080000}"/>
    <cellStyle name="20 % - Markeringsfarve1 3 5 4 2 4" xfId="40465" xr:uid="{00000000-0005-0000-0000-000047080000}"/>
    <cellStyle name="20 % - Markeringsfarve1 3 5 4 3" xfId="10268" xr:uid="{00000000-0005-0000-0000-000048080000}"/>
    <cellStyle name="20 % - Markeringsfarve1 3 5 4 3 2" xfId="26588" xr:uid="{00000000-0005-0000-0000-000049080000}"/>
    <cellStyle name="20 % - Markeringsfarve1 3 5 4 3 3" xfId="41554" xr:uid="{00000000-0005-0000-0000-00004A080000}"/>
    <cellStyle name="20 % - Markeringsfarve1 3 5 4 4" xfId="19566" xr:uid="{00000000-0005-0000-0000-00004B080000}"/>
    <cellStyle name="20 % - Markeringsfarve1 3 5 4 5" xfId="34555" xr:uid="{00000000-0005-0000-0000-00004C080000}"/>
    <cellStyle name="20 % - Markeringsfarve1 3 5 5" xfId="5381" xr:uid="{00000000-0005-0000-0000-00004D080000}"/>
    <cellStyle name="20 % - Markeringsfarve1 3 5 5 2" xfId="13300" xr:uid="{00000000-0005-0000-0000-00004E080000}"/>
    <cellStyle name="20 % - Markeringsfarve1 3 5 5 2 2" xfId="29615" xr:uid="{00000000-0005-0000-0000-00004F080000}"/>
    <cellStyle name="20 % - Markeringsfarve1 3 5 5 2 3" xfId="44579" xr:uid="{00000000-0005-0000-0000-000050080000}"/>
    <cellStyle name="20 % - Markeringsfarve1 3 5 5 3" xfId="22593" xr:uid="{00000000-0005-0000-0000-000051080000}"/>
    <cellStyle name="20 % - Markeringsfarve1 3 5 5 4" xfId="37580" xr:uid="{00000000-0005-0000-0000-000052080000}"/>
    <cellStyle name="20 % - Markeringsfarve1 3 5 6" xfId="10264" xr:uid="{00000000-0005-0000-0000-000053080000}"/>
    <cellStyle name="20 % - Markeringsfarve1 3 5 6 2" xfId="26584" xr:uid="{00000000-0005-0000-0000-000054080000}"/>
    <cellStyle name="20 % - Markeringsfarve1 3 5 6 3" xfId="41550" xr:uid="{00000000-0005-0000-0000-000055080000}"/>
    <cellStyle name="20 % - Markeringsfarve1 3 5 7" xfId="19562" xr:uid="{00000000-0005-0000-0000-000056080000}"/>
    <cellStyle name="20 % - Markeringsfarve1 3 5 8" xfId="34551" xr:uid="{00000000-0005-0000-0000-000057080000}"/>
    <cellStyle name="20 % - Markeringsfarve1 3 6" xfId="1709" xr:uid="{00000000-0005-0000-0000-000058080000}"/>
    <cellStyle name="20 % - Markeringsfarve1 3 6 2" xfId="1710" xr:uid="{00000000-0005-0000-0000-000059080000}"/>
    <cellStyle name="20 % - Markeringsfarve1 3 6 2 2" xfId="1711" xr:uid="{00000000-0005-0000-0000-00005A080000}"/>
    <cellStyle name="20 % - Markeringsfarve1 3 6 2 2 2" xfId="7799" xr:uid="{00000000-0005-0000-0000-00005B080000}"/>
    <cellStyle name="20 % - Markeringsfarve1 3 6 2 2 2 2" xfId="15701" xr:uid="{00000000-0005-0000-0000-00005C080000}"/>
    <cellStyle name="20 % - Markeringsfarve1 3 6 2 2 2 2 2" xfId="32016" xr:uid="{00000000-0005-0000-0000-00005D080000}"/>
    <cellStyle name="20 % - Markeringsfarve1 3 6 2 2 2 2 3" xfId="46980" xr:uid="{00000000-0005-0000-0000-00005E080000}"/>
    <cellStyle name="20 % - Markeringsfarve1 3 6 2 2 2 3" xfId="24994" xr:uid="{00000000-0005-0000-0000-00005F080000}"/>
    <cellStyle name="20 % - Markeringsfarve1 3 6 2 2 2 4" xfId="39981" xr:uid="{00000000-0005-0000-0000-000060080000}"/>
    <cellStyle name="20 % - Markeringsfarve1 3 6 2 2 3" xfId="10271" xr:uid="{00000000-0005-0000-0000-000061080000}"/>
    <cellStyle name="20 % - Markeringsfarve1 3 6 2 2 3 2" xfId="26591" xr:uid="{00000000-0005-0000-0000-000062080000}"/>
    <cellStyle name="20 % - Markeringsfarve1 3 6 2 2 3 3" xfId="41557" xr:uid="{00000000-0005-0000-0000-000063080000}"/>
    <cellStyle name="20 % - Markeringsfarve1 3 6 2 2 4" xfId="19569" xr:uid="{00000000-0005-0000-0000-000064080000}"/>
    <cellStyle name="20 % - Markeringsfarve1 3 6 2 2 5" xfId="34558" xr:uid="{00000000-0005-0000-0000-000065080000}"/>
    <cellStyle name="20 % - Markeringsfarve1 3 6 2 3" xfId="6344" xr:uid="{00000000-0005-0000-0000-000066080000}"/>
    <cellStyle name="20 % - Markeringsfarve1 3 6 2 3 2" xfId="14259" xr:uid="{00000000-0005-0000-0000-000067080000}"/>
    <cellStyle name="20 % - Markeringsfarve1 3 6 2 3 2 2" xfId="30574" xr:uid="{00000000-0005-0000-0000-000068080000}"/>
    <cellStyle name="20 % - Markeringsfarve1 3 6 2 3 2 3" xfId="45538" xr:uid="{00000000-0005-0000-0000-000069080000}"/>
    <cellStyle name="20 % - Markeringsfarve1 3 6 2 3 3" xfId="23552" xr:uid="{00000000-0005-0000-0000-00006A080000}"/>
    <cellStyle name="20 % - Markeringsfarve1 3 6 2 3 4" xfId="38539" xr:uid="{00000000-0005-0000-0000-00006B080000}"/>
    <cellStyle name="20 % - Markeringsfarve1 3 6 2 4" xfId="10270" xr:uid="{00000000-0005-0000-0000-00006C080000}"/>
    <cellStyle name="20 % - Markeringsfarve1 3 6 2 4 2" xfId="26590" xr:uid="{00000000-0005-0000-0000-00006D080000}"/>
    <cellStyle name="20 % - Markeringsfarve1 3 6 2 4 3" xfId="41556" xr:uid="{00000000-0005-0000-0000-00006E080000}"/>
    <cellStyle name="20 % - Markeringsfarve1 3 6 2 5" xfId="19568" xr:uid="{00000000-0005-0000-0000-00006F080000}"/>
    <cellStyle name="20 % - Markeringsfarve1 3 6 2 6" xfId="34557" xr:uid="{00000000-0005-0000-0000-000070080000}"/>
    <cellStyle name="20 % - Markeringsfarve1 3 6 3" xfId="1712" xr:uid="{00000000-0005-0000-0000-000071080000}"/>
    <cellStyle name="20 % - Markeringsfarve1 3 6 3 2" xfId="7075" xr:uid="{00000000-0005-0000-0000-000072080000}"/>
    <cellStyle name="20 % - Markeringsfarve1 3 6 3 2 2" xfId="14986" xr:uid="{00000000-0005-0000-0000-000073080000}"/>
    <cellStyle name="20 % - Markeringsfarve1 3 6 3 2 2 2" xfId="31301" xr:uid="{00000000-0005-0000-0000-000074080000}"/>
    <cellStyle name="20 % - Markeringsfarve1 3 6 3 2 2 3" xfId="46265" xr:uid="{00000000-0005-0000-0000-000075080000}"/>
    <cellStyle name="20 % - Markeringsfarve1 3 6 3 2 3" xfId="24279" xr:uid="{00000000-0005-0000-0000-000076080000}"/>
    <cellStyle name="20 % - Markeringsfarve1 3 6 3 2 4" xfId="39266" xr:uid="{00000000-0005-0000-0000-000077080000}"/>
    <cellStyle name="20 % - Markeringsfarve1 3 6 3 3" xfId="10272" xr:uid="{00000000-0005-0000-0000-000078080000}"/>
    <cellStyle name="20 % - Markeringsfarve1 3 6 3 3 2" xfId="26592" xr:uid="{00000000-0005-0000-0000-000079080000}"/>
    <cellStyle name="20 % - Markeringsfarve1 3 6 3 3 3" xfId="41558" xr:uid="{00000000-0005-0000-0000-00007A080000}"/>
    <cellStyle name="20 % - Markeringsfarve1 3 6 3 4" xfId="19570" xr:uid="{00000000-0005-0000-0000-00007B080000}"/>
    <cellStyle name="20 % - Markeringsfarve1 3 6 3 5" xfId="34559" xr:uid="{00000000-0005-0000-0000-00007C080000}"/>
    <cellStyle name="20 % - Markeringsfarve1 3 6 4" xfId="1713" xr:uid="{00000000-0005-0000-0000-00007D080000}"/>
    <cellStyle name="20 % - Markeringsfarve1 3 6 4 2" xfId="8289" xr:uid="{00000000-0005-0000-0000-00007E080000}"/>
    <cellStyle name="20 % - Markeringsfarve1 3 6 4 2 2" xfId="16184" xr:uid="{00000000-0005-0000-0000-00007F080000}"/>
    <cellStyle name="20 % - Markeringsfarve1 3 6 4 2 2 2" xfId="32499" xr:uid="{00000000-0005-0000-0000-000080080000}"/>
    <cellStyle name="20 % - Markeringsfarve1 3 6 4 2 2 3" xfId="47463" xr:uid="{00000000-0005-0000-0000-000081080000}"/>
    <cellStyle name="20 % - Markeringsfarve1 3 6 4 2 3" xfId="25477" xr:uid="{00000000-0005-0000-0000-000082080000}"/>
    <cellStyle name="20 % - Markeringsfarve1 3 6 4 2 4" xfId="40464" xr:uid="{00000000-0005-0000-0000-000083080000}"/>
    <cellStyle name="20 % - Markeringsfarve1 3 6 4 3" xfId="10273" xr:uid="{00000000-0005-0000-0000-000084080000}"/>
    <cellStyle name="20 % - Markeringsfarve1 3 6 4 3 2" xfId="26593" xr:uid="{00000000-0005-0000-0000-000085080000}"/>
    <cellStyle name="20 % - Markeringsfarve1 3 6 4 3 3" xfId="41559" xr:uid="{00000000-0005-0000-0000-000086080000}"/>
    <cellStyle name="20 % - Markeringsfarve1 3 6 4 4" xfId="19571" xr:uid="{00000000-0005-0000-0000-000087080000}"/>
    <cellStyle name="20 % - Markeringsfarve1 3 6 4 5" xfId="34560" xr:uid="{00000000-0005-0000-0000-000088080000}"/>
    <cellStyle name="20 % - Markeringsfarve1 3 6 5" xfId="5382" xr:uid="{00000000-0005-0000-0000-000089080000}"/>
    <cellStyle name="20 % - Markeringsfarve1 3 6 5 2" xfId="13301" xr:uid="{00000000-0005-0000-0000-00008A080000}"/>
    <cellStyle name="20 % - Markeringsfarve1 3 6 5 2 2" xfId="29616" xr:uid="{00000000-0005-0000-0000-00008B080000}"/>
    <cellStyle name="20 % - Markeringsfarve1 3 6 5 2 3" xfId="44580" xr:uid="{00000000-0005-0000-0000-00008C080000}"/>
    <cellStyle name="20 % - Markeringsfarve1 3 6 5 3" xfId="22594" xr:uid="{00000000-0005-0000-0000-00008D080000}"/>
    <cellStyle name="20 % - Markeringsfarve1 3 6 5 4" xfId="37581" xr:uid="{00000000-0005-0000-0000-00008E080000}"/>
    <cellStyle name="20 % - Markeringsfarve1 3 6 6" xfId="10269" xr:uid="{00000000-0005-0000-0000-00008F080000}"/>
    <cellStyle name="20 % - Markeringsfarve1 3 6 6 2" xfId="26589" xr:uid="{00000000-0005-0000-0000-000090080000}"/>
    <cellStyle name="20 % - Markeringsfarve1 3 6 6 3" xfId="41555" xr:uid="{00000000-0005-0000-0000-000091080000}"/>
    <cellStyle name="20 % - Markeringsfarve1 3 6 7" xfId="19567" xr:uid="{00000000-0005-0000-0000-000092080000}"/>
    <cellStyle name="20 % - Markeringsfarve1 3 6 8" xfId="34556" xr:uid="{00000000-0005-0000-0000-000093080000}"/>
    <cellStyle name="20 % - Markeringsfarve1 3 7" xfId="1714" xr:uid="{00000000-0005-0000-0000-000094080000}"/>
    <cellStyle name="20 % - Markeringsfarve1 3 7 2" xfId="1715" xr:uid="{00000000-0005-0000-0000-000095080000}"/>
    <cellStyle name="20 % - Markeringsfarve1 3 7 2 2" xfId="1716" xr:uid="{00000000-0005-0000-0000-000096080000}"/>
    <cellStyle name="20 % - Markeringsfarve1 3 7 2 2 2" xfId="7916" xr:uid="{00000000-0005-0000-0000-000097080000}"/>
    <cellStyle name="20 % - Markeringsfarve1 3 7 2 2 2 2" xfId="15818" xr:uid="{00000000-0005-0000-0000-000098080000}"/>
    <cellStyle name="20 % - Markeringsfarve1 3 7 2 2 2 2 2" xfId="32133" xr:uid="{00000000-0005-0000-0000-000099080000}"/>
    <cellStyle name="20 % - Markeringsfarve1 3 7 2 2 2 2 3" xfId="47097" xr:uid="{00000000-0005-0000-0000-00009A080000}"/>
    <cellStyle name="20 % - Markeringsfarve1 3 7 2 2 2 3" xfId="25111" xr:uid="{00000000-0005-0000-0000-00009B080000}"/>
    <cellStyle name="20 % - Markeringsfarve1 3 7 2 2 2 4" xfId="40098" xr:uid="{00000000-0005-0000-0000-00009C080000}"/>
    <cellStyle name="20 % - Markeringsfarve1 3 7 2 2 3" xfId="10276" xr:uid="{00000000-0005-0000-0000-00009D080000}"/>
    <cellStyle name="20 % - Markeringsfarve1 3 7 2 2 3 2" xfId="26596" xr:uid="{00000000-0005-0000-0000-00009E080000}"/>
    <cellStyle name="20 % - Markeringsfarve1 3 7 2 2 3 3" xfId="41562" xr:uid="{00000000-0005-0000-0000-00009F080000}"/>
    <cellStyle name="20 % - Markeringsfarve1 3 7 2 2 4" xfId="19574" xr:uid="{00000000-0005-0000-0000-0000A0080000}"/>
    <cellStyle name="20 % - Markeringsfarve1 3 7 2 2 5" xfId="34563" xr:uid="{00000000-0005-0000-0000-0000A1080000}"/>
    <cellStyle name="20 % - Markeringsfarve1 3 7 2 3" xfId="6443" xr:uid="{00000000-0005-0000-0000-0000A2080000}"/>
    <cellStyle name="20 % - Markeringsfarve1 3 7 2 3 2" xfId="14358" xr:uid="{00000000-0005-0000-0000-0000A3080000}"/>
    <cellStyle name="20 % - Markeringsfarve1 3 7 2 3 2 2" xfId="30673" xr:uid="{00000000-0005-0000-0000-0000A4080000}"/>
    <cellStyle name="20 % - Markeringsfarve1 3 7 2 3 2 3" xfId="45637" xr:uid="{00000000-0005-0000-0000-0000A5080000}"/>
    <cellStyle name="20 % - Markeringsfarve1 3 7 2 3 3" xfId="23651" xr:uid="{00000000-0005-0000-0000-0000A6080000}"/>
    <cellStyle name="20 % - Markeringsfarve1 3 7 2 3 4" xfId="38638" xr:uid="{00000000-0005-0000-0000-0000A7080000}"/>
    <cellStyle name="20 % - Markeringsfarve1 3 7 2 4" xfId="10275" xr:uid="{00000000-0005-0000-0000-0000A8080000}"/>
    <cellStyle name="20 % - Markeringsfarve1 3 7 2 4 2" xfId="26595" xr:uid="{00000000-0005-0000-0000-0000A9080000}"/>
    <cellStyle name="20 % - Markeringsfarve1 3 7 2 4 3" xfId="41561" xr:uid="{00000000-0005-0000-0000-0000AA080000}"/>
    <cellStyle name="20 % - Markeringsfarve1 3 7 2 5" xfId="19573" xr:uid="{00000000-0005-0000-0000-0000AB080000}"/>
    <cellStyle name="20 % - Markeringsfarve1 3 7 2 6" xfId="34562" xr:uid="{00000000-0005-0000-0000-0000AC080000}"/>
    <cellStyle name="20 % - Markeringsfarve1 3 7 3" xfId="1717" xr:uid="{00000000-0005-0000-0000-0000AD080000}"/>
    <cellStyle name="20 % - Markeringsfarve1 3 7 3 2" xfId="7192" xr:uid="{00000000-0005-0000-0000-0000AE080000}"/>
    <cellStyle name="20 % - Markeringsfarve1 3 7 3 2 2" xfId="15103" xr:uid="{00000000-0005-0000-0000-0000AF080000}"/>
    <cellStyle name="20 % - Markeringsfarve1 3 7 3 2 2 2" xfId="31418" xr:uid="{00000000-0005-0000-0000-0000B0080000}"/>
    <cellStyle name="20 % - Markeringsfarve1 3 7 3 2 2 3" xfId="46382" xr:uid="{00000000-0005-0000-0000-0000B1080000}"/>
    <cellStyle name="20 % - Markeringsfarve1 3 7 3 2 3" xfId="24396" xr:uid="{00000000-0005-0000-0000-0000B2080000}"/>
    <cellStyle name="20 % - Markeringsfarve1 3 7 3 2 4" xfId="39383" xr:uid="{00000000-0005-0000-0000-0000B3080000}"/>
    <cellStyle name="20 % - Markeringsfarve1 3 7 3 3" xfId="10277" xr:uid="{00000000-0005-0000-0000-0000B4080000}"/>
    <cellStyle name="20 % - Markeringsfarve1 3 7 3 3 2" xfId="26597" xr:uid="{00000000-0005-0000-0000-0000B5080000}"/>
    <cellStyle name="20 % - Markeringsfarve1 3 7 3 3 3" xfId="41563" xr:uid="{00000000-0005-0000-0000-0000B6080000}"/>
    <cellStyle name="20 % - Markeringsfarve1 3 7 3 4" xfId="19575" xr:uid="{00000000-0005-0000-0000-0000B7080000}"/>
    <cellStyle name="20 % - Markeringsfarve1 3 7 3 5" xfId="34564" xr:uid="{00000000-0005-0000-0000-0000B8080000}"/>
    <cellStyle name="20 % - Markeringsfarve1 3 7 4" xfId="1718" xr:uid="{00000000-0005-0000-0000-0000B9080000}"/>
    <cellStyle name="20 % - Markeringsfarve1 3 7 4 2" xfId="8288" xr:uid="{00000000-0005-0000-0000-0000BA080000}"/>
    <cellStyle name="20 % - Markeringsfarve1 3 7 4 2 2" xfId="16183" xr:uid="{00000000-0005-0000-0000-0000BB080000}"/>
    <cellStyle name="20 % - Markeringsfarve1 3 7 4 2 2 2" xfId="32498" xr:uid="{00000000-0005-0000-0000-0000BC080000}"/>
    <cellStyle name="20 % - Markeringsfarve1 3 7 4 2 2 3" xfId="47462" xr:uid="{00000000-0005-0000-0000-0000BD080000}"/>
    <cellStyle name="20 % - Markeringsfarve1 3 7 4 2 3" xfId="25476" xr:uid="{00000000-0005-0000-0000-0000BE080000}"/>
    <cellStyle name="20 % - Markeringsfarve1 3 7 4 2 4" xfId="40463" xr:uid="{00000000-0005-0000-0000-0000BF080000}"/>
    <cellStyle name="20 % - Markeringsfarve1 3 7 4 3" xfId="10278" xr:uid="{00000000-0005-0000-0000-0000C0080000}"/>
    <cellStyle name="20 % - Markeringsfarve1 3 7 4 3 2" xfId="26598" xr:uid="{00000000-0005-0000-0000-0000C1080000}"/>
    <cellStyle name="20 % - Markeringsfarve1 3 7 4 3 3" xfId="41564" xr:uid="{00000000-0005-0000-0000-0000C2080000}"/>
    <cellStyle name="20 % - Markeringsfarve1 3 7 4 4" xfId="19576" xr:uid="{00000000-0005-0000-0000-0000C3080000}"/>
    <cellStyle name="20 % - Markeringsfarve1 3 7 4 5" xfId="34565" xr:uid="{00000000-0005-0000-0000-0000C4080000}"/>
    <cellStyle name="20 % - Markeringsfarve1 3 7 5" xfId="5383" xr:uid="{00000000-0005-0000-0000-0000C5080000}"/>
    <cellStyle name="20 % - Markeringsfarve1 3 7 5 2" xfId="13302" xr:uid="{00000000-0005-0000-0000-0000C6080000}"/>
    <cellStyle name="20 % - Markeringsfarve1 3 7 5 2 2" xfId="29617" xr:uid="{00000000-0005-0000-0000-0000C7080000}"/>
    <cellStyle name="20 % - Markeringsfarve1 3 7 5 2 3" xfId="44581" xr:uid="{00000000-0005-0000-0000-0000C8080000}"/>
    <cellStyle name="20 % - Markeringsfarve1 3 7 5 3" xfId="22595" xr:uid="{00000000-0005-0000-0000-0000C9080000}"/>
    <cellStyle name="20 % - Markeringsfarve1 3 7 5 4" xfId="37582" xr:uid="{00000000-0005-0000-0000-0000CA080000}"/>
    <cellStyle name="20 % - Markeringsfarve1 3 7 6" xfId="10274" xr:uid="{00000000-0005-0000-0000-0000CB080000}"/>
    <cellStyle name="20 % - Markeringsfarve1 3 7 6 2" xfId="26594" xr:uid="{00000000-0005-0000-0000-0000CC080000}"/>
    <cellStyle name="20 % - Markeringsfarve1 3 7 6 3" xfId="41560" xr:uid="{00000000-0005-0000-0000-0000CD080000}"/>
    <cellStyle name="20 % - Markeringsfarve1 3 7 7" xfId="19572" xr:uid="{00000000-0005-0000-0000-0000CE080000}"/>
    <cellStyle name="20 % - Markeringsfarve1 3 7 8" xfId="34561" xr:uid="{00000000-0005-0000-0000-0000CF080000}"/>
    <cellStyle name="20 % - Markeringsfarve1 3 8" xfId="1719" xr:uid="{00000000-0005-0000-0000-0000D0080000}"/>
    <cellStyle name="20 % - Markeringsfarve1 3 8 2" xfId="1720" xr:uid="{00000000-0005-0000-0000-0000D1080000}"/>
    <cellStyle name="20 % - Markeringsfarve1 3 8 2 2" xfId="1721" xr:uid="{00000000-0005-0000-0000-0000D2080000}"/>
    <cellStyle name="20 % - Markeringsfarve1 3 8 2 2 2" xfId="8023" xr:uid="{00000000-0005-0000-0000-0000D3080000}"/>
    <cellStyle name="20 % - Markeringsfarve1 3 8 2 2 2 2" xfId="15925" xr:uid="{00000000-0005-0000-0000-0000D4080000}"/>
    <cellStyle name="20 % - Markeringsfarve1 3 8 2 2 2 2 2" xfId="32240" xr:uid="{00000000-0005-0000-0000-0000D5080000}"/>
    <cellStyle name="20 % - Markeringsfarve1 3 8 2 2 2 2 3" xfId="47204" xr:uid="{00000000-0005-0000-0000-0000D6080000}"/>
    <cellStyle name="20 % - Markeringsfarve1 3 8 2 2 2 3" xfId="25218" xr:uid="{00000000-0005-0000-0000-0000D7080000}"/>
    <cellStyle name="20 % - Markeringsfarve1 3 8 2 2 2 4" xfId="40205" xr:uid="{00000000-0005-0000-0000-0000D8080000}"/>
    <cellStyle name="20 % - Markeringsfarve1 3 8 2 2 3" xfId="10281" xr:uid="{00000000-0005-0000-0000-0000D9080000}"/>
    <cellStyle name="20 % - Markeringsfarve1 3 8 2 2 3 2" xfId="26601" xr:uid="{00000000-0005-0000-0000-0000DA080000}"/>
    <cellStyle name="20 % - Markeringsfarve1 3 8 2 2 3 3" xfId="41567" xr:uid="{00000000-0005-0000-0000-0000DB080000}"/>
    <cellStyle name="20 % - Markeringsfarve1 3 8 2 2 4" xfId="19579" xr:uid="{00000000-0005-0000-0000-0000DC080000}"/>
    <cellStyle name="20 % - Markeringsfarve1 3 8 2 2 5" xfId="34568" xr:uid="{00000000-0005-0000-0000-0000DD080000}"/>
    <cellStyle name="20 % - Markeringsfarve1 3 8 2 3" xfId="6534" xr:uid="{00000000-0005-0000-0000-0000DE080000}"/>
    <cellStyle name="20 % - Markeringsfarve1 3 8 2 3 2" xfId="14449" xr:uid="{00000000-0005-0000-0000-0000DF080000}"/>
    <cellStyle name="20 % - Markeringsfarve1 3 8 2 3 2 2" xfId="30764" xr:uid="{00000000-0005-0000-0000-0000E0080000}"/>
    <cellStyle name="20 % - Markeringsfarve1 3 8 2 3 2 3" xfId="45728" xr:uid="{00000000-0005-0000-0000-0000E1080000}"/>
    <cellStyle name="20 % - Markeringsfarve1 3 8 2 3 3" xfId="23742" xr:uid="{00000000-0005-0000-0000-0000E2080000}"/>
    <cellStyle name="20 % - Markeringsfarve1 3 8 2 3 4" xfId="38729" xr:uid="{00000000-0005-0000-0000-0000E3080000}"/>
    <cellStyle name="20 % - Markeringsfarve1 3 8 2 4" xfId="10280" xr:uid="{00000000-0005-0000-0000-0000E4080000}"/>
    <cellStyle name="20 % - Markeringsfarve1 3 8 2 4 2" xfId="26600" xr:uid="{00000000-0005-0000-0000-0000E5080000}"/>
    <cellStyle name="20 % - Markeringsfarve1 3 8 2 4 3" xfId="41566" xr:uid="{00000000-0005-0000-0000-0000E6080000}"/>
    <cellStyle name="20 % - Markeringsfarve1 3 8 2 5" xfId="19578" xr:uid="{00000000-0005-0000-0000-0000E7080000}"/>
    <cellStyle name="20 % - Markeringsfarve1 3 8 2 6" xfId="34567" xr:uid="{00000000-0005-0000-0000-0000E8080000}"/>
    <cellStyle name="20 % - Markeringsfarve1 3 8 3" xfId="1722" xr:uid="{00000000-0005-0000-0000-0000E9080000}"/>
    <cellStyle name="20 % - Markeringsfarve1 3 8 3 2" xfId="7300" xr:uid="{00000000-0005-0000-0000-0000EA080000}"/>
    <cellStyle name="20 % - Markeringsfarve1 3 8 3 2 2" xfId="15211" xr:uid="{00000000-0005-0000-0000-0000EB080000}"/>
    <cellStyle name="20 % - Markeringsfarve1 3 8 3 2 2 2" xfId="31526" xr:uid="{00000000-0005-0000-0000-0000EC080000}"/>
    <cellStyle name="20 % - Markeringsfarve1 3 8 3 2 2 3" xfId="46490" xr:uid="{00000000-0005-0000-0000-0000ED080000}"/>
    <cellStyle name="20 % - Markeringsfarve1 3 8 3 2 3" xfId="24504" xr:uid="{00000000-0005-0000-0000-0000EE080000}"/>
    <cellStyle name="20 % - Markeringsfarve1 3 8 3 2 4" xfId="39491" xr:uid="{00000000-0005-0000-0000-0000EF080000}"/>
    <cellStyle name="20 % - Markeringsfarve1 3 8 3 3" xfId="10282" xr:uid="{00000000-0005-0000-0000-0000F0080000}"/>
    <cellStyle name="20 % - Markeringsfarve1 3 8 3 3 2" xfId="26602" xr:uid="{00000000-0005-0000-0000-0000F1080000}"/>
    <cellStyle name="20 % - Markeringsfarve1 3 8 3 3 3" xfId="41568" xr:uid="{00000000-0005-0000-0000-0000F2080000}"/>
    <cellStyle name="20 % - Markeringsfarve1 3 8 3 4" xfId="19580" xr:uid="{00000000-0005-0000-0000-0000F3080000}"/>
    <cellStyle name="20 % - Markeringsfarve1 3 8 3 5" xfId="34569" xr:uid="{00000000-0005-0000-0000-0000F4080000}"/>
    <cellStyle name="20 % - Markeringsfarve1 3 8 4" xfId="1723" xr:uid="{00000000-0005-0000-0000-0000F5080000}"/>
    <cellStyle name="20 % - Markeringsfarve1 3 8 4 2" xfId="8287" xr:uid="{00000000-0005-0000-0000-0000F6080000}"/>
    <cellStyle name="20 % - Markeringsfarve1 3 8 4 2 2" xfId="16182" xr:uid="{00000000-0005-0000-0000-0000F7080000}"/>
    <cellStyle name="20 % - Markeringsfarve1 3 8 4 2 2 2" xfId="32497" xr:uid="{00000000-0005-0000-0000-0000F8080000}"/>
    <cellStyle name="20 % - Markeringsfarve1 3 8 4 2 2 3" xfId="47461" xr:uid="{00000000-0005-0000-0000-0000F9080000}"/>
    <cellStyle name="20 % - Markeringsfarve1 3 8 4 2 3" xfId="25475" xr:uid="{00000000-0005-0000-0000-0000FA080000}"/>
    <cellStyle name="20 % - Markeringsfarve1 3 8 4 2 4" xfId="40462" xr:uid="{00000000-0005-0000-0000-0000FB080000}"/>
    <cellStyle name="20 % - Markeringsfarve1 3 8 4 3" xfId="10283" xr:uid="{00000000-0005-0000-0000-0000FC080000}"/>
    <cellStyle name="20 % - Markeringsfarve1 3 8 4 3 2" xfId="26603" xr:uid="{00000000-0005-0000-0000-0000FD080000}"/>
    <cellStyle name="20 % - Markeringsfarve1 3 8 4 3 3" xfId="41569" xr:uid="{00000000-0005-0000-0000-0000FE080000}"/>
    <cellStyle name="20 % - Markeringsfarve1 3 8 4 4" xfId="19581" xr:uid="{00000000-0005-0000-0000-0000FF080000}"/>
    <cellStyle name="20 % - Markeringsfarve1 3 8 4 5" xfId="34570" xr:uid="{00000000-0005-0000-0000-000000090000}"/>
    <cellStyle name="20 % - Markeringsfarve1 3 8 5" xfId="5384" xr:uid="{00000000-0005-0000-0000-000001090000}"/>
    <cellStyle name="20 % - Markeringsfarve1 3 8 5 2" xfId="13303" xr:uid="{00000000-0005-0000-0000-000002090000}"/>
    <cellStyle name="20 % - Markeringsfarve1 3 8 5 2 2" xfId="29618" xr:uid="{00000000-0005-0000-0000-000003090000}"/>
    <cellStyle name="20 % - Markeringsfarve1 3 8 5 2 3" xfId="44582" xr:uid="{00000000-0005-0000-0000-000004090000}"/>
    <cellStyle name="20 % - Markeringsfarve1 3 8 5 3" xfId="22596" xr:uid="{00000000-0005-0000-0000-000005090000}"/>
    <cellStyle name="20 % - Markeringsfarve1 3 8 5 4" xfId="37583" xr:uid="{00000000-0005-0000-0000-000006090000}"/>
    <cellStyle name="20 % - Markeringsfarve1 3 8 6" xfId="10279" xr:uid="{00000000-0005-0000-0000-000007090000}"/>
    <cellStyle name="20 % - Markeringsfarve1 3 8 6 2" xfId="26599" xr:uid="{00000000-0005-0000-0000-000008090000}"/>
    <cellStyle name="20 % - Markeringsfarve1 3 8 6 3" xfId="41565" xr:uid="{00000000-0005-0000-0000-000009090000}"/>
    <cellStyle name="20 % - Markeringsfarve1 3 8 7" xfId="19577" xr:uid="{00000000-0005-0000-0000-00000A090000}"/>
    <cellStyle name="20 % - Markeringsfarve1 3 8 8" xfId="34566" xr:uid="{00000000-0005-0000-0000-00000B090000}"/>
    <cellStyle name="20 % - Markeringsfarve1 3 9" xfId="1724" xr:uid="{00000000-0005-0000-0000-00000C090000}"/>
    <cellStyle name="20 % - Markeringsfarve1 3 9 2" xfId="1725" xr:uid="{00000000-0005-0000-0000-00000D090000}"/>
    <cellStyle name="20 % - Markeringsfarve1 3 9 2 2" xfId="7442" xr:uid="{00000000-0005-0000-0000-00000E090000}"/>
    <cellStyle name="20 % - Markeringsfarve1 3 9 2 2 2" xfId="15344" xr:uid="{00000000-0005-0000-0000-00000F090000}"/>
    <cellStyle name="20 % - Markeringsfarve1 3 9 2 2 2 2" xfId="31659" xr:uid="{00000000-0005-0000-0000-000010090000}"/>
    <cellStyle name="20 % - Markeringsfarve1 3 9 2 2 2 3" xfId="46623" xr:uid="{00000000-0005-0000-0000-000011090000}"/>
    <cellStyle name="20 % - Markeringsfarve1 3 9 2 2 3" xfId="24637" xr:uid="{00000000-0005-0000-0000-000012090000}"/>
    <cellStyle name="20 % - Markeringsfarve1 3 9 2 2 4" xfId="39624" xr:uid="{00000000-0005-0000-0000-000013090000}"/>
    <cellStyle name="20 % - Markeringsfarve1 3 9 2 3" xfId="10285" xr:uid="{00000000-0005-0000-0000-000014090000}"/>
    <cellStyle name="20 % - Markeringsfarve1 3 9 2 3 2" xfId="26605" xr:uid="{00000000-0005-0000-0000-000015090000}"/>
    <cellStyle name="20 % - Markeringsfarve1 3 9 2 3 3" xfId="41571" xr:uid="{00000000-0005-0000-0000-000016090000}"/>
    <cellStyle name="20 % - Markeringsfarve1 3 9 2 4" xfId="19583" xr:uid="{00000000-0005-0000-0000-000017090000}"/>
    <cellStyle name="20 % - Markeringsfarve1 3 9 2 5" xfId="34572" xr:uid="{00000000-0005-0000-0000-000018090000}"/>
    <cellStyle name="20 % - Markeringsfarve1 3 9 3" xfId="6043" xr:uid="{00000000-0005-0000-0000-000019090000}"/>
    <cellStyle name="20 % - Markeringsfarve1 3 9 3 2" xfId="13961" xr:uid="{00000000-0005-0000-0000-00001A090000}"/>
    <cellStyle name="20 % - Markeringsfarve1 3 9 3 2 2" xfId="30276" xr:uid="{00000000-0005-0000-0000-00001B090000}"/>
    <cellStyle name="20 % - Markeringsfarve1 3 9 3 2 3" xfId="45240" xr:uid="{00000000-0005-0000-0000-00001C090000}"/>
    <cellStyle name="20 % - Markeringsfarve1 3 9 3 3" xfId="23254" xr:uid="{00000000-0005-0000-0000-00001D090000}"/>
    <cellStyle name="20 % - Markeringsfarve1 3 9 3 4" xfId="38241" xr:uid="{00000000-0005-0000-0000-00001E090000}"/>
    <cellStyle name="20 % - Markeringsfarve1 3 9 4" xfId="10284" xr:uid="{00000000-0005-0000-0000-00001F090000}"/>
    <cellStyle name="20 % - Markeringsfarve1 3 9 4 2" xfId="26604" xr:uid="{00000000-0005-0000-0000-000020090000}"/>
    <cellStyle name="20 % - Markeringsfarve1 3 9 4 3" xfId="41570" xr:uid="{00000000-0005-0000-0000-000021090000}"/>
    <cellStyle name="20 % - Markeringsfarve1 3 9 5" xfId="19582" xr:uid="{00000000-0005-0000-0000-000022090000}"/>
    <cellStyle name="20 % - Markeringsfarve1 3 9 6" xfId="34571" xr:uid="{00000000-0005-0000-0000-000023090000}"/>
    <cellStyle name="20 % - Markeringsfarve1 4" xfId="1726" xr:uid="{00000000-0005-0000-0000-000024090000}"/>
    <cellStyle name="20 % - Markeringsfarve1 4 10" xfId="5385" xr:uid="{00000000-0005-0000-0000-000025090000}"/>
    <cellStyle name="20 % - Markeringsfarve1 4 10 2" xfId="13304" xr:uid="{00000000-0005-0000-0000-000026090000}"/>
    <cellStyle name="20 % - Markeringsfarve1 4 10 2 2" xfId="29619" xr:uid="{00000000-0005-0000-0000-000027090000}"/>
    <cellStyle name="20 % - Markeringsfarve1 4 10 2 3" xfId="44583" xr:uid="{00000000-0005-0000-0000-000028090000}"/>
    <cellStyle name="20 % - Markeringsfarve1 4 10 3" xfId="22597" xr:uid="{00000000-0005-0000-0000-000029090000}"/>
    <cellStyle name="20 % - Markeringsfarve1 4 10 4" xfId="37584" xr:uid="{00000000-0005-0000-0000-00002A090000}"/>
    <cellStyle name="20 % - Markeringsfarve1 4 11" xfId="10286" xr:uid="{00000000-0005-0000-0000-00002B090000}"/>
    <cellStyle name="20 % - Markeringsfarve1 4 11 2" xfId="26606" xr:uid="{00000000-0005-0000-0000-00002C090000}"/>
    <cellStyle name="20 % - Markeringsfarve1 4 11 3" xfId="41572" xr:uid="{00000000-0005-0000-0000-00002D090000}"/>
    <cellStyle name="20 % - Markeringsfarve1 4 12" xfId="19584" xr:uid="{00000000-0005-0000-0000-00002E090000}"/>
    <cellStyle name="20 % - Markeringsfarve1 4 13" xfId="34573" xr:uid="{00000000-0005-0000-0000-00002F090000}"/>
    <cellStyle name="20 % - Markeringsfarve1 4 14" xfId="53317" xr:uid="{00000000-0005-0000-0000-000030090000}"/>
    <cellStyle name="20 % - Markeringsfarve1 4 2" xfId="1727" xr:uid="{00000000-0005-0000-0000-000031090000}"/>
    <cellStyle name="20 % - Markeringsfarve1 4 2 2" xfId="1728" xr:uid="{00000000-0005-0000-0000-000032090000}"/>
    <cellStyle name="20 % - Markeringsfarve1 4 2 2 2" xfId="1729" xr:uid="{00000000-0005-0000-0000-000033090000}"/>
    <cellStyle name="20 % - Markeringsfarve1 4 2 2 2 2" xfId="7586" xr:uid="{00000000-0005-0000-0000-000034090000}"/>
    <cellStyle name="20 % - Markeringsfarve1 4 2 2 2 2 2" xfId="15488" xr:uid="{00000000-0005-0000-0000-000035090000}"/>
    <cellStyle name="20 % - Markeringsfarve1 4 2 2 2 2 2 2" xfId="31803" xr:uid="{00000000-0005-0000-0000-000036090000}"/>
    <cellStyle name="20 % - Markeringsfarve1 4 2 2 2 2 2 3" xfId="46767" xr:uid="{00000000-0005-0000-0000-000037090000}"/>
    <cellStyle name="20 % - Markeringsfarve1 4 2 2 2 2 3" xfId="24781" xr:uid="{00000000-0005-0000-0000-000038090000}"/>
    <cellStyle name="20 % - Markeringsfarve1 4 2 2 2 2 4" xfId="39768" xr:uid="{00000000-0005-0000-0000-000039090000}"/>
    <cellStyle name="20 % - Markeringsfarve1 4 2 2 2 3" xfId="10289" xr:uid="{00000000-0005-0000-0000-00003A090000}"/>
    <cellStyle name="20 % - Markeringsfarve1 4 2 2 2 3 2" xfId="26609" xr:uid="{00000000-0005-0000-0000-00003B090000}"/>
    <cellStyle name="20 % - Markeringsfarve1 4 2 2 2 3 3" xfId="41575" xr:uid="{00000000-0005-0000-0000-00003C090000}"/>
    <cellStyle name="20 % - Markeringsfarve1 4 2 2 2 4" xfId="19587" xr:uid="{00000000-0005-0000-0000-00003D090000}"/>
    <cellStyle name="20 % - Markeringsfarve1 4 2 2 2 5" xfId="34576" xr:uid="{00000000-0005-0000-0000-00003E090000}"/>
    <cellStyle name="20 % - Markeringsfarve1 4 2 2 3" xfId="6163" xr:uid="{00000000-0005-0000-0000-00003F090000}"/>
    <cellStyle name="20 % - Markeringsfarve1 4 2 2 3 2" xfId="14081" xr:uid="{00000000-0005-0000-0000-000040090000}"/>
    <cellStyle name="20 % - Markeringsfarve1 4 2 2 3 2 2" xfId="30396" xr:uid="{00000000-0005-0000-0000-000041090000}"/>
    <cellStyle name="20 % - Markeringsfarve1 4 2 2 3 2 3" xfId="45360" xr:uid="{00000000-0005-0000-0000-000042090000}"/>
    <cellStyle name="20 % - Markeringsfarve1 4 2 2 3 3" xfId="23374" xr:uid="{00000000-0005-0000-0000-000043090000}"/>
    <cellStyle name="20 % - Markeringsfarve1 4 2 2 3 4" xfId="38361" xr:uid="{00000000-0005-0000-0000-000044090000}"/>
    <cellStyle name="20 % - Markeringsfarve1 4 2 2 4" xfId="10288" xr:uid="{00000000-0005-0000-0000-000045090000}"/>
    <cellStyle name="20 % - Markeringsfarve1 4 2 2 4 2" xfId="26608" xr:uid="{00000000-0005-0000-0000-000046090000}"/>
    <cellStyle name="20 % - Markeringsfarve1 4 2 2 4 3" xfId="41574" xr:uid="{00000000-0005-0000-0000-000047090000}"/>
    <cellStyle name="20 % - Markeringsfarve1 4 2 2 5" xfId="19586" xr:uid="{00000000-0005-0000-0000-000048090000}"/>
    <cellStyle name="20 % - Markeringsfarve1 4 2 2 6" xfId="34575" xr:uid="{00000000-0005-0000-0000-000049090000}"/>
    <cellStyle name="20 % - Markeringsfarve1 4 2 2 7" xfId="57121" xr:uid="{00000000-0005-0000-0000-00004A090000}"/>
    <cellStyle name="20 % - Markeringsfarve1 4 2 3" xfId="1730" xr:uid="{00000000-0005-0000-0000-00004B090000}"/>
    <cellStyle name="20 % - Markeringsfarve1 4 2 3 2" xfId="6816" xr:uid="{00000000-0005-0000-0000-00004C090000}"/>
    <cellStyle name="20 % - Markeringsfarve1 4 2 3 2 2" xfId="14728" xr:uid="{00000000-0005-0000-0000-00004D090000}"/>
    <cellStyle name="20 % - Markeringsfarve1 4 2 3 2 2 2" xfId="31043" xr:uid="{00000000-0005-0000-0000-00004E090000}"/>
    <cellStyle name="20 % - Markeringsfarve1 4 2 3 2 2 3" xfId="46007" xr:uid="{00000000-0005-0000-0000-00004F090000}"/>
    <cellStyle name="20 % - Markeringsfarve1 4 2 3 2 3" xfId="24021" xr:uid="{00000000-0005-0000-0000-000050090000}"/>
    <cellStyle name="20 % - Markeringsfarve1 4 2 3 2 4" xfId="39008" xr:uid="{00000000-0005-0000-0000-000051090000}"/>
    <cellStyle name="20 % - Markeringsfarve1 4 2 3 3" xfId="10290" xr:uid="{00000000-0005-0000-0000-000052090000}"/>
    <cellStyle name="20 % - Markeringsfarve1 4 2 3 3 2" xfId="26610" xr:uid="{00000000-0005-0000-0000-000053090000}"/>
    <cellStyle name="20 % - Markeringsfarve1 4 2 3 3 3" xfId="41576" xr:uid="{00000000-0005-0000-0000-000054090000}"/>
    <cellStyle name="20 % - Markeringsfarve1 4 2 3 4" xfId="19588" xr:uid="{00000000-0005-0000-0000-000055090000}"/>
    <cellStyle name="20 % - Markeringsfarve1 4 2 3 5" xfId="34577" xr:uid="{00000000-0005-0000-0000-000056090000}"/>
    <cellStyle name="20 % - Markeringsfarve1 4 2 4" xfId="1731" xr:uid="{00000000-0005-0000-0000-000057090000}"/>
    <cellStyle name="20 % - Markeringsfarve1 4 2 4 2" xfId="8285" xr:uid="{00000000-0005-0000-0000-000058090000}"/>
    <cellStyle name="20 % - Markeringsfarve1 4 2 4 2 2" xfId="16180" xr:uid="{00000000-0005-0000-0000-000059090000}"/>
    <cellStyle name="20 % - Markeringsfarve1 4 2 4 2 2 2" xfId="32495" xr:uid="{00000000-0005-0000-0000-00005A090000}"/>
    <cellStyle name="20 % - Markeringsfarve1 4 2 4 2 2 3" xfId="47459" xr:uid="{00000000-0005-0000-0000-00005B090000}"/>
    <cellStyle name="20 % - Markeringsfarve1 4 2 4 2 3" xfId="25473" xr:uid="{00000000-0005-0000-0000-00005C090000}"/>
    <cellStyle name="20 % - Markeringsfarve1 4 2 4 2 4" xfId="40460" xr:uid="{00000000-0005-0000-0000-00005D090000}"/>
    <cellStyle name="20 % - Markeringsfarve1 4 2 4 3" xfId="10291" xr:uid="{00000000-0005-0000-0000-00005E090000}"/>
    <cellStyle name="20 % - Markeringsfarve1 4 2 4 3 2" xfId="26611" xr:uid="{00000000-0005-0000-0000-00005F090000}"/>
    <cellStyle name="20 % - Markeringsfarve1 4 2 4 3 3" xfId="41577" xr:uid="{00000000-0005-0000-0000-000060090000}"/>
    <cellStyle name="20 % - Markeringsfarve1 4 2 4 4" xfId="19589" xr:uid="{00000000-0005-0000-0000-000061090000}"/>
    <cellStyle name="20 % - Markeringsfarve1 4 2 4 5" xfId="34578" xr:uid="{00000000-0005-0000-0000-000062090000}"/>
    <cellStyle name="20 % - Markeringsfarve1 4 2 5" xfId="5386" xr:uid="{00000000-0005-0000-0000-000063090000}"/>
    <cellStyle name="20 % - Markeringsfarve1 4 2 5 2" xfId="13305" xr:uid="{00000000-0005-0000-0000-000064090000}"/>
    <cellStyle name="20 % - Markeringsfarve1 4 2 5 2 2" xfId="29620" xr:uid="{00000000-0005-0000-0000-000065090000}"/>
    <cellStyle name="20 % - Markeringsfarve1 4 2 5 2 3" xfId="44584" xr:uid="{00000000-0005-0000-0000-000066090000}"/>
    <cellStyle name="20 % - Markeringsfarve1 4 2 5 3" xfId="22598" xr:uid="{00000000-0005-0000-0000-000067090000}"/>
    <cellStyle name="20 % - Markeringsfarve1 4 2 5 4" xfId="37585" xr:uid="{00000000-0005-0000-0000-000068090000}"/>
    <cellStyle name="20 % - Markeringsfarve1 4 2 6" xfId="10287" xr:uid="{00000000-0005-0000-0000-000069090000}"/>
    <cellStyle name="20 % - Markeringsfarve1 4 2 6 2" xfId="26607" xr:uid="{00000000-0005-0000-0000-00006A090000}"/>
    <cellStyle name="20 % - Markeringsfarve1 4 2 6 3" xfId="41573" xr:uid="{00000000-0005-0000-0000-00006B090000}"/>
    <cellStyle name="20 % - Markeringsfarve1 4 2 7" xfId="19585" xr:uid="{00000000-0005-0000-0000-00006C090000}"/>
    <cellStyle name="20 % - Markeringsfarve1 4 2 8" xfId="34574" xr:uid="{00000000-0005-0000-0000-00006D090000}"/>
    <cellStyle name="20 % - Markeringsfarve1 4 2 9" xfId="53954" xr:uid="{00000000-0005-0000-0000-00006E090000}"/>
    <cellStyle name="20 % - Markeringsfarve1 4 3" xfId="1732" xr:uid="{00000000-0005-0000-0000-00006F090000}"/>
    <cellStyle name="20 % - Markeringsfarve1 4 3 2" xfId="1733" xr:uid="{00000000-0005-0000-0000-000070090000}"/>
    <cellStyle name="20 % - Markeringsfarve1 4 3 2 2" xfId="1734" xr:uid="{00000000-0005-0000-0000-000071090000}"/>
    <cellStyle name="20 % - Markeringsfarve1 4 3 2 2 2" xfId="7671" xr:uid="{00000000-0005-0000-0000-000072090000}"/>
    <cellStyle name="20 % - Markeringsfarve1 4 3 2 2 2 2" xfId="15573" xr:uid="{00000000-0005-0000-0000-000073090000}"/>
    <cellStyle name="20 % - Markeringsfarve1 4 3 2 2 2 2 2" xfId="31888" xr:uid="{00000000-0005-0000-0000-000074090000}"/>
    <cellStyle name="20 % - Markeringsfarve1 4 3 2 2 2 2 3" xfId="46852" xr:uid="{00000000-0005-0000-0000-000075090000}"/>
    <cellStyle name="20 % - Markeringsfarve1 4 3 2 2 2 3" xfId="24866" xr:uid="{00000000-0005-0000-0000-000076090000}"/>
    <cellStyle name="20 % - Markeringsfarve1 4 3 2 2 2 4" xfId="39853" xr:uid="{00000000-0005-0000-0000-000077090000}"/>
    <cellStyle name="20 % - Markeringsfarve1 4 3 2 2 3" xfId="10294" xr:uid="{00000000-0005-0000-0000-000078090000}"/>
    <cellStyle name="20 % - Markeringsfarve1 4 3 2 2 3 2" xfId="26614" xr:uid="{00000000-0005-0000-0000-000079090000}"/>
    <cellStyle name="20 % - Markeringsfarve1 4 3 2 2 3 3" xfId="41580" xr:uid="{00000000-0005-0000-0000-00007A090000}"/>
    <cellStyle name="20 % - Markeringsfarve1 4 3 2 2 4" xfId="19592" xr:uid="{00000000-0005-0000-0000-00007B090000}"/>
    <cellStyle name="20 % - Markeringsfarve1 4 3 2 2 5" xfId="34581" xr:uid="{00000000-0005-0000-0000-00007C090000}"/>
    <cellStyle name="20 % - Markeringsfarve1 4 3 2 3" xfId="6235" xr:uid="{00000000-0005-0000-0000-00007D090000}"/>
    <cellStyle name="20 % - Markeringsfarve1 4 3 2 3 2" xfId="14153" xr:uid="{00000000-0005-0000-0000-00007E090000}"/>
    <cellStyle name="20 % - Markeringsfarve1 4 3 2 3 2 2" xfId="30468" xr:uid="{00000000-0005-0000-0000-00007F090000}"/>
    <cellStyle name="20 % - Markeringsfarve1 4 3 2 3 2 3" xfId="45432" xr:uid="{00000000-0005-0000-0000-000080090000}"/>
    <cellStyle name="20 % - Markeringsfarve1 4 3 2 3 3" xfId="23446" xr:uid="{00000000-0005-0000-0000-000081090000}"/>
    <cellStyle name="20 % - Markeringsfarve1 4 3 2 3 4" xfId="38433" xr:uid="{00000000-0005-0000-0000-000082090000}"/>
    <cellStyle name="20 % - Markeringsfarve1 4 3 2 4" xfId="10293" xr:uid="{00000000-0005-0000-0000-000083090000}"/>
    <cellStyle name="20 % - Markeringsfarve1 4 3 2 4 2" xfId="26613" xr:uid="{00000000-0005-0000-0000-000084090000}"/>
    <cellStyle name="20 % - Markeringsfarve1 4 3 2 4 3" xfId="41579" xr:uid="{00000000-0005-0000-0000-000085090000}"/>
    <cellStyle name="20 % - Markeringsfarve1 4 3 2 5" xfId="19591" xr:uid="{00000000-0005-0000-0000-000086090000}"/>
    <cellStyle name="20 % - Markeringsfarve1 4 3 2 6" xfId="34580" xr:uid="{00000000-0005-0000-0000-000087090000}"/>
    <cellStyle name="20 % - Markeringsfarve1 4 3 3" xfId="1735" xr:uid="{00000000-0005-0000-0000-000088090000}"/>
    <cellStyle name="20 % - Markeringsfarve1 4 3 3 2" xfId="6901" xr:uid="{00000000-0005-0000-0000-000089090000}"/>
    <cellStyle name="20 % - Markeringsfarve1 4 3 3 2 2" xfId="14813" xr:uid="{00000000-0005-0000-0000-00008A090000}"/>
    <cellStyle name="20 % - Markeringsfarve1 4 3 3 2 2 2" xfId="31128" xr:uid="{00000000-0005-0000-0000-00008B090000}"/>
    <cellStyle name="20 % - Markeringsfarve1 4 3 3 2 2 3" xfId="46092" xr:uid="{00000000-0005-0000-0000-00008C090000}"/>
    <cellStyle name="20 % - Markeringsfarve1 4 3 3 2 3" xfId="24106" xr:uid="{00000000-0005-0000-0000-00008D090000}"/>
    <cellStyle name="20 % - Markeringsfarve1 4 3 3 2 4" xfId="39093" xr:uid="{00000000-0005-0000-0000-00008E090000}"/>
    <cellStyle name="20 % - Markeringsfarve1 4 3 3 3" xfId="10295" xr:uid="{00000000-0005-0000-0000-00008F090000}"/>
    <cellStyle name="20 % - Markeringsfarve1 4 3 3 3 2" xfId="26615" xr:uid="{00000000-0005-0000-0000-000090090000}"/>
    <cellStyle name="20 % - Markeringsfarve1 4 3 3 3 3" xfId="41581" xr:uid="{00000000-0005-0000-0000-000091090000}"/>
    <cellStyle name="20 % - Markeringsfarve1 4 3 3 4" xfId="19593" xr:uid="{00000000-0005-0000-0000-000092090000}"/>
    <cellStyle name="20 % - Markeringsfarve1 4 3 3 5" xfId="34582" xr:uid="{00000000-0005-0000-0000-000093090000}"/>
    <cellStyle name="20 % - Markeringsfarve1 4 3 4" xfId="1736" xr:uid="{00000000-0005-0000-0000-000094090000}"/>
    <cellStyle name="20 % - Markeringsfarve1 4 3 4 2" xfId="8284" xr:uid="{00000000-0005-0000-0000-000095090000}"/>
    <cellStyle name="20 % - Markeringsfarve1 4 3 4 2 2" xfId="16179" xr:uid="{00000000-0005-0000-0000-000096090000}"/>
    <cellStyle name="20 % - Markeringsfarve1 4 3 4 2 2 2" xfId="32494" xr:uid="{00000000-0005-0000-0000-000097090000}"/>
    <cellStyle name="20 % - Markeringsfarve1 4 3 4 2 2 3" xfId="47458" xr:uid="{00000000-0005-0000-0000-000098090000}"/>
    <cellStyle name="20 % - Markeringsfarve1 4 3 4 2 3" xfId="25472" xr:uid="{00000000-0005-0000-0000-000099090000}"/>
    <cellStyle name="20 % - Markeringsfarve1 4 3 4 2 4" xfId="40459" xr:uid="{00000000-0005-0000-0000-00009A090000}"/>
    <cellStyle name="20 % - Markeringsfarve1 4 3 4 3" xfId="10296" xr:uid="{00000000-0005-0000-0000-00009B090000}"/>
    <cellStyle name="20 % - Markeringsfarve1 4 3 4 3 2" xfId="26616" xr:uid="{00000000-0005-0000-0000-00009C090000}"/>
    <cellStyle name="20 % - Markeringsfarve1 4 3 4 3 3" xfId="41582" xr:uid="{00000000-0005-0000-0000-00009D090000}"/>
    <cellStyle name="20 % - Markeringsfarve1 4 3 4 4" xfId="19594" xr:uid="{00000000-0005-0000-0000-00009E090000}"/>
    <cellStyle name="20 % - Markeringsfarve1 4 3 4 5" xfId="34583" xr:uid="{00000000-0005-0000-0000-00009F090000}"/>
    <cellStyle name="20 % - Markeringsfarve1 4 3 5" xfId="5387" xr:uid="{00000000-0005-0000-0000-0000A0090000}"/>
    <cellStyle name="20 % - Markeringsfarve1 4 3 5 2" xfId="13306" xr:uid="{00000000-0005-0000-0000-0000A1090000}"/>
    <cellStyle name="20 % - Markeringsfarve1 4 3 5 2 2" xfId="29621" xr:uid="{00000000-0005-0000-0000-0000A2090000}"/>
    <cellStyle name="20 % - Markeringsfarve1 4 3 5 2 3" xfId="44585" xr:uid="{00000000-0005-0000-0000-0000A3090000}"/>
    <cellStyle name="20 % - Markeringsfarve1 4 3 5 3" xfId="22599" xr:uid="{00000000-0005-0000-0000-0000A4090000}"/>
    <cellStyle name="20 % - Markeringsfarve1 4 3 5 4" xfId="37586" xr:uid="{00000000-0005-0000-0000-0000A5090000}"/>
    <cellStyle name="20 % - Markeringsfarve1 4 3 6" xfId="10292" xr:uid="{00000000-0005-0000-0000-0000A6090000}"/>
    <cellStyle name="20 % - Markeringsfarve1 4 3 6 2" xfId="26612" xr:uid="{00000000-0005-0000-0000-0000A7090000}"/>
    <cellStyle name="20 % - Markeringsfarve1 4 3 6 3" xfId="41578" xr:uid="{00000000-0005-0000-0000-0000A8090000}"/>
    <cellStyle name="20 % - Markeringsfarve1 4 3 7" xfId="19590" xr:uid="{00000000-0005-0000-0000-0000A9090000}"/>
    <cellStyle name="20 % - Markeringsfarve1 4 3 8" xfId="34579" xr:uid="{00000000-0005-0000-0000-0000AA090000}"/>
    <cellStyle name="20 % - Markeringsfarve1 4 3 9" xfId="56498" xr:uid="{00000000-0005-0000-0000-0000AB090000}"/>
    <cellStyle name="20 % - Markeringsfarve1 4 4" xfId="1737" xr:uid="{00000000-0005-0000-0000-0000AC090000}"/>
    <cellStyle name="20 % - Markeringsfarve1 4 4 2" xfId="1738" xr:uid="{00000000-0005-0000-0000-0000AD090000}"/>
    <cellStyle name="20 % - Markeringsfarve1 4 4 2 2" xfId="1739" xr:uid="{00000000-0005-0000-0000-0000AE090000}"/>
    <cellStyle name="20 % - Markeringsfarve1 4 4 2 2 2" xfId="7824" xr:uid="{00000000-0005-0000-0000-0000AF090000}"/>
    <cellStyle name="20 % - Markeringsfarve1 4 4 2 2 2 2" xfId="15726" xr:uid="{00000000-0005-0000-0000-0000B0090000}"/>
    <cellStyle name="20 % - Markeringsfarve1 4 4 2 2 2 2 2" xfId="32041" xr:uid="{00000000-0005-0000-0000-0000B1090000}"/>
    <cellStyle name="20 % - Markeringsfarve1 4 4 2 2 2 2 3" xfId="47005" xr:uid="{00000000-0005-0000-0000-0000B2090000}"/>
    <cellStyle name="20 % - Markeringsfarve1 4 4 2 2 2 3" xfId="25019" xr:uid="{00000000-0005-0000-0000-0000B3090000}"/>
    <cellStyle name="20 % - Markeringsfarve1 4 4 2 2 2 4" xfId="40006" xr:uid="{00000000-0005-0000-0000-0000B4090000}"/>
    <cellStyle name="20 % - Markeringsfarve1 4 4 2 2 3" xfId="10299" xr:uid="{00000000-0005-0000-0000-0000B5090000}"/>
    <cellStyle name="20 % - Markeringsfarve1 4 4 2 2 3 2" xfId="26619" xr:uid="{00000000-0005-0000-0000-0000B6090000}"/>
    <cellStyle name="20 % - Markeringsfarve1 4 4 2 2 3 3" xfId="41585" xr:uid="{00000000-0005-0000-0000-0000B7090000}"/>
    <cellStyle name="20 % - Markeringsfarve1 4 4 2 2 4" xfId="19597" xr:uid="{00000000-0005-0000-0000-0000B8090000}"/>
    <cellStyle name="20 % - Markeringsfarve1 4 4 2 2 5" xfId="34586" xr:uid="{00000000-0005-0000-0000-0000B9090000}"/>
    <cellStyle name="20 % - Markeringsfarve1 4 4 2 3" xfId="6365" xr:uid="{00000000-0005-0000-0000-0000BA090000}"/>
    <cellStyle name="20 % - Markeringsfarve1 4 4 2 3 2" xfId="14280" xr:uid="{00000000-0005-0000-0000-0000BB090000}"/>
    <cellStyle name="20 % - Markeringsfarve1 4 4 2 3 2 2" xfId="30595" xr:uid="{00000000-0005-0000-0000-0000BC090000}"/>
    <cellStyle name="20 % - Markeringsfarve1 4 4 2 3 2 3" xfId="45559" xr:uid="{00000000-0005-0000-0000-0000BD090000}"/>
    <cellStyle name="20 % - Markeringsfarve1 4 4 2 3 3" xfId="23573" xr:uid="{00000000-0005-0000-0000-0000BE090000}"/>
    <cellStyle name="20 % - Markeringsfarve1 4 4 2 3 4" xfId="38560" xr:uid="{00000000-0005-0000-0000-0000BF090000}"/>
    <cellStyle name="20 % - Markeringsfarve1 4 4 2 4" xfId="10298" xr:uid="{00000000-0005-0000-0000-0000C0090000}"/>
    <cellStyle name="20 % - Markeringsfarve1 4 4 2 4 2" xfId="26618" xr:uid="{00000000-0005-0000-0000-0000C1090000}"/>
    <cellStyle name="20 % - Markeringsfarve1 4 4 2 4 3" xfId="41584" xr:uid="{00000000-0005-0000-0000-0000C2090000}"/>
    <cellStyle name="20 % - Markeringsfarve1 4 4 2 5" xfId="19596" xr:uid="{00000000-0005-0000-0000-0000C3090000}"/>
    <cellStyle name="20 % - Markeringsfarve1 4 4 2 6" xfId="34585" xr:uid="{00000000-0005-0000-0000-0000C4090000}"/>
    <cellStyle name="20 % - Markeringsfarve1 4 4 3" xfId="1740" xr:uid="{00000000-0005-0000-0000-0000C5090000}"/>
    <cellStyle name="20 % - Markeringsfarve1 4 4 3 2" xfId="7100" xr:uid="{00000000-0005-0000-0000-0000C6090000}"/>
    <cellStyle name="20 % - Markeringsfarve1 4 4 3 2 2" xfId="15011" xr:uid="{00000000-0005-0000-0000-0000C7090000}"/>
    <cellStyle name="20 % - Markeringsfarve1 4 4 3 2 2 2" xfId="31326" xr:uid="{00000000-0005-0000-0000-0000C8090000}"/>
    <cellStyle name="20 % - Markeringsfarve1 4 4 3 2 2 3" xfId="46290" xr:uid="{00000000-0005-0000-0000-0000C9090000}"/>
    <cellStyle name="20 % - Markeringsfarve1 4 4 3 2 3" xfId="24304" xr:uid="{00000000-0005-0000-0000-0000CA090000}"/>
    <cellStyle name="20 % - Markeringsfarve1 4 4 3 2 4" xfId="39291" xr:uid="{00000000-0005-0000-0000-0000CB090000}"/>
    <cellStyle name="20 % - Markeringsfarve1 4 4 3 3" xfId="10300" xr:uid="{00000000-0005-0000-0000-0000CC090000}"/>
    <cellStyle name="20 % - Markeringsfarve1 4 4 3 3 2" xfId="26620" xr:uid="{00000000-0005-0000-0000-0000CD090000}"/>
    <cellStyle name="20 % - Markeringsfarve1 4 4 3 3 3" xfId="41586" xr:uid="{00000000-0005-0000-0000-0000CE090000}"/>
    <cellStyle name="20 % - Markeringsfarve1 4 4 3 4" xfId="19598" xr:uid="{00000000-0005-0000-0000-0000CF090000}"/>
    <cellStyle name="20 % - Markeringsfarve1 4 4 3 5" xfId="34587" xr:uid="{00000000-0005-0000-0000-0000D0090000}"/>
    <cellStyle name="20 % - Markeringsfarve1 4 4 4" xfId="1741" xr:uid="{00000000-0005-0000-0000-0000D1090000}"/>
    <cellStyle name="20 % - Markeringsfarve1 4 4 4 2" xfId="8283" xr:uid="{00000000-0005-0000-0000-0000D2090000}"/>
    <cellStyle name="20 % - Markeringsfarve1 4 4 4 2 2" xfId="16178" xr:uid="{00000000-0005-0000-0000-0000D3090000}"/>
    <cellStyle name="20 % - Markeringsfarve1 4 4 4 2 2 2" xfId="32493" xr:uid="{00000000-0005-0000-0000-0000D4090000}"/>
    <cellStyle name="20 % - Markeringsfarve1 4 4 4 2 2 3" xfId="47457" xr:uid="{00000000-0005-0000-0000-0000D5090000}"/>
    <cellStyle name="20 % - Markeringsfarve1 4 4 4 2 3" xfId="25471" xr:uid="{00000000-0005-0000-0000-0000D6090000}"/>
    <cellStyle name="20 % - Markeringsfarve1 4 4 4 2 4" xfId="40458" xr:uid="{00000000-0005-0000-0000-0000D7090000}"/>
    <cellStyle name="20 % - Markeringsfarve1 4 4 4 3" xfId="10301" xr:uid="{00000000-0005-0000-0000-0000D8090000}"/>
    <cellStyle name="20 % - Markeringsfarve1 4 4 4 3 2" xfId="26621" xr:uid="{00000000-0005-0000-0000-0000D9090000}"/>
    <cellStyle name="20 % - Markeringsfarve1 4 4 4 3 3" xfId="41587" xr:uid="{00000000-0005-0000-0000-0000DA090000}"/>
    <cellStyle name="20 % - Markeringsfarve1 4 4 4 4" xfId="19599" xr:uid="{00000000-0005-0000-0000-0000DB090000}"/>
    <cellStyle name="20 % - Markeringsfarve1 4 4 4 5" xfId="34588" xr:uid="{00000000-0005-0000-0000-0000DC090000}"/>
    <cellStyle name="20 % - Markeringsfarve1 4 4 5" xfId="5388" xr:uid="{00000000-0005-0000-0000-0000DD090000}"/>
    <cellStyle name="20 % - Markeringsfarve1 4 4 5 2" xfId="13307" xr:uid="{00000000-0005-0000-0000-0000DE090000}"/>
    <cellStyle name="20 % - Markeringsfarve1 4 4 5 2 2" xfId="29622" xr:uid="{00000000-0005-0000-0000-0000DF090000}"/>
    <cellStyle name="20 % - Markeringsfarve1 4 4 5 2 3" xfId="44586" xr:uid="{00000000-0005-0000-0000-0000E0090000}"/>
    <cellStyle name="20 % - Markeringsfarve1 4 4 5 3" xfId="22600" xr:uid="{00000000-0005-0000-0000-0000E1090000}"/>
    <cellStyle name="20 % - Markeringsfarve1 4 4 5 4" xfId="37587" xr:uid="{00000000-0005-0000-0000-0000E2090000}"/>
    <cellStyle name="20 % - Markeringsfarve1 4 4 6" xfId="10297" xr:uid="{00000000-0005-0000-0000-0000E3090000}"/>
    <cellStyle name="20 % - Markeringsfarve1 4 4 6 2" xfId="26617" xr:uid="{00000000-0005-0000-0000-0000E4090000}"/>
    <cellStyle name="20 % - Markeringsfarve1 4 4 6 3" xfId="41583" xr:uid="{00000000-0005-0000-0000-0000E5090000}"/>
    <cellStyle name="20 % - Markeringsfarve1 4 4 7" xfId="19595" xr:uid="{00000000-0005-0000-0000-0000E6090000}"/>
    <cellStyle name="20 % - Markeringsfarve1 4 4 8" xfId="34584" xr:uid="{00000000-0005-0000-0000-0000E7090000}"/>
    <cellStyle name="20 % - Markeringsfarve1 4 5" xfId="1742" xr:uid="{00000000-0005-0000-0000-0000E8090000}"/>
    <cellStyle name="20 % - Markeringsfarve1 4 5 2" xfId="1743" xr:uid="{00000000-0005-0000-0000-0000E9090000}"/>
    <cellStyle name="20 % - Markeringsfarve1 4 5 2 2" xfId="1744" xr:uid="{00000000-0005-0000-0000-0000EA090000}"/>
    <cellStyle name="20 % - Markeringsfarve1 4 5 2 2 2" xfId="7941" xr:uid="{00000000-0005-0000-0000-0000EB090000}"/>
    <cellStyle name="20 % - Markeringsfarve1 4 5 2 2 2 2" xfId="15843" xr:uid="{00000000-0005-0000-0000-0000EC090000}"/>
    <cellStyle name="20 % - Markeringsfarve1 4 5 2 2 2 2 2" xfId="32158" xr:uid="{00000000-0005-0000-0000-0000ED090000}"/>
    <cellStyle name="20 % - Markeringsfarve1 4 5 2 2 2 2 3" xfId="47122" xr:uid="{00000000-0005-0000-0000-0000EE090000}"/>
    <cellStyle name="20 % - Markeringsfarve1 4 5 2 2 2 3" xfId="25136" xr:uid="{00000000-0005-0000-0000-0000EF090000}"/>
    <cellStyle name="20 % - Markeringsfarve1 4 5 2 2 2 4" xfId="40123" xr:uid="{00000000-0005-0000-0000-0000F0090000}"/>
    <cellStyle name="20 % - Markeringsfarve1 4 5 2 2 3" xfId="10304" xr:uid="{00000000-0005-0000-0000-0000F1090000}"/>
    <cellStyle name="20 % - Markeringsfarve1 4 5 2 2 3 2" xfId="26624" xr:uid="{00000000-0005-0000-0000-0000F2090000}"/>
    <cellStyle name="20 % - Markeringsfarve1 4 5 2 2 3 3" xfId="41590" xr:uid="{00000000-0005-0000-0000-0000F3090000}"/>
    <cellStyle name="20 % - Markeringsfarve1 4 5 2 2 4" xfId="19602" xr:uid="{00000000-0005-0000-0000-0000F4090000}"/>
    <cellStyle name="20 % - Markeringsfarve1 4 5 2 2 5" xfId="34591" xr:uid="{00000000-0005-0000-0000-0000F5090000}"/>
    <cellStyle name="20 % - Markeringsfarve1 4 5 2 3" xfId="6464" xr:uid="{00000000-0005-0000-0000-0000F6090000}"/>
    <cellStyle name="20 % - Markeringsfarve1 4 5 2 3 2" xfId="14379" xr:uid="{00000000-0005-0000-0000-0000F7090000}"/>
    <cellStyle name="20 % - Markeringsfarve1 4 5 2 3 2 2" xfId="30694" xr:uid="{00000000-0005-0000-0000-0000F8090000}"/>
    <cellStyle name="20 % - Markeringsfarve1 4 5 2 3 2 3" xfId="45658" xr:uid="{00000000-0005-0000-0000-0000F9090000}"/>
    <cellStyle name="20 % - Markeringsfarve1 4 5 2 3 3" xfId="23672" xr:uid="{00000000-0005-0000-0000-0000FA090000}"/>
    <cellStyle name="20 % - Markeringsfarve1 4 5 2 3 4" xfId="38659" xr:uid="{00000000-0005-0000-0000-0000FB090000}"/>
    <cellStyle name="20 % - Markeringsfarve1 4 5 2 4" xfId="10303" xr:uid="{00000000-0005-0000-0000-0000FC090000}"/>
    <cellStyle name="20 % - Markeringsfarve1 4 5 2 4 2" xfId="26623" xr:uid="{00000000-0005-0000-0000-0000FD090000}"/>
    <cellStyle name="20 % - Markeringsfarve1 4 5 2 4 3" xfId="41589" xr:uid="{00000000-0005-0000-0000-0000FE090000}"/>
    <cellStyle name="20 % - Markeringsfarve1 4 5 2 5" xfId="19601" xr:uid="{00000000-0005-0000-0000-0000FF090000}"/>
    <cellStyle name="20 % - Markeringsfarve1 4 5 2 6" xfId="34590" xr:uid="{00000000-0005-0000-0000-0000000A0000}"/>
    <cellStyle name="20 % - Markeringsfarve1 4 5 3" xfId="1745" xr:uid="{00000000-0005-0000-0000-0000010A0000}"/>
    <cellStyle name="20 % - Markeringsfarve1 4 5 3 2" xfId="7217" xr:uid="{00000000-0005-0000-0000-0000020A0000}"/>
    <cellStyle name="20 % - Markeringsfarve1 4 5 3 2 2" xfId="15128" xr:uid="{00000000-0005-0000-0000-0000030A0000}"/>
    <cellStyle name="20 % - Markeringsfarve1 4 5 3 2 2 2" xfId="31443" xr:uid="{00000000-0005-0000-0000-0000040A0000}"/>
    <cellStyle name="20 % - Markeringsfarve1 4 5 3 2 2 3" xfId="46407" xr:uid="{00000000-0005-0000-0000-0000050A0000}"/>
    <cellStyle name="20 % - Markeringsfarve1 4 5 3 2 3" xfId="24421" xr:uid="{00000000-0005-0000-0000-0000060A0000}"/>
    <cellStyle name="20 % - Markeringsfarve1 4 5 3 2 4" xfId="39408" xr:uid="{00000000-0005-0000-0000-0000070A0000}"/>
    <cellStyle name="20 % - Markeringsfarve1 4 5 3 3" xfId="10305" xr:uid="{00000000-0005-0000-0000-0000080A0000}"/>
    <cellStyle name="20 % - Markeringsfarve1 4 5 3 3 2" xfId="26625" xr:uid="{00000000-0005-0000-0000-0000090A0000}"/>
    <cellStyle name="20 % - Markeringsfarve1 4 5 3 3 3" xfId="41591" xr:uid="{00000000-0005-0000-0000-00000A0A0000}"/>
    <cellStyle name="20 % - Markeringsfarve1 4 5 3 4" xfId="19603" xr:uid="{00000000-0005-0000-0000-00000B0A0000}"/>
    <cellStyle name="20 % - Markeringsfarve1 4 5 3 5" xfId="34592" xr:uid="{00000000-0005-0000-0000-00000C0A0000}"/>
    <cellStyle name="20 % - Markeringsfarve1 4 5 4" xfId="1746" xr:uid="{00000000-0005-0000-0000-00000D0A0000}"/>
    <cellStyle name="20 % - Markeringsfarve1 4 5 4 2" xfId="8282" xr:uid="{00000000-0005-0000-0000-00000E0A0000}"/>
    <cellStyle name="20 % - Markeringsfarve1 4 5 4 2 2" xfId="16177" xr:uid="{00000000-0005-0000-0000-00000F0A0000}"/>
    <cellStyle name="20 % - Markeringsfarve1 4 5 4 2 2 2" xfId="32492" xr:uid="{00000000-0005-0000-0000-0000100A0000}"/>
    <cellStyle name="20 % - Markeringsfarve1 4 5 4 2 2 3" xfId="47456" xr:uid="{00000000-0005-0000-0000-0000110A0000}"/>
    <cellStyle name="20 % - Markeringsfarve1 4 5 4 2 3" xfId="25470" xr:uid="{00000000-0005-0000-0000-0000120A0000}"/>
    <cellStyle name="20 % - Markeringsfarve1 4 5 4 2 4" xfId="40457" xr:uid="{00000000-0005-0000-0000-0000130A0000}"/>
    <cellStyle name="20 % - Markeringsfarve1 4 5 4 3" xfId="10306" xr:uid="{00000000-0005-0000-0000-0000140A0000}"/>
    <cellStyle name="20 % - Markeringsfarve1 4 5 4 3 2" xfId="26626" xr:uid="{00000000-0005-0000-0000-0000150A0000}"/>
    <cellStyle name="20 % - Markeringsfarve1 4 5 4 3 3" xfId="41592" xr:uid="{00000000-0005-0000-0000-0000160A0000}"/>
    <cellStyle name="20 % - Markeringsfarve1 4 5 4 4" xfId="19604" xr:uid="{00000000-0005-0000-0000-0000170A0000}"/>
    <cellStyle name="20 % - Markeringsfarve1 4 5 4 5" xfId="34593" xr:uid="{00000000-0005-0000-0000-0000180A0000}"/>
    <cellStyle name="20 % - Markeringsfarve1 4 5 5" xfId="5389" xr:uid="{00000000-0005-0000-0000-0000190A0000}"/>
    <cellStyle name="20 % - Markeringsfarve1 4 5 5 2" xfId="13308" xr:uid="{00000000-0005-0000-0000-00001A0A0000}"/>
    <cellStyle name="20 % - Markeringsfarve1 4 5 5 2 2" xfId="29623" xr:uid="{00000000-0005-0000-0000-00001B0A0000}"/>
    <cellStyle name="20 % - Markeringsfarve1 4 5 5 2 3" xfId="44587" xr:uid="{00000000-0005-0000-0000-00001C0A0000}"/>
    <cellStyle name="20 % - Markeringsfarve1 4 5 5 3" xfId="22601" xr:uid="{00000000-0005-0000-0000-00001D0A0000}"/>
    <cellStyle name="20 % - Markeringsfarve1 4 5 5 4" xfId="37588" xr:uid="{00000000-0005-0000-0000-00001E0A0000}"/>
    <cellStyle name="20 % - Markeringsfarve1 4 5 6" xfId="10302" xr:uid="{00000000-0005-0000-0000-00001F0A0000}"/>
    <cellStyle name="20 % - Markeringsfarve1 4 5 6 2" xfId="26622" xr:uid="{00000000-0005-0000-0000-0000200A0000}"/>
    <cellStyle name="20 % - Markeringsfarve1 4 5 6 3" xfId="41588" xr:uid="{00000000-0005-0000-0000-0000210A0000}"/>
    <cellStyle name="20 % - Markeringsfarve1 4 5 7" xfId="19600" xr:uid="{00000000-0005-0000-0000-0000220A0000}"/>
    <cellStyle name="20 % - Markeringsfarve1 4 5 8" xfId="34589" xr:uid="{00000000-0005-0000-0000-0000230A0000}"/>
    <cellStyle name="20 % - Markeringsfarve1 4 6" xfId="1747" xr:uid="{00000000-0005-0000-0000-0000240A0000}"/>
    <cellStyle name="20 % - Markeringsfarve1 4 6 2" xfId="1748" xr:uid="{00000000-0005-0000-0000-0000250A0000}"/>
    <cellStyle name="20 % - Markeringsfarve1 4 6 2 2" xfId="1749" xr:uid="{00000000-0005-0000-0000-0000260A0000}"/>
    <cellStyle name="20 % - Markeringsfarve1 4 6 2 2 2" xfId="8026" xr:uid="{00000000-0005-0000-0000-0000270A0000}"/>
    <cellStyle name="20 % - Markeringsfarve1 4 6 2 2 2 2" xfId="15928" xr:uid="{00000000-0005-0000-0000-0000280A0000}"/>
    <cellStyle name="20 % - Markeringsfarve1 4 6 2 2 2 2 2" xfId="32243" xr:uid="{00000000-0005-0000-0000-0000290A0000}"/>
    <cellStyle name="20 % - Markeringsfarve1 4 6 2 2 2 2 3" xfId="47207" xr:uid="{00000000-0005-0000-0000-00002A0A0000}"/>
    <cellStyle name="20 % - Markeringsfarve1 4 6 2 2 2 3" xfId="25221" xr:uid="{00000000-0005-0000-0000-00002B0A0000}"/>
    <cellStyle name="20 % - Markeringsfarve1 4 6 2 2 2 4" xfId="40208" xr:uid="{00000000-0005-0000-0000-00002C0A0000}"/>
    <cellStyle name="20 % - Markeringsfarve1 4 6 2 2 3" xfId="10309" xr:uid="{00000000-0005-0000-0000-00002D0A0000}"/>
    <cellStyle name="20 % - Markeringsfarve1 4 6 2 2 3 2" xfId="26629" xr:uid="{00000000-0005-0000-0000-00002E0A0000}"/>
    <cellStyle name="20 % - Markeringsfarve1 4 6 2 2 3 3" xfId="41595" xr:uid="{00000000-0005-0000-0000-00002F0A0000}"/>
    <cellStyle name="20 % - Markeringsfarve1 4 6 2 2 4" xfId="19607" xr:uid="{00000000-0005-0000-0000-0000300A0000}"/>
    <cellStyle name="20 % - Markeringsfarve1 4 6 2 2 5" xfId="34596" xr:uid="{00000000-0005-0000-0000-0000310A0000}"/>
    <cellStyle name="20 % - Markeringsfarve1 4 6 2 3" xfId="6537" xr:uid="{00000000-0005-0000-0000-0000320A0000}"/>
    <cellStyle name="20 % - Markeringsfarve1 4 6 2 3 2" xfId="14452" xr:uid="{00000000-0005-0000-0000-0000330A0000}"/>
    <cellStyle name="20 % - Markeringsfarve1 4 6 2 3 2 2" xfId="30767" xr:uid="{00000000-0005-0000-0000-0000340A0000}"/>
    <cellStyle name="20 % - Markeringsfarve1 4 6 2 3 2 3" xfId="45731" xr:uid="{00000000-0005-0000-0000-0000350A0000}"/>
    <cellStyle name="20 % - Markeringsfarve1 4 6 2 3 3" xfId="23745" xr:uid="{00000000-0005-0000-0000-0000360A0000}"/>
    <cellStyle name="20 % - Markeringsfarve1 4 6 2 3 4" xfId="38732" xr:uid="{00000000-0005-0000-0000-0000370A0000}"/>
    <cellStyle name="20 % - Markeringsfarve1 4 6 2 4" xfId="10308" xr:uid="{00000000-0005-0000-0000-0000380A0000}"/>
    <cellStyle name="20 % - Markeringsfarve1 4 6 2 4 2" xfId="26628" xr:uid="{00000000-0005-0000-0000-0000390A0000}"/>
    <cellStyle name="20 % - Markeringsfarve1 4 6 2 4 3" xfId="41594" xr:uid="{00000000-0005-0000-0000-00003A0A0000}"/>
    <cellStyle name="20 % - Markeringsfarve1 4 6 2 5" xfId="19606" xr:uid="{00000000-0005-0000-0000-00003B0A0000}"/>
    <cellStyle name="20 % - Markeringsfarve1 4 6 2 6" xfId="34595" xr:uid="{00000000-0005-0000-0000-00003C0A0000}"/>
    <cellStyle name="20 % - Markeringsfarve1 4 6 3" xfId="1750" xr:uid="{00000000-0005-0000-0000-00003D0A0000}"/>
    <cellStyle name="20 % - Markeringsfarve1 4 6 3 2" xfId="7303" xr:uid="{00000000-0005-0000-0000-00003E0A0000}"/>
    <cellStyle name="20 % - Markeringsfarve1 4 6 3 2 2" xfId="15214" xr:uid="{00000000-0005-0000-0000-00003F0A0000}"/>
    <cellStyle name="20 % - Markeringsfarve1 4 6 3 2 2 2" xfId="31529" xr:uid="{00000000-0005-0000-0000-0000400A0000}"/>
    <cellStyle name="20 % - Markeringsfarve1 4 6 3 2 2 3" xfId="46493" xr:uid="{00000000-0005-0000-0000-0000410A0000}"/>
    <cellStyle name="20 % - Markeringsfarve1 4 6 3 2 3" xfId="24507" xr:uid="{00000000-0005-0000-0000-0000420A0000}"/>
    <cellStyle name="20 % - Markeringsfarve1 4 6 3 2 4" xfId="39494" xr:uid="{00000000-0005-0000-0000-0000430A0000}"/>
    <cellStyle name="20 % - Markeringsfarve1 4 6 3 3" xfId="10310" xr:uid="{00000000-0005-0000-0000-0000440A0000}"/>
    <cellStyle name="20 % - Markeringsfarve1 4 6 3 3 2" xfId="26630" xr:uid="{00000000-0005-0000-0000-0000450A0000}"/>
    <cellStyle name="20 % - Markeringsfarve1 4 6 3 3 3" xfId="41596" xr:uid="{00000000-0005-0000-0000-0000460A0000}"/>
    <cellStyle name="20 % - Markeringsfarve1 4 6 3 4" xfId="19608" xr:uid="{00000000-0005-0000-0000-0000470A0000}"/>
    <cellStyle name="20 % - Markeringsfarve1 4 6 3 5" xfId="34597" xr:uid="{00000000-0005-0000-0000-0000480A0000}"/>
    <cellStyle name="20 % - Markeringsfarve1 4 6 4" xfId="1751" xr:uid="{00000000-0005-0000-0000-0000490A0000}"/>
    <cellStyle name="20 % - Markeringsfarve1 4 6 4 2" xfId="8281" xr:uid="{00000000-0005-0000-0000-00004A0A0000}"/>
    <cellStyle name="20 % - Markeringsfarve1 4 6 4 2 2" xfId="16176" xr:uid="{00000000-0005-0000-0000-00004B0A0000}"/>
    <cellStyle name="20 % - Markeringsfarve1 4 6 4 2 2 2" xfId="32491" xr:uid="{00000000-0005-0000-0000-00004C0A0000}"/>
    <cellStyle name="20 % - Markeringsfarve1 4 6 4 2 2 3" xfId="47455" xr:uid="{00000000-0005-0000-0000-00004D0A0000}"/>
    <cellStyle name="20 % - Markeringsfarve1 4 6 4 2 3" xfId="25469" xr:uid="{00000000-0005-0000-0000-00004E0A0000}"/>
    <cellStyle name="20 % - Markeringsfarve1 4 6 4 2 4" xfId="40456" xr:uid="{00000000-0005-0000-0000-00004F0A0000}"/>
    <cellStyle name="20 % - Markeringsfarve1 4 6 4 3" xfId="10311" xr:uid="{00000000-0005-0000-0000-0000500A0000}"/>
    <cellStyle name="20 % - Markeringsfarve1 4 6 4 3 2" xfId="26631" xr:uid="{00000000-0005-0000-0000-0000510A0000}"/>
    <cellStyle name="20 % - Markeringsfarve1 4 6 4 3 3" xfId="41597" xr:uid="{00000000-0005-0000-0000-0000520A0000}"/>
    <cellStyle name="20 % - Markeringsfarve1 4 6 4 4" xfId="19609" xr:uid="{00000000-0005-0000-0000-0000530A0000}"/>
    <cellStyle name="20 % - Markeringsfarve1 4 6 4 5" xfId="34598" xr:uid="{00000000-0005-0000-0000-0000540A0000}"/>
    <cellStyle name="20 % - Markeringsfarve1 4 6 5" xfId="5390" xr:uid="{00000000-0005-0000-0000-0000550A0000}"/>
    <cellStyle name="20 % - Markeringsfarve1 4 6 5 2" xfId="13309" xr:uid="{00000000-0005-0000-0000-0000560A0000}"/>
    <cellStyle name="20 % - Markeringsfarve1 4 6 5 2 2" xfId="29624" xr:uid="{00000000-0005-0000-0000-0000570A0000}"/>
    <cellStyle name="20 % - Markeringsfarve1 4 6 5 2 3" xfId="44588" xr:uid="{00000000-0005-0000-0000-0000580A0000}"/>
    <cellStyle name="20 % - Markeringsfarve1 4 6 5 3" xfId="22602" xr:uid="{00000000-0005-0000-0000-0000590A0000}"/>
    <cellStyle name="20 % - Markeringsfarve1 4 6 5 4" xfId="37589" xr:uid="{00000000-0005-0000-0000-00005A0A0000}"/>
    <cellStyle name="20 % - Markeringsfarve1 4 6 6" xfId="10307" xr:uid="{00000000-0005-0000-0000-00005B0A0000}"/>
    <cellStyle name="20 % - Markeringsfarve1 4 6 6 2" xfId="26627" xr:uid="{00000000-0005-0000-0000-00005C0A0000}"/>
    <cellStyle name="20 % - Markeringsfarve1 4 6 6 3" xfId="41593" xr:uid="{00000000-0005-0000-0000-00005D0A0000}"/>
    <cellStyle name="20 % - Markeringsfarve1 4 6 7" xfId="19605" xr:uid="{00000000-0005-0000-0000-00005E0A0000}"/>
    <cellStyle name="20 % - Markeringsfarve1 4 6 8" xfId="34594" xr:uid="{00000000-0005-0000-0000-00005F0A0000}"/>
    <cellStyle name="20 % - Markeringsfarve1 4 7" xfId="1752" xr:uid="{00000000-0005-0000-0000-0000600A0000}"/>
    <cellStyle name="20 % - Markeringsfarve1 4 7 2" xfId="1753" xr:uid="{00000000-0005-0000-0000-0000610A0000}"/>
    <cellStyle name="20 % - Markeringsfarve1 4 7 2 2" xfId="7467" xr:uid="{00000000-0005-0000-0000-0000620A0000}"/>
    <cellStyle name="20 % - Markeringsfarve1 4 7 2 2 2" xfId="15369" xr:uid="{00000000-0005-0000-0000-0000630A0000}"/>
    <cellStyle name="20 % - Markeringsfarve1 4 7 2 2 2 2" xfId="31684" xr:uid="{00000000-0005-0000-0000-0000640A0000}"/>
    <cellStyle name="20 % - Markeringsfarve1 4 7 2 2 2 3" xfId="46648" xr:uid="{00000000-0005-0000-0000-0000650A0000}"/>
    <cellStyle name="20 % - Markeringsfarve1 4 7 2 2 3" xfId="24662" xr:uid="{00000000-0005-0000-0000-0000660A0000}"/>
    <cellStyle name="20 % - Markeringsfarve1 4 7 2 2 4" xfId="39649" xr:uid="{00000000-0005-0000-0000-0000670A0000}"/>
    <cellStyle name="20 % - Markeringsfarve1 4 7 2 3" xfId="10313" xr:uid="{00000000-0005-0000-0000-0000680A0000}"/>
    <cellStyle name="20 % - Markeringsfarve1 4 7 2 3 2" xfId="26633" xr:uid="{00000000-0005-0000-0000-0000690A0000}"/>
    <cellStyle name="20 % - Markeringsfarve1 4 7 2 3 3" xfId="41599" xr:uid="{00000000-0005-0000-0000-00006A0A0000}"/>
    <cellStyle name="20 % - Markeringsfarve1 4 7 2 4" xfId="19611" xr:uid="{00000000-0005-0000-0000-00006B0A0000}"/>
    <cellStyle name="20 % - Markeringsfarve1 4 7 2 5" xfId="34600" xr:uid="{00000000-0005-0000-0000-00006C0A0000}"/>
    <cellStyle name="20 % - Markeringsfarve1 4 7 3" xfId="6064" xr:uid="{00000000-0005-0000-0000-00006D0A0000}"/>
    <cellStyle name="20 % - Markeringsfarve1 4 7 3 2" xfId="13982" xr:uid="{00000000-0005-0000-0000-00006E0A0000}"/>
    <cellStyle name="20 % - Markeringsfarve1 4 7 3 2 2" xfId="30297" xr:uid="{00000000-0005-0000-0000-00006F0A0000}"/>
    <cellStyle name="20 % - Markeringsfarve1 4 7 3 2 3" xfId="45261" xr:uid="{00000000-0005-0000-0000-0000700A0000}"/>
    <cellStyle name="20 % - Markeringsfarve1 4 7 3 3" xfId="23275" xr:uid="{00000000-0005-0000-0000-0000710A0000}"/>
    <cellStyle name="20 % - Markeringsfarve1 4 7 3 4" xfId="38262" xr:uid="{00000000-0005-0000-0000-0000720A0000}"/>
    <cellStyle name="20 % - Markeringsfarve1 4 7 4" xfId="10312" xr:uid="{00000000-0005-0000-0000-0000730A0000}"/>
    <cellStyle name="20 % - Markeringsfarve1 4 7 4 2" xfId="26632" xr:uid="{00000000-0005-0000-0000-0000740A0000}"/>
    <cellStyle name="20 % - Markeringsfarve1 4 7 4 3" xfId="41598" xr:uid="{00000000-0005-0000-0000-0000750A0000}"/>
    <cellStyle name="20 % - Markeringsfarve1 4 7 5" xfId="19610" xr:uid="{00000000-0005-0000-0000-0000760A0000}"/>
    <cellStyle name="20 % - Markeringsfarve1 4 7 6" xfId="34599" xr:uid="{00000000-0005-0000-0000-0000770A0000}"/>
    <cellStyle name="20 % - Markeringsfarve1 4 8" xfId="1754" xr:uid="{00000000-0005-0000-0000-0000780A0000}"/>
    <cellStyle name="20 % - Markeringsfarve1 4 8 2" xfId="6695" xr:uid="{00000000-0005-0000-0000-0000790A0000}"/>
    <cellStyle name="20 % - Markeringsfarve1 4 8 2 2" xfId="14607" xr:uid="{00000000-0005-0000-0000-00007A0A0000}"/>
    <cellStyle name="20 % - Markeringsfarve1 4 8 2 2 2" xfId="30922" xr:uid="{00000000-0005-0000-0000-00007B0A0000}"/>
    <cellStyle name="20 % - Markeringsfarve1 4 8 2 2 3" xfId="45886" xr:uid="{00000000-0005-0000-0000-00007C0A0000}"/>
    <cellStyle name="20 % - Markeringsfarve1 4 8 2 3" xfId="23900" xr:uid="{00000000-0005-0000-0000-00007D0A0000}"/>
    <cellStyle name="20 % - Markeringsfarve1 4 8 2 4" xfId="38887" xr:uid="{00000000-0005-0000-0000-00007E0A0000}"/>
    <cellStyle name="20 % - Markeringsfarve1 4 8 3" xfId="10314" xr:uid="{00000000-0005-0000-0000-00007F0A0000}"/>
    <cellStyle name="20 % - Markeringsfarve1 4 8 3 2" xfId="26634" xr:uid="{00000000-0005-0000-0000-0000800A0000}"/>
    <cellStyle name="20 % - Markeringsfarve1 4 8 3 3" xfId="41600" xr:uid="{00000000-0005-0000-0000-0000810A0000}"/>
    <cellStyle name="20 % - Markeringsfarve1 4 8 4" xfId="19612" xr:uid="{00000000-0005-0000-0000-0000820A0000}"/>
    <cellStyle name="20 % - Markeringsfarve1 4 8 5" xfId="34601" xr:uid="{00000000-0005-0000-0000-0000830A0000}"/>
    <cellStyle name="20 % - Markeringsfarve1 4 9" xfId="1755" xr:uid="{00000000-0005-0000-0000-0000840A0000}"/>
    <cellStyle name="20 % - Markeringsfarve1 4 9 2" xfId="8286" xr:uid="{00000000-0005-0000-0000-0000850A0000}"/>
    <cellStyle name="20 % - Markeringsfarve1 4 9 2 2" xfId="16181" xr:uid="{00000000-0005-0000-0000-0000860A0000}"/>
    <cellStyle name="20 % - Markeringsfarve1 4 9 2 2 2" xfId="32496" xr:uid="{00000000-0005-0000-0000-0000870A0000}"/>
    <cellStyle name="20 % - Markeringsfarve1 4 9 2 2 3" xfId="47460" xr:uid="{00000000-0005-0000-0000-0000880A0000}"/>
    <cellStyle name="20 % - Markeringsfarve1 4 9 2 3" xfId="25474" xr:uid="{00000000-0005-0000-0000-0000890A0000}"/>
    <cellStyle name="20 % - Markeringsfarve1 4 9 2 4" xfId="40461" xr:uid="{00000000-0005-0000-0000-00008A0A0000}"/>
    <cellStyle name="20 % - Markeringsfarve1 4 9 3" xfId="10315" xr:uid="{00000000-0005-0000-0000-00008B0A0000}"/>
    <cellStyle name="20 % - Markeringsfarve1 4 9 3 2" xfId="26635" xr:uid="{00000000-0005-0000-0000-00008C0A0000}"/>
    <cellStyle name="20 % - Markeringsfarve1 4 9 3 3" xfId="41601" xr:uid="{00000000-0005-0000-0000-00008D0A0000}"/>
    <cellStyle name="20 % - Markeringsfarve1 4 9 4" xfId="19613" xr:uid="{00000000-0005-0000-0000-00008E0A0000}"/>
    <cellStyle name="20 % - Markeringsfarve1 4 9 5" xfId="34602" xr:uid="{00000000-0005-0000-0000-00008F0A0000}"/>
    <cellStyle name="20 % - Markeringsfarve1 5" xfId="1756" xr:uid="{00000000-0005-0000-0000-0000900A0000}"/>
    <cellStyle name="20 % - Markeringsfarve1 5 10" xfId="5391" xr:uid="{00000000-0005-0000-0000-0000910A0000}"/>
    <cellStyle name="20 % - Markeringsfarve1 5 10 2" xfId="13310" xr:uid="{00000000-0005-0000-0000-0000920A0000}"/>
    <cellStyle name="20 % - Markeringsfarve1 5 10 2 2" xfId="29625" xr:uid="{00000000-0005-0000-0000-0000930A0000}"/>
    <cellStyle name="20 % - Markeringsfarve1 5 10 2 3" xfId="44589" xr:uid="{00000000-0005-0000-0000-0000940A0000}"/>
    <cellStyle name="20 % - Markeringsfarve1 5 10 3" xfId="22603" xr:uid="{00000000-0005-0000-0000-0000950A0000}"/>
    <cellStyle name="20 % - Markeringsfarve1 5 10 4" xfId="37590" xr:uid="{00000000-0005-0000-0000-0000960A0000}"/>
    <cellStyle name="20 % - Markeringsfarve1 5 11" xfId="10316" xr:uid="{00000000-0005-0000-0000-0000970A0000}"/>
    <cellStyle name="20 % - Markeringsfarve1 5 11 2" xfId="26636" xr:uid="{00000000-0005-0000-0000-0000980A0000}"/>
    <cellStyle name="20 % - Markeringsfarve1 5 11 3" xfId="41602" xr:uid="{00000000-0005-0000-0000-0000990A0000}"/>
    <cellStyle name="20 % - Markeringsfarve1 5 12" xfId="19614" xr:uid="{00000000-0005-0000-0000-00009A0A0000}"/>
    <cellStyle name="20 % - Markeringsfarve1 5 13" xfId="34603" xr:uid="{00000000-0005-0000-0000-00009B0A0000}"/>
    <cellStyle name="20 % - Markeringsfarve1 5 14" xfId="53266" xr:uid="{00000000-0005-0000-0000-00009C0A0000}"/>
    <cellStyle name="20 % - Markeringsfarve1 5 2" xfId="1757" xr:uid="{00000000-0005-0000-0000-00009D0A0000}"/>
    <cellStyle name="20 % - Markeringsfarve1 5 2 2" xfId="1758" xr:uid="{00000000-0005-0000-0000-00009E0A0000}"/>
    <cellStyle name="20 % - Markeringsfarve1 5 2 2 2" xfId="1759" xr:uid="{00000000-0005-0000-0000-00009F0A0000}"/>
    <cellStyle name="20 % - Markeringsfarve1 5 2 2 2 2" xfId="7625" xr:uid="{00000000-0005-0000-0000-0000A00A0000}"/>
    <cellStyle name="20 % - Markeringsfarve1 5 2 2 2 2 2" xfId="15527" xr:uid="{00000000-0005-0000-0000-0000A10A0000}"/>
    <cellStyle name="20 % - Markeringsfarve1 5 2 2 2 2 2 2" xfId="31842" xr:uid="{00000000-0005-0000-0000-0000A20A0000}"/>
    <cellStyle name="20 % - Markeringsfarve1 5 2 2 2 2 2 3" xfId="46806" xr:uid="{00000000-0005-0000-0000-0000A30A0000}"/>
    <cellStyle name="20 % - Markeringsfarve1 5 2 2 2 2 3" xfId="24820" xr:uid="{00000000-0005-0000-0000-0000A40A0000}"/>
    <cellStyle name="20 % - Markeringsfarve1 5 2 2 2 2 4" xfId="39807" xr:uid="{00000000-0005-0000-0000-0000A50A0000}"/>
    <cellStyle name="20 % - Markeringsfarve1 5 2 2 2 3" xfId="10319" xr:uid="{00000000-0005-0000-0000-0000A60A0000}"/>
    <cellStyle name="20 % - Markeringsfarve1 5 2 2 2 3 2" xfId="26639" xr:uid="{00000000-0005-0000-0000-0000A70A0000}"/>
    <cellStyle name="20 % - Markeringsfarve1 5 2 2 2 3 3" xfId="41605" xr:uid="{00000000-0005-0000-0000-0000A80A0000}"/>
    <cellStyle name="20 % - Markeringsfarve1 5 2 2 2 4" xfId="19617" xr:uid="{00000000-0005-0000-0000-0000A90A0000}"/>
    <cellStyle name="20 % - Markeringsfarve1 5 2 2 2 5" xfId="34606" xr:uid="{00000000-0005-0000-0000-0000AA0A0000}"/>
    <cellStyle name="20 % - Markeringsfarve1 5 2 2 3" xfId="6196" xr:uid="{00000000-0005-0000-0000-0000AB0A0000}"/>
    <cellStyle name="20 % - Markeringsfarve1 5 2 2 3 2" xfId="14114" xr:uid="{00000000-0005-0000-0000-0000AC0A0000}"/>
    <cellStyle name="20 % - Markeringsfarve1 5 2 2 3 2 2" xfId="30429" xr:uid="{00000000-0005-0000-0000-0000AD0A0000}"/>
    <cellStyle name="20 % - Markeringsfarve1 5 2 2 3 2 3" xfId="45393" xr:uid="{00000000-0005-0000-0000-0000AE0A0000}"/>
    <cellStyle name="20 % - Markeringsfarve1 5 2 2 3 3" xfId="23407" xr:uid="{00000000-0005-0000-0000-0000AF0A0000}"/>
    <cellStyle name="20 % - Markeringsfarve1 5 2 2 3 4" xfId="38394" xr:uid="{00000000-0005-0000-0000-0000B00A0000}"/>
    <cellStyle name="20 % - Markeringsfarve1 5 2 2 4" xfId="10318" xr:uid="{00000000-0005-0000-0000-0000B10A0000}"/>
    <cellStyle name="20 % - Markeringsfarve1 5 2 2 4 2" xfId="26638" xr:uid="{00000000-0005-0000-0000-0000B20A0000}"/>
    <cellStyle name="20 % - Markeringsfarve1 5 2 2 4 3" xfId="41604" xr:uid="{00000000-0005-0000-0000-0000B30A0000}"/>
    <cellStyle name="20 % - Markeringsfarve1 5 2 2 5" xfId="19616" xr:uid="{00000000-0005-0000-0000-0000B40A0000}"/>
    <cellStyle name="20 % - Markeringsfarve1 5 2 2 6" xfId="34605" xr:uid="{00000000-0005-0000-0000-0000B50A0000}"/>
    <cellStyle name="20 % - Markeringsfarve1 5 2 2 7" xfId="57070" xr:uid="{00000000-0005-0000-0000-0000B60A0000}"/>
    <cellStyle name="20 % - Markeringsfarve1 5 2 3" xfId="1760" xr:uid="{00000000-0005-0000-0000-0000B70A0000}"/>
    <cellStyle name="20 % - Markeringsfarve1 5 2 3 2" xfId="6855" xr:uid="{00000000-0005-0000-0000-0000B80A0000}"/>
    <cellStyle name="20 % - Markeringsfarve1 5 2 3 2 2" xfId="14767" xr:uid="{00000000-0005-0000-0000-0000B90A0000}"/>
    <cellStyle name="20 % - Markeringsfarve1 5 2 3 2 2 2" xfId="31082" xr:uid="{00000000-0005-0000-0000-0000BA0A0000}"/>
    <cellStyle name="20 % - Markeringsfarve1 5 2 3 2 2 3" xfId="46046" xr:uid="{00000000-0005-0000-0000-0000BB0A0000}"/>
    <cellStyle name="20 % - Markeringsfarve1 5 2 3 2 3" xfId="24060" xr:uid="{00000000-0005-0000-0000-0000BC0A0000}"/>
    <cellStyle name="20 % - Markeringsfarve1 5 2 3 2 4" xfId="39047" xr:uid="{00000000-0005-0000-0000-0000BD0A0000}"/>
    <cellStyle name="20 % - Markeringsfarve1 5 2 3 3" xfId="10320" xr:uid="{00000000-0005-0000-0000-0000BE0A0000}"/>
    <cellStyle name="20 % - Markeringsfarve1 5 2 3 3 2" xfId="26640" xr:uid="{00000000-0005-0000-0000-0000BF0A0000}"/>
    <cellStyle name="20 % - Markeringsfarve1 5 2 3 3 3" xfId="41606" xr:uid="{00000000-0005-0000-0000-0000C00A0000}"/>
    <cellStyle name="20 % - Markeringsfarve1 5 2 3 4" xfId="19618" xr:uid="{00000000-0005-0000-0000-0000C10A0000}"/>
    <cellStyle name="20 % - Markeringsfarve1 5 2 3 5" xfId="34607" xr:uid="{00000000-0005-0000-0000-0000C20A0000}"/>
    <cellStyle name="20 % - Markeringsfarve1 5 2 4" xfId="1761" xr:uid="{00000000-0005-0000-0000-0000C30A0000}"/>
    <cellStyle name="20 % - Markeringsfarve1 5 2 4 2" xfId="8279" xr:uid="{00000000-0005-0000-0000-0000C40A0000}"/>
    <cellStyle name="20 % - Markeringsfarve1 5 2 4 2 2" xfId="16174" xr:uid="{00000000-0005-0000-0000-0000C50A0000}"/>
    <cellStyle name="20 % - Markeringsfarve1 5 2 4 2 2 2" xfId="32489" xr:uid="{00000000-0005-0000-0000-0000C60A0000}"/>
    <cellStyle name="20 % - Markeringsfarve1 5 2 4 2 2 3" xfId="47453" xr:uid="{00000000-0005-0000-0000-0000C70A0000}"/>
    <cellStyle name="20 % - Markeringsfarve1 5 2 4 2 3" xfId="25467" xr:uid="{00000000-0005-0000-0000-0000C80A0000}"/>
    <cellStyle name="20 % - Markeringsfarve1 5 2 4 2 4" xfId="40454" xr:uid="{00000000-0005-0000-0000-0000C90A0000}"/>
    <cellStyle name="20 % - Markeringsfarve1 5 2 4 3" xfId="10321" xr:uid="{00000000-0005-0000-0000-0000CA0A0000}"/>
    <cellStyle name="20 % - Markeringsfarve1 5 2 4 3 2" xfId="26641" xr:uid="{00000000-0005-0000-0000-0000CB0A0000}"/>
    <cellStyle name="20 % - Markeringsfarve1 5 2 4 3 3" xfId="41607" xr:uid="{00000000-0005-0000-0000-0000CC0A0000}"/>
    <cellStyle name="20 % - Markeringsfarve1 5 2 4 4" xfId="19619" xr:uid="{00000000-0005-0000-0000-0000CD0A0000}"/>
    <cellStyle name="20 % - Markeringsfarve1 5 2 4 5" xfId="34608" xr:uid="{00000000-0005-0000-0000-0000CE0A0000}"/>
    <cellStyle name="20 % - Markeringsfarve1 5 2 5" xfId="5392" xr:uid="{00000000-0005-0000-0000-0000CF0A0000}"/>
    <cellStyle name="20 % - Markeringsfarve1 5 2 5 2" xfId="13311" xr:uid="{00000000-0005-0000-0000-0000D00A0000}"/>
    <cellStyle name="20 % - Markeringsfarve1 5 2 5 2 2" xfId="29626" xr:uid="{00000000-0005-0000-0000-0000D10A0000}"/>
    <cellStyle name="20 % - Markeringsfarve1 5 2 5 2 3" xfId="44590" xr:uid="{00000000-0005-0000-0000-0000D20A0000}"/>
    <cellStyle name="20 % - Markeringsfarve1 5 2 5 3" xfId="22604" xr:uid="{00000000-0005-0000-0000-0000D30A0000}"/>
    <cellStyle name="20 % - Markeringsfarve1 5 2 5 4" xfId="37591" xr:uid="{00000000-0005-0000-0000-0000D40A0000}"/>
    <cellStyle name="20 % - Markeringsfarve1 5 2 6" xfId="10317" xr:uid="{00000000-0005-0000-0000-0000D50A0000}"/>
    <cellStyle name="20 % - Markeringsfarve1 5 2 6 2" xfId="26637" xr:uid="{00000000-0005-0000-0000-0000D60A0000}"/>
    <cellStyle name="20 % - Markeringsfarve1 5 2 6 3" xfId="41603" xr:uid="{00000000-0005-0000-0000-0000D70A0000}"/>
    <cellStyle name="20 % - Markeringsfarve1 5 2 7" xfId="19615" xr:uid="{00000000-0005-0000-0000-0000D80A0000}"/>
    <cellStyle name="20 % - Markeringsfarve1 5 2 8" xfId="34604" xr:uid="{00000000-0005-0000-0000-0000D90A0000}"/>
    <cellStyle name="20 % - Markeringsfarve1 5 2 9" xfId="53903" xr:uid="{00000000-0005-0000-0000-0000DA0A0000}"/>
    <cellStyle name="20 % - Markeringsfarve1 5 3" xfId="1762" xr:uid="{00000000-0005-0000-0000-0000DB0A0000}"/>
    <cellStyle name="20 % - Markeringsfarve1 5 3 2" xfId="1763" xr:uid="{00000000-0005-0000-0000-0000DC0A0000}"/>
    <cellStyle name="20 % - Markeringsfarve1 5 3 2 2" xfId="1764" xr:uid="{00000000-0005-0000-0000-0000DD0A0000}"/>
    <cellStyle name="20 % - Markeringsfarve1 5 3 2 2 2" xfId="7672" xr:uid="{00000000-0005-0000-0000-0000DE0A0000}"/>
    <cellStyle name="20 % - Markeringsfarve1 5 3 2 2 2 2" xfId="15574" xr:uid="{00000000-0005-0000-0000-0000DF0A0000}"/>
    <cellStyle name="20 % - Markeringsfarve1 5 3 2 2 2 2 2" xfId="31889" xr:uid="{00000000-0005-0000-0000-0000E00A0000}"/>
    <cellStyle name="20 % - Markeringsfarve1 5 3 2 2 2 2 3" xfId="46853" xr:uid="{00000000-0005-0000-0000-0000E10A0000}"/>
    <cellStyle name="20 % - Markeringsfarve1 5 3 2 2 2 3" xfId="24867" xr:uid="{00000000-0005-0000-0000-0000E20A0000}"/>
    <cellStyle name="20 % - Markeringsfarve1 5 3 2 2 2 4" xfId="39854" xr:uid="{00000000-0005-0000-0000-0000E30A0000}"/>
    <cellStyle name="20 % - Markeringsfarve1 5 3 2 2 3" xfId="10324" xr:uid="{00000000-0005-0000-0000-0000E40A0000}"/>
    <cellStyle name="20 % - Markeringsfarve1 5 3 2 2 3 2" xfId="26644" xr:uid="{00000000-0005-0000-0000-0000E50A0000}"/>
    <cellStyle name="20 % - Markeringsfarve1 5 3 2 2 3 3" xfId="41610" xr:uid="{00000000-0005-0000-0000-0000E60A0000}"/>
    <cellStyle name="20 % - Markeringsfarve1 5 3 2 2 4" xfId="19622" xr:uid="{00000000-0005-0000-0000-0000E70A0000}"/>
    <cellStyle name="20 % - Markeringsfarve1 5 3 2 2 5" xfId="34611" xr:uid="{00000000-0005-0000-0000-0000E80A0000}"/>
    <cellStyle name="20 % - Markeringsfarve1 5 3 2 3" xfId="6236" xr:uid="{00000000-0005-0000-0000-0000E90A0000}"/>
    <cellStyle name="20 % - Markeringsfarve1 5 3 2 3 2" xfId="14154" xr:uid="{00000000-0005-0000-0000-0000EA0A0000}"/>
    <cellStyle name="20 % - Markeringsfarve1 5 3 2 3 2 2" xfId="30469" xr:uid="{00000000-0005-0000-0000-0000EB0A0000}"/>
    <cellStyle name="20 % - Markeringsfarve1 5 3 2 3 2 3" xfId="45433" xr:uid="{00000000-0005-0000-0000-0000EC0A0000}"/>
    <cellStyle name="20 % - Markeringsfarve1 5 3 2 3 3" xfId="23447" xr:uid="{00000000-0005-0000-0000-0000ED0A0000}"/>
    <cellStyle name="20 % - Markeringsfarve1 5 3 2 3 4" xfId="38434" xr:uid="{00000000-0005-0000-0000-0000EE0A0000}"/>
    <cellStyle name="20 % - Markeringsfarve1 5 3 2 4" xfId="10323" xr:uid="{00000000-0005-0000-0000-0000EF0A0000}"/>
    <cellStyle name="20 % - Markeringsfarve1 5 3 2 4 2" xfId="26643" xr:uid="{00000000-0005-0000-0000-0000F00A0000}"/>
    <cellStyle name="20 % - Markeringsfarve1 5 3 2 4 3" xfId="41609" xr:uid="{00000000-0005-0000-0000-0000F10A0000}"/>
    <cellStyle name="20 % - Markeringsfarve1 5 3 2 5" xfId="19621" xr:uid="{00000000-0005-0000-0000-0000F20A0000}"/>
    <cellStyle name="20 % - Markeringsfarve1 5 3 2 6" xfId="34610" xr:uid="{00000000-0005-0000-0000-0000F30A0000}"/>
    <cellStyle name="20 % - Markeringsfarve1 5 3 3" xfId="1765" xr:uid="{00000000-0005-0000-0000-0000F40A0000}"/>
    <cellStyle name="20 % - Markeringsfarve1 5 3 3 2" xfId="6902" xr:uid="{00000000-0005-0000-0000-0000F50A0000}"/>
    <cellStyle name="20 % - Markeringsfarve1 5 3 3 2 2" xfId="14814" xr:uid="{00000000-0005-0000-0000-0000F60A0000}"/>
    <cellStyle name="20 % - Markeringsfarve1 5 3 3 2 2 2" xfId="31129" xr:uid="{00000000-0005-0000-0000-0000F70A0000}"/>
    <cellStyle name="20 % - Markeringsfarve1 5 3 3 2 2 3" xfId="46093" xr:uid="{00000000-0005-0000-0000-0000F80A0000}"/>
    <cellStyle name="20 % - Markeringsfarve1 5 3 3 2 3" xfId="24107" xr:uid="{00000000-0005-0000-0000-0000F90A0000}"/>
    <cellStyle name="20 % - Markeringsfarve1 5 3 3 2 4" xfId="39094" xr:uid="{00000000-0005-0000-0000-0000FA0A0000}"/>
    <cellStyle name="20 % - Markeringsfarve1 5 3 3 3" xfId="10325" xr:uid="{00000000-0005-0000-0000-0000FB0A0000}"/>
    <cellStyle name="20 % - Markeringsfarve1 5 3 3 3 2" xfId="26645" xr:uid="{00000000-0005-0000-0000-0000FC0A0000}"/>
    <cellStyle name="20 % - Markeringsfarve1 5 3 3 3 3" xfId="41611" xr:uid="{00000000-0005-0000-0000-0000FD0A0000}"/>
    <cellStyle name="20 % - Markeringsfarve1 5 3 3 4" xfId="19623" xr:uid="{00000000-0005-0000-0000-0000FE0A0000}"/>
    <cellStyle name="20 % - Markeringsfarve1 5 3 3 5" xfId="34612" xr:uid="{00000000-0005-0000-0000-0000FF0A0000}"/>
    <cellStyle name="20 % - Markeringsfarve1 5 3 4" xfId="1766" xr:uid="{00000000-0005-0000-0000-0000000B0000}"/>
    <cellStyle name="20 % - Markeringsfarve1 5 3 4 2" xfId="8278" xr:uid="{00000000-0005-0000-0000-0000010B0000}"/>
    <cellStyle name="20 % - Markeringsfarve1 5 3 4 2 2" xfId="16173" xr:uid="{00000000-0005-0000-0000-0000020B0000}"/>
    <cellStyle name="20 % - Markeringsfarve1 5 3 4 2 2 2" xfId="32488" xr:uid="{00000000-0005-0000-0000-0000030B0000}"/>
    <cellStyle name="20 % - Markeringsfarve1 5 3 4 2 2 3" xfId="47452" xr:uid="{00000000-0005-0000-0000-0000040B0000}"/>
    <cellStyle name="20 % - Markeringsfarve1 5 3 4 2 3" xfId="25466" xr:uid="{00000000-0005-0000-0000-0000050B0000}"/>
    <cellStyle name="20 % - Markeringsfarve1 5 3 4 2 4" xfId="40453" xr:uid="{00000000-0005-0000-0000-0000060B0000}"/>
    <cellStyle name="20 % - Markeringsfarve1 5 3 4 3" xfId="10326" xr:uid="{00000000-0005-0000-0000-0000070B0000}"/>
    <cellStyle name="20 % - Markeringsfarve1 5 3 4 3 2" xfId="26646" xr:uid="{00000000-0005-0000-0000-0000080B0000}"/>
    <cellStyle name="20 % - Markeringsfarve1 5 3 4 3 3" xfId="41612" xr:uid="{00000000-0005-0000-0000-0000090B0000}"/>
    <cellStyle name="20 % - Markeringsfarve1 5 3 4 4" xfId="19624" xr:uid="{00000000-0005-0000-0000-00000A0B0000}"/>
    <cellStyle name="20 % - Markeringsfarve1 5 3 4 5" xfId="34613" xr:uid="{00000000-0005-0000-0000-00000B0B0000}"/>
    <cellStyle name="20 % - Markeringsfarve1 5 3 5" xfId="5393" xr:uid="{00000000-0005-0000-0000-00000C0B0000}"/>
    <cellStyle name="20 % - Markeringsfarve1 5 3 5 2" xfId="13312" xr:uid="{00000000-0005-0000-0000-00000D0B0000}"/>
    <cellStyle name="20 % - Markeringsfarve1 5 3 5 2 2" xfId="29627" xr:uid="{00000000-0005-0000-0000-00000E0B0000}"/>
    <cellStyle name="20 % - Markeringsfarve1 5 3 5 2 3" xfId="44591" xr:uid="{00000000-0005-0000-0000-00000F0B0000}"/>
    <cellStyle name="20 % - Markeringsfarve1 5 3 5 3" xfId="22605" xr:uid="{00000000-0005-0000-0000-0000100B0000}"/>
    <cellStyle name="20 % - Markeringsfarve1 5 3 5 4" xfId="37592" xr:uid="{00000000-0005-0000-0000-0000110B0000}"/>
    <cellStyle name="20 % - Markeringsfarve1 5 3 6" xfId="10322" xr:uid="{00000000-0005-0000-0000-0000120B0000}"/>
    <cellStyle name="20 % - Markeringsfarve1 5 3 6 2" xfId="26642" xr:uid="{00000000-0005-0000-0000-0000130B0000}"/>
    <cellStyle name="20 % - Markeringsfarve1 5 3 6 3" xfId="41608" xr:uid="{00000000-0005-0000-0000-0000140B0000}"/>
    <cellStyle name="20 % - Markeringsfarve1 5 3 7" xfId="19620" xr:uid="{00000000-0005-0000-0000-0000150B0000}"/>
    <cellStyle name="20 % - Markeringsfarve1 5 3 8" xfId="34609" xr:uid="{00000000-0005-0000-0000-0000160B0000}"/>
    <cellStyle name="20 % - Markeringsfarve1 5 3 9" xfId="56447" xr:uid="{00000000-0005-0000-0000-0000170B0000}"/>
    <cellStyle name="20 % - Markeringsfarve1 5 4" xfId="1767" xr:uid="{00000000-0005-0000-0000-0000180B0000}"/>
    <cellStyle name="20 % - Markeringsfarve1 5 4 2" xfId="1768" xr:uid="{00000000-0005-0000-0000-0000190B0000}"/>
    <cellStyle name="20 % - Markeringsfarve1 5 4 2 2" xfId="1769" xr:uid="{00000000-0005-0000-0000-00001A0B0000}"/>
    <cellStyle name="20 % - Markeringsfarve1 5 4 2 2 2" xfId="7863" xr:uid="{00000000-0005-0000-0000-00001B0B0000}"/>
    <cellStyle name="20 % - Markeringsfarve1 5 4 2 2 2 2" xfId="15765" xr:uid="{00000000-0005-0000-0000-00001C0B0000}"/>
    <cellStyle name="20 % - Markeringsfarve1 5 4 2 2 2 2 2" xfId="32080" xr:uid="{00000000-0005-0000-0000-00001D0B0000}"/>
    <cellStyle name="20 % - Markeringsfarve1 5 4 2 2 2 2 3" xfId="47044" xr:uid="{00000000-0005-0000-0000-00001E0B0000}"/>
    <cellStyle name="20 % - Markeringsfarve1 5 4 2 2 2 3" xfId="25058" xr:uid="{00000000-0005-0000-0000-00001F0B0000}"/>
    <cellStyle name="20 % - Markeringsfarve1 5 4 2 2 2 4" xfId="40045" xr:uid="{00000000-0005-0000-0000-0000200B0000}"/>
    <cellStyle name="20 % - Markeringsfarve1 5 4 2 2 3" xfId="10329" xr:uid="{00000000-0005-0000-0000-0000210B0000}"/>
    <cellStyle name="20 % - Markeringsfarve1 5 4 2 2 3 2" xfId="26649" xr:uid="{00000000-0005-0000-0000-0000220B0000}"/>
    <cellStyle name="20 % - Markeringsfarve1 5 4 2 2 3 3" xfId="41615" xr:uid="{00000000-0005-0000-0000-0000230B0000}"/>
    <cellStyle name="20 % - Markeringsfarve1 5 4 2 2 4" xfId="19627" xr:uid="{00000000-0005-0000-0000-0000240B0000}"/>
    <cellStyle name="20 % - Markeringsfarve1 5 4 2 2 5" xfId="34616" xr:uid="{00000000-0005-0000-0000-0000250B0000}"/>
    <cellStyle name="20 % - Markeringsfarve1 5 4 2 3" xfId="6398" xr:uid="{00000000-0005-0000-0000-0000260B0000}"/>
    <cellStyle name="20 % - Markeringsfarve1 5 4 2 3 2" xfId="14313" xr:uid="{00000000-0005-0000-0000-0000270B0000}"/>
    <cellStyle name="20 % - Markeringsfarve1 5 4 2 3 2 2" xfId="30628" xr:uid="{00000000-0005-0000-0000-0000280B0000}"/>
    <cellStyle name="20 % - Markeringsfarve1 5 4 2 3 2 3" xfId="45592" xr:uid="{00000000-0005-0000-0000-0000290B0000}"/>
    <cellStyle name="20 % - Markeringsfarve1 5 4 2 3 3" xfId="23606" xr:uid="{00000000-0005-0000-0000-00002A0B0000}"/>
    <cellStyle name="20 % - Markeringsfarve1 5 4 2 3 4" xfId="38593" xr:uid="{00000000-0005-0000-0000-00002B0B0000}"/>
    <cellStyle name="20 % - Markeringsfarve1 5 4 2 4" xfId="10328" xr:uid="{00000000-0005-0000-0000-00002C0B0000}"/>
    <cellStyle name="20 % - Markeringsfarve1 5 4 2 4 2" xfId="26648" xr:uid="{00000000-0005-0000-0000-00002D0B0000}"/>
    <cellStyle name="20 % - Markeringsfarve1 5 4 2 4 3" xfId="41614" xr:uid="{00000000-0005-0000-0000-00002E0B0000}"/>
    <cellStyle name="20 % - Markeringsfarve1 5 4 2 5" xfId="19626" xr:uid="{00000000-0005-0000-0000-00002F0B0000}"/>
    <cellStyle name="20 % - Markeringsfarve1 5 4 2 6" xfId="34615" xr:uid="{00000000-0005-0000-0000-0000300B0000}"/>
    <cellStyle name="20 % - Markeringsfarve1 5 4 3" xfId="1770" xr:uid="{00000000-0005-0000-0000-0000310B0000}"/>
    <cellStyle name="20 % - Markeringsfarve1 5 4 3 2" xfId="7139" xr:uid="{00000000-0005-0000-0000-0000320B0000}"/>
    <cellStyle name="20 % - Markeringsfarve1 5 4 3 2 2" xfId="15050" xr:uid="{00000000-0005-0000-0000-0000330B0000}"/>
    <cellStyle name="20 % - Markeringsfarve1 5 4 3 2 2 2" xfId="31365" xr:uid="{00000000-0005-0000-0000-0000340B0000}"/>
    <cellStyle name="20 % - Markeringsfarve1 5 4 3 2 2 3" xfId="46329" xr:uid="{00000000-0005-0000-0000-0000350B0000}"/>
    <cellStyle name="20 % - Markeringsfarve1 5 4 3 2 3" xfId="24343" xr:uid="{00000000-0005-0000-0000-0000360B0000}"/>
    <cellStyle name="20 % - Markeringsfarve1 5 4 3 2 4" xfId="39330" xr:uid="{00000000-0005-0000-0000-0000370B0000}"/>
    <cellStyle name="20 % - Markeringsfarve1 5 4 3 3" xfId="10330" xr:uid="{00000000-0005-0000-0000-0000380B0000}"/>
    <cellStyle name="20 % - Markeringsfarve1 5 4 3 3 2" xfId="26650" xr:uid="{00000000-0005-0000-0000-0000390B0000}"/>
    <cellStyle name="20 % - Markeringsfarve1 5 4 3 3 3" xfId="41616" xr:uid="{00000000-0005-0000-0000-00003A0B0000}"/>
    <cellStyle name="20 % - Markeringsfarve1 5 4 3 4" xfId="19628" xr:uid="{00000000-0005-0000-0000-00003B0B0000}"/>
    <cellStyle name="20 % - Markeringsfarve1 5 4 3 5" xfId="34617" xr:uid="{00000000-0005-0000-0000-00003C0B0000}"/>
    <cellStyle name="20 % - Markeringsfarve1 5 4 4" xfId="1771" xr:uid="{00000000-0005-0000-0000-00003D0B0000}"/>
    <cellStyle name="20 % - Markeringsfarve1 5 4 4 2" xfId="8277" xr:uid="{00000000-0005-0000-0000-00003E0B0000}"/>
    <cellStyle name="20 % - Markeringsfarve1 5 4 4 2 2" xfId="16172" xr:uid="{00000000-0005-0000-0000-00003F0B0000}"/>
    <cellStyle name="20 % - Markeringsfarve1 5 4 4 2 2 2" xfId="32487" xr:uid="{00000000-0005-0000-0000-0000400B0000}"/>
    <cellStyle name="20 % - Markeringsfarve1 5 4 4 2 2 3" xfId="47451" xr:uid="{00000000-0005-0000-0000-0000410B0000}"/>
    <cellStyle name="20 % - Markeringsfarve1 5 4 4 2 3" xfId="25465" xr:uid="{00000000-0005-0000-0000-0000420B0000}"/>
    <cellStyle name="20 % - Markeringsfarve1 5 4 4 2 4" xfId="40452" xr:uid="{00000000-0005-0000-0000-0000430B0000}"/>
    <cellStyle name="20 % - Markeringsfarve1 5 4 4 3" xfId="10331" xr:uid="{00000000-0005-0000-0000-0000440B0000}"/>
    <cellStyle name="20 % - Markeringsfarve1 5 4 4 3 2" xfId="26651" xr:uid="{00000000-0005-0000-0000-0000450B0000}"/>
    <cellStyle name="20 % - Markeringsfarve1 5 4 4 3 3" xfId="41617" xr:uid="{00000000-0005-0000-0000-0000460B0000}"/>
    <cellStyle name="20 % - Markeringsfarve1 5 4 4 4" xfId="19629" xr:uid="{00000000-0005-0000-0000-0000470B0000}"/>
    <cellStyle name="20 % - Markeringsfarve1 5 4 4 5" xfId="34618" xr:uid="{00000000-0005-0000-0000-0000480B0000}"/>
    <cellStyle name="20 % - Markeringsfarve1 5 4 5" xfId="5394" xr:uid="{00000000-0005-0000-0000-0000490B0000}"/>
    <cellStyle name="20 % - Markeringsfarve1 5 4 5 2" xfId="13313" xr:uid="{00000000-0005-0000-0000-00004A0B0000}"/>
    <cellStyle name="20 % - Markeringsfarve1 5 4 5 2 2" xfId="29628" xr:uid="{00000000-0005-0000-0000-00004B0B0000}"/>
    <cellStyle name="20 % - Markeringsfarve1 5 4 5 2 3" xfId="44592" xr:uid="{00000000-0005-0000-0000-00004C0B0000}"/>
    <cellStyle name="20 % - Markeringsfarve1 5 4 5 3" xfId="22606" xr:uid="{00000000-0005-0000-0000-00004D0B0000}"/>
    <cellStyle name="20 % - Markeringsfarve1 5 4 5 4" xfId="37593" xr:uid="{00000000-0005-0000-0000-00004E0B0000}"/>
    <cellStyle name="20 % - Markeringsfarve1 5 4 6" xfId="10327" xr:uid="{00000000-0005-0000-0000-00004F0B0000}"/>
    <cellStyle name="20 % - Markeringsfarve1 5 4 6 2" xfId="26647" xr:uid="{00000000-0005-0000-0000-0000500B0000}"/>
    <cellStyle name="20 % - Markeringsfarve1 5 4 6 3" xfId="41613" xr:uid="{00000000-0005-0000-0000-0000510B0000}"/>
    <cellStyle name="20 % - Markeringsfarve1 5 4 7" xfId="19625" xr:uid="{00000000-0005-0000-0000-0000520B0000}"/>
    <cellStyle name="20 % - Markeringsfarve1 5 4 8" xfId="34614" xr:uid="{00000000-0005-0000-0000-0000530B0000}"/>
    <cellStyle name="20 % - Markeringsfarve1 5 5" xfId="1772" xr:uid="{00000000-0005-0000-0000-0000540B0000}"/>
    <cellStyle name="20 % - Markeringsfarve1 5 5 2" xfId="1773" xr:uid="{00000000-0005-0000-0000-0000550B0000}"/>
    <cellStyle name="20 % - Markeringsfarve1 5 5 2 2" xfId="1774" xr:uid="{00000000-0005-0000-0000-0000560B0000}"/>
    <cellStyle name="20 % - Markeringsfarve1 5 5 2 2 2" xfId="7980" xr:uid="{00000000-0005-0000-0000-0000570B0000}"/>
    <cellStyle name="20 % - Markeringsfarve1 5 5 2 2 2 2" xfId="15882" xr:uid="{00000000-0005-0000-0000-0000580B0000}"/>
    <cellStyle name="20 % - Markeringsfarve1 5 5 2 2 2 2 2" xfId="32197" xr:uid="{00000000-0005-0000-0000-0000590B0000}"/>
    <cellStyle name="20 % - Markeringsfarve1 5 5 2 2 2 2 3" xfId="47161" xr:uid="{00000000-0005-0000-0000-00005A0B0000}"/>
    <cellStyle name="20 % - Markeringsfarve1 5 5 2 2 2 3" xfId="25175" xr:uid="{00000000-0005-0000-0000-00005B0B0000}"/>
    <cellStyle name="20 % - Markeringsfarve1 5 5 2 2 2 4" xfId="40162" xr:uid="{00000000-0005-0000-0000-00005C0B0000}"/>
    <cellStyle name="20 % - Markeringsfarve1 5 5 2 2 3" xfId="10334" xr:uid="{00000000-0005-0000-0000-00005D0B0000}"/>
    <cellStyle name="20 % - Markeringsfarve1 5 5 2 2 3 2" xfId="26654" xr:uid="{00000000-0005-0000-0000-00005E0B0000}"/>
    <cellStyle name="20 % - Markeringsfarve1 5 5 2 2 3 3" xfId="41620" xr:uid="{00000000-0005-0000-0000-00005F0B0000}"/>
    <cellStyle name="20 % - Markeringsfarve1 5 5 2 2 4" xfId="19632" xr:uid="{00000000-0005-0000-0000-0000600B0000}"/>
    <cellStyle name="20 % - Markeringsfarve1 5 5 2 2 5" xfId="34621" xr:uid="{00000000-0005-0000-0000-0000610B0000}"/>
    <cellStyle name="20 % - Markeringsfarve1 5 5 2 3" xfId="6497" xr:uid="{00000000-0005-0000-0000-0000620B0000}"/>
    <cellStyle name="20 % - Markeringsfarve1 5 5 2 3 2" xfId="14412" xr:uid="{00000000-0005-0000-0000-0000630B0000}"/>
    <cellStyle name="20 % - Markeringsfarve1 5 5 2 3 2 2" xfId="30727" xr:uid="{00000000-0005-0000-0000-0000640B0000}"/>
    <cellStyle name="20 % - Markeringsfarve1 5 5 2 3 2 3" xfId="45691" xr:uid="{00000000-0005-0000-0000-0000650B0000}"/>
    <cellStyle name="20 % - Markeringsfarve1 5 5 2 3 3" xfId="23705" xr:uid="{00000000-0005-0000-0000-0000660B0000}"/>
    <cellStyle name="20 % - Markeringsfarve1 5 5 2 3 4" xfId="38692" xr:uid="{00000000-0005-0000-0000-0000670B0000}"/>
    <cellStyle name="20 % - Markeringsfarve1 5 5 2 4" xfId="10333" xr:uid="{00000000-0005-0000-0000-0000680B0000}"/>
    <cellStyle name="20 % - Markeringsfarve1 5 5 2 4 2" xfId="26653" xr:uid="{00000000-0005-0000-0000-0000690B0000}"/>
    <cellStyle name="20 % - Markeringsfarve1 5 5 2 4 3" xfId="41619" xr:uid="{00000000-0005-0000-0000-00006A0B0000}"/>
    <cellStyle name="20 % - Markeringsfarve1 5 5 2 5" xfId="19631" xr:uid="{00000000-0005-0000-0000-00006B0B0000}"/>
    <cellStyle name="20 % - Markeringsfarve1 5 5 2 6" xfId="34620" xr:uid="{00000000-0005-0000-0000-00006C0B0000}"/>
    <cellStyle name="20 % - Markeringsfarve1 5 5 3" xfId="1775" xr:uid="{00000000-0005-0000-0000-00006D0B0000}"/>
    <cellStyle name="20 % - Markeringsfarve1 5 5 3 2" xfId="7256" xr:uid="{00000000-0005-0000-0000-00006E0B0000}"/>
    <cellStyle name="20 % - Markeringsfarve1 5 5 3 2 2" xfId="15167" xr:uid="{00000000-0005-0000-0000-00006F0B0000}"/>
    <cellStyle name="20 % - Markeringsfarve1 5 5 3 2 2 2" xfId="31482" xr:uid="{00000000-0005-0000-0000-0000700B0000}"/>
    <cellStyle name="20 % - Markeringsfarve1 5 5 3 2 2 3" xfId="46446" xr:uid="{00000000-0005-0000-0000-0000710B0000}"/>
    <cellStyle name="20 % - Markeringsfarve1 5 5 3 2 3" xfId="24460" xr:uid="{00000000-0005-0000-0000-0000720B0000}"/>
    <cellStyle name="20 % - Markeringsfarve1 5 5 3 2 4" xfId="39447" xr:uid="{00000000-0005-0000-0000-0000730B0000}"/>
    <cellStyle name="20 % - Markeringsfarve1 5 5 3 3" xfId="10335" xr:uid="{00000000-0005-0000-0000-0000740B0000}"/>
    <cellStyle name="20 % - Markeringsfarve1 5 5 3 3 2" xfId="26655" xr:uid="{00000000-0005-0000-0000-0000750B0000}"/>
    <cellStyle name="20 % - Markeringsfarve1 5 5 3 3 3" xfId="41621" xr:uid="{00000000-0005-0000-0000-0000760B0000}"/>
    <cellStyle name="20 % - Markeringsfarve1 5 5 3 4" xfId="19633" xr:uid="{00000000-0005-0000-0000-0000770B0000}"/>
    <cellStyle name="20 % - Markeringsfarve1 5 5 3 5" xfId="34622" xr:uid="{00000000-0005-0000-0000-0000780B0000}"/>
    <cellStyle name="20 % - Markeringsfarve1 5 5 4" xfId="1776" xr:uid="{00000000-0005-0000-0000-0000790B0000}"/>
    <cellStyle name="20 % - Markeringsfarve1 5 5 4 2" xfId="8276" xr:uid="{00000000-0005-0000-0000-00007A0B0000}"/>
    <cellStyle name="20 % - Markeringsfarve1 5 5 4 2 2" xfId="16171" xr:uid="{00000000-0005-0000-0000-00007B0B0000}"/>
    <cellStyle name="20 % - Markeringsfarve1 5 5 4 2 2 2" xfId="32486" xr:uid="{00000000-0005-0000-0000-00007C0B0000}"/>
    <cellStyle name="20 % - Markeringsfarve1 5 5 4 2 2 3" xfId="47450" xr:uid="{00000000-0005-0000-0000-00007D0B0000}"/>
    <cellStyle name="20 % - Markeringsfarve1 5 5 4 2 3" xfId="25464" xr:uid="{00000000-0005-0000-0000-00007E0B0000}"/>
    <cellStyle name="20 % - Markeringsfarve1 5 5 4 2 4" xfId="40451" xr:uid="{00000000-0005-0000-0000-00007F0B0000}"/>
    <cellStyle name="20 % - Markeringsfarve1 5 5 4 3" xfId="10336" xr:uid="{00000000-0005-0000-0000-0000800B0000}"/>
    <cellStyle name="20 % - Markeringsfarve1 5 5 4 3 2" xfId="26656" xr:uid="{00000000-0005-0000-0000-0000810B0000}"/>
    <cellStyle name="20 % - Markeringsfarve1 5 5 4 3 3" xfId="41622" xr:uid="{00000000-0005-0000-0000-0000820B0000}"/>
    <cellStyle name="20 % - Markeringsfarve1 5 5 4 4" xfId="19634" xr:uid="{00000000-0005-0000-0000-0000830B0000}"/>
    <cellStyle name="20 % - Markeringsfarve1 5 5 4 5" xfId="34623" xr:uid="{00000000-0005-0000-0000-0000840B0000}"/>
    <cellStyle name="20 % - Markeringsfarve1 5 5 5" xfId="5395" xr:uid="{00000000-0005-0000-0000-0000850B0000}"/>
    <cellStyle name="20 % - Markeringsfarve1 5 5 5 2" xfId="13314" xr:uid="{00000000-0005-0000-0000-0000860B0000}"/>
    <cellStyle name="20 % - Markeringsfarve1 5 5 5 2 2" xfId="29629" xr:uid="{00000000-0005-0000-0000-0000870B0000}"/>
    <cellStyle name="20 % - Markeringsfarve1 5 5 5 2 3" xfId="44593" xr:uid="{00000000-0005-0000-0000-0000880B0000}"/>
    <cellStyle name="20 % - Markeringsfarve1 5 5 5 3" xfId="22607" xr:uid="{00000000-0005-0000-0000-0000890B0000}"/>
    <cellStyle name="20 % - Markeringsfarve1 5 5 5 4" xfId="37594" xr:uid="{00000000-0005-0000-0000-00008A0B0000}"/>
    <cellStyle name="20 % - Markeringsfarve1 5 5 6" xfId="10332" xr:uid="{00000000-0005-0000-0000-00008B0B0000}"/>
    <cellStyle name="20 % - Markeringsfarve1 5 5 6 2" xfId="26652" xr:uid="{00000000-0005-0000-0000-00008C0B0000}"/>
    <cellStyle name="20 % - Markeringsfarve1 5 5 6 3" xfId="41618" xr:uid="{00000000-0005-0000-0000-00008D0B0000}"/>
    <cellStyle name="20 % - Markeringsfarve1 5 5 7" xfId="19630" xr:uid="{00000000-0005-0000-0000-00008E0B0000}"/>
    <cellStyle name="20 % - Markeringsfarve1 5 5 8" xfId="34619" xr:uid="{00000000-0005-0000-0000-00008F0B0000}"/>
    <cellStyle name="20 % - Markeringsfarve1 5 6" xfId="1777" xr:uid="{00000000-0005-0000-0000-0000900B0000}"/>
    <cellStyle name="20 % - Markeringsfarve1 5 6 2" xfId="1778" xr:uid="{00000000-0005-0000-0000-0000910B0000}"/>
    <cellStyle name="20 % - Markeringsfarve1 5 6 2 2" xfId="1779" xr:uid="{00000000-0005-0000-0000-0000920B0000}"/>
    <cellStyle name="20 % - Markeringsfarve1 5 6 2 2 2" xfId="8027" xr:uid="{00000000-0005-0000-0000-0000930B0000}"/>
    <cellStyle name="20 % - Markeringsfarve1 5 6 2 2 2 2" xfId="15929" xr:uid="{00000000-0005-0000-0000-0000940B0000}"/>
    <cellStyle name="20 % - Markeringsfarve1 5 6 2 2 2 2 2" xfId="32244" xr:uid="{00000000-0005-0000-0000-0000950B0000}"/>
    <cellStyle name="20 % - Markeringsfarve1 5 6 2 2 2 2 3" xfId="47208" xr:uid="{00000000-0005-0000-0000-0000960B0000}"/>
    <cellStyle name="20 % - Markeringsfarve1 5 6 2 2 2 3" xfId="25222" xr:uid="{00000000-0005-0000-0000-0000970B0000}"/>
    <cellStyle name="20 % - Markeringsfarve1 5 6 2 2 2 4" xfId="40209" xr:uid="{00000000-0005-0000-0000-0000980B0000}"/>
    <cellStyle name="20 % - Markeringsfarve1 5 6 2 2 3" xfId="10339" xr:uid="{00000000-0005-0000-0000-0000990B0000}"/>
    <cellStyle name="20 % - Markeringsfarve1 5 6 2 2 3 2" xfId="26659" xr:uid="{00000000-0005-0000-0000-00009A0B0000}"/>
    <cellStyle name="20 % - Markeringsfarve1 5 6 2 2 3 3" xfId="41625" xr:uid="{00000000-0005-0000-0000-00009B0B0000}"/>
    <cellStyle name="20 % - Markeringsfarve1 5 6 2 2 4" xfId="19637" xr:uid="{00000000-0005-0000-0000-00009C0B0000}"/>
    <cellStyle name="20 % - Markeringsfarve1 5 6 2 2 5" xfId="34626" xr:uid="{00000000-0005-0000-0000-00009D0B0000}"/>
    <cellStyle name="20 % - Markeringsfarve1 5 6 2 3" xfId="6538" xr:uid="{00000000-0005-0000-0000-00009E0B0000}"/>
    <cellStyle name="20 % - Markeringsfarve1 5 6 2 3 2" xfId="14453" xr:uid="{00000000-0005-0000-0000-00009F0B0000}"/>
    <cellStyle name="20 % - Markeringsfarve1 5 6 2 3 2 2" xfId="30768" xr:uid="{00000000-0005-0000-0000-0000A00B0000}"/>
    <cellStyle name="20 % - Markeringsfarve1 5 6 2 3 2 3" xfId="45732" xr:uid="{00000000-0005-0000-0000-0000A10B0000}"/>
    <cellStyle name="20 % - Markeringsfarve1 5 6 2 3 3" xfId="23746" xr:uid="{00000000-0005-0000-0000-0000A20B0000}"/>
    <cellStyle name="20 % - Markeringsfarve1 5 6 2 3 4" xfId="38733" xr:uid="{00000000-0005-0000-0000-0000A30B0000}"/>
    <cellStyle name="20 % - Markeringsfarve1 5 6 2 4" xfId="10338" xr:uid="{00000000-0005-0000-0000-0000A40B0000}"/>
    <cellStyle name="20 % - Markeringsfarve1 5 6 2 4 2" xfId="26658" xr:uid="{00000000-0005-0000-0000-0000A50B0000}"/>
    <cellStyle name="20 % - Markeringsfarve1 5 6 2 4 3" xfId="41624" xr:uid="{00000000-0005-0000-0000-0000A60B0000}"/>
    <cellStyle name="20 % - Markeringsfarve1 5 6 2 5" xfId="19636" xr:uid="{00000000-0005-0000-0000-0000A70B0000}"/>
    <cellStyle name="20 % - Markeringsfarve1 5 6 2 6" xfId="34625" xr:uid="{00000000-0005-0000-0000-0000A80B0000}"/>
    <cellStyle name="20 % - Markeringsfarve1 5 6 3" xfId="1780" xr:uid="{00000000-0005-0000-0000-0000A90B0000}"/>
    <cellStyle name="20 % - Markeringsfarve1 5 6 3 2" xfId="7304" xr:uid="{00000000-0005-0000-0000-0000AA0B0000}"/>
    <cellStyle name="20 % - Markeringsfarve1 5 6 3 2 2" xfId="15215" xr:uid="{00000000-0005-0000-0000-0000AB0B0000}"/>
    <cellStyle name="20 % - Markeringsfarve1 5 6 3 2 2 2" xfId="31530" xr:uid="{00000000-0005-0000-0000-0000AC0B0000}"/>
    <cellStyle name="20 % - Markeringsfarve1 5 6 3 2 2 3" xfId="46494" xr:uid="{00000000-0005-0000-0000-0000AD0B0000}"/>
    <cellStyle name="20 % - Markeringsfarve1 5 6 3 2 3" xfId="24508" xr:uid="{00000000-0005-0000-0000-0000AE0B0000}"/>
    <cellStyle name="20 % - Markeringsfarve1 5 6 3 2 4" xfId="39495" xr:uid="{00000000-0005-0000-0000-0000AF0B0000}"/>
    <cellStyle name="20 % - Markeringsfarve1 5 6 3 3" xfId="10340" xr:uid="{00000000-0005-0000-0000-0000B00B0000}"/>
    <cellStyle name="20 % - Markeringsfarve1 5 6 3 3 2" xfId="26660" xr:uid="{00000000-0005-0000-0000-0000B10B0000}"/>
    <cellStyle name="20 % - Markeringsfarve1 5 6 3 3 3" xfId="41626" xr:uid="{00000000-0005-0000-0000-0000B20B0000}"/>
    <cellStyle name="20 % - Markeringsfarve1 5 6 3 4" xfId="19638" xr:uid="{00000000-0005-0000-0000-0000B30B0000}"/>
    <cellStyle name="20 % - Markeringsfarve1 5 6 3 5" xfId="34627" xr:uid="{00000000-0005-0000-0000-0000B40B0000}"/>
    <cellStyle name="20 % - Markeringsfarve1 5 6 4" xfId="1781" xr:uid="{00000000-0005-0000-0000-0000B50B0000}"/>
    <cellStyle name="20 % - Markeringsfarve1 5 6 4 2" xfId="8275" xr:uid="{00000000-0005-0000-0000-0000B60B0000}"/>
    <cellStyle name="20 % - Markeringsfarve1 5 6 4 2 2" xfId="16170" xr:uid="{00000000-0005-0000-0000-0000B70B0000}"/>
    <cellStyle name="20 % - Markeringsfarve1 5 6 4 2 2 2" xfId="32485" xr:uid="{00000000-0005-0000-0000-0000B80B0000}"/>
    <cellStyle name="20 % - Markeringsfarve1 5 6 4 2 2 3" xfId="47449" xr:uid="{00000000-0005-0000-0000-0000B90B0000}"/>
    <cellStyle name="20 % - Markeringsfarve1 5 6 4 2 3" xfId="25463" xr:uid="{00000000-0005-0000-0000-0000BA0B0000}"/>
    <cellStyle name="20 % - Markeringsfarve1 5 6 4 2 4" xfId="40450" xr:uid="{00000000-0005-0000-0000-0000BB0B0000}"/>
    <cellStyle name="20 % - Markeringsfarve1 5 6 4 3" xfId="10341" xr:uid="{00000000-0005-0000-0000-0000BC0B0000}"/>
    <cellStyle name="20 % - Markeringsfarve1 5 6 4 3 2" xfId="26661" xr:uid="{00000000-0005-0000-0000-0000BD0B0000}"/>
    <cellStyle name="20 % - Markeringsfarve1 5 6 4 3 3" xfId="41627" xr:uid="{00000000-0005-0000-0000-0000BE0B0000}"/>
    <cellStyle name="20 % - Markeringsfarve1 5 6 4 4" xfId="19639" xr:uid="{00000000-0005-0000-0000-0000BF0B0000}"/>
    <cellStyle name="20 % - Markeringsfarve1 5 6 4 5" xfId="34628" xr:uid="{00000000-0005-0000-0000-0000C00B0000}"/>
    <cellStyle name="20 % - Markeringsfarve1 5 6 5" xfId="5396" xr:uid="{00000000-0005-0000-0000-0000C10B0000}"/>
    <cellStyle name="20 % - Markeringsfarve1 5 6 5 2" xfId="13315" xr:uid="{00000000-0005-0000-0000-0000C20B0000}"/>
    <cellStyle name="20 % - Markeringsfarve1 5 6 5 2 2" xfId="29630" xr:uid="{00000000-0005-0000-0000-0000C30B0000}"/>
    <cellStyle name="20 % - Markeringsfarve1 5 6 5 2 3" xfId="44594" xr:uid="{00000000-0005-0000-0000-0000C40B0000}"/>
    <cellStyle name="20 % - Markeringsfarve1 5 6 5 3" xfId="22608" xr:uid="{00000000-0005-0000-0000-0000C50B0000}"/>
    <cellStyle name="20 % - Markeringsfarve1 5 6 5 4" xfId="37595" xr:uid="{00000000-0005-0000-0000-0000C60B0000}"/>
    <cellStyle name="20 % - Markeringsfarve1 5 6 6" xfId="10337" xr:uid="{00000000-0005-0000-0000-0000C70B0000}"/>
    <cellStyle name="20 % - Markeringsfarve1 5 6 6 2" xfId="26657" xr:uid="{00000000-0005-0000-0000-0000C80B0000}"/>
    <cellStyle name="20 % - Markeringsfarve1 5 6 6 3" xfId="41623" xr:uid="{00000000-0005-0000-0000-0000C90B0000}"/>
    <cellStyle name="20 % - Markeringsfarve1 5 6 7" xfId="19635" xr:uid="{00000000-0005-0000-0000-0000CA0B0000}"/>
    <cellStyle name="20 % - Markeringsfarve1 5 6 8" xfId="34624" xr:uid="{00000000-0005-0000-0000-0000CB0B0000}"/>
    <cellStyle name="20 % - Markeringsfarve1 5 7" xfId="1782" xr:uid="{00000000-0005-0000-0000-0000CC0B0000}"/>
    <cellStyle name="20 % - Markeringsfarve1 5 7 2" xfId="1783" xr:uid="{00000000-0005-0000-0000-0000CD0B0000}"/>
    <cellStyle name="20 % - Markeringsfarve1 5 7 2 2" xfId="7506" xr:uid="{00000000-0005-0000-0000-0000CE0B0000}"/>
    <cellStyle name="20 % - Markeringsfarve1 5 7 2 2 2" xfId="15408" xr:uid="{00000000-0005-0000-0000-0000CF0B0000}"/>
    <cellStyle name="20 % - Markeringsfarve1 5 7 2 2 2 2" xfId="31723" xr:uid="{00000000-0005-0000-0000-0000D00B0000}"/>
    <cellStyle name="20 % - Markeringsfarve1 5 7 2 2 2 3" xfId="46687" xr:uid="{00000000-0005-0000-0000-0000D10B0000}"/>
    <cellStyle name="20 % - Markeringsfarve1 5 7 2 2 3" xfId="24701" xr:uid="{00000000-0005-0000-0000-0000D20B0000}"/>
    <cellStyle name="20 % - Markeringsfarve1 5 7 2 2 4" xfId="39688" xr:uid="{00000000-0005-0000-0000-0000D30B0000}"/>
    <cellStyle name="20 % - Markeringsfarve1 5 7 2 3" xfId="10343" xr:uid="{00000000-0005-0000-0000-0000D40B0000}"/>
    <cellStyle name="20 % - Markeringsfarve1 5 7 2 3 2" xfId="26663" xr:uid="{00000000-0005-0000-0000-0000D50B0000}"/>
    <cellStyle name="20 % - Markeringsfarve1 5 7 2 3 3" xfId="41629" xr:uid="{00000000-0005-0000-0000-0000D60B0000}"/>
    <cellStyle name="20 % - Markeringsfarve1 5 7 2 4" xfId="19641" xr:uid="{00000000-0005-0000-0000-0000D70B0000}"/>
    <cellStyle name="20 % - Markeringsfarve1 5 7 2 5" xfId="34630" xr:uid="{00000000-0005-0000-0000-0000D80B0000}"/>
    <cellStyle name="20 % - Markeringsfarve1 5 7 3" xfId="6097" xr:uid="{00000000-0005-0000-0000-0000D90B0000}"/>
    <cellStyle name="20 % - Markeringsfarve1 5 7 3 2" xfId="14015" xr:uid="{00000000-0005-0000-0000-0000DA0B0000}"/>
    <cellStyle name="20 % - Markeringsfarve1 5 7 3 2 2" xfId="30330" xr:uid="{00000000-0005-0000-0000-0000DB0B0000}"/>
    <cellStyle name="20 % - Markeringsfarve1 5 7 3 2 3" xfId="45294" xr:uid="{00000000-0005-0000-0000-0000DC0B0000}"/>
    <cellStyle name="20 % - Markeringsfarve1 5 7 3 3" xfId="23308" xr:uid="{00000000-0005-0000-0000-0000DD0B0000}"/>
    <cellStyle name="20 % - Markeringsfarve1 5 7 3 4" xfId="38295" xr:uid="{00000000-0005-0000-0000-0000DE0B0000}"/>
    <cellStyle name="20 % - Markeringsfarve1 5 7 4" xfId="10342" xr:uid="{00000000-0005-0000-0000-0000DF0B0000}"/>
    <cellStyle name="20 % - Markeringsfarve1 5 7 4 2" xfId="26662" xr:uid="{00000000-0005-0000-0000-0000E00B0000}"/>
    <cellStyle name="20 % - Markeringsfarve1 5 7 4 3" xfId="41628" xr:uid="{00000000-0005-0000-0000-0000E10B0000}"/>
    <cellStyle name="20 % - Markeringsfarve1 5 7 5" xfId="19640" xr:uid="{00000000-0005-0000-0000-0000E20B0000}"/>
    <cellStyle name="20 % - Markeringsfarve1 5 7 6" xfId="34629" xr:uid="{00000000-0005-0000-0000-0000E30B0000}"/>
    <cellStyle name="20 % - Markeringsfarve1 5 8" xfId="1784" xr:uid="{00000000-0005-0000-0000-0000E40B0000}"/>
    <cellStyle name="20 % - Markeringsfarve1 5 8 2" xfId="6734" xr:uid="{00000000-0005-0000-0000-0000E50B0000}"/>
    <cellStyle name="20 % - Markeringsfarve1 5 8 2 2" xfId="14646" xr:uid="{00000000-0005-0000-0000-0000E60B0000}"/>
    <cellStyle name="20 % - Markeringsfarve1 5 8 2 2 2" xfId="30961" xr:uid="{00000000-0005-0000-0000-0000E70B0000}"/>
    <cellStyle name="20 % - Markeringsfarve1 5 8 2 2 3" xfId="45925" xr:uid="{00000000-0005-0000-0000-0000E80B0000}"/>
    <cellStyle name="20 % - Markeringsfarve1 5 8 2 3" xfId="23939" xr:uid="{00000000-0005-0000-0000-0000E90B0000}"/>
    <cellStyle name="20 % - Markeringsfarve1 5 8 2 4" xfId="38926" xr:uid="{00000000-0005-0000-0000-0000EA0B0000}"/>
    <cellStyle name="20 % - Markeringsfarve1 5 8 3" xfId="10344" xr:uid="{00000000-0005-0000-0000-0000EB0B0000}"/>
    <cellStyle name="20 % - Markeringsfarve1 5 8 3 2" xfId="26664" xr:uid="{00000000-0005-0000-0000-0000EC0B0000}"/>
    <cellStyle name="20 % - Markeringsfarve1 5 8 3 3" xfId="41630" xr:uid="{00000000-0005-0000-0000-0000ED0B0000}"/>
    <cellStyle name="20 % - Markeringsfarve1 5 8 4" xfId="19642" xr:uid="{00000000-0005-0000-0000-0000EE0B0000}"/>
    <cellStyle name="20 % - Markeringsfarve1 5 8 5" xfId="34631" xr:uid="{00000000-0005-0000-0000-0000EF0B0000}"/>
    <cellStyle name="20 % - Markeringsfarve1 5 9" xfId="1785" xr:uid="{00000000-0005-0000-0000-0000F00B0000}"/>
    <cellStyle name="20 % - Markeringsfarve1 5 9 2" xfId="8280" xr:uid="{00000000-0005-0000-0000-0000F10B0000}"/>
    <cellStyle name="20 % - Markeringsfarve1 5 9 2 2" xfId="16175" xr:uid="{00000000-0005-0000-0000-0000F20B0000}"/>
    <cellStyle name="20 % - Markeringsfarve1 5 9 2 2 2" xfId="32490" xr:uid="{00000000-0005-0000-0000-0000F30B0000}"/>
    <cellStyle name="20 % - Markeringsfarve1 5 9 2 2 3" xfId="47454" xr:uid="{00000000-0005-0000-0000-0000F40B0000}"/>
    <cellStyle name="20 % - Markeringsfarve1 5 9 2 3" xfId="25468" xr:uid="{00000000-0005-0000-0000-0000F50B0000}"/>
    <cellStyle name="20 % - Markeringsfarve1 5 9 2 4" xfId="40455" xr:uid="{00000000-0005-0000-0000-0000F60B0000}"/>
    <cellStyle name="20 % - Markeringsfarve1 5 9 3" xfId="10345" xr:uid="{00000000-0005-0000-0000-0000F70B0000}"/>
    <cellStyle name="20 % - Markeringsfarve1 5 9 3 2" xfId="26665" xr:uid="{00000000-0005-0000-0000-0000F80B0000}"/>
    <cellStyle name="20 % - Markeringsfarve1 5 9 3 3" xfId="41631" xr:uid="{00000000-0005-0000-0000-0000F90B0000}"/>
    <cellStyle name="20 % - Markeringsfarve1 5 9 4" xfId="19643" xr:uid="{00000000-0005-0000-0000-0000FA0B0000}"/>
    <cellStyle name="20 % - Markeringsfarve1 5 9 5" xfId="34632" xr:uid="{00000000-0005-0000-0000-0000FB0B0000}"/>
    <cellStyle name="20 % - Markeringsfarve1 6" xfId="1786" xr:uid="{00000000-0005-0000-0000-0000FC0B0000}"/>
    <cellStyle name="20 % - Markeringsfarve1 6 10" xfId="53262" xr:uid="{00000000-0005-0000-0000-0000FD0B0000}"/>
    <cellStyle name="20 % - Markeringsfarve1 6 2" xfId="1787" xr:uid="{00000000-0005-0000-0000-0000FE0B0000}"/>
    <cellStyle name="20 % - Markeringsfarve1 6 2 2" xfId="1788" xr:uid="{00000000-0005-0000-0000-0000FF0B0000}"/>
    <cellStyle name="20 % - Markeringsfarve1 6 2 2 2" xfId="1789" xr:uid="{00000000-0005-0000-0000-0000000C0000}"/>
    <cellStyle name="20 % - Markeringsfarve1 6 2 2 2 2" xfId="7673" xr:uid="{00000000-0005-0000-0000-0000010C0000}"/>
    <cellStyle name="20 % - Markeringsfarve1 6 2 2 2 2 2" xfId="15575" xr:uid="{00000000-0005-0000-0000-0000020C0000}"/>
    <cellStyle name="20 % - Markeringsfarve1 6 2 2 2 2 2 2" xfId="31890" xr:uid="{00000000-0005-0000-0000-0000030C0000}"/>
    <cellStyle name="20 % - Markeringsfarve1 6 2 2 2 2 2 3" xfId="46854" xr:uid="{00000000-0005-0000-0000-0000040C0000}"/>
    <cellStyle name="20 % - Markeringsfarve1 6 2 2 2 2 3" xfId="24868" xr:uid="{00000000-0005-0000-0000-0000050C0000}"/>
    <cellStyle name="20 % - Markeringsfarve1 6 2 2 2 2 4" xfId="39855" xr:uid="{00000000-0005-0000-0000-0000060C0000}"/>
    <cellStyle name="20 % - Markeringsfarve1 6 2 2 2 3" xfId="10349" xr:uid="{00000000-0005-0000-0000-0000070C0000}"/>
    <cellStyle name="20 % - Markeringsfarve1 6 2 2 2 3 2" xfId="26669" xr:uid="{00000000-0005-0000-0000-0000080C0000}"/>
    <cellStyle name="20 % - Markeringsfarve1 6 2 2 2 3 3" xfId="41635" xr:uid="{00000000-0005-0000-0000-0000090C0000}"/>
    <cellStyle name="20 % - Markeringsfarve1 6 2 2 2 4" xfId="19647" xr:uid="{00000000-0005-0000-0000-00000A0C0000}"/>
    <cellStyle name="20 % - Markeringsfarve1 6 2 2 2 5" xfId="34636" xr:uid="{00000000-0005-0000-0000-00000B0C0000}"/>
    <cellStyle name="20 % - Markeringsfarve1 6 2 2 3" xfId="6237" xr:uid="{00000000-0005-0000-0000-00000C0C0000}"/>
    <cellStyle name="20 % - Markeringsfarve1 6 2 2 3 2" xfId="14155" xr:uid="{00000000-0005-0000-0000-00000D0C0000}"/>
    <cellStyle name="20 % - Markeringsfarve1 6 2 2 3 2 2" xfId="30470" xr:uid="{00000000-0005-0000-0000-00000E0C0000}"/>
    <cellStyle name="20 % - Markeringsfarve1 6 2 2 3 2 3" xfId="45434" xr:uid="{00000000-0005-0000-0000-00000F0C0000}"/>
    <cellStyle name="20 % - Markeringsfarve1 6 2 2 3 3" xfId="23448" xr:uid="{00000000-0005-0000-0000-0000100C0000}"/>
    <cellStyle name="20 % - Markeringsfarve1 6 2 2 3 4" xfId="38435" xr:uid="{00000000-0005-0000-0000-0000110C0000}"/>
    <cellStyle name="20 % - Markeringsfarve1 6 2 2 4" xfId="10348" xr:uid="{00000000-0005-0000-0000-0000120C0000}"/>
    <cellStyle name="20 % - Markeringsfarve1 6 2 2 4 2" xfId="26668" xr:uid="{00000000-0005-0000-0000-0000130C0000}"/>
    <cellStyle name="20 % - Markeringsfarve1 6 2 2 4 3" xfId="41634" xr:uid="{00000000-0005-0000-0000-0000140C0000}"/>
    <cellStyle name="20 % - Markeringsfarve1 6 2 2 5" xfId="19646" xr:uid="{00000000-0005-0000-0000-0000150C0000}"/>
    <cellStyle name="20 % - Markeringsfarve1 6 2 2 6" xfId="34635" xr:uid="{00000000-0005-0000-0000-0000160C0000}"/>
    <cellStyle name="20 % - Markeringsfarve1 6 2 2 7" xfId="57066" xr:uid="{00000000-0005-0000-0000-0000170C0000}"/>
    <cellStyle name="20 % - Markeringsfarve1 6 2 3" xfId="1790" xr:uid="{00000000-0005-0000-0000-0000180C0000}"/>
    <cellStyle name="20 % - Markeringsfarve1 6 2 3 2" xfId="6903" xr:uid="{00000000-0005-0000-0000-0000190C0000}"/>
    <cellStyle name="20 % - Markeringsfarve1 6 2 3 2 2" xfId="14815" xr:uid="{00000000-0005-0000-0000-00001A0C0000}"/>
    <cellStyle name="20 % - Markeringsfarve1 6 2 3 2 2 2" xfId="31130" xr:uid="{00000000-0005-0000-0000-00001B0C0000}"/>
    <cellStyle name="20 % - Markeringsfarve1 6 2 3 2 2 3" xfId="46094" xr:uid="{00000000-0005-0000-0000-00001C0C0000}"/>
    <cellStyle name="20 % - Markeringsfarve1 6 2 3 2 3" xfId="24108" xr:uid="{00000000-0005-0000-0000-00001D0C0000}"/>
    <cellStyle name="20 % - Markeringsfarve1 6 2 3 2 4" xfId="39095" xr:uid="{00000000-0005-0000-0000-00001E0C0000}"/>
    <cellStyle name="20 % - Markeringsfarve1 6 2 3 3" xfId="10350" xr:uid="{00000000-0005-0000-0000-00001F0C0000}"/>
    <cellStyle name="20 % - Markeringsfarve1 6 2 3 3 2" xfId="26670" xr:uid="{00000000-0005-0000-0000-0000200C0000}"/>
    <cellStyle name="20 % - Markeringsfarve1 6 2 3 3 3" xfId="41636" xr:uid="{00000000-0005-0000-0000-0000210C0000}"/>
    <cellStyle name="20 % - Markeringsfarve1 6 2 3 4" xfId="19648" xr:uid="{00000000-0005-0000-0000-0000220C0000}"/>
    <cellStyle name="20 % - Markeringsfarve1 6 2 3 5" xfId="34637" xr:uid="{00000000-0005-0000-0000-0000230C0000}"/>
    <cellStyle name="20 % - Markeringsfarve1 6 2 4" xfId="1791" xr:uid="{00000000-0005-0000-0000-0000240C0000}"/>
    <cellStyle name="20 % - Markeringsfarve1 6 2 4 2" xfId="8471" xr:uid="{00000000-0005-0000-0000-0000250C0000}"/>
    <cellStyle name="20 % - Markeringsfarve1 6 2 4 2 2" xfId="16360" xr:uid="{00000000-0005-0000-0000-0000260C0000}"/>
    <cellStyle name="20 % - Markeringsfarve1 6 2 4 2 2 2" xfId="32675" xr:uid="{00000000-0005-0000-0000-0000270C0000}"/>
    <cellStyle name="20 % - Markeringsfarve1 6 2 4 2 2 3" xfId="47639" xr:uid="{00000000-0005-0000-0000-0000280C0000}"/>
    <cellStyle name="20 % - Markeringsfarve1 6 2 4 2 3" xfId="25653" xr:uid="{00000000-0005-0000-0000-0000290C0000}"/>
    <cellStyle name="20 % - Markeringsfarve1 6 2 4 2 4" xfId="40640" xr:uid="{00000000-0005-0000-0000-00002A0C0000}"/>
    <cellStyle name="20 % - Markeringsfarve1 6 2 4 3" xfId="10351" xr:uid="{00000000-0005-0000-0000-00002B0C0000}"/>
    <cellStyle name="20 % - Markeringsfarve1 6 2 4 3 2" xfId="26671" xr:uid="{00000000-0005-0000-0000-00002C0C0000}"/>
    <cellStyle name="20 % - Markeringsfarve1 6 2 4 3 3" xfId="41637" xr:uid="{00000000-0005-0000-0000-00002D0C0000}"/>
    <cellStyle name="20 % - Markeringsfarve1 6 2 4 4" xfId="19649" xr:uid="{00000000-0005-0000-0000-00002E0C0000}"/>
    <cellStyle name="20 % - Markeringsfarve1 6 2 4 5" xfId="34638" xr:uid="{00000000-0005-0000-0000-00002F0C0000}"/>
    <cellStyle name="20 % - Markeringsfarve1 6 2 5" xfId="5398" xr:uid="{00000000-0005-0000-0000-0000300C0000}"/>
    <cellStyle name="20 % - Markeringsfarve1 6 2 5 2" xfId="13317" xr:uid="{00000000-0005-0000-0000-0000310C0000}"/>
    <cellStyle name="20 % - Markeringsfarve1 6 2 5 2 2" xfId="29632" xr:uid="{00000000-0005-0000-0000-0000320C0000}"/>
    <cellStyle name="20 % - Markeringsfarve1 6 2 5 2 3" xfId="44596" xr:uid="{00000000-0005-0000-0000-0000330C0000}"/>
    <cellStyle name="20 % - Markeringsfarve1 6 2 5 3" xfId="22610" xr:uid="{00000000-0005-0000-0000-0000340C0000}"/>
    <cellStyle name="20 % - Markeringsfarve1 6 2 5 4" xfId="37597" xr:uid="{00000000-0005-0000-0000-0000350C0000}"/>
    <cellStyle name="20 % - Markeringsfarve1 6 2 6" xfId="10347" xr:uid="{00000000-0005-0000-0000-0000360C0000}"/>
    <cellStyle name="20 % - Markeringsfarve1 6 2 6 2" xfId="26667" xr:uid="{00000000-0005-0000-0000-0000370C0000}"/>
    <cellStyle name="20 % - Markeringsfarve1 6 2 6 3" xfId="41633" xr:uid="{00000000-0005-0000-0000-0000380C0000}"/>
    <cellStyle name="20 % - Markeringsfarve1 6 2 7" xfId="19645" xr:uid="{00000000-0005-0000-0000-0000390C0000}"/>
    <cellStyle name="20 % - Markeringsfarve1 6 2 8" xfId="34634" xr:uid="{00000000-0005-0000-0000-00003A0C0000}"/>
    <cellStyle name="20 % - Markeringsfarve1 6 2 9" xfId="53899" xr:uid="{00000000-0005-0000-0000-00003B0C0000}"/>
    <cellStyle name="20 % - Markeringsfarve1 6 3" xfId="1792" xr:uid="{00000000-0005-0000-0000-00003C0C0000}"/>
    <cellStyle name="20 % - Markeringsfarve1 6 3 2" xfId="1793" xr:uid="{00000000-0005-0000-0000-00003D0C0000}"/>
    <cellStyle name="20 % - Markeringsfarve1 6 3 2 2" xfId="7547" xr:uid="{00000000-0005-0000-0000-00003E0C0000}"/>
    <cellStyle name="20 % - Markeringsfarve1 6 3 2 2 2" xfId="15449" xr:uid="{00000000-0005-0000-0000-00003F0C0000}"/>
    <cellStyle name="20 % - Markeringsfarve1 6 3 2 2 2 2" xfId="31764" xr:uid="{00000000-0005-0000-0000-0000400C0000}"/>
    <cellStyle name="20 % - Markeringsfarve1 6 3 2 2 2 3" xfId="46728" xr:uid="{00000000-0005-0000-0000-0000410C0000}"/>
    <cellStyle name="20 % - Markeringsfarve1 6 3 2 2 3" xfId="24742" xr:uid="{00000000-0005-0000-0000-0000420C0000}"/>
    <cellStyle name="20 % - Markeringsfarve1 6 3 2 2 4" xfId="39729" xr:uid="{00000000-0005-0000-0000-0000430C0000}"/>
    <cellStyle name="20 % - Markeringsfarve1 6 3 2 3" xfId="10353" xr:uid="{00000000-0005-0000-0000-0000440C0000}"/>
    <cellStyle name="20 % - Markeringsfarve1 6 3 2 3 2" xfId="26673" xr:uid="{00000000-0005-0000-0000-0000450C0000}"/>
    <cellStyle name="20 % - Markeringsfarve1 6 3 2 3 3" xfId="41639" xr:uid="{00000000-0005-0000-0000-0000460C0000}"/>
    <cellStyle name="20 % - Markeringsfarve1 6 3 2 4" xfId="19651" xr:uid="{00000000-0005-0000-0000-0000470C0000}"/>
    <cellStyle name="20 % - Markeringsfarve1 6 3 2 5" xfId="34640" xr:uid="{00000000-0005-0000-0000-0000480C0000}"/>
    <cellStyle name="20 % - Markeringsfarve1 6 3 3" xfId="6130" xr:uid="{00000000-0005-0000-0000-0000490C0000}"/>
    <cellStyle name="20 % - Markeringsfarve1 6 3 3 2" xfId="14048" xr:uid="{00000000-0005-0000-0000-00004A0C0000}"/>
    <cellStyle name="20 % - Markeringsfarve1 6 3 3 2 2" xfId="30363" xr:uid="{00000000-0005-0000-0000-00004B0C0000}"/>
    <cellStyle name="20 % - Markeringsfarve1 6 3 3 2 3" xfId="45327" xr:uid="{00000000-0005-0000-0000-00004C0C0000}"/>
    <cellStyle name="20 % - Markeringsfarve1 6 3 3 3" xfId="23341" xr:uid="{00000000-0005-0000-0000-00004D0C0000}"/>
    <cellStyle name="20 % - Markeringsfarve1 6 3 3 4" xfId="38328" xr:uid="{00000000-0005-0000-0000-00004E0C0000}"/>
    <cellStyle name="20 % - Markeringsfarve1 6 3 4" xfId="10352" xr:uid="{00000000-0005-0000-0000-00004F0C0000}"/>
    <cellStyle name="20 % - Markeringsfarve1 6 3 4 2" xfId="26672" xr:uid="{00000000-0005-0000-0000-0000500C0000}"/>
    <cellStyle name="20 % - Markeringsfarve1 6 3 4 3" xfId="41638" xr:uid="{00000000-0005-0000-0000-0000510C0000}"/>
    <cellStyle name="20 % - Markeringsfarve1 6 3 5" xfId="19650" xr:uid="{00000000-0005-0000-0000-0000520C0000}"/>
    <cellStyle name="20 % - Markeringsfarve1 6 3 6" xfId="34639" xr:uid="{00000000-0005-0000-0000-0000530C0000}"/>
    <cellStyle name="20 % - Markeringsfarve1 6 3 7" xfId="56443" xr:uid="{00000000-0005-0000-0000-0000540C0000}"/>
    <cellStyle name="20 % - Markeringsfarve1 6 4" xfId="1794" xr:uid="{00000000-0005-0000-0000-0000550C0000}"/>
    <cellStyle name="20 % - Markeringsfarve1 6 4 2" xfId="6777" xr:uid="{00000000-0005-0000-0000-0000560C0000}"/>
    <cellStyle name="20 % - Markeringsfarve1 6 4 2 2" xfId="14689" xr:uid="{00000000-0005-0000-0000-0000570C0000}"/>
    <cellStyle name="20 % - Markeringsfarve1 6 4 2 2 2" xfId="31004" xr:uid="{00000000-0005-0000-0000-0000580C0000}"/>
    <cellStyle name="20 % - Markeringsfarve1 6 4 2 2 3" xfId="45968" xr:uid="{00000000-0005-0000-0000-0000590C0000}"/>
    <cellStyle name="20 % - Markeringsfarve1 6 4 2 3" xfId="23982" xr:uid="{00000000-0005-0000-0000-00005A0C0000}"/>
    <cellStyle name="20 % - Markeringsfarve1 6 4 2 4" xfId="38969" xr:uid="{00000000-0005-0000-0000-00005B0C0000}"/>
    <cellStyle name="20 % - Markeringsfarve1 6 4 3" xfId="10354" xr:uid="{00000000-0005-0000-0000-00005C0C0000}"/>
    <cellStyle name="20 % - Markeringsfarve1 6 4 3 2" xfId="26674" xr:uid="{00000000-0005-0000-0000-00005D0C0000}"/>
    <cellStyle name="20 % - Markeringsfarve1 6 4 3 3" xfId="41640" xr:uid="{00000000-0005-0000-0000-00005E0C0000}"/>
    <cellStyle name="20 % - Markeringsfarve1 6 4 4" xfId="19652" xr:uid="{00000000-0005-0000-0000-00005F0C0000}"/>
    <cellStyle name="20 % - Markeringsfarve1 6 4 5" xfId="34641" xr:uid="{00000000-0005-0000-0000-0000600C0000}"/>
    <cellStyle name="20 % - Markeringsfarve1 6 5" xfId="1795" xr:uid="{00000000-0005-0000-0000-0000610C0000}"/>
    <cellStyle name="20 % - Markeringsfarve1 6 5 2" xfId="7041" xr:uid="{00000000-0005-0000-0000-0000620C0000}"/>
    <cellStyle name="20 % - Markeringsfarve1 6 5 2 2" xfId="14952" xr:uid="{00000000-0005-0000-0000-0000630C0000}"/>
    <cellStyle name="20 % - Markeringsfarve1 6 5 2 2 2" xfId="31267" xr:uid="{00000000-0005-0000-0000-0000640C0000}"/>
    <cellStyle name="20 % - Markeringsfarve1 6 5 2 2 3" xfId="46231" xr:uid="{00000000-0005-0000-0000-0000650C0000}"/>
    <cellStyle name="20 % - Markeringsfarve1 6 5 2 3" xfId="24245" xr:uid="{00000000-0005-0000-0000-0000660C0000}"/>
    <cellStyle name="20 % - Markeringsfarve1 6 5 2 4" xfId="39232" xr:uid="{00000000-0005-0000-0000-0000670C0000}"/>
    <cellStyle name="20 % - Markeringsfarve1 6 5 3" xfId="10355" xr:uid="{00000000-0005-0000-0000-0000680C0000}"/>
    <cellStyle name="20 % - Markeringsfarve1 6 5 3 2" xfId="26675" xr:uid="{00000000-0005-0000-0000-0000690C0000}"/>
    <cellStyle name="20 % - Markeringsfarve1 6 5 3 3" xfId="41641" xr:uid="{00000000-0005-0000-0000-00006A0C0000}"/>
    <cellStyle name="20 % - Markeringsfarve1 6 5 4" xfId="19653" xr:uid="{00000000-0005-0000-0000-00006B0C0000}"/>
    <cellStyle name="20 % - Markeringsfarve1 6 5 5" xfId="34642" xr:uid="{00000000-0005-0000-0000-00006C0C0000}"/>
    <cellStyle name="20 % - Markeringsfarve1 6 6" xfId="5397" xr:uid="{00000000-0005-0000-0000-00006D0C0000}"/>
    <cellStyle name="20 % - Markeringsfarve1 6 6 2" xfId="13316" xr:uid="{00000000-0005-0000-0000-00006E0C0000}"/>
    <cellStyle name="20 % - Markeringsfarve1 6 6 2 2" xfId="29631" xr:uid="{00000000-0005-0000-0000-00006F0C0000}"/>
    <cellStyle name="20 % - Markeringsfarve1 6 6 2 3" xfId="44595" xr:uid="{00000000-0005-0000-0000-0000700C0000}"/>
    <cellStyle name="20 % - Markeringsfarve1 6 6 3" xfId="22609" xr:uid="{00000000-0005-0000-0000-0000710C0000}"/>
    <cellStyle name="20 % - Markeringsfarve1 6 6 4" xfId="37596" xr:uid="{00000000-0005-0000-0000-0000720C0000}"/>
    <cellStyle name="20 % - Markeringsfarve1 6 7" xfId="10346" xr:uid="{00000000-0005-0000-0000-0000730C0000}"/>
    <cellStyle name="20 % - Markeringsfarve1 6 7 2" xfId="26666" xr:uid="{00000000-0005-0000-0000-0000740C0000}"/>
    <cellStyle name="20 % - Markeringsfarve1 6 7 3" xfId="41632" xr:uid="{00000000-0005-0000-0000-0000750C0000}"/>
    <cellStyle name="20 % - Markeringsfarve1 6 8" xfId="19644" xr:uid="{00000000-0005-0000-0000-0000760C0000}"/>
    <cellStyle name="20 % - Markeringsfarve1 6 9" xfId="34633" xr:uid="{00000000-0005-0000-0000-0000770C0000}"/>
    <cellStyle name="20 % - Markeringsfarve1 7" xfId="1796" xr:uid="{00000000-0005-0000-0000-0000780C0000}"/>
    <cellStyle name="20 % - Markeringsfarve1 7 2" xfId="1797" xr:uid="{00000000-0005-0000-0000-0000790C0000}"/>
    <cellStyle name="20 % - Markeringsfarve1 7 2 2" xfId="1798" xr:uid="{00000000-0005-0000-0000-00007A0C0000}"/>
    <cellStyle name="20 % - Markeringsfarve1 7 2 2 2" xfId="7785" xr:uid="{00000000-0005-0000-0000-00007B0C0000}"/>
    <cellStyle name="20 % - Markeringsfarve1 7 2 2 2 2" xfId="15687" xr:uid="{00000000-0005-0000-0000-00007C0C0000}"/>
    <cellStyle name="20 % - Markeringsfarve1 7 2 2 2 2 2" xfId="32002" xr:uid="{00000000-0005-0000-0000-00007D0C0000}"/>
    <cellStyle name="20 % - Markeringsfarve1 7 2 2 2 2 3" xfId="46966" xr:uid="{00000000-0005-0000-0000-00007E0C0000}"/>
    <cellStyle name="20 % - Markeringsfarve1 7 2 2 2 3" xfId="24980" xr:uid="{00000000-0005-0000-0000-00007F0C0000}"/>
    <cellStyle name="20 % - Markeringsfarve1 7 2 2 2 4" xfId="39967" xr:uid="{00000000-0005-0000-0000-0000800C0000}"/>
    <cellStyle name="20 % - Markeringsfarve1 7 2 2 3" xfId="10358" xr:uid="{00000000-0005-0000-0000-0000810C0000}"/>
    <cellStyle name="20 % - Markeringsfarve1 7 2 2 3 2" xfId="26678" xr:uid="{00000000-0005-0000-0000-0000820C0000}"/>
    <cellStyle name="20 % - Markeringsfarve1 7 2 2 3 3" xfId="41644" xr:uid="{00000000-0005-0000-0000-0000830C0000}"/>
    <cellStyle name="20 % - Markeringsfarve1 7 2 2 4" xfId="19656" xr:uid="{00000000-0005-0000-0000-0000840C0000}"/>
    <cellStyle name="20 % - Markeringsfarve1 7 2 2 5" xfId="34645" xr:uid="{00000000-0005-0000-0000-0000850C0000}"/>
    <cellStyle name="20 % - Markeringsfarve1 7 2 3" xfId="6332" xr:uid="{00000000-0005-0000-0000-0000860C0000}"/>
    <cellStyle name="20 % - Markeringsfarve1 7 2 3 2" xfId="14247" xr:uid="{00000000-0005-0000-0000-0000870C0000}"/>
    <cellStyle name="20 % - Markeringsfarve1 7 2 3 2 2" xfId="30562" xr:uid="{00000000-0005-0000-0000-0000880C0000}"/>
    <cellStyle name="20 % - Markeringsfarve1 7 2 3 2 3" xfId="45526" xr:uid="{00000000-0005-0000-0000-0000890C0000}"/>
    <cellStyle name="20 % - Markeringsfarve1 7 2 3 3" xfId="23540" xr:uid="{00000000-0005-0000-0000-00008A0C0000}"/>
    <cellStyle name="20 % - Markeringsfarve1 7 2 3 4" xfId="38527" xr:uid="{00000000-0005-0000-0000-00008B0C0000}"/>
    <cellStyle name="20 % - Markeringsfarve1 7 2 4" xfId="10357" xr:uid="{00000000-0005-0000-0000-00008C0C0000}"/>
    <cellStyle name="20 % - Markeringsfarve1 7 2 4 2" xfId="26677" xr:uid="{00000000-0005-0000-0000-00008D0C0000}"/>
    <cellStyle name="20 % - Markeringsfarve1 7 2 4 3" xfId="41643" xr:uid="{00000000-0005-0000-0000-00008E0C0000}"/>
    <cellStyle name="20 % - Markeringsfarve1 7 2 5" xfId="19655" xr:uid="{00000000-0005-0000-0000-00008F0C0000}"/>
    <cellStyle name="20 % - Markeringsfarve1 7 2 6" xfId="34644" xr:uid="{00000000-0005-0000-0000-0000900C0000}"/>
    <cellStyle name="20 % - Markeringsfarve1 7 2 7" xfId="57054" xr:uid="{00000000-0005-0000-0000-0000910C0000}"/>
    <cellStyle name="20 % - Markeringsfarve1 7 3" xfId="1799" xr:uid="{00000000-0005-0000-0000-0000920C0000}"/>
    <cellStyle name="20 % - Markeringsfarve1 7 3 2" xfId="7061" xr:uid="{00000000-0005-0000-0000-0000930C0000}"/>
    <cellStyle name="20 % - Markeringsfarve1 7 3 2 2" xfId="14972" xr:uid="{00000000-0005-0000-0000-0000940C0000}"/>
    <cellStyle name="20 % - Markeringsfarve1 7 3 2 2 2" xfId="31287" xr:uid="{00000000-0005-0000-0000-0000950C0000}"/>
    <cellStyle name="20 % - Markeringsfarve1 7 3 2 2 3" xfId="46251" xr:uid="{00000000-0005-0000-0000-0000960C0000}"/>
    <cellStyle name="20 % - Markeringsfarve1 7 3 2 3" xfId="24265" xr:uid="{00000000-0005-0000-0000-0000970C0000}"/>
    <cellStyle name="20 % - Markeringsfarve1 7 3 2 4" xfId="39252" xr:uid="{00000000-0005-0000-0000-0000980C0000}"/>
    <cellStyle name="20 % - Markeringsfarve1 7 3 3" xfId="10359" xr:uid="{00000000-0005-0000-0000-0000990C0000}"/>
    <cellStyle name="20 % - Markeringsfarve1 7 3 3 2" xfId="26679" xr:uid="{00000000-0005-0000-0000-00009A0C0000}"/>
    <cellStyle name="20 % - Markeringsfarve1 7 3 3 3" xfId="41645" xr:uid="{00000000-0005-0000-0000-00009B0C0000}"/>
    <cellStyle name="20 % - Markeringsfarve1 7 3 4" xfId="19657" xr:uid="{00000000-0005-0000-0000-00009C0C0000}"/>
    <cellStyle name="20 % - Markeringsfarve1 7 3 5" xfId="34646" xr:uid="{00000000-0005-0000-0000-00009D0C0000}"/>
    <cellStyle name="20 % - Markeringsfarve1 7 4" xfId="1800" xr:uid="{00000000-0005-0000-0000-00009E0C0000}"/>
    <cellStyle name="20 % - Markeringsfarve1 7 4 2" xfId="8463" xr:uid="{00000000-0005-0000-0000-00009F0C0000}"/>
    <cellStyle name="20 % - Markeringsfarve1 7 4 2 2" xfId="16353" xr:uid="{00000000-0005-0000-0000-0000A00C0000}"/>
    <cellStyle name="20 % - Markeringsfarve1 7 4 2 2 2" xfId="32668" xr:uid="{00000000-0005-0000-0000-0000A10C0000}"/>
    <cellStyle name="20 % - Markeringsfarve1 7 4 2 2 3" xfId="47632" xr:uid="{00000000-0005-0000-0000-0000A20C0000}"/>
    <cellStyle name="20 % - Markeringsfarve1 7 4 2 3" xfId="25646" xr:uid="{00000000-0005-0000-0000-0000A30C0000}"/>
    <cellStyle name="20 % - Markeringsfarve1 7 4 2 4" xfId="40633" xr:uid="{00000000-0005-0000-0000-0000A40C0000}"/>
    <cellStyle name="20 % - Markeringsfarve1 7 4 3" xfId="10360" xr:uid="{00000000-0005-0000-0000-0000A50C0000}"/>
    <cellStyle name="20 % - Markeringsfarve1 7 4 3 2" xfId="26680" xr:uid="{00000000-0005-0000-0000-0000A60C0000}"/>
    <cellStyle name="20 % - Markeringsfarve1 7 4 3 3" xfId="41646" xr:uid="{00000000-0005-0000-0000-0000A70C0000}"/>
    <cellStyle name="20 % - Markeringsfarve1 7 4 4" xfId="19658" xr:uid="{00000000-0005-0000-0000-0000A80C0000}"/>
    <cellStyle name="20 % - Markeringsfarve1 7 4 5" xfId="34647" xr:uid="{00000000-0005-0000-0000-0000A90C0000}"/>
    <cellStyle name="20 % - Markeringsfarve1 7 5" xfId="5399" xr:uid="{00000000-0005-0000-0000-0000AA0C0000}"/>
    <cellStyle name="20 % - Markeringsfarve1 7 5 2" xfId="13318" xr:uid="{00000000-0005-0000-0000-0000AB0C0000}"/>
    <cellStyle name="20 % - Markeringsfarve1 7 5 2 2" xfId="29633" xr:uid="{00000000-0005-0000-0000-0000AC0C0000}"/>
    <cellStyle name="20 % - Markeringsfarve1 7 5 2 3" xfId="44597" xr:uid="{00000000-0005-0000-0000-0000AD0C0000}"/>
    <cellStyle name="20 % - Markeringsfarve1 7 5 3" xfId="22611" xr:uid="{00000000-0005-0000-0000-0000AE0C0000}"/>
    <cellStyle name="20 % - Markeringsfarve1 7 5 4" xfId="37598" xr:uid="{00000000-0005-0000-0000-0000AF0C0000}"/>
    <cellStyle name="20 % - Markeringsfarve1 7 6" xfId="10356" xr:uid="{00000000-0005-0000-0000-0000B00C0000}"/>
    <cellStyle name="20 % - Markeringsfarve1 7 6 2" xfId="26676" xr:uid="{00000000-0005-0000-0000-0000B10C0000}"/>
    <cellStyle name="20 % - Markeringsfarve1 7 6 3" xfId="41642" xr:uid="{00000000-0005-0000-0000-0000B20C0000}"/>
    <cellStyle name="20 % - Markeringsfarve1 7 7" xfId="19654" xr:uid="{00000000-0005-0000-0000-0000B30C0000}"/>
    <cellStyle name="20 % - Markeringsfarve1 7 8" xfId="34643" xr:uid="{00000000-0005-0000-0000-0000B40C0000}"/>
    <cellStyle name="20 % - Markeringsfarve1 7 9" xfId="53887" xr:uid="{00000000-0005-0000-0000-0000B50C0000}"/>
    <cellStyle name="20 % - Markeringsfarve1 8" xfId="1801" xr:uid="{00000000-0005-0000-0000-0000B60C0000}"/>
    <cellStyle name="20 % - Markeringsfarve1 8 2" xfId="1802" xr:uid="{00000000-0005-0000-0000-0000B70C0000}"/>
    <cellStyle name="20 % - Markeringsfarve1 8 2 2" xfId="1803" xr:uid="{00000000-0005-0000-0000-0000B80C0000}"/>
    <cellStyle name="20 % - Markeringsfarve1 8 2 2 2" xfId="7902" xr:uid="{00000000-0005-0000-0000-0000B90C0000}"/>
    <cellStyle name="20 % - Markeringsfarve1 8 2 2 2 2" xfId="15804" xr:uid="{00000000-0005-0000-0000-0000BA0C0000}"/>
    <cellStyle name="20 % - Markeringsfarve1 8 2 2 2 2 2" xfId="32119" xr:uid="{00000000-0005-0000-0000-0000BB0C0000}"/>
    <cellStyle name="20 % - Markeringsfarve1 8 2 2 2 2 3" xfId="47083" xr:uid="{00000000-0005-0000-0000-0000BC0C0000}"/>
    <cellStyle name="20 % - Markeringsfarve1 8 2 2 2 3" xfId="25097" xr:uid="{00000000-0005-0000-0000-0000BD0C0000}"/>
    <cellStyle name="20 % - Markeringsfarve1 8 2 2 2 4" xfId="40084" xr:uid="{00000000-0005-0000-0000-0000BE0C0000}"/>
    <cellStyle name="20 % - Markeringsfarve1 8 2 2 3" xfId="10363" xr:uid="{00000000-0005-0000-0000-0000BF0C0000}"/>
    <cellStyle name="20 % - Markeringsfarve1 8 2 2 3 2" xfId="26683" xr:uid="{00000000-0005-0000-0000-0000C00C0000}"/>
    <cellStyle name="20 % - Markeringsfarve1 8 2 2 3 3" xfId="41649" xr:uid="{00000000-0005-0000-0000-0000C10C0000}"/>
    <cellStyle name="20 % - Markeringsfarve1 8 2 2 4" xfId="19661" xr:uid="{00000000-0005-0000-0000-0000C20C0000}"/>
    <cellStyle name="20 % - Markeringsfarve1 8 2 2 5" xfId="34650" xr:uid="{00000000-0005-0000-0000-0000C30C0000}"/>
    <cellStyle name="20 % - Markeringsfarve1 8 2 3" xfId="6431" xr:uid="{00000000-0005-0000-0000-0000C40C0000}"/>
    <cellStyle name="20 % - Markeringsfarve1 8 2 3 2" xfId="14346" xr:uid="{00000000-0005-0000-0000-0000C50C0000}"/>
    <cellStyle name="20 % - Markeringsfarve1 8 2 3 2 2" xfId="30661" xr:uid="{00000000-0005-0000-0000-0000C60C0000}"/>
    <cellStyle name="20 % - Markeringsfarve1 8 2 3 2 3" xfId="45625" xr:uid="{00000000-0005-0000-0000-0000C70C0000}"/>
    <cellStyle name="20 % - Markeringsfarve1 8 2 3 3" xfId="23639" xr:uid="{00000000-0005-0000-0000-0000C80C0000}"/>
    <cellStyle name="20 % - Markeringsfarve1 8 2 3 4" xfId="38626" xr:uid="{00000000-0005-0000-0000-0000C90C0000}"/>
    <cellStyle name="20 % - Markeringsfarve1 8 2 4" xfId="10362" xr:uid="{00000000-0005-0000-0000-0000CA0C0000}"/>
    <cellStyle name="20 % - Markeringsfarve1 8 2 4 2" xfId="26682" xr:uid="{00000000-0005-0000-0000-0000CB0C0000}"/>
    <cellStyle name="20 % - Markeringsfarve1 8 2 4 3" xfId="41648" xr:uid="{00000000-0005-0000-0000-0000CC0C0000}"/>
    <cellStyle name="20 % - Markeringsfarve1 8 2 5" xfId="19660" xr:uid="{00000000-0005-0000-0000-0000CD0C0000}"/>
    <cellStyle name="20 % - Markeringsfarve1 8 2 6" xfId="34649" xr:uid="{00000000-0005-0000-0000-0000CE0C0000}"/>
    <cellStyle name="20 % - Markeringsfarve1 8 3" xfId="1804" xr:uid="{00000000-0005-0000-0000-0000CF0C0000}"/>
    <cellStyle name="20 % - Markeringsfarve1 8 3 2" xfId="7178" xr:uid="{00000000-0005-0000-0000-0000D00C0000}"/>
    <cellStyle name="20 % - Markeringsfarve1 8 3 2 2" xfId="15089" xr:uid="{00000000-0005-0000-0000-0000D10C0000}"/>
    <cellStyle name="20 % - Markeringsfarve1 8 3 2 2 2" xfId="31404" xr:uid="{00000000-0005-0000-0000-0000D20C0000}"/>
    <cellStyle name="20 % - Markeringsfarve1 8 3 2 2 3" xfId="46368" xr:uid="{00000000-0005-0000-0000-0000D30C0000}"/>
    <cellStyle name="20 % - Markeringsfarve1 8 3 2 3" xfId="24382" xr:uid="{00000000-0005-0000-0000-0000D40C0000}"/>
    <cellStyle name="20 % - Markeringsfarve1 8 3 2 4" xfId="39369" xr:uid="{00000000-0005-0000-0000-0000D50C0000}"/>
    <cellStyle name="20 % - Markeringsfarve1 8 3 3" xfId="10364" xr:uid="{00000000-0005-0000-0000-0000D60C0000}"/>
    <cellStyle name="20 % - Markeringsfarve1 8 3 3 2" xfId="26684" xr:uid="{00000000-0005-0000-0000-0000D70C0000}"/>
    <cellStyle name="20 % - Markeringsfarve1 8 3 3 3" xfId="41650" xr:uid="{00000000-0005-0000-0000-0000D80C0000}"/>
    <cellStyle name="20 % - Markeringsfarve1 8 3 4" xfId="19662" xr:uid="{00000000-0005-0000-0000-0000D90C0000}"/>
    <cellStyle name="20 % - Markeringsfarve1 8 3 5" xfId="34651" xr:uid="{00000000-0005-0000-0000-0000DA0C0000}"/>
    <cellStyle name="20 % - Markeringsfarve1 8 4" xfId="1805" xr:uid="{00000000-0005-0000-0000-0000DB0C0000}"/>
    <cellStyle name="20 % - Markeringsfarve1 8 4 2" xfId="8600" xr:uid="{00000000-0005-0000-0000-0000DC0C0000}"/>
    <cellStyle name="20 % - Markeringsfarve1 8 4 2 2" xfId="16484" xr:uid="{00000000-0005-0000-0000-0000DD0C0000}"/>
    <cellStyle name="20 % - Markeringsfarve1 8 4 2 2 2" xfId="32799" xr:uid="{00000000-0005-0000-0000-0000DE0C0000}"/>
    <cellStyle name="20 % - Markeringsfarve1 8 4 2 2 3" xfId="47763" xr:uid="{00000000-0005-0000-0000-0000DF0C0000}"/>
    <cellStyle name="20 % - Markeringsfarve1 8 4 2 3" xfId="25777" xr:uid="{00000000-0005-0000-0000-0000E00C0000}"/>
    <cellStyle name="20 % - Markeringsfarve1 8 4 2 4" xfId="40764" xr:uid="{00000000-0005-0000-0000-0000E10C0000}"/>
    <cellStyle name="20 % - Markeringsfarve1 8 4 3" xfId="10365" xr:uid="{00000000-0005-0000-0000-0000E20C0000}"/>
    <cellStyle name="20 % - Markeringsfarve1 8 4 3 2" xfId="26685" xr:uid="{00000000-0005-0000-0000-0000E30C0000}"/>
    <cellStyle name="20 % - Markeringsfarve1 8 4 3 3" xfId="41651" xr:uid="{00000000-0005-0000-0000-0000E40C0000}"/>
    <cellStyle name="20 % - Markeringsfarve1 8 4 4" xfId="19663" xr:uid="{00000000-0005-0000-0000-0000E50C0000}"/>
    <cellStyle name="20 % - Markeringsfarve1 8 4 5" xfId="34652" xr:uid="{00000000-0005-0000-0000-0000E60C0000}"/>
    <cellStyle name="20 % - Markeringsfarve1 8 5" xfId="5400" xr:uid="{00000000-0005-0000-0000-0000E70C0000}"/>
    <cellStyle name="20 % - Markeringsfarve1 8 5 2" xfId="13319" xr:uid="{00000000-0005-0000-0000-0000E80C0000}"/>
    <cellStyle name="20 % - Markeringsfarve1 8 5 2 2" xfId="29634" xr:uid="{00000000-0005-0000-0000-0000E90C0000}"/>
    <cellStyle name="20 % - Markeringsfarve1 8 5 2 3" xfId="44598" xr:uid="{00000000-0005-0000-0000-0000EA0C0000}"/>
    <cellStyle name="20 % - Markeringsfarve1 8 5 3" xfId="22612" xr:uid="{00000000-0005-0000-0000-0000EB0C0000}"/>
    <cellStyle name="20 % - Markeringsfarve1 8 5 4" xfId="37599" xr:uid="{00000000-0005-0000-0000-0000EC0C0000}"/>
    <cellStyle name="20 % - Markeringsfarve1 8 6" xfId="10361" xr:uid="{00000000-0005-0000-0000-0000ED0C0000}"/>
    <cellStyle name="20 % - Markeringsfarve1 8 6 2" xfId="26681" xr:uid="{00000000-0005-0000-0000-0000EE0C0000}"/>
    <cellStyle name="20 % - Markeringsfarve1 8 6 3" xfId="41647" xr:uid="{00000000-0005-0000-0000-0000EF0C0000}"/>
    <cellStyle name="20 % - Markeringsfarve1 8 7" xfId="19659" xr:uid="{00000000-0005-0000-0000-0000F00C0000}"/>
    <cellStyle name="20 % - Markeringsfarve1 8 8" xfId="34648" xr:uid="{00000000-0005-0000-0000-0000F10C0000}"/>
    <cellStyle name="20 % - Markeringsfarve1 9" xfId="1806" xr:uid="{00000000-0005-0000-0000-0000F20C0000}"/>
    <cellStyle name="20 % - Markeringsfarve1 9 2" xfId="1807" xr:uid="{00000000-0005-0000-0000-0000F30C0000}"/>
    <cellStyle name="20 % - Markeringsfarve1 9 2 2" xfId="1808" xr:uid="{00000000-0005-0000-0000-0000F40C0000}"/>
    <cellStyle name="20 % - Markeringsfarve1 9 2 2 2" xfId="8019" xr:uid="{00000000-0005-0000-0000-0000F50C0000}"/>
    <cellStyle name="20 % - Markeringsfarve1 9 2 2 2 2" xfId="15921" xr:uid="{00000000-0005-0000-0000-0000F60C0000}"/>
    <cellStyle name="20 % - Markeringsfarve1 9 2 2 2 2 2" xfId="32236" xr:uid="{00000000-0005-0000-0000-0000F70C0000}"/>
    <cellStyle name="20 % - Markeringsfarve1 9 2 2 2 2 3" xfId="47200" xr:uid="{00000000-0005-0000-0000-0000F80C0000}"/>
    <cellStyle name="20 % - Markeringsfarve1 9 2 2 2 3" xfId="25214" xr:uid="{00000000-0005-0000-0000-0000F90C0000}"/>
    <cellStyle name="20 % - Markeringsfarve1 9 2 2 2 4" xfId="40201" xr:uid="{00000000-0005-0000-0000-0000FA0C0000}"/>
    <cellStyle name="20 % - Markeringsfarve1 9 2 2 3" xfId="10368" xr:uid="{00000000-0005-0000-0000-0000FB0C0000}"/>
    <cellStyle name="20 % - Markeringsfarve1 9 2 2 3 2" xfId="26688" xr:uid="{00000000-0005-0000-0000-0000FC0C0000}"/>
    <cellStyle name="20 % - Markeringsfarve1 9 2 2 3 3" xfId="41654" xr:uid="{00000000-0005-0000-0000-0000FD0C0000}"/>
    <cellStyle name="20 % - Markeringsfarve1 9 2 2 4" xfId="19666" xr:uid="{00000000-0005-0000-0000-0000FE0C0000}"/>
    <cellStyle name="20 % - Markeringsfarve1 9 2 2 5" xfId="34655" xr:uid="{00000000-0005-0000-0000-0000FF0C0000}"/>
    <cellStyle name="20 % - Markeringsfarve1 9 2 3" xfId="6530" xr:uid="{00000000-0005-0000-0000-0000000D0000}"/>
    <cellStyle name="20 % - Markeringsfarve1 9 2 3 2" xfId="14445" xr:uid="{00000000-0005-0000-0000-0000010D0000}"/>
    <cellStyle name="20 % - Markeringsfarve1 9 2 3 2 2" xfId="30760" xr:uid="{00000000-0005-0000-0000-0000020D0000}"/>
    <cellStyle name="20 % - Markeringsfarve1 9 2 3 2 3" xfId="45724" xr:uid="{00000000-0005-0000-0000-0000030D0000}"/>
    <cellStyle name="20 % - Markeringsfarve1 9 2 3 3" xfId="23738" xr:uid="{00000000-0005-0000-0000-0000040D0000}"/>
    <cellStyle name="20 % - Markeringsfarve1 9 2 3 4" xfId="38725" xr:uid="{00000000-0005-0000-0000-0000050D0000}"/>
    <cellStyle name="20 % - Markeringsfarve1 9 2 4" xfId="10367" xr:uid="{00000000-0005-0000-0000-0000060D0000}"/>
    <cellStyle name="20 % - Markeringsfarve1 9 2 4 2" xfId="26687" xr:uid="{00000000-0005-0000-0000-0000070D0000}"/>
    <cellStyle name="20 % - Markeringsfarve1 9 2 4 3" xfId="41653" xr:uid="{00000000-0005-0000-0000-0000080D0000}"/>
    <cellStyle name="20 % - Markeringsfarve1 9 2 5" xfId="19665" xr:uid="{00000000-0005-0000-0000-0000090D0000}"/>
    <cellStyle name="20 % - Markeringsfarve1 9 2 6" xfId="34654" xr:uid="{00000000-0005-0000-0000-00000A0D0000}"/>
    <cellStyle name="20 % - Markeringsfarve1 9 3" xfId="1809" xr:uid="{00000000-0005-0000-0000-00000B0D0000}"/>
    <cellStyle name="20 % - Markeringsfarve1 9 3 2" xfId="7296" xr:uid="{00000000-0005-0000-0000-00000C0D0000}"/>
    <cellStyle name="20 % - Markeringsfarve1 9 3 2 2" xfId="15207" xr:uid="{00000000-0005-0000-0000-00000D0D0000}"/>
    <cellStyle name="20 % - Markeringsfarve1 9 3 2 2 2" xfId="31522" xr:uid="{00000000-0005-0000-0000-00000E0D0000}"/>
    <cellStyle name="20 % - Markeringsfarve1 9 3 2 2 3" xfId="46486" xr:uid="{00000000-0005-0000-0000-00000F0D0000}"/>
    <cellStyle name="20 % - Markeringsfarve1 9 3 2 3" xfId="24500" xr:uid="{00000000-0005-0000-0000-0000100D0000}"/>
    <cellStyle name="20 % - Markeringsfarve1 9 3 2 4" xfId="39487" xr:uid="{00000000-0005-0000-0000-0000110D0000}"/>
    <cellStyle name="20 % - Markeringsfarve1 9 3 3" xfId="10369" xr:uid="{00000000-0005-0000-0000-0000120D0000}"/>
    <cellStyle name="20 % - Markeringsfarve1 9 3 3 2" xfId="26689" xr:uid="{00000000-0005-0000-0000-0000130D0000}"/>
    <cellStyle name="20 % - Markeringsfarve1 9 3 3 3" xfId="41655" xr:uid="{00000000-0005-0000-0000-0000140D0000}"/>
    <cellStyle name="20 % - Markeringsfarve1 9 3 4" xfId="19667" xr:uid="{00000000-0005-0000-0000-0000150D0000}"/>
    <cellStyle name="20 % - Markeringsfarve1 9 3 5" xfId="34656" xr:uid="{00000000-0005-0000-0000-0000160D0000}"/>
    <cellStyle name="20 % - Markeringsfarve1 9 4" xfId="1810" xr:uid="{00000000-0005-0000-0000-0000170D0000}"/>
    <cellStyle name="20 % - Markeringsfarve1 9 4 2" xfId="8322" xr:uid="{00000000-0005-0000-0000-0000180D0000}"/>
    <cellStyle name="20 % - Markeringsfarve1 9 4 2 2" xfId="16217" xr:uid="{00000000-0005-0000-0000-0000190D0000}"/>
    <cellStyle name="20 % - Markeringsfarve1 9 4 2 2 2" xfId="32532" xr:uid="{00000000-0005-0000-0000-00001A0D0000}"/>
    <cellStyle name="20 % - Markeringsfarve1 9 4 2 2 3" xfId="47496" xr:uid="{00000000-0005-0000-0000-00001B0D0000}"/>
    <cellStyle name="20 % - Markeringsfarve1 9 4 2 3" xfId="25510" xr:uid="{00000000-0005-0000-0000-00001C0D0000}"/>
    <cellStyle name="20 % - Markeringsfarve1 9 4 2 4" xfId="40497" xr:uid="{00000000-0005-0000-0000-00001D0D0000}"/>
    <cellStyle name="20 % - Markeringsfarve1 9 4 3" xfId="10370" xr:uid="{00000000-0005-0000-0000-00001E0D0000}"/>
    <cellStyle name="20 % - Markeringsfarve1 9 4 3 2" xfId="26690" xr:uid="{00000000-0005-0000-0000-00001F0D0000}"/>
    <cellStyle name="20 % - Markeringsfarve1 9 4 3 3" xfId="41656" xr:uid="{00000000-0005-0000-0000-0000200D0000}"/>
    <cellStyle name="20 % - Markeringsfarve1 9 4 4" xfId="19668" xr:uid="{00000000-0005-0000-0000-0000210D0000}"/>
    <cellStyle name="20 % - Markeringsfarve1 9 4 5" xfId="34657" xr:uid="{00000000-0005-0000-0000-0000220D0000}"/>
    <cellStyle name="20 % - Markeringsfarve1 9 5" xfId="5401" xr:uid="{00000000-0005-0000-0000-0000230D0000}"/>
    <cellStyle name="20 % - Markeringsfarve1 9 5 2" xfId="13320" xr:uid="{00000000-0005-0000-0000-0000240D0000}"/>
    <cellStyle name="20 % - Markeringsfarve1 9 5 2 2" xfId="29635" xr:uid="{00000000-0005-0000-0000-0000250D0000}"/>
    <cellStyle name="20 % - Markeringsfarve1 9 5 2 3" xfId="44599" xr:uid="{00000000-0005-0000-0000-0000260D0000}"/>
    <cellStyle name="20 % - Markeringsfarve1 9 5 3" xfId="22613" xr:uid="{00000000-0005-0000-0000-0000270D0000}"/>
    <cellStyle name="20 % - Markeringsfarve1 9 5 4" xfId="37600" xr:uid="{00000000-0005-0000-0000-0000280D0000}"/>
    <cellStyle name="20 % - Markeringsfarve1 9 6" xfId="10366" xr:uid="{00000000-0005-0000-0000-0000290D0000}"/>
    <cellStyle name="20 % - Markeringsfarve1 9 6 2" xfId="26686" xr:uid="{00000000-0005-0000-0000-00002A0D0000}"/>
    <cellStyle name="20 % - Markeringsfarve1 9 6 3" xfId="41652" xr:uid="{00000000-0005-0000-0000-00002B0D0000}"/>
    <cellStyle name="20 % - Markeringsfarve1 9 7" xfId="19664" xr:uid="{00000000-0005-0000-0000-00002C0D0000}"/>
    <cellStyle name="20 % - Markeringsfarve1 9 8" xfId="34653" xr:uid="{00000000-0005-0000-0000-00002D0D0000}"/>
    <cellStyle name="20 % - Markeringsfarve2 10" xfId="1812" xr:uid="{00000000-0005-0000-0000-00002E0D0000}"/>
    <cellStyle name="20 % - Markeringsfarve2 10 2" xfId="1813" xr:uid="{00000000-0005-0000-0000-00002F0D0000}"/>
    <cellStyle name="20 % - Markeringsfarve2 10 2 2" xfId="7429" xr:uid="{00000000-0005-0000-0000-0000300D0000}"/>
    <cellStyle name="20 % - Markeringsfarve2 10 2 2 2" xfId="15331" xr:uid="{00000000-0005-0000-0000-0000310D0000}"/>
    <cellStyle name="20 % - Markeringsfarve2 10 2 2 2 2" xfId="31646" xr:uid="{00000000-0005-0000-0000-0000320D0000}"/>
    <cellStyle name="20 % - Markeringsfarve2 10 2 2 2 3" xfId="46610" xr:uid="{00000000-0005-0000-0000-0000330D0000}"/>
    <cellStyle name="20 % - Markeringsfarve2 10 2 2 3" xfId="24624" xr:uid="{00000000-0005-0000-0000-0000340D0000}"/>
    <cellStyle name="20 % - Markeringsfarve2 10 2 2 4" xfId="39611" xr:uid="{00000000-0005-0000-0000-0000350D0000}"/>
    <cellStyle name="20 % - Markeringsfarve2 10 2 3" xfId="10373" xr:uid="{00000000-0005-0000-0000-0000360D0000}"/>
    <cellStyle name="20 % - Markeringsfarve2 10 2 3 2" xfId="26693" xr:uid="{00000000-0005-0000-0000-0000370D0000}"/>
    <cellStyle name="20 % - Markeringsfarve2 10 2 3 3" xfId="41659" xr:uid="{00000000-0005-0000-0000-0000380D0000}"/>
    <cellStyle name="20 % - Markeringsfarve2 10 2 4" xfId="19671" xr:uid="{00000000-0005-0000-0000-0000390D0000}"/>
    <cellStyle name="20 % - Markeringsfarve2 10 2 5" xfId="34660" xr:uid="{00000000-0005-0000-0000-00003A0D0000}"/>
    <cellStyle name="20 % - Markeringsfarve2 10 3" xfId="1814" xr:uid="{00000000-0005-0000-0000-00003B0D0000}"/>
    <cellStyle name="20 % - Markeringsfarve2 10 3 2" xfId="8274" xr:uid="{00000000-0005-0000-0000-00003C0D0000}"/>
    <cellStyle name="20 % - Markeringsfarve2 10 3 2 2" xfId="16169" xr:uid="{00000000-0005-0000-0000-00003D0D0000}"/>
    <cellStyle name="20 % - Markeringsfarve2 10 3 2 2 2" xfId="32484" xr:uid="{00000000-0005-0000-0000-00003E0D0000}"/>
    <cellStyle name="20 % - Markeringsfarve2 10 3 2 2 3" xfId="47448" xr:uid="{00000000-0005-0000-0000-00003F0D0000}"/>
    <cellStyle name="20 % - Markeringsfarve2 10 3 2 3" xfId="25462" xr:uid="{00000000-0005-0000-0000-0000400D0000}"/>
    <cellStyle name="20 % - Markeringsfarve2 10 3 2 4" xfId="40449" xr:uid="{00000000-0005-0000-0000-0000410D0000}"/>
    <cellStyle name="20 % - Markeringsfarve2 10 3 3" xfId="10374" xr:uid="{00000000-0005-0000-0000-0000420D0000}"/>
    <cellStyle name="20 % - Markeringsfarve2 10 3 3 2" xfId="26694" xr:uid="{00000000-0005-0000-0000-0000430D0000}"/>
    <cellStyle name="20 % - Markeringsfarve2 10 3 3 3" xfId="41660" xr:uid="{00000000-0005-0000-0000-0000440D0000}"/>
    <cellStyle name="20 % - Markeringsfarve2 10 3 4" xfId="19672" xr:uid="{00000000-0005-0000-0000-0000450D0000}"/>
    <cellStyle name="20 % - Markeringsfarve2 10 3 5" xfId="34661" xr:uid="{00000000-0005-0000-0000-0000460D0000}"/>
    <cellStyle name="20 % - Markeringsfarve2 10 4" xfId="5403" xr:uid="{00000000-0005-0000-0000-0000470D0000}"/>
    <cellStyle name="20 % - Markeringsfarve2 10 4 2" xfId="13322" xr:uid="{00000000-0005-0000-0000-0000480D0000}"/>
    <cellStyle name="20 % - Markeringsfarve2 10 4 2 2" xfId="29637" xr:uid="{00000000-0005-0000-0000-0000490D0000}"/>
    <cellStyle name="20 % - Markeringsfarve2 10 4 2 3" xfId="44601" xr:uid="{00000000-0005-0000-0000-00004A0D0000}"/>
    <cellStyle name="20 % - Markeringsfarve2 10 4 3" xfId="22615" xr:uid="{00000000-0005-0000-0000-00004B0D0000}"/>
    <cellStyle name="20 % - Markeringsfarve2 10 4 4" xfId="37602" xr:uid="{00000000-0005-0000-0000-00004C0D0000}"/>
    <cellStyle name="20 % - Markeringsfarve2 10 5" xfId="10372" xr:uid="{00000000-0005-0000-0000-00004D0D0000}"/>
    <cellStyle name="20 % - Markeringsfarve2 10 5 2" xfId="26692" xr:uid="{00000000-0005-0000-0000-00004E0D0000}"/>
    <cellStyle name="20 % - Markeringsfarve2 10 5 3" xfId="41658" xr:uid="{00000000-0005-0000-0000-00004F0D0000}"/>
    <cellStyle name="20 % - Markeringsfarve2 10 6" xfId="19670" xr:uid="{00000000-0005-0000-0000-0000500D0000}"/>
    <cellStyle name="20 % - Markeringsfarve2 10 7" xfId="34659" xr:uid="{00000000-0005-0000-0000-0000510D0000}"/>
    <cellStyle name="20 % - Markeringsfarve2 11" xfId="1815" xr:uid="{00000000-0005-0000-0000-0000520D0000}"/>
    <cellStyle name="20 % - Markeringsfarve2 11 2" xfId="1816" xr:uid="{00000000-0005-0000-0000-0000530D0000}"/>
    <cellStyle name="20 % - Markeringsfarve2 11 2 2" xfId="8599" xr:uid="{00000000-0005-0000-0000-0000540D0000}"/>
    <cellStyle name="20 % - Markeringsfarve2 11 2 2 2" xfId="16483" xr:uid="{00000000-0005-0000-0000-0000550D0000}"/>
    <cellStyle name="20 % - Markeringsfarve2 11 2 2 2 2" xfId="32798" xr:uid="{00000000-0005-0000-0000-0000560D0000}"/>
    <cellStyle name="20 % - Markeringsfarve2 11 2 2 2 3" xfId="47762" xr:uid="{00000000-0005-0000-0000-0000570D0000}"/>
    <cellStyle name="20 % - Markeringsfarve2 11 2 2 3" xfId="25776" xr:uid="{00000000-0005-0000-0000-0000580D0000}"/>
    <cellStyle name="20 % - Markeringsfarve2 11 2 2 4" xfId="40763" xr:uid="{00000000-0005-0000-0000-0000590D0000}"/>
    <cellStyle name="20 % - Markeringsfarve2 11 2 3" xfId="10376" xr:uid="{00000000-0005-0000-0000-00005A0D0000}"/>
    <cellStyle name="20 % - Markeringsfarve2 11 2 3 2" xfId="26696" xr:uid="{00000000-0005-0000-0000-00005B0D0000}"/>
    <cellStyle name="20 % - Markeringsfarve2 11 2 3 3" xfId="41662" xr:uid="{00000000-0005-0000-0000-00005C0D0000}"/>
    <cellStyle name="20 % - Markeringsfarve2 11 2 4" xfId="19674" xr:uid="{00000000-0005-0000-0000-00005D0D0000}"/>
    <cellStyle name="20 % - Markeringsfarve2 11 2 5" xfId="34663" xr:uid="{00000000-0005-0000-0000-00005E0D0000}"/>
    <cellStyle name="20 % - Markeringsfarve2 11 3" xfId="5404" xr:uid="{00000000-0005-0000-0000-00005F0D0000}"/>
    <cellStyle name="20 % - Markeringsfarve2 11 3 2" xfId="13323" xr:uid="{00000000-0005-0000-0000-0000600D0000}"/>
    <cellStyle name="20 % - Markeringsfarve2 11 3 2 2" xfId="29638" xr:uid="{00000000-0005-0000-0000-0000610D0000}"/>
    <cellStyle name="20 % - Markeringsfarve2 11 3 2 3" xfId="44602" xr:uid="{00000000-0005-0000-0000-0000620D0000}"/>
    <cellStyle name="20 % - Markeringsfarve2 11 3 3" xfId="22616" xr:uid="{00000000-0005-0000-0000-0000630D0000}"/>
    <cellStyle name="20 % - Markeringsfarve2 11 3 4" xfId="37603" xr:uid="{00000000-0005-0000-0000-0000640D0000}"/>
    <cellStyle name="20 % - Markeringsfarve2 11 4" xfId="10375" xr:uid="{00000000-0005-0000-0000-0000650D0000}"/>
    <cellStyle name="20 % - Markeringsfarve2 11 4 2" xfId="26695" xr:uid="{00000000-0005-0000-0000-0000660D0000}"/>
    <cellStyle name="20 % - Markeringsfarve2 11 4 3" xfId="41661" xr:uid="{00000000-0005-0000-0000-0000670D0000}"/>
    <cellStyle name="20 % - Markeringsfarve2 11 5" xfId="19673" xr:uid="{00000000-0005-0000-0000-0000680D0000}"/>
    <cellStyle name="20 % - Markeringsfarve2 11 6" xfId="34662" xr:uid="{00000000-0005-0000-0000-0000690D0000}"/>
    <cellStyle name="20 % - Markeringsfarve2 12" xfId="1817" xr:uid="{00000000-0005-0000-0000-00006A0D0000}"/>
    <cellStyle name="20 % - Markeringsfarve2 12 2" xfId="1818" xr:uid="{00000000-0005-0000-0000-00006B0D0000}"/>
    <cellStyle name="20 % - Markeringsfarve2 12 2 2" xfId="8273" xr:uid="{00000000-0005-0000-0000-00006C0D0000}"/>
    <cellStyle name="20 % - Markeringsfarve2 12 2 2 2" xfId="16168" xr:uid="{00000000-0005-0000-0000-00006D0D0000}"/>
    <cellStyle name="20 % - Markeringsfarve2 12 2 2 2 2" xfId="32483" xr:uid="{00000000-0005-0000-0000-00006E0D0000}"/>
    <cellStyle name="20 % - Markeringsfarve2 12 2 2 2 3" xfId="47447" xr:uid="{00000000-0005-0000-0000-00006F0D0000}"/>
    <cellStyle name="20 % - Markeringsfarve2 12 2 2 3" xfId="25461" xr:uid="{00000000-0005-0000-0000-0000700D0000}"/>
    <cellStyle name="20 % - Markeringsfarve2 12 2 2 4" xfId="40448" xr:uid="{00000000-0005-0000-0000-0000710D0000}"/>
    <cellStyle name="20 % - Markeringsfarve2 12 2 3" xfId="10378" xr:uid="{00000000-0005-0000-0000-0000720D0000}"/>
    <cellStyle name="20 % - Markeringsfarve2 12 2 3 2" xfId="26698" xr:uid="{00000000-0005-0000-0000-0000730D0000}"/>
    <cellStyle name="20 % - Markeringsfarve2 12 2 3 3" xfId="41664" xr:uid="{00000000-0005-0000-0000-0000740D0000}"/>
    <cellStyle name="20 % - Markeringsfarve2 12 2 4" xfId="19676" xr:uid="{00000000-0005-0000-0000-0000750D0000}"/>
    <cellStyle name="20 % - Markeringsfarve2 12 2 5" xfId="34665" xr:uid="{00000000-0005-0000-0000-0000760D0000}"/>
    <cellStyle name="20 % - Markeringsfarve2 12 3" xfId="5405" xr:uid="{00000000-0005-0000-0000-0000770D0000}"/>
    <cellStyle name="20 % - Markeringsfarve2 12 3 2" xfId="13324" xr:uid="{00000000-0005-0000-0000-0000780D0000}"/>
    <cellStyle name="20 % - Markeringsfarve2 12 3 2 2" xfId="29639" xr:uid="{00000000-0005-0000-0000-0000790D0000}"/>
    <cellStyle name="20 % - Markeringsfarve2 12 3 2 3" xfId="44603" xr:uid="{00000000-0005-0000-0000-00007A0D0000}"/>
    <cellStyle name="20 % - Markeringsfarve2 12 3 3" xfId="22617" xr:uid="{00000000-0005-0000-0000-00007B0D0000}"/>
    <cellStyle name="20 % - Markeringsfarve2 12 3 4" xfId="37604" xr:uid="{00000000-0005-0000-0000-00007C0D0000}"/>
    <cellStyle name="20 % - Markeringsfarve2 12 4" xfId="10377" xr:uid="{00000000-0005-0000-0000-00007D0D0000}"/>
    <cellStyle name="20 % - Markeringsfarve2 12 4 2" xfId="26697" xr:uid="{00000000-0005-0000-0000-00007E0D0000}"/>
    <cellStyle name="20 % - Markeringsfarve2 12 4 3" xfId="41663" xr:uid="{00000000-0005-0000-0000-00007F0D0000}"/>
    <cellStyle name="20 % - Markeringsfarve2 12 5" xfId="19675" xr:uid="{00000000-0005-0000-0000-0000800D0000}"/>
    <cellStyle name="20 % - Markeringsfarve2 12 6" xfId="34664" xr:uid="{00000000-0005-0000-0000-0000810D0000}"/>
    <cellStyle name="20 % - Markeringsfarve2 13" xfId="1819" xr:uid="{00000000-0005-0000-0000-0000820D0000}"/>
    <cellStyle name="20 % - Markeringsfarve2 13 2" xfId="1820" xr:uid="{00000000-0005-0000-0000-0000830D0000}"/>
    <cellStyle name="20 % - Markeringsfarve2 13 2 2" xfId="8556" xr:uid="{00000000-0005-0000-0000-0000840D0000}"/>
    <cellStyle name="20 % - Markeringsfarve2 13 2 2 2" xfId="16442" xr:uid="{00000000-0005-0000-0000-0000850D0000}"/>
    <cellStyle name="20 % - Markeringsfarve2 13 2 2 2 2" xfId="32757" xr:uid="{00000000-0005-0000-0000-0000860D0000}"/>
    <cellStyle name="20 % - Markeringsfarve2 13 2 2 2 3" xfId="47721" xr:uid="{00000000-0005-0000-0000-0000870D0000}"/>
    <cellStyle name="20 % - Markeringsfarve2 13 2 2 3" xfId="25735" xr:uid="{00000000-0005-0000-0000-0000880D0000}"/>
    <cellStyle name="20 % - Markeringsfarve2 13 2 2 4" xfId="40722" xr:uid="{00000000-0005-0000-0000-0000890D0000}"/>
    <cellStyle name="20 % - Markeringsfarve2 13 2 3" xfId="10380" xr:uid="{00000000-0005-0000-0000-00008A0D0000}"/>
    <cellStyle name="20 % - Markeringsfarve2 13 2 3 2" xfId="26700" xr:uid="{00000000-0005-0000-0000-00008B0D0000}"/>
    <cellStyle name="20 % - Markeringsfarve2 13 2 3 3" xfId="41666" xr:uid="{00000000-0005-0000-0000-00008C0D0000}"/>
    <cellStyle name="20 % - Markeringsfarve2 13 2 4" xfId="19678" xr:uid="{00000000-0005-0000-0000-00008D0D0000}"/>
    <cellStyle name="20 % - Markeringsfarve2 13 2 5" xfId="34667" xr:uid="{00000000-0005-0000-0000-00008E0D0000}"/>
    <cellStyle name="20 % - Markeringsfarve2 13 3" xfId="5402" xr:uid="{00000000-0005-0000-0000-00008F0D0000}"/>
    <cellStyle name="20 % - Markeringsfarve2 13 3 2" xfId="13321" xr:uid="{00000000-0005-0000-0000-0000900D0000}"/>
    <cellStyle name="20 % - Markeringsfarve2 13 3 2 2" xfId="29636" xr:uid="{00000000-0005-0000-0000-0000910D0000}"/>
    <cellStyle name="20 % - Markeringsfarve2 13 3 2 3" xfId="44600" xr:uid="{00000000-0005-0000-0000-0000920D0000}"/>
    <cellStyle name="20 % - Markeringsfarve2 13 3 3" xfId="22614" xr:uid="{00000000-0005-0000-0000-0000930D0000}"/>
    <cellStyle name="20 % - Markeringsfarve2 13 3 4" xfId="37601" xr:uid="{00000000-0005-0000-0000-0000940D0000}"/>
    <cellStyle name="20 % - Markeringsfarve2 13 4" xfId="10379" xr:uid="{00000000-0005-0000-0000-0000950D0000}"/>
    <cellStyle name="20 % - Markeringsfarve2 13 4 2" xfId="26699" xr:uid="{00000000-0005-0000-0000-0000960D0000}"/>
    <cellStyle name="20 % - Markeringsfarve2 13 4 3" xfId="41665" xr:uid="{00000000-0005-0000-0000-0000970D0000}"/>
    <cellStyle name="20 % - Markeringsfarve2 13 5" xfId="19677" xr:uid="{00000000-0005-0000-0000-0000980D0000}"/>
    <cellStyle name="20 % - Markeringsfarve2 13 6" xfId="34666" xr:uid="{00000000-0005-0000-0000-0000990D0000}"/>
    <cellStyle name="20 % - Markeringsfarve2 14" xfId="1821" xr:uid="{00000000-0005-0000-0000-00009A0D0000}"/>
    <cellStyle name="20 % - Markeringsfarve2 14 2" xfId="6651" xr:uid="{00000000-0005-0000-0000-00009B0D0000}"/>
    <cellStyle name="20 % - Markeringsfarve2 14 2 2" xfId="14565" xr:uid="{00000000-0005-0000-0000-00009C0D0000}"/>
    <cellStyle name="20 % - Markeringsfarve2 14 2 2 2" xfId="30880" xr:uid="{00000000-0005-0000-0000-00009D0D0000}"/>
    <cellStyle name="20 % - Markeringsfarve2 14 2 2 3" xfId="45844" xr:uid="{00000000-0005-0000-0000-00009E0D0000}"/>
    <cellStyle name="20 % - Markeringsfarve2 14 2 3" xfId="23858" xr:uid="{00000000-0005-0000-0000-00009F0D0000}"/>
    <cellStyle name="20 % - Markeringsfarve2 14 2 4" xfId="38845" xr:uid="{00000000-0005-0000-0000-0000A00D0000}"/>
    <cellStyle name="20 % - Markeringsfarve2 14 3" xfId="10381" xr:uid="{00000000-0005-0000-0000-0000A10D0000}"/>
    <cellStyle name="20 % - Markeringsfarve2 14 3 2" xfId="26701" xr:uid="{00000000-0005-0000-0000-0000A20D0000}"/>
    <cellStyle name="20 % - Markeringsfarve2 14 3 3" xfId="41667" xr:uid="{00000000-0005-0000-0000-0000A30D0000}"/>
    <cellStyle name="20 % - Markeringsfarve2 14 4" xfId="19679" xr:uid="{00000000-0005-0000-0000-0000A40D0000}"/>
    <cellStyle name="20 % - Markeringsfarve2 14 5" xfId="34668" xr:uid="{00000000-0005-0000-0000-0000A50D0000}"/>
    <cellStyle name="20 % - Markeringsfarve2 15" xfId="1822" xr:uid="{00000000-0005-0000-0000-0000A60D0000}"/>
    <cellStyle name="20 % - Markeringsfarve2 15 2" xfId="8413" xr:uid="{00000000-0005-0000-0000-0000A70D0000}"/>
    <cellStyle name="20 % - Markeringsfarve2 15 2 2" xfId="16304" xr:uid="{00000000-0005-0000-0000-0000A80D0000}"/>
    <cellStyle name="20 % - Markeringsfarve2 15 2 2 2" xfId="32619" xr:uid="{00000000-0005-0000-0000-0000A90D0000}"/>
    <cellStyle name="20 % - Markeringsfarve2 15 2 2 3" xfId="47583" xr:uid="{00000000-0005-0000-0000-0000AA0D0000}"/>
    <cellStyle name="20 % - Markeringsfarve2 15 2 3" xfId="25597" xr:uid="{00000000-0005-0000-0000-0000AB0D0000}"/>
    <cellStyle name="20 % - Markeringsfarve2 15 2 4" xfId="40584" xr:uid="{00000000-0005-0000-0000-0000AC0D0000}"/>
    <cellStyle name="20 % - Markeringsfarve2 15 3" xfId="10382" xr:uid="{00000000-0005-0000-0000-0000AD0D0000}"/>
    <cellStyle name="20 % - Markeringsfarve2 15 3 2" xfId="26702" xr:uid="{00000000-0005-0000-0000-0000AE0D0000}"/>
    <cellStyle name="20 % - Markeringsfarve2 15 3 3" xfId="41668" xr:uid="{00000000-0005-0000-0000-0000AF0D0000}"/>
    <cellStyle name="20 % - Markeringsfarve2 15 4" xfId="19680" xr:uid="{00000000-0005-0000-0000-0000B00D0000}"/>
    <cellStyle name="20 % - Markeringsfarve2 15 5" xfId="34669" xr:uid="{00000000-0005-0000-0000-0000B10D0000}"/>
    <cellStyle name="20 % - Markeringsfarve2 16" xfId="1823" xr:uid="{00000000-0005-0000-0000-0000B20D0000}"/>
    <cellStyle name="20 % - Markeringsfarve2 16 2" xfId="8269" xr:uid="{00000000-0005-0000-0000-0000B30D0000}"/>
    <cellStyle name="20 % - Markeringsfarve2 16 2 2" xfId="16164" xr:uid="{00000000-0005-0000-0000-0000B40D0000}"/>
    <cellStyle name="20 % - Markeringsfarve2 16 2 2 2" xfId="32479" xr:uid="{00000000-0005-0000-0000-0000B50D0000}"/>
    <cellStyle name="20 % - Markeringsfarve2 16 2 2 3" xfId="47443" xr:uid="{00000000-0005-0000-0000-0000B60D0000}"/>
    <cellStyle name="20 % - Markeringsfarve2 16 2 3" xfId="25457" xr:uid="{00000000-0005-0000-0000-0000B70D0000}"/>
    <cellStyle name="20 % - Markeringsfarve2 16 2 4" xfId="40444" xr:uid="{00000000-0005-0000-0000-0000B80D0000}"/>
    <cellStyle name="20 % - Markeringsfarve2 16 3" xfId="10383" xr:uid="{00000000-0005-0000-0000-0000B90D0000}"/>
    <cellStyle name="20 % - Markeringsfarve2 16 3 2" xfId="26703" xr:uid="{00000000-0005-0000-0000-0000BA0D0000}"/>
    <cellStyle name="20 % - Markeringsfarve2 16 3 3" xfId="41669" xr:uid="{00000000-0005-0000-0000-0000BB0D0000}"/>
    <cellStyle name="20 % - Markeringsfarve2 16 4" xfId="19681" xr:uid="{00000000-0005-0000-0000-0000BC0D0000}"/>
    <cellStyle name="20 % - Markeringsfarve2 16 5" xfId="34670" xr:uid="{00000000-0005-0000-0000-0000BD0D0000}"/>
    <cellStyle name="20 % - Markeringsfarve2 17" xfId="5327" xr:uid="{00000000-0005-0000-0000-0000BE0D0000}"/>
    <cellStyle name="20 % - Markeringsfarve2 17 2" xfId="13254" xr:uid="{00000000-0005-0000-0000-0000BF0D0000}"/>
    <cellStyle name="20 % - Markeringsfarve2 17 2 2" xfId="29569" xr:uid="{00000000-0005-0000-0000-0000C00D0000}"/>
    <cellStyle name="20 % - Markeringsfarve2 17 2 3" xfId="44533" xr:uid="{00000000-0005-0000-0000-0000C10D0000}"/>
    <cellStyle name="20 % - Markeringsfarve2 17 3" xfId="22547" xr:uid="{00000000-0005-0000-0000-0000C20D0000}"/>
    <cellStyle name="20 % - Markeringsfarve2 17 4" xfId="37534" xr:uid="{00000000-0005-0000-0000-0000C30D0000}"/>
    <cellStyle name="20 % - Markeringsfarve2 18" xfId="1811" xr:uid="{00000000-0005-0000-0000-0000C40D0000}"/>
    <cellStyle name="20 % - Markeringsfarve2 18 2" xfId="10371" xr:uid="{00000000-0005-0000-0000-0000C50D0000}"/>
    <cellStyle name="20 % - Markeringsfarve2 18 2 2" xfId="26691" xr:uid="{00000000-0005-0000-0000-0000C60D0000}"/>
    <cellStyle name="20 % - Markeringsfarve2 18 2 3" xfId="41657" xr:uid="{00000000-0005-0000-0000-0000C70D0000}"/>
    <cellStyle name="20 % - Markeringsfarve2 18 3" xfId="19669" xr:uid="{00000000-0005-0000-0000-0000C80D0000}"/>
    <cellStyle name="20 % - Markeringsfarve2 18 4" xfId="34658" xr:uid="{00000000-0005-0000-0000-0000C90D0000}"/>
    <cellStyle name="20 % - Markeringsfarve2 2" xfId="1824" xr:uid="{00000000-0005-0000-0000-0000CA0D0000}"/>
    <cellStyle name="20 % - Markeringsfarve2 2 10" xfId="1825" xr:uid="{00000000-0005-0000-0000-0000CB0D0000}"/>
    <cellStyle name="20 % - Markeringsfarve2 2 10 2" xfId="6683" xr:uid="{00000000-0005-0000-0000-0000CC0D0000}"/>
    <cellStyle name="20 % - Markeringsfarve2 2 10 2 2" xfId="14595" xr:uid="{00000000-0005-0000-0000-0000CD0D0000}"/>
    <cellStyle name="20 % - Markeringsfarve2 2 10 2 2 2" xfId="30910" xr:uid="{00000000-0005-0000-0000-0000CE0D0000}"/>
    <cellStyle name="20 % - Markeringsfarve2 2 10 2 2 3" xfId="45874" xr:uid="{00000000-0005-0000-0000-0000CF0D0000}"/>
    <cellStyle name="20 % - Markeringsfarve2 2 10 2 3" xfId="23888" xr:uid="{00000000-0005-0000-0000-0000D00D0000}"/>
    <cellStyle name="20 % - Markeringsfarve2 2 10 2 4" xfId="38875" xr:uid="{00000000-0005-0000-0000-0000D10D0000}"/>
    <cellStyle name="20 % - Markeringsfarve2 2 10 3" xfId="10385" xr:uid="{00000000-0005-0000-0000-0000D20D0000}"/>
    <cellStyle name="20 % - Markeringsfarve2 2 10 3 2" xfId="26705" xr:uid="{00000000-0005-0000-0000-0000D30D0000}"/>
    <cellStyle name="20 % - Markeringsfarve2 2 10 3 3" xfId="41671" xr:uid="{00000000-0005-0000-0000-0000D40D0000}"/>
    <cellStyle name="20 % - Markeringsfarve2 2 10 4" xfId="19683" xr:uid="{00000000-0005-0000-0000-0000D50D0000}"/>
    <cellStyle name="20 % - Markeringsfarve2 2 10 5" xfId="34672" xr:uid="{00000000-0005-0000-0000-0000D60D0000}"/>
    <cellStyle name="20 % - Markeringsfarve2 2 11" xfId="1826" xr:uid="{00000000-0005-0000-0000-0000D70D0000}"/>
    <cellStyle name="20 % - Markeringsfarve2 2 11 2" xfId="8272" xr:uid="{00000000-0005-0000-0000-0000D80D0000}"/>
    <cellStyle name="20 % - Markeringsfarve2 2 11 2 2" xfId="16167" xr:uid="{00000000-0005-0000-0000-0000D90D0000}"/>
    <cellStyle name="20 % - Markeringsfarve2 2 11 2 2 2" xfId="32482" xr:uid="{00000000-0005-0000-0000-0000DA0D0000}"/>
    <cellStyle name="20 % - Markeringsfarve2 2 11 2 2 3" xfId="47446" xr:uid="{00000000-0005-0000-0000-0000DB0D0000}"/>
    <cellStyle name="20 % - Markeringsfarve2 2 11 2 3" xfId="25460" xr:uid="{00000000-0005-0000-0000-0000DC0D0000}"/>
    <cellStyle name="20 % - Markeringsfarve2 2 11 2 4" xfId="40447" xr:uid="{00000000-0005-0000-0000-0000DD0D0000}"/>
    <cellStyle name="20 % - Markeringsfarve2 2 11 3" xfId="10386" xr:uid="{00000000-0005-0000-0000-0000DE0D0000}"/>
    <cellStyle name="20 % - Markeringsfarve2 2 11 3 2" xfId="26706" xr:uid="{00000000-0005-0000-0000-0000DF0D0000}"/>
    <cellStyle name="20 % - Markeringsfarve2 2 11 3 3" xfId="41672" xr:uid="{00000000-0005-0000-0000-0000E00D0000}"/>
    <cellStyle name="20 % - Markeringsfarve2 2 11 4" xfId="19684" xr:uid="{00000000-0005-0000-0000-0000E10D0000}"/>
    <cellStyle name="20 % - Markeringsfarve2 2 11 5" xfId="34673" xr:uid="{00000000-0005-0000-0000-0000E20D0000}"/>
    <cellStyle name="20 % - Markeringsfarve2 2 12" xfId="5406" xr:uid="{00000000-0005-0000-0000-0000E30D0000}"/>
    <cellStyle name="20 % - Markeringsfarve2 2 12 2" xfId="13325" xr:uid="{00000000-0005-0000-0000-0000E40D0000}"/>
    <cellStyle name="20 % - Markeringsfarve2 2 12 2 2" xfId="29640" xr:uid="{00000000-0005-0000-0000-0000E50D0000}"/>
    <cellStyle name="20 % - Markeringsfarve2 2 12 2 3" xfId="44604" xr:uid="{00000000-0005-0000-0000-0000E60D0000}"/>
    <cellStyle name="20 % - Markeringsfarve2 2 12 3" xfId="22618" xr:uid="{00000000-0005-0000-0000-0000E70D0000}"/>
    <cellStyle name="20 % - Markeringsfarve2 2 12 4" xfId="37605" xr:uid="{00000000-0005-0000-0000-0000E80D0000}"/>
    <cellStyle name="20 % - Markeringsfarve2 2 13" xfId="10384" xr:uid="{00000000-0005-0000-0000-0000E90D0000}"/>
    <cellStyle name="20 % - Markeringsfarve2 2 13 2" xfId="26704" xr:uid="{00000000-0005-0000-0000-0000EA0D0000}"/>
    <cellStyle name="20 % - Markeringsfarve2 2 13 3" xfId="41670" xr:uid="{00000000-0005-0000-0000-0000EB0D0000}"/>
    <cellStyle name="20 % - Markeringsfarve2 2 14" xfId="19682" xr:uid="{00000000-0005-0000-0000-0000EC0D0000}"/>
    <cellStyle name="20 % - Markeringsfarve2 2 15" xfId="34671" xr:uid="{00000000-0005-0000-0000-0000ED0D0000}"/>
    <cellStyle name="20 % - Markeringsfarve2 2 16" xfId="53316" xr:uid="{00000000-0005-0000-0000-0000EE0D0000}"/>
    <cellStyle name="20 % - Markeringsfarve2 2 2" xfId="1827" xr:uid="{00000000-0005-0000-0000-0000EF0D0000}"/>
    <cellStyle name="20 % - Markeringsfarve2 2 2 10" xfId="5407" xr:uid="{00000000-0005-0000-0000-0000F00D0000}"/>
    <cellStyle name="20 % - Markeringsfarve2 2 2 10 2" xfId="13326" xr:uid="{00000000-0005-0000-0000-0000F10D0000}"/>
    <cellStyle name="20 % - Markeringsfarve2 2 2 10 2 2" xfId="29641" xr:uid="{00000000-0005-0000-0000-0000F20D0000}"/>
    <cellStyle name="20 % - Markeringsfarve2 2 2 10 2 3" xfId="44605" xr:uid="{00000000-0005-0000-0000-0000F30D0000}"/>
    <cellStyle name="20 % - Markeringsfarve2 2 2 10 3" xfId="22619" xr:uid="{00000000-0005-0000-0000-0000F40D0000}"/>
    <cellStyle name="20 % - Markeringsfarve2 2 2 10 4" xfId="37606" xr:uid="{00000000-0005-0000-0000-0000F50D0000}"/>
    <cellStyle name="20 % - Markeringsfarve2 2 2 11" xfId="10387" xr:uid="{00000000-0005-0000-0000-0000F60D0000}"/>
    <cellStyle name="20 % - Markeringsfarve2 2 2 11 2" xfId="26707" xr:uid="{00000000-0005-0000-0000-0000F70D0000}"/>
    <cellStyle name="20 % - Markeringsfarve2 2 2 11 3" xfId="41673" xr:uid="{00000000-0005-0000-0000-0000F80D0000}"/>
    <cellStyle name="20 % - Markeringsfarve2 2 2 12" xfId="19685" xr:uid="{00000000-0005-0000-0000-0000F90D0000}"/>
    <cellStyle name="20 % - Markeringsfarve2 2 2 13" xfId="34674" xr:uid="{00000000-0005-0000-0000-0000FA0D0000}"/>
    <cellStyle name="20 % - Markeringsfarve2 2 2 14" xfId="53265" xr:uid="{00000000-0005-0000-0000-0000FB0D0000}"/>
    <cellStyle name="20 % - Markeringsfarve2 2 2 2" xfId="1828" xr:uid="{00000000-0005-0000-0000-0000FC0D0000}"/>
    <cellStyle name="20 % - Markeringsfarve2 2 2 2 2" xfId="1829" xr:uid="{00000000-0005-0000-0000-0000FD0D0000}"/>
    <cellStyle name="20 % - Markeringsfarve2 2 2 2 2 2" xfId="1830" xr:uid="{00000000-0005-0000-0000-0000FE0D0000}"/>
    <cellStyle name="20 % - Markeringsfarve2 2 2 2 2 2 2" xfId="7614" xr:uid="{00000000-0005-0000-0000-0000FF0D0000}"/>
    <cellStyle name="20 % - Markeringsfarve2 2 2 2 2 2 2 2" xfId="15516" xr:uid="{00000000-0005-0000-0000-0000000E0000}"/>
    <cellStyle name="20 % - Markeringsfarve2 2 2 2 2 2 2 2 2" xfId="31831" xr:uid="{00000000-0005-0000-0000-0000010E0000}"/>
    <cellStyle name="20 % - Markeringsfarve2 2 2 2 2 2 2 2 3" xfId="46795" xr:uid="{00000000-0005-0000-0000-0000020E0000}"/>
    <cellStyle name="20 % - Markeringsfarve2 2 2 2 2 2 2 3" xfId="24809" xr:uid="{00000000-0005-0000-0000-0000030E0000}"/>
    <cellStyle name="20 % - Markeringsfarve2 2 2 2 2 2 2 4" xfId="39796" xr:uid="{00000000-0005-0000-0000-0000040E0000}"/>
    <cellStyle name="20 % - Markeringsfarve2 2 2 2 2 2 3" xfId="10390" xr:uid="{00000000-0005-0000-0000-0000050E0000}"/>
    <cellStyle name="20 % - Markeringsfarve2 2 2 2 2 2 3 2" xfId="26710" xr:uid="{00000000-0005-0000-0000-0000060E0000}"/>
    <cellStyle name="20 % - Markeringsfarve2 2 2 2 2 2 3 3" xfId="41676" xr:uid="{00000000-0005-0000-0000-0000070E0000}"/>
    <cellStyle name="20 % - Markeringsfarve2 2 2 2 2 2 4" xfId="19688" xr:uid="{00000000-0005-0000-0000-0000080E0000}"/>
    <cellStyle name="20 % - Markeringsfarve2 2 2 2 2 2 5" xfId="34677" xr:uid="{00000000-0005-0000-0000-0000090E0000}"/>
    <cellStyle name="20 % - Markeringsfarve2 2 2 2 2 3" xfId="6187" xr:uid="{00000000-0005-0000-0000-00000A0E0000}"/>
    <cellStyle name="20 % - Markeringsfarve2 2 2 2 2 3 2" xfId="14105" xr:uid="{00000000-0005-0000-0000-00000B0E0000}"/>
    <cellStyle name="20 % - Markeringsfarve2 2 2 2 2 3 2 2" xfId="30420" xr:uid="{00000000-0005-0000-0000-00000C0E0000}"/>
    <cellStyle name="20 % - Markeringsfarve2 2 2 2 2 3 2 3" xfId="45384" xr:uid="{00000000-0005-0000-0000-00000D0E0000}"/>
    <cellStyle name="20 % - Markeringsfarve2 2 2 2 2 3 3" xfId="23398" xr:uid="{00000000-0005-0000-0000-00000E0E0000}"/>
    <cellStyle name="20 % - Markeringsfarve2 2 2 2 2 3 4" xfId="38385" xr:uid="{00000000-0005-0000-0000-00000F0E0000}"/>
    <cellStyle name="20 % - Markeringsfarve2 2 2 2 2 4" xfId="10389" xr:uid="{00000000-0005-0000-0000-0000100E0000}"/>
    <cellStyle name="20 % - Markeringsfarve2 2 2 2 2 4 2" xfId="26709" xr:uid="{00000000-0005-0000-0000-0000110E0000}"/>
    <cellStyle name="20 % - Markeringsfarve2 2 2 2 2 4 3" xfId="41675" xr:uid="{00000000-0005-0000-0000-0000120E0000}"/>
    <cellStyle name="20 % - Markeringsfarve2 2 2 2 2 5" xfId="19687" xr:uid="{00000000-0005-0000-0000-0000130E0000}"/>
    <cellStyle name="20 % - Markeringsfarve2 2 2 2 2 6" xfId="34676" xr:uid="{00000000-0005-0000-0000-0000140E0000}"/>
    <cellStyle name="20 % - Markeringsfarve2 2 2 2 2 7" xfId="57069" xr:uid="{00000000-0005-0000-0000-0000150E0000}"/>
    <cellStyle name="20 % - Markeringsfarve2 2 2 2 3" xfId="1831" xr:uid="{00000000-0005-0000-0000-0000160E0000}"/>
    <cellStyle name="20 % - Markeringsfarve2 2 2 2 3 2" xfId="6844" xr:uid="{00000000-0005-0000-0000-0000170E0000}"/>
    <cellStyle name="20 % - Markeringsfarve2 2 2 2 3 2 2" xfId="14756" xr:uid="{00000000-0005-0000-0000-0000180E0000}"/>
    <cellStyle name="20 % - Markeringsfarve2 2 2 2 3 2 2 2" xfId="31071" xr:uid="{00000000-0005-0000-0000-0000190E0000}"/>
    <cellStyle name="20 % - Markeringsfarve2 2 2 2 3 2 2 3" xfId="46035" xr:uid="{00000000-0005-0000-0000-00001A0E0000}"/>
    <cellStyle name="20 % - Markeringsfarve2 2 2 2 3 2 3" xfId="24049" xr:uid="{00000000-0005-0000-0000-00001B0E0000}"/>
    <cellStyle name="20 % - Markeringsfarve2 2 2 2 3 2 4" xfId="39036" xr:uid="{00000000-0005-0000-0000-00001C0E0000}"/>
    <cellStyle name="20 % - Markeringsfarve2 2 2 2 3 3" xfId="10391" xr:uid="{00000000-0005-0000-0000-00001D0E0000}"/>
    <cellStyle name="20 % - Markeringsfarve2 2 2 2 3 3 2" xfId="26711" xr:uid="{00000000-0005-0000-0000-00001E0E0000}"/>
    <cellStyle name="20 % - Markeringsfarve2 2 2 2 3 3 3" xfId="41677" xr:uid="{00000000-0005-0000-0000-00001F0E0000}"/>
    <cellStyle name="20 % - Markeringsfarve2 2 2 2 3 4" xfId="19689" xr:uid="{00000000-0005-0000-0000-0000200E0000}"/>
    <cellStyle name="20 % - Markeringsfarve2 2 2 2 3 5" xfId="34678" xr:uid="{00000000-0005-0000-0000-0000210E0000}"/>
    <cellStyle name="20 % - Markeringsfarve2 2 2 2 4" xfId="1832" xr:uid="{00000000-0005-0000-0000-0000220E0000}"/>
    <cellStyle name="20 % - Markeringsfarve2 2 2 2 4 2" xfId="8270" xr:uid="{00000000-0005-0000-0000-0000230E0000}"/>
    <cellStyle name="20 % - Markeringsfarve2 2 2 2 4 2 2" xfId="16165" xr:uid="{00000000-0005-0000-0000-0000240E0000}"/>
    <cellStyle name="20 % - Markeringsfarve2 2 2 2 4 2 2 2" xfId="32480" xr:uid="{00000000-0005-0000-0000-0000250E0000}"/>
    <cellStyle name="20 % - Markeringsfarve2 2 2 2 4 2 2 3" xfId="47444" xr:uid="{00000000-0005-0000-0000-0000260E0000}"/>
    <cellStyle name="20 % - Markeringsfarve2 2 2 2 4 2 3" xfId="25458" xr:uid="{00000000-0005-0000-0000-0000270E0000}"/>
    <cellStyle name="20 % - Markeringsfarve2 2 2 2 4 2 4" xfId="40445" xr:uid="{00000000-0005-0000-0000-0000280E0000}"/>
    <cellStyle name="20 % - Markeringsfarve2 2 2 2 4 3" xfId="10392" xr:uid="{00000000-0005-0000-0000-0000290E0000}"/>
    <cellStyle name="20 % - Markeringsfarve2 2 2 2 4 3 2" xfId="26712" xr:uid="{00000000-0005-0000-0000-00002A0E0000}"/>
    <cellStyle name="20 % - Markeringsfarve2 2 2 2 4 3 3" xfId="41678" xr:uid="{00000000-0005-0000-0000-00002B0E0000}"/>
    <cellStyle name="20 % - Markeringsfarve2 2 2 2 4 4" xfId="19690" xr:uid="{00000000-0005-0000-0000-00002C0E0000}"/>
    <cellStyle name="20 % - Markeringsfarve2 2 2 2 4 5" xfId="34679" xr:uid="{00000000-0005-0000-0000-00002D0E0000}"/>
    <cellStyle name="20 % - Markeringsfarve2 2 2 2 5" xfId="5408" xr:uid="{00000000-0005-0000-0000-00002E0E0000}"/>
    <cellStyle name="20 % - Markeringsfarve2 2 2 2 5 2" xfId="13327" xr:uid="{00000000-0005-0000-0000-00002F0E0000}"/>
    <cellStyle name="20 % - Markeringsfarve2 2 2 2 5 2 2" xfId="29642" xr:uid="{00000000-0005-0000-0000-0000300E0000}"/>
    <cellStyle name="20 % - Markeringsfarve2 2 2 2 5 2 3" xfId="44606" xr:uid="{00000000-0005-0000-0000-0000310E0000}"/>
    <cellStyle name="20 % - Markeringsfarve2 2 2 2 5 3" xfId="22620" xr:uid="{00000000-0005-0000-0000-0000320E0000}"/>
    <cellStyle name="20 % - Markeringsfarve2 2 2 2 5 4" xfId="37607" xr:uid="{00000000-0005-0000-0000-0000330E0000}"/>
    <cellStyle name="20 % - Markeringsfarve2 2 2 2 6" xfId="10388" xr:uid="{00000000-0005-0000-0000-0000340E0000}"/>
    <cellStyle name="20 % - Markeringsfarve2 2 2 2 6 2" xfId="26708" xr:uid="{00000000-0005-0000-0000-0000350E0000}"/>
    <cellStyle name="20 % - Markeringsfarve2 2 2 2 6 3" xfId="41674" xr:uid="{00000000-0005-0000-0000-0000360E0000}"/>
    <cellStyle name="20 % - Markeringsfarve2 2 2 2 7" xfId="19686" xr:uid="{00000000-0005-0000-0000-0000370E0000}"/>
    <cellStyle name="20 % - Markeringsfarve2 2 2 2 8" xfId="34675" xr:uid="{00000000-0005-0000-0000-0000380E0000}"/>
    <cellStyle name="20 % - Markeringsfarve2 2 2 2 9" xfId="53902" xr:uid="{00000000-0005-0000-0000-0000390E0000}"/>
    <cellStyle name="20 % - Markeringsfarve2 2 2 3" xfId="1833" xr:uid="{00000000-0005-0000-0000-00003A0E0000}"/>
    <cellStyle name="20 % - Markeringsfarve2 2 2 3 2" xfId="1834" xr:uid="{00000000-0005-0000-0000-00003B0E0000}"/>
    <cellStyle name="20 % - Markeringsfarve2 2 2 3 2 2" xfId="1835" xr:uid="{00000000-0005-0000-0000-00003C0E0000}"/>
    <cellStyle name="20 % - Markeringsfarve2 2 2 3 2 2 2" xfId="7675" xr:uid="{00000000-0005-0000-0000-00003D0E0000}"/>
    <cellStyle name="20 % - Markeringsfarve2 2 2 3 2 2 2 2" xfId="15577" xr:uid="{00000000-0005-0000-0000-00003E0E0000}"/>
    <cellStyle name="20 % - Markeringsfarve2 2 2 3 2 2 2 2 2" xfId="31892" xr:uid="{00000000-0005-0000-0000-00003F0E0000}"/>
    <cellStyle name="20 % - Markeringsfarve2 2 2 3 2 2 2 2 3" xfId="46856" xr:uid="{00000000-0005-0000-0000-0000400E0000}"/>
    <cellStyle name="20 % - Markeringsfarve2 2 2 3 2 2 2 3" xfId="24870" xr:uid="{00000000-0005-0000-0000-0000410E0000}"/>
    <cellStyle name="20 % - Markeringsfarve2 2 2 3 2 2 2 4" xfId="39857" xr:uid="{00000000-0005-0000-0000-0000420E0000}"/>
    <cellStyle name="20 % - Markeringsfarve2 2 2 3 2 2 3" xfId="10395" xr:uid="{00000000-0005-0000-0000-0000430E0000}"/>
    <cellStyle name="20 % - Markeringsfarve2 2 2 3 2 2 3 2" xfId="26715" xr:uid="{00000000-0005-0000-0000-0000440E0000}"/>
    <cellStyle name="20 % - Markeringsfarve2 2 2 3 2 2 3 3" xfId="41681" xr:uid="{00000000-0005-0000-0000-0000450E0000}"/>
    <cellStyle name="20 % - Markeringsfarve2 2 2 3 2 2 4" xfId="19693" xr:uid="{00000000-0005-0000-0000-0000460E0000}"/>
    <cellStyle name="20 % - Markeringsfarve2 2 2 3 2 2 5" xfId="34682" xr:uid="{00000000-0005-0000-0000-0000470E0000}"/>
    <cellStyle name="20 % - Markeringsfarve2 2 2 3 2 3" xfId="6239" xr:uid="{00000000-0005-0000-0000-0000480E0000}"/>
    <cellStyle name="20 % - Markeringsfarve2 2 2 3 2 3 2" xfId="14157" xr:uid="{00000000-0005-0000-0000-0000490E0000}"/>
    <cellStyle name="20 % - Markeringsfarve2 2 2 3 2 3 2 2" xfId="30472" xr:uid="{00000000-0005-0000-0000-00004A0E0000}"/>
    <cellStyle name="20 % - Markeringsfarve2 2 2 3 2 3 2 3" xfId="45436" xr:uid="{00000000-0005-0000-0000-00004B0E0000}"/>
    <cellStyle name="20 % - Markeringsfarve2 2 2 3 2 3 3" xfId="23450" xr:uid="{00000000-0005-0000-0000-00004C0E0000}"/>
    <cellStyle name="20 % - Markeringsfarve2 2 2 3 2 3 4" xfId="38437" xr:uid="{00000000-0005-0000-0000-00004D0E0000}"/>
    <cellStyle name="20 % - Markeringsfarve2 2 2 3 2 4" xfId="10394" xr:uid="{00000000-0005-0000-0000-00004E0E0000}"/>
    <cellStyle name="20 % - Markeringsfarve2 2 2 3 2 4 2" xfId="26714" xr:uid="{00000000-0005-0000-0000-00004F0E0000}"/>
    <cellStyle name="20 % - Markeringsfarve2 2 2 3 2 4 3" xfId="41680" xr:uid="{00000000-0005-0000-0000-0000500E0000}"/>
    <cellStyle name="20 % - Markeringsfarve2 2 2 3 2 5" xfId="19692" xr:uid="{00000000-0005-0000-0000-0000510E0000}"/>
    <cellStyle name="20 % - Markeringsfarve2 2 2 3 2 6" xfId="34681" xr:uid="{00000000-0005-0000-0000-0000520E0000}"/>
    <cellStyle name="20 % - Markeringsfarve2 2 2 3 3" xfId="1836" xr:uid="{00000000-0005-0000-0000-0000530E0000}"/>
    <cellStyle name="20 % - Markeringsfarve2 2 2 3 3 2" xfId="6905" xr:uid="{00000000-0005-0000-0000-0000540E0000}"/>
    <cellStyle name="20 % - Markeringsfarve2 2 2 3 3 2 2" xfId="14817" xr:uid="{00000000-0005-0000-0000-0000550E0000}"/>
    <cellStyle name="20 % - Markeringsfarve2 2 2 3 3 2 2 2" xfId="31132" xr:uid="{00000000-0005-0000-0000-0000560E0000}"/>
    <cellStyle name="20 % - Markeringsfarve2 2 2 3 3 2 2 3" xfId="46096" xr:uid="{00000000-0005-0000-0000-0000570E0000}"/>
    <cellStyle name="20 % - Markeringsfarve2 2 2 3 3 2 3" xfId="24110" xr:uid="{00000000-0005-0000-0000-0000580E0000}"/>
    <cellStyle name="20 % - Markeringsfarve2 2 2 3 3 2 4" xfId="39097" xr:uid="{00000000-0005-0000-0000-0000590E0000}"/>
    <cellStyle name="20 % - Markeringsfarve2 2 2 3 3 3" xfId="10396" xr:uid="{00000000-0005-0000-0000-00005A0E0000}"/>
    <cellStyle name="20 % - Markeringsfarve2 2 2 3 3 3 2" xfId="26716" xr:uid="{00000000-0005-0000-0000-00005B0E0000}"/>
    <cellStyle name="20 % - Markeringsfarve2 2 2 3 3 3 3" xfId="41682" xr:uid="{00000000-0005-0000-0000-00005C0E0000}"/>
    <cellStyle name="20 % - Markeringsfarve2 2 2 3 3 4" xfId="19694" xr:uid="{00000000-0005-0000-0000-00005D0E0000}"/>
    <cellStyle name="20 % - Markeringsfarve2 2 2 3 3 5" xfId="34683" xr:uid="{00000000-0005-0000-0000-00005E0E0000}"/>
    <cellStyle name="20 % - Markeringsfarve2 2 2 3 4" xfId="1837" xr:uid="{00000000-0005-0000-0000-00005F0E0000}"/>
    <cellStyle name="20 % - Markeringsfarve2 2 2 3 4 2" xfId="7021" xr:uid="{00000000-0005-0000-0000-0000600E0000}"/>
    <cellStyle name="20 % - Markeringsfarve2 2 2 3 4 2 2" xfId="14933" xr:uid="{00000000-0005-0000-0000-0000610E0000}"/>
    <cellStyle name="20 % - Markeringsfarve2 2 2 3 4 2 2 2" xfId="31248" xr:uid="{00000000-0005-0000-0000-0000620E0000}"/>
    <cellStyle name="20 % - Markeringsfarve2 2 2 3 4 2 2 3" xfId="46212" xr:uid="{00000000-0005-0000-0000-0000630E0000}"/>
    <cellStyle name="20 % - Markeringsfarve2 2 2 3 4 2 3" xfId="24226" xr:uid="{00000000-0005-0000-0000-0000640E0000}"/>
    <cellStyle name="20 % - Markeringsfarve2 2 2 3 4 2 4" xfId="39213" xr:uid="{00000000-0005-0000-0000-0000650E0000}"/>
    <cellStyle name="20 % - Markeringsfarve2 2 2 3 4 3" xfId="10397" xr:uid="{00000000-0005-0000-0000-0000660E0000}"/>
    <cellStyle name="20 % - Markeringsfarve2 2 2 3 4 3 2" xfId="26717" xr:uid="{00000000-0005-0000-0000-0000670E0000}"/>
    <cellStyle name="20 % - Markeringsfarve2 2 2 3 4 3 3" xfId="41683" xr:uid="{00000000-0005-0000-0000-0000680E0000}"/>
    <cellStyle name="20 % - Markeringsfarve2 2 2 3 4 4" xfId="19695" xr:uid="{00000000-0005-0000-0000-0000690E0000}"/>
    <cellStyle name="20 % - Markeringsfarve2 2 2 3 4 5" xfId="34684" xr:uid="{00000000-0005-0000-0000-00006A0E0000}"/>
    <cellStyle name="20 % - Markeringsfarve2 2 2 3 5" xfId="5409" xr:uid="{00000000-0005-0000-0000-00006B0E0000}"/>
    <cellStyle name="20 % - Markeringsfarve2 2 2 3 5 2" xfId="13328" xr:uid="{00000000-0005-0000-0000-00006C0E0000}"/>
    <cellStyle name="20 % - Markeringsfarve2 2 2 3 5 2 2" xfId="29643" xr:uid="{00000000-0005-0000-0000-00006D0E0000}"/>
    <cellStyle name="20 % - Markeringsfarve2 2 2 3 5 2 3" xfId="44607" xr:uid="{00000000-0005-0000-0000-00006E0E0000}"/>
    <cellStyle name="20 % - Markeringsfarve2 2 2 3 5 3" xfId="22621" xr:uid="{00000000-0005-0000-0000-00006F0E0000}"/>
    <cellStyle name="20 % - Markeringsfarve2 2 2 3 5 4" xfId="37608" xr:uid="{00000000-0005-0000-0000-0000700E0000}"/>
    <cellStyle name="20 % - Markeringsfarve2 2 2 3 6" xfId="10393" xr:uid="{00000000-0005-0000-0000-0000710E0000}"/>
    <cellStyle name="20 % - Markeringsfarve2 2 2 3 6 2" xfId="26713" xr:uid="{00000000-0005-0000-0000-0000720E0000}"/>
    <cellStyle name="20 % - Markeringsfarve2 2 2 3 6 3" xfId="41679" xr:uid="{00000000-0005-0000-0000-0000730E0000}"/>
    <cellStyle name="20 % - Markeringsfarve2 2 2 3 7" xfId="19691" xr:uid="{00000000-0005-0000-0000-0000740E0000}"/>
    <cellStyle name="20 % - Markeringsfarve2 2 2 3 8" xfId="34680" xr:uid="{00000000-0005-0000-0000-0000750E0000}"/>
    <cellStyle name="20 % - Markeringsfarve2 2 2 3 9" xfId="56446" xr:uid="{00000000-0005-0000-0000-0000760E0000}"/>
    <cellStyle name="20 % - Markeringsfarve2 2 2 4" xfId="1838" xr:uid="{00000000-0005-0000-0000-0000770E0000}"/>
    <cellStyle name="20 % - Markeringsfarve2 2 2 4 2" xfId="1839" xr:uid="{00000000-0005-0000-0000-0000780E0000}"/>
    <cellStyle name="20 % - Markeringsfarve2 2 2 4 2 2" xfId="1840" xr:uid="{00000000-0005-0000-0000-0000790E0000}"/>
    <cellStyle name="20 % - Markeringsfarve2 2 2 4 2 2 2" xfId="7852" xr:uid="{00000000-0005-0000-0000-00007A0E0000}"/>
    <cellStyle name="20 % - Markeringsfarve2 2 2 4 2 2 2 2" xfId="15754" xr:uid="{00000000-0005-0000-0000-00007B0E0000}"/>
    <cellStyle name="20 % - Markeringsfarve2 2 2 4 2 2 2 2 2" xfId="32069" xr:uid="{00000000-0005-0000-0000-00007C0E0000}"/>
    <cellStyle name="20 % - Markeringsfarve2 2 2 4 2 2 2 2 3" xfId="47033" xr:uid="{00000000-0005-0000-0000-00007D0E0000}"/>
    <cellStyle name="20 % - Markeringsfarve2 2 2 4 2 2 2 3" xfId="25047" xr:uid="{00000000-0005-0000-0000-00007E0E0000}"/>
    <cellStyle name="20 % - Markeringsfarve2 2 2 4 2 2 2 4" xfId="40034" xr:uid="{00000000-0005-0000-0000-00007F0E0000}"/>
    <cellStyle name="20 % - Markeringsfarve2 2 2 4 2 2 3" xfId="10400" xr:uid="{00000000-0005-0000-0000-0000800E0000}"/>
    <cellStyle name="20 % - Markeringsfarve2 2 2 4 2 2 3 2" xfId="26720" xr:uid="{00000000-0005-0000-0000-0000810E0000}"/>
    <cellStyle name="20 % - Markeringsfarve2 2 2 4 2 2 3 3" xfId="41686" xr:uid="{00000000-0005-0000-0000-0000820E0000}"/>
    <cellStyle name="20 % - Markeringsfarve2 2 2 4 2 2 4" xfId="19698" xr:uid="{00000000-0005-0000-0000-0000830E0000}"/>
    <cellStyle name="20 % - Markeringsfarve2 2 2 4 2 2 5" xfId="34687" xr:uid="{00000000-0005-0000-0000-0000840E0000}"/>
    <cellStyle name="20 % - Markeringsfarve2 2 2 4 2 3" xfId="6389" xr:uid="{00000000-0005-0000-0000-0000850E0000}"/>
    <cellStyle name="20 % - Markeringsfarve2 2 2 4 2 3 2" xfId="14304" xr:uid="{00000000-0005-0000-0000-0000860E0000}"/>
    <cellStyle name="20 % - Markeringsfarve2 2 2 4 2 3 2 2" xfId="30619" xr:uid="{00000000-0005-0000-0000-0000870E0000}"/>
    <cellStyle name="20 % - Markeringsfarve2 2 2 4 2 3 2 3" xfId="45583" xr:uid="{00000000-0005-0000-0000-0000880E0000}"/>
    <cellStyle name="20 % - Markeringsfarve2 2 2 4 2 3 3" xfId="23597" xr:uid="{00000000-0005-0000-0000-0000890E0000}"/>
    <cellStyle name="20 % - Markeringsfarve2 2 2 4 2 3 4" xfId="38584" xr:uid="{00000000-0005-0000-0000-00008A0E0000}"/>
    <cellStyle name="20 % - Markeringsfarve2 2 2 4 2 4" xfId="10399" xr:uid="{00000000-0005-0000-0000-00008B0E0000}"/>
    <cellStyle name="20 % - Markeringsfarve2 2 2 4 2 4 2" xfId="26719" xr:uid="{00000000-0005-0000-0000-00008C0E0000}"/>
    <cellStyle name="20 % - Markeringsfarve2 2 2 4 2 4 3" xfId="41685" xr:uid="{00000000-0005-0000-0000-00008D0E0000}"/>
    <cellStyle name="20 % - Markeringsfarve2 2 2 4 2 5" xfId="19697" xr:uid="{00000000-0005-0000-0000-00008E0E0000}"/>
    <cellStyle name="20 % - Markeringsfarve2 2 2 4 2 6" xfId="34686" xr:uid="{00000000-0005-0000-0000-00008F0E0000}"/>
    <cellStyle name="20 % - Markeringsfarve2 2 2 4 3" xfId="1841" xr:uid="{00000000-0005-0000-0000-0000900E0000}"/>
    <cellStyle name="20 % - Markeringsfarve2 2 2 4 3 2" xfId="7128" xr:uid="{00000000-0005-0000-0000-0000910E0000}"/>
    <cellStyle name="20 % - Markeringsfarve2 2 2 4 3 2 2" xfId="15039" xr:uid="{00000000-0005-0000-0000-0000920E0000}"/>
    <cellStyle name="20 % - Markeringsfarve2 2 2 4 3 2 2 2" xfId="31354" xr:uid="{00000000-0005-0000-0000-0000930E0000}"/>
    <cellStyle name="20 % - Markeringsfarve2 2 2 4 3 2 2 3" xfId="46318" xr:uid="{00000000-0005-0000-0000-0000940E0000}"/>
    <cellStyle name="20 % - Markeringsfarve2 2 2 4 3 2 3" xfId="24332" xr:uid="{00000000-0005-0000-0000-0000950E0000}"/>
    <cellStyle name="20 % - Markeringsfarve2 2 2 4 3 2 4" xfId="39319" xr:uid="{00000000-0005-0000-0000-0000960E0000}"/>
    <cellStyle name="20 % - Markeringsfarve2 2 2 4 3 3" xfId="10401" xr:uid="{00000000-0005-0000-0000-0000970E0000}"/>
    <cellStyle name="20 % - Markeringsfarve2 2 2 4 3 3 2" xfId="26721" xr:uid="{00000000-0005-0000-0000-0000980E0000}"/>
    <cellStyle name="20 % - Markeringsfarve2 2 2 4 3 3 3" xfId="41687" xr:uid="{00000000-0005-0000-0000-0000990E0000}"/>
    <cellStyle name="20 % - Markeringsfarve2 2 2 4 3 4" xfId="19699" xr:uid="{00000000-0005-0000-0000-00009A0E0000}"/>
    <cellStyle name="20 % - Markeringsfarve2 2 2 4 3 5" xfId="34688" xr:uid="{00000000-0005-0000-0000-00009B0E0000}"/>
    <cellStyle name="20 % - Markeringsfarve2 2 2 4 4" xfId="1842" xr:uid="{00000000-0005-0000-0000-00009C0E0000}"/>
    <cellStyle name="20 % - Markeringsfarve2 2 2 4 4 2" xfId="7055" xr:uid="{00000000-0005-0000-0000-00009D0E0000}"/>
    <cellStyle name="20 % - Markeringsfarve2 2 2 4 4 2 2" xfId="14966" xr:uid="{00000000-0005-0000-0000-00009E0E0000}"/>
    <cellStyle name="20 % - Markeringsfarve2 2 2 4 4 2 2 2" xfId="31281" xr:uid="{00000000-0005-0000-0000-00009F0E0000}"/>
    <cellStyle name="20 % - Markeringsfarve2 2 2 4 4 2 2 3" xfId="46245" xr:uid="{00000000-0005-0000-0000-0000A00E0000}"/>
    <cellStyle name="20 % - Markeringsfarve2 2 2 4 4 2 3" xfId="24259" xr:uid="{00000000-0005-0000-0000-0000A10E0000}"/>
    <cellStyle name="20 % - Markeringsfarve2 2 2 4 4 2 4" xfId="39246" xr:uid="{00000000-0005-0000-0000-0000A20E0000}"/>
    <cellStyle name="20 % - Markeringsfarve2 2 2 4 4 3" xfId="10402" xr:uid="{00000000-0005-0000-0000-0000A30E0000}"/>
    <cellStyle name="20 % - Markeringsfarve2 2 2 4 4 3 2" xfId="26722" xr:uid="{00000000-0005-0000-0000-0000A40E0000}"/>
    <cellStyle name="20 % - Markeringsfarve2 2 2 4 4 3 3" xfId="41688" xr:uid="{00000000-0005-0000-0000-0000A50E0000}"/>
    <cellStyle name="20 % - Markeringsfarve2 2 2 4 4 4" xfId="19700" xr:uid="{00000000-0005-0000-0000-0000A60E0000}"/>
    <cellStyle name="20 % - Markeringsfarve2 2 2 4 4 5" xfId="34689" xr:uid="{00000000-0005-0000-0000-0000A70E0000}"/>
    <cellStyle name="20 % - Markeringsfarve2 2 2 4 5" xfId="5410" xr:uid="{00000000-0005-0000-0000-0000A80E0000}"/>
    <cellStyle name="20 % - Markeringsfarve2 2 2 4 5 2" xfId="13329" xr:uid="{00000000-0005-0000-0000-0000A90E0000}"/>
    <cellStyle name="20 % - Markeringsfarve2 2 2 4 5 2 2" xfId="29644" xr:uid="{00000000-0005-0000-0000-0000AA0E0000}"/>
    <cellStyle name="20 % - Markeringsfarve2 2 2 4 5 2 3" xfId="44608" xr:uid="{00000000-0005-0000-0000-0000AB0E0000}"/>
    <cellStyle name="20 % - Markeringsfarve2 2 2 4 5 3" xfId="22622" xr:uid="{00000000-0005-0000-0000-0000AC0E0000}"/>
    <cellStyle name="20 % - Markeringsfarve2 2 2 4 5 4" xfId="37609" xr:uid="{00000000-0005-0000-0000-0000AD0E0000}"/>
    <cellStyle name="20 % - Markeringsfarve2 2 2 4 6" xfId="10398" xr:uid="{00000000-0005-0000-0000-0000AE0E0000}"/>
    <cellStyle name="20 % - Markeringsfarve2 2 2 4 6 2" xfId="26718" xr:uid="{00000000-0005-0000-0000-0000AF0E0000}"/>
    <cellStyle name="20 % - Markeringsfarve2 2 2 4 6 3" xfId="41684" xr:uid="{00000000-0005-0000-0000-0000B00E0000}"/>
    <cellStyle name="20 % - Markeringsfarve2 2 2 4 7" xfId="19696" xr:uid="{00000000-0005-0000-0000-0000B10E0000}"/>
    <cellStyle name="20 % - Markeringsfarve2 2 2 4 8" xfId="34685" xr:uid="{00000000-0005-0000-0000-0000B20E0000}"/>
    <cellStyle name="20 % - Markeringsfarve2 2 2 5" xfId="1843" xr:uid="{00000000-0005-0000-0000-0000B30E0000}"/>
    <cellStyle name="20 % - Markeringsfarve2 2 2 5 2" xfId="1844" xr:uid="{00000000-0005-0000-0000-0000B40E0000}"/>
    <cellStyle name="20 % - Markeringsfarve2 2 2 5 2 2" xfId="1845" xr:uid="{00000000-0005-0000-0000-0000B50E0000}"/>
    <cellStyle name="20 % - Markeringsfarve2 2 2 5 2 2 2" xfId="7969" xr:uid="{00000000-0005-0000-0000-0000B60E0000}"/>
    <cellStyle name="20 % - Markeringsfarve2 2 2 5 2 2 2 2" xfId="15871" xr:uid="{00000000-0005-0000-0000-0000B70E0000}"/>
    <cellStyle name="20 % - Markeringsfarve2 2 2 5 2 2 2 2 2" xfId="32186" xr:uid="{00000000-0005-0000-0000-0000B80E0000}"/>
    <cellStyle name="20 % - Markeringsfarve2 2 2 5 2 2 2 2 3" xfId="47150" xr:uid="{00000000-0005-0000-0000-0000B90E0000}"/>
    <cellStyle name="20 % - Markeringsfarve2 2 2 5 2 2 2 3" xfId="25164" xr:uid="{00000000-0005-0000-0000-0000BA0E0000}"/>
    <cellStyle name="20 % - Markeringsfarve2 2 2 5 2 2 2 4" xfId="40151" xr:uid="{00000000-0005-0000-0000-0000BB0E0000}"/>
    <cellStyle name="20 % - Markeringsfarve2 2 2 5 2 2 3" xfId="10405" xr:uid="{00000000-0005-0000-0000-0000BC0E0000}"/>
    <cellStyle name="20 % - Markeringsfarve2 2 2 5 2 2 3 2" xfId="26725" xr:uid="{00000000-0005-0000-0000-0000BD0E0000}"/>
    <cellStyle name="20 % - Markeringsfarve2 2 2 5 2 2 3 3" xfId="41691" xr:uid="{00000000-0005-0000-0000-0000BE0E0000}"/>
    <cellStyle name="20 % - Markeringsfarve2 2 2 5 2 2 4" xfId="19703" xr:uid="{00000000-0005-0000-0000-0000BF0E0000}"/>
    <cellStyle name="20 % - Markeringsfarve2 2 2 5 2 2 5" xfId="34692" xr:uid="{00000000-0005-0000-0000-0000C00E0000}"/>
    <cellStyle name="20 % - Markeringsfarve2 2 2 5 2 3" xfId="6488" xr:uid="{00000000-0005-0000-0000-0000C10E0000}"/>
    <cellStyle name="20 % - Markeringsfarve2 2 2 5 2 3 2" xfId="14403" xr:uid="{00000000-0005-0000-0000-0000C20E0000}"/>
    <cellStyle name="20 % - Markeringsfarve2 2 2 5 2 3 2 2" xfId="30718" xr:uid="{00000000-0005-0000-0000-0000C30E0000}"/>
    <cellStyle name="20 % - Markeringsfarve2 2 2 5 2 3 2 3" xfId="45682" xr:uid="{00000000-0005-0000-0000-0000C40E0000}"/>
    <cellStyle name="20 % - Markeringsfarve2 2 2 5 2 3 3" xfId="23696" xr:uid="{00000000-0005-0000-0000-0000C50E0000}"/>
    <cellStyle name="20 % - Markeringsfarve2 2 2 5 2 3 4" xfId="38683" xr:uid="{00000000-0005-0000-0000-0000C60E0000}"/>
    <cellStyle name="20 % - Markeringsfarve2 2 2 5 2 4" xfId="10404" xr:uid="{00000000-0005-0000-0000-0000C70E0000}"/>
    <cellStyle name="20 % - Markeringsfarve2 2 2 5 2 4 2" xfId="26724" xr:uid="{00000000-0005-0000-0000-0000C80E0000}"/>
    <cellStyle name="20 % - Markeringsfarve2 2 2 5 2 4 3" xfId="41690" xr:uid="{00000000-0005-0000-0000-0000C90E0000}"/>
    <cellStyle name="20 % - Markeringsfarve2 2 2 5 2 5" xfId="19702" xr:uid="{00000000-0005-0000-0000-0000CA0E0000}"/>
    <cellStyle name="20 % - Markeringsfarve2 2 2 5 2 6" xfId="34691" xr:uid="{00000000-0005-0000-0000-0000CB0E0000}"/>
    <cellStyle name="20 % - Markeringsfarve2 2 2 5 3" xfId="1846" xr:uid="{00000000-0005-0000-0000-0000CC0E0000}"/>
    <cellStyle name="20 % - Markeringsfarve2 2 2 5 3 2" xfId="7245" xr:uid="{00000000-0005-0000-0000-0000CD0E0000}"/>
    <cellStyle name="20 % - Markeringsfarve2 2 2 5 3 2 2" xfId="15156" xr:uid="{00000000-0005-0000-0000-0000CE0E0000}"/>
    <cellStyle name="20 % - Markeringsfarve2 2 2 5 3 2 2 2" xfId="31471" xr:uid="{00000000-0005-0000-0000-0000CF0E0000}"/>
    <cellStyle name="20 % - Markeringsfarve2 2 2 5 3 2 2 3" xfId="46435" xr:uid="{00000000-0005-0000-0000-0000D00E0000}"/>
    <cellStyle name="20 % - Markeringsfarve2 2 2 5 3 2 3" xfId="24449" xr:uid="{00000000-0005-0000-0000-0000D10E0000}"/>
    <cellStyle name="20 % - Markeringsfarve2 2 2 5 3 2 4" xfId="39436" xr:uid="{00000000-0005-0000-0000-0000D20E0000}"/>
    <cellStyle name="20 % - Markeringsfarve2 2 2 5 3 3" xfId="10406" xr:uid="{00000000-0005-0000-0000-0000D30E0000}"/>
    <cellStyle name="20 % - Markeringsfarve2 2 2 5 3 3 2" xfId="26726" xr:uid="{00000000-0005-0000-0000-0000D40E0000}"/>
    <cellStyle name="20 % - Markeringsfarve2 2 2 5 3 3 3" xfId="41692" xr:uid="{00000000-0005-0000-0000-0000D50E0000}"/>
    <cellStyle name="20 % - Markeringsfarve2 2 2 5 3 4" xfId="19704" xr:uid="{00000000-0005-0000-0000-0000D60E0000}"/>
    <cellStyle name="20 % - Markeringsfarve2 2 2 5 3 5" xfId="34693" xr:uid="{00000000-0005-0000-0000-0000D70E0000}"/>
    <cellStyle name="20 % - Markeringsfarve2 2 2 5 4" xfId="1847" xr:uid="{00000000-0005-0000-0000-0000D80E0000}"/>
    <cellStyle name="20 % - Markeringsfarve2 2 2 5 4 2" xfId="8268" xr:uid="{00000000-0005-0000-0000-0000D90E0000}"/>
    <cellStyle name="20 % - Markeringsfarve2 2 2 5 4 2 2" xfId="16163" xr:uid="{00000000-0005-0000-0000-0000DA0E0000}"/>
    <cellStyle name="20 % - Markeringsfarve2 2 2 5 4 2 2 2" xfId="32478" xr:uid="{00000000-0005-0000-0000-0000DB0E0000}"/>
    <cellStyle name="20 % - Markeringsfarve2 2 2 5 4 2 2 3" xfId="47442" xr:uid="{00000000-0005-0000-0000-0000DC0E0000}"/>
    <cellStyle name="20 % - Markeringsfarve2 2 2 5 4 2 3" xfId="25456" xr:uid="{00000000-0005-0000-0000-0000DD0E0000}"/>
    <cellStyle name="20 % - Markeringsfarve2 2 2 5 4 2 4" xfId="40443" xr:uid="{00000000-0005-0000-0000-0000DE0E0000}"/>
    <cellStyle name="20 % - Markeringsfarve2 2 2 5 4 3" xfId="10407" xr:uid="{00000000-0005-0000-0000-0000DF0E0000}"/>
    <cellStyle name="20 % - Markeringsfarve2 2 2 5 4 3 2" xfId="26727" xr:uid="{00000000-0005-0000-0000-0000E00E0000}"/>
    <cellStyle name="20 % - Markeringsfarve2 2 2 5 4 3 3" xfId="41693" xr:uid="{00000000-0005-0000-0000-0000E10E0000}"/>
    <cellStyle name="20 % - Markeringsfarve2 2 2 5 4 4" xfId="19705" xr:uid="{00000000-0005-0000-0000-0000E20E0000}"/>
    <cellStyle name="20 % - Markeringsfarve2 2 2 5 4 5" xfId="34694" xr:uid="{00000000-0005-0000-0000-0000E30E0000}"/>
    <cellStyle name="20 % - Markeringsfarve2 2 2 5 5" xfId="5411" xr:uid="{00000000-0005-0000-0000-0000E40E0000}"/>
    <cellStyle name="20 % - Markeringsfarve2 2 2 5 5 2" xfId="13330" xr:uid="{00000000-0005-0000-0000-0000E50E0000}"/>
    <cellStyle name="20 % - Markeringsfarve2 2 2 5 5 2 2" xfId="29645" xr:uid="{00000000-0005-0000-0000-0000E60E0000}"/>
    <cellStyle name="20 % - Markeringsfarve2 2 2 5 5 2 3" xfId="44609" xr:uid="{00000000-0005-0000-0000-0000E70E0000}"/>
    <cellStyle name="20 % - Markeringsfarve2 2 2 5 5 3" xfId="22623" xr:uid="{00000000-0005-0000-0000-0000E80E0000}"/>
    <cellStyle name="20 % - Markeringsfarve2 2 2 5 5 4" xfId="37610" xr:uid="{00000000-0005-0000-0000-0000E90E0000}"/>
    <cellStyle name="20 % - Markeringsfarve2 2 2 5 6" xfId="10403" xr:uid="{00000000-0005-0000-0000-0000EA0E0000}"/>
    <cellStyle name="20 % - Markeringsfarve2 2 2 5 6 2" xfId="26723" xr:uid="{00000000-0005-0000-0000-0000EB0E0000}"/>
    <cellStyle name="20 % - Markeringsfarve2 2 2 5 6 3" xfId="41689" xr:uid="{00000000-0005-0000-0000-0000EC0E0000}"/>
    <cellStyle name="20 % - Markeringsfarve2 2 2 5 7" xfId="19701" xr:uid="{00000000-0005-0000-0000-0000ED0E0000}"/>
    <cellStyle name="20 % - Markeringsfarve2 2 2 5 8" xfId="34690" xr:uid="{00000000-0005-0000-0000-0000EE0E0000}"/>
    <cellStyle name="20 % - Markeringsfarve2 2 2 6" xfId="1848" xr:uid="{00000000-0005-0000-0000-0000EF0E0000}"/>
    <cellStyle name="20 % - Markeringsfarve2 2 2 6 2" xfId="1849" xr:uid="{00000000-0005-0000-0000-0000F00E0000}"/>
    <cellStyle name="20 % - Markeringsfarve2 2 2 6 2 2" xfId="1850" xr:uid="{00000000-0005-0000-0000-0000F10E0000}"/>
    <cellStyle name="20 % - Markeringsfarve2 2 2 6 2 2 2" xfId="8030" xr:uid="{00000000-0005-0000-0000-0000F20E0000}"/>
    <cellStyle name="20 % - Markeringsfarve2 2 2 6 2 2 2 2" xfId="15932" xr:uid="{00000000-0005-0000-0000-0000F30E0000}"/>
    <cellStyle name="20 % - Markeringsfarve2 2 2 6 2 2 2 2 2" xfId="32247" xr:uid="{00000000-0005-0000-0000-0000F40E0000}"/>
    <cellStyle name="20 % - Markeringsfarve2 2 2 6 2 2 2 2 3" xfId="47211" xr:uid="{00000000-0005-0000-0000-0000F50E0000}"/>
    <cellStyle name="20 % - Markeringsfarve2 2 2 6 2 2 2 3" xfId="25225" xr:uid="{00000000-0005-0000-0000-0000F60E0000}"/>
    <cellStyle name="20 % - Markeringsfarve2 2 2 6 2 2 2 4" xfId="40212" xr:uid="{00000000-0005-0000-0000-0000F70E0000}"/>
    <cellStyle name="20 % - Markeringsfarve2 2 2 6 2 2 3" xfId="10410" xr:uid="{00000000-0005-0000-0000-0000F80E0000}"/>
    <cellStyle name="20 % - Markeringsfarve2 2 2 6 2 2 3 2" xfId="26730" xr:uid="{00000000-0005-0000-0000-0000F90E0000}"/>
    <cellStyle name="20 % - Markeringsfarve2 2 2 6 2 2 3 3" xfId="41696" xr:uid="{00000000-0005-0000-0000-0000FA0E0000}"/>
    <cellStyle name="20 % - Markeringsfarve2 2 2 6 2 2 4" xfId="19708" xr:uid="{00000000-0005-0000-0000-0000FB0E0000}"/>
    <cellStyle name="20 % - Markeringsfarve2 2 2 6 2 2 5" xfId="34697" xr:uid="{00000000-0005-0000-0000-0000FC0E0000}"/>
    <cellStyle name="20 % - Markeringsfarve2 2 2 6 2 3" xfId="6541" xr:uid="{00000000-0005-0000-0000-0000FD0E0000}"/>
    <cellStyle name="20 % - Markeringsfarve2 2 2 6 2 3 2" xfId="14456" xr:uid="{00000000-0005-0000-0000-0000FE0E0000}"/>
    <cellStyle name="20 % - Markeringsfarve2 2 2 6 2 3 2 2" xfId="30771" xr:uid="{00000000-0005-0000-0000-0000FF0E0000}"/>
    <cellStyle name="20 % - Markeringsfarve2 2 2 6 2 3 2 3" xfId="45735" xr:uid="{00000000-0005-0000-0000-0000000F0000}"/>
    <cellStyle name="20 % - Markeringsfarve2 2 2 6 2 3 3" xfId="23749" xr:uid="{00000000-0005-0000-0000-0000010F0000}"/>
    <cellStyle name="20 % - Markeringsfarve2 2 2 6 2 3 4" xfId="38736" xr:uid="{00000000-0005-0000-0000-0000020F0000}"/>
    <cellStyle name="20 % - Markeringsfarve2 2 2 6 2 4" xfId="10409" xr:uid="{00000000-0005-0000-0000-0000030F0000}"/>
    <cellStyle name="20 % - Markeringsfarve2 2 2 6 2 4 2" xfId="26729" xr:uid="{00000000-0005-0000-0000-0000040F0000}"/>
    <cellStyle name="20 % - Markeringsfarve2 2 2 6 2 4 3" xfId="41695" xr:uid="{00000000-0005-0000-0000-0000050F0000}"/>
    <cellStyle name="20 % - Markeringsfarve2 2 2 6 2 5" xfId="19707" xr:uid="{00000000-0005-0000-0000-0000060F0000}"/>
    <cellStyle name="20 % - Markeringsfarve2 2 2 6 2 6" xfId="34696" xr:uid="{00000000-0005-0000-0000-0000070F0000}"/>
    <cellStyle name="20 % - Markeringsfarve2 2 2 6 3" xfId="1851" xr:uid="{00000000-0005-0000-0000-0000080F0000}"/>
    <cellStyle name="20 % - Markeringsfarve2 2 2 6 3 2" xfId="7307" xr:uid="{00000000-0005-0000-0000-0000090F0000}"/>
    <cellStyle name="20 % - Markeringsfarve2 2 2 6 3 2 2" xfId="15218" xr:uid="{00000000-0005-0000-0000-00000A0F0000}"/>
    <cellStyle name="20 % - Markeringsfarve2 2 2 6 3 2 2 2" xfId="31533" xr:uid="{00000000-0005-0000-0000-00000B0F0000}"/>
    <cellStyle name="20 % - Markeringsfarve2 2 2 6 3 2 2 3" xfId="46497" xr:uid="{00000000-0005-0000-0000-00000C0F0000}"/>
    <cellStyle name="20 % - Markeringsfarve2 2 2 6 3 2 3" xfId="24511" xr:uid="{00000000-0005-0000-0000-00000D0F0000}"/>
    <cellStyle name="20 % - Markeringsfarve2 2 2 6 3 2 4" xfId="39498" xr:uid="{00000000-0005-0000-0000-00000E0F0000}"/>
    <cellStyle name="20 % - Markeringsfarve2 2 2 6 3 3" xfId="10411" xr:uid="{00000000-0005-0000-0000-00000F0F0000}"/>
    <cellStyle name="20 % - Markeringsfarve2 2 2 6 3 3 2" xfId="26731" xr:uid="{00000000-0005-0000-0000-0000100F0000}"/>
    <cellStyle name="20 % - Markeringsfarve2 2 2 6 3 3 3" xfId="41697" xr:uid="{00000000-0005-0000-0000-0000110F0000}"/>
    <cellStyle name="20 % - Markeringsfarve2 2 2 6 3 4" xfId="19709" xr:uid="{00000000-0005-0000-0000-0000120F0000}"/>
    <cellStyle name="20 % - Markeringsfarve2 2 2 6 3 5" xfId="34698" xr:uid="{00000000-0005-0000-0000-0000130F0000}"/>
    <cellStyle name="20 % - Markeringsfarve2 2 2 6 4" xfId="1852" xr:uid="{00000000-0005-0000-0000-0000140F0000}"/>
    <cellStyle name="20 % - Markeringsfarve2 2 2 6 4 2" xfId="7048" xr:uid="{00000000-0005-0000-0000-0000150F0000}"/>
    <cellStyle name="20 % - Markeringsfarve2 2 2 6 4 2 2" xfId="14959" xr:uid="{00000000-0005-0000-0000-0000160F0000}"/>
    <cellStyle name="20 % - Markeringsfarve2 2 2 6 4 2 2 2" xfId="31274" xr:uid="{00000000-0005-0000-0000-0000170F0000}"/>
    <cellStyle name="20 % - Markeringsfarve2 2 2 6 4 2 2 3" xfId="46238" xr:uid="{00000000-0005-0000-0000-0000180F0000}"/>
    <cellStyle name="20 % - Markeringsfarve2 2 2 6 4 2 3" xfId="24252" xr:uid="{00000000-0005-0000-0000-0000190F0000}"/>
    <cellStyle name="20 % - Markeringsfarve2 2 2 6 4 2 4" xfId="39239" xr:uid="{00000000-0005-0000-0000-00001A0F0000}"/>
    <cellStyle name="20 % - Markeringsfarve2 2 2 6 4 3" xfId="10412" xr:uid="{00000000-0005-0000-0000-00001B0F0000}"/>
    <cellStyle name="20 % - Markeringsfarve2 2 2 6 4 3 2" xfId="26732" xr:uid="{00000000-0005-0000-0000-00001C0F0000}"/>
    <cellStyle name="20 % - Markeringsfarve2 2 2 6 4 3 3" xfId="41698" xr:uid="{00000000-0005-0000-0000-00001D0F0000}"/>
    <cellStyle name="20 % - Markeringsfarve2 2 2 6 4 4" xfId="19710" xr:uid="{00000000-0005-0000-0000-00001E0F0000}"/>
    <cellStyle name="20 % - Markeringsfarve2 2 2 6 4 5" xfId="34699" xr:uid="{00000000-0005-0000-0000-00001F0F0000}"/>
    <cellStyle name="20 % - Markeringsfarve2 2 2 6 5" xfId="5412" xr:uid="{00000000-0005-0000-0000-0000200F0000}"/>
    <cellStyle name="20 % - Markeringsfarve2 2 2 6 5 2" xfId="13331" xr:uid="{00000000-0005-0000-0000-0000210F0000}"/>
    <cellStyle name="20 % - Markeringsfarve2 2 2 6 5 2 2" xfId="29646" xr:uid="{00000000-0005-0000-0000-0000220F0000}"/>
    <cellStyle name="20 % - Markeringsfarve2 2 2 6 5 2 3" xfId="44610" xr:uid="{00000000-0005-0000-0000-0000230F0000}"/>
    <cellStyle name="20 % - Markeringsfarve2 2 2 6 5 3" xfId="22624" xr:uid="{00000000-0005-0000-0000-0000240F0000}"/>
    <cellStyle name="20 % - Markeringsfarve2 2 2 6 5 4" xfId="37611" xr:uid="{00000000-0005-0000-0000-0000250F0000}"/>
    <cellStyle name="20 % - Markeringsfarve2 2 2 6 6" xfId="10408" xr:uid="{00000000-0005-0000-0000-0000260F0000}"/>
    <cellStyle name="20 % - Markeringsfarve2 2 2 6 6 2" xfId="26728" xr:uid="{00000000-0005-0000-0000-0000270F0000}"/>
    <cellStyle name="20 % - Markeringsfarve2 2 2 6 6 3" xfId="41694" xr:uid="{00000000-0005-0000-0000-0000280F0000}"/>
    <cellStyle name="20 % - Markeringsfarve2 2 2 6 7" xfId="19706" xr:uid="{00000000-0005-0000-0000-0000290F0000}"/>
    <cellStyle name="20 % - Markeringsfarve2 2 2 6 8" xfId="34695" xr:uid="{00000000-0005-0000-0000-00002A0F0000}"/>
    <cellStyle name="20 % - Markeringsfarve2 2 2 7" xfId="1853" xr:uid="{00000000-0005-0000-0000-00002B0F0000}"/>
    <cellStyle name="20 % - Markeringsfarve2 2 2 7 2" xfId="1854" xr:uid="{00000000-0005-0000-0000-00002C0F0000}"/>
    <cellStyle name="20 % - Markeringsfarve2 2 2 7 2 2" xfId="7495" xr:uid="{00000000-0005-0000-0000-00002D0F0000}"/>
    <cellStyle name="20 % - Markeringsfarve2 2 2 7 2 2 2" xfId="15397" xr:uid="{00000000-0005-0000-0000-00002E0F0000}"/>
    <cellStyle name="20 % - Markeringsfarve2 2 2 7 2 2 2 2" xfId="31712" xr:uid="{00000000-0005-0000-0000-00002F0F0000}"/>
    <cellStyle name="20 % - Markeringsfarve2 2 2 7 2 2 2 3" xfId="46676" xr:uid="{00000000-0005-0000-0000-0000300F0000}"/>
    <cellStyle name="20 % - Markeringsfarve2 2 2 7 2 2 3" xfId="24690" xr:uid="{00000000-0005-0000-0000-0000310F0000}"/>
    <cellStyle name="20 % - Markeringsfarve2 2 2 7 2 2 4" xfId="39677" xr:uid="{00000000-0005-0000-0000-0000320F0000}"/>
    <cellStyle name="20 % - Markeringsfarve2 2 2 7 2 3" xfId="10414" xr:uid="{00000000-0005-0000-0000-0000330F0000}"/>
    <cellStyle name="20 % - Markeringsfarve2 2 2 7 2 3 2" xfId="26734" xr:uid="{00000000-0005-0000-0000-0000340F0000}"/>
    <cellStyle name="20 % - Markeringsfarve2 2 2 7 2 3 3" xfId="41700" xr:uid="{00000000-0005-0000-0000-0000350F0000}"/>
    <cellStyle name="20 % - Markeringsfarve2 2 2 7 2 4" xfId="19712" xr:uid="{00000000-0005-0000-0000-0000360F0000}"/>
    <cellStyle name="20 % - Markeringsfarve2 2 2 7 2 5" xfId="34701" xr:uid="{00000000-0005-0000-0000-0000370F0000}"/>
    <cellStyle name="20 % - Markeringsfarve2 2 2 7 3" xfId="6088" xr:uid="{00000000-0005-0000-0000-0000380F0000}"/>
    <cellStyle name="20 % - Markeringsfarve2 2 2 7 3 2" xfId="14006" xr:uid="{00000000-0005-0000-0000-0000390F0000}"/>
    <cellStyle name="20 % - Markeringsfarve2 2 2 7 3 2 2" xfId="30321" xr:uid="{00000000-0005-0000-0000-00003A0F0000}"/>
    <cellStyle name="20 % - Markeringsfarve2 2 2 7 3 2 3" xfId="45285" xr:uid="{00000000-0005-0000-0000-00003B0F0000}"/>
    <cellStyle name="20 % - Markeringsfarve2 2 2 7 3 3" xfId="23299" xr:uid="{00000000-0005-0000-0000-00003C0F0000}"/>
    <cellStyle name="20 % - Markeringsfarve2 2 2 7 3 4" xfId="38286" xr:uid="{00000000-0005-0000-0000-00003D0F0000}"/>
    <cellStyle name="20 % - Markeringsfarve2 2 2 7 4" xfId="10413" xr:uid="{00000000-0005-0000-0000-00003E0F0000}"/>
    <cellStyle name="20 % - Markeringsfarve2 2 2 7 4 2" xfId="26733" xr:uid="{00000000-0005-0000-0000-00003F0F0000}"/>
    <cellStyle name="20 % - Markeringsfarve2 2 2 7 4 3" xfId="41699" xr:uid="{00000000-0005-0000-0000-0000400F0000}"/>
    <cellStyle name="20 % - Markeringsfarve2 2 2 7 5" xfId="19711" xr:uid="{00000000-0005-0000-0000-0000410F0000}"/>
    <cellStyle name="20 % - Markeringsfarve2 2 2 7 6" xfId="34700" xr:uid="{00000000-0005-0000-0000-0000420F0000}"/>
    <cellStyle name="20 % - Markeringsfarve2 2 2 8" xfId="1855" xr:uid="{00000000-0005-0000-0000-0000430F0000}"/>
    <cellStyle name="20 % - Markeringsfarve2 2 2 8 2" xfId="6723" xr:uid="{00000000-0005-0000-0000-0000440F0000}"/>
    <cellStyle name="20 % - Markeringsfarve2 2 2 8 2 2" xfId="14635" xr:uid="{00000000-0005-0000-0000-0000450F0000}"/>
    <cellStyle name="20 % - Markeringsfarve2 2 2 8 2 2 2" xfId="30950" xr:uid="{00000000-0005-0000-0000-0000460F0000}"/>
    <cellStyle name="20 % - Markeringsfarve2 2 2 8 2 2 3" xfId="45914" xr:uid="{00000000-0005-0000-0000-0000470F0000}"/>
    <cellStyle name="20 % - Markeringsfarve2 2 2 8 2 3" xfId="23928" xr:uid="{00000000-0005-0000-0000-0000480F0000}"/>
    <cellStyle name="20 % - Markeringsfarve2 2 2 8 2 4" xfId="38915" xr:uid="{00000000-0005-0000-0000-0000490F0000}"/>
    <cellStyle name="20 % - Markeringsfarve2 2 2 8 3" xfId="10415" xr:uid="{00000000-0005-0000-0000-00004A0F0000}"/>
    <cellStyle name="20 % - Markeringsfarve2 2 2 8 3 2" xfId="26735" xr:uid="{00000000-0005-0000-0000-00004B0F0000}"/>
    <cellStyle name="20 % - Markeringsfarve2 2 2 8 3 3" xfId="41701" xr:uid="{00000000-0005-0000-0000-00004C0F0000}"/>
    <cellStyle name="20 % - Markeringsfarve2 2 2 8 4" xfId="19713" xr:uid="{00000000-0005-0000-0000-00004D0F0000}"/>
    <cellStyle name="20 % - Markeringsfarve2 2 2 8 5" xfId="34702" xr:uid="{00000000-0005-0000-0000-00004E0F0000}"/>
    <cellStyle name="20 % - Markeringsfarve2 2 2 9" xfId="1856" xr:uid="{00000000-0005-0000-0000-00004F0F0000}"/>
    <cellStyle name="20 % - Markeringsfarve2 2 2 9 2" xfId="8271" xr:uid="{00000000-0005-0000-0000-0000500F0000}"/>
    <cellStyle name="20 % - Markeringsfarve2 2 2 9 2 2" xfId="16166" xr:uid="{00000000-0005-0000-0000-0000510F0000}"/>
    <cellStyle name="20 % - Markeringsfarve2 2 2 9 2 2 2" xfId="32481" xr:uid="{00000000-0005-0000-0000-0000520F0000}"/>
    <cellStyle name="20 % - Markeringsfarve2 2 2 9 2 2 3" xfId="47445" xr:uid="{00000000-0005-0000-0000-0000530F0000}"/>
    <cellStyle name="20 % - Markeringsfarve2 2 2 9 2 3" xfId="25459" xr:uid="{00000000-0005-0000-0000-0000540F0000}"/>
    <cellStyle name="20 % - Markeringsfarve2 2 2 9 2 4" xfId="40446" xr:uid="{00000000-0005-0000-0000-0000550F0000}"/>
    <cellStyle name="20 % - Markeringsfarve2 2 2 9 3" xfId="10416" xr:uid="{00000000-0005-0000-0000-0000560F0000}"/>
    <cellStyle name="20 % - Markeringsfarve2 2 2 9 3 2" xfId="26736" xr:uid="{00000000-0005-0000-0000-0000570F0000}"/>
    <cellStyle name="20 % - Markeringsfarve2 2 2 9 3 3" xfId="41702" xr:uid="{00000000-0005-0000-0000-0000580F0000}"/>
    <cellStyle name="20 % - Markeringsfarve2 2 2 9 4" xfId="19714" xr:uid="{00000000-0005-0000-0000-0000590F0000}"/>
    <cellStyle name="20 % - Markeringsfarve2 2 2 9 5" xfId="34703" xr:uid="{00000000-0005-0000-0000-00005A0F0000}"/>
    <cellStyle name="20 % - Markeringsfarve2 2 3" xfId="1857" xr:uid="{00000000-0005-0000-0000-00005B0F0000}"/>
    <cellStyle name="20 % - Markeringsfarve2 2 3 10" xfId="5413" xr:uid="{00000000-0005-0000-0000-00005C0F0000}"/>
    <cellStyle name="20 % - Markeringsfarve2 2 3 10 2" xfId="13332" xr:uid="{00000000-0005-0000-0000-00005D0F0000}"/>
    <cellStyle name="20 % - Markeringsfarve2 2 3 10 2 2" xfId="29647" xr:uid="{00000000-0005-0000-0000-00005E0F0000}"/>
    <cellStyle name="20 % - Markeringsfarve2 2 3 10 2 3" xfId="44611" xr:uid="{00000000-0005-0000-0000-00005F0F0000}"/>
    <cellStyle name="20 % - Markeringsfarve2 2 3 10 3" xfId="22625" xr:uid="{00000000-0005-0000-0000-0000600F0000}"/>
    <cellStyle name="20 % - Markeringsfarve2 2 3 10 4" xfId="37612" xr:uid="{00000000-0005-0000-0000-0000610F0000}"/>
    <cellStyle name="20 % - Markeringsfarve2 2 3 11" xfId="10417" xr:uid="{00000000-0005-0000-0000-0000620F0000}"/>
    <cellStyle name="20 % - Markeringsfarve2 2 3 11 2" xfId="26737" xr:uid="{00000000-0005-0000-0000-0000630F0000}"/>
    <cellStyle name="20 % - Markeringsfarve2 2 3 11 3" xfId="41703" xr:uid="{00000000-0005-0000-0000-0000640F0000}"/>
    <cellStyle name="20 % - Markeringsfarve2 2 3 12" xfId="19715" xr:uid="{00000000-0005-0000-0000-0000650F0000}"/>
    <cellStyle name="20 % - Markeringsfarve2 2 3 13" xfId="34704" xr:uid="{00000000-0005-0000-0000-0000660F0000}"/>
    <cellStyle name="20 % - Markeringsfarve2 2 3 14" xfId="53263" xr:uid="{00000000-0005-0000-0000-0000670F0000}"/>
    <cellStyle name="20 % - Markeringsfarve2 2 3 2" xfId="1858" xr:uid="{00000000-0005-0000-0000-0000680F0000}"/>
    <cellStyle name="20 % - Markeringsfarve2 2 3 2 2" xfId="1859" xr:uid="{00000000-0005-0000-0000-0000690F0000}"/>
    <cellStyle name="20 % - Markeringsfarve2 2 3 2 2 2" xfId="1860" xr:uid="{00000000-0005-0000-0000-00006A0F0000}"/>
    <cellStyle name="20 % - Markeringsfarve2 2 3 2 2 2 2" xfId="7653" xr:uid="{00000000-0005-0000-0000-00006B0F0000}"/>
    <cellStyle name="20 % - Markeringsfarve2 2 3 2 2 2 2 2" xfId="15555" xr:uid="{00000000-0005-0000-0000-00006C0F0000}"/>
    <cellStyle name="20 % - Markeringsfarve2 2 3 2 2 2 2 2 2" xfId="31870" xr:uid="{00000000-0005-0000-0000-00006D0F0000}"/>
    <cellStyle name="20 % - Markeringsfarve2 2 3 2 2 2 2 2 3" xfId="46834" xr:uid="{00000000-0005-0000-0000-00006E0F0000}"/>
    <cellStyle name="20 % - Markeringsfarve2 2 3 2 2 2 2 3" xfId="24848" xr:uid="{00000000-0005-0000-0000-00006F0F0000}"/>
    <cellStyle name="20 % - Markeringsfarve2 2 3 2 2 2 2 4" xfId="39835" xr:uid="{00000000-0005-0000-0000-0000700F0000}"/>
    <cellStyle name="20 % - Markeringsfarve2 2 3 2 2 2 3" xfId="10420" xr:uid="{00000000-0005-0000-0000-0000710F0000}"/>
    <cellStyle name="20 % - Markeringsfarve2 2 3 2 2 2 3 2" xfId="26740" xr:uid="{00000000-0005-0000-0000-0000720F0000}"/>
    <cellStyle name="20 % - Markeringsfarve2 2 3 2 2 2 3 3" xfId="41706" xr:uid="{00000000-0005-0000-0000-0000730F0000}"/>
    <cellStyle name="20 % - Markeringsfarve2 2 3 2 2 2 4" xfId="19718" xr:uid="{00000000-0005-0000-0000-0000740F0000}"/>
    <cellStyle name="20 % - Markeringsfarve2 2 3 2 2 2 5" xfId="34707" xr:uid="{00000000-0005-0000-0000-0000750F0000}"/>
    <cellStyle name="20 % - Markeringsfarve2 2 3 2 2 3" xfId="6220" xr:uid="{00000000-0005-0000-0000-0000760F0000}"/>
    <cellStyle name="20 % - Markeringsfarve2 2 3 2 2 3 2" xfId="14138" xr:uid="{00000000-0005-0000-0000-0000770F0000}"/>
    <cellStyle name="20 % - Markeringsfarve2 2 3 2 2 3 2 2" xfId="30453" xr:uid="{00000000-0005-0000-0000-0000780F0000}"/>
    <cellStyle name="20 % - Markeringsfarve2 2 3 2 2 3 2 3" xfId="45417" xr:uid="{00000000-0005-0000-0000-0000790F0000}"/>
    <cellStyle name="20 % - Markeringsfarve2 2 3 2 2 3 3" xfId="23431" xr:uid="{00000000-0005-0000-0000-00007A0F0000}"/>
    <cellStyle name="20 % - Markeringsfarve2 2 3 2 2 3 4" xfId="38418" xr:uid="{00000000-0005-0000-0000-00007B0F0000}"/>
    <cellStyle name="20 % - Markeringsfarve2 2 3 2 2 4" xfId="10419" xr:uid="{00000000-0005-0000-0000-00007C0F0000}"/>
    <cellStyle name="20 % - Markeringsfarve2 2 3 2 2 4 2" xfId="26739" xr:uid="{00000000-0005-0000-0000-00007D0F0000}"/>
    <cellStyle name="20 % - Markeringsfarve2 2 3 2 2 4 3" xfId="41705" xr:uid="{00000000-0005-0000-0000-00007E0F0000}"/>
    <cellStyle name="20 % - Markeringsfarve2 2 3 2 2 5" xfId="19717" xr:uid="{00000000-0005-0000-0000-00007F0F0000}"/>
    <cellStyle name="20 % - Markeringsfarve2 2 3 2 2 6" xfId="34706" xr:uid="{00000000-0005-0000-0000-0000800F0000}"/>
    <cellStyle name="20 % - Markeringsfarve2 2 3 2 2 7" xfId="57067" xr:uid="{00000000-0005-0000-0000-0000810F0000}"/>
    <cellStyle name="20 % - Markeringsfarve2 2 3 2 3" xfId="1861" xr:uid="{00000000-0005-0000-0000-0000820F0000}"/>
    <cellStyle name="20 % - Markeringsfarve2 2 3 2 3 2" xfId="6883" xr:uid="{00000000-0005-0000-0000-0000830F0000}"/>
    <cellStyle name="20 % - Markeringsfarve2 2 3 2 3 2 2" xfId="14795" xr:uid="{00000000-0005-0000-0000-0000840F0000}"/>
    <cellStyle name="20 % - Markeringsfarve2 2 3 2 3 2 2 2" xfId="31110" xr:uid="{00000000-0005-0000-0000-0000850F0000}"/>
    <cellStyle name="20 % - Markeringsfarve2 2 3 2 3 2 2 3" xfId="46074" xr:uid="{00000000-0005-0000-0000-0000860F0000}"/>
    <cellStyle name="20 % - Markeringsfarve2 2 3 2 3 2 3" xfId="24088" xr:uid="{00000000-0005-0000-0000-0000870F0000}"/>
    <cellStyle name="20 % - Markeringsfarve2 2 3 2 3 2 4" xfId="39075" xr:uid="{00000000-0005-0000-0000-0000880F0000}"/>
    <cellStyle name="20 % - Markeringsfarve2 2 3 2 3 3" xfId="10421" xr:uid="{00000000-0005-0000-0000-0000890F0000}"/>
    <cellStyle name="20 % - Markeringsfarve2 2 3 2 3 3 2" xfId="26741" xr:uid="{00000000-0005-0000-0000-00008A0F0000}"/>
    <cellStyle name="20 % - Markeringsfarve2 2 3 2 3 3 3" xfId="41707" xr:uid="{00000000-0005-0000-0000-00008B0F0000}"/>
    <cellStyle name="20 % - Markeringsfarve2 2 3 2 3 4" xfId="19719" xr:uid="{00000000-0005-0000-0000-00008C0F0000}"/>
    <cellStyle name="20 % - Markeringsfarve2 2 3 2 3 5" xfId="34708" xr:uid="{00000000-0005-0000-0000-00008D0F0000}"/>
    <cellStyle name="20 % - Markeringsfarve2 2 3 2 4" xfId="1862" xr:uid="{00000000-0005-0000-0000-00008E0F0000}"/>
    <cellStyle name="20 % - Markeringsfarve2 2 3 2 4 2" xfId="7050" xr:uid="{00000000-0005-0000-0000-00008F0F0000}"/>
    <cellStyle name="20 % - Markeringsfarve2 2 3 2 4 2 2" xfId="14961" xr:uid="{00000000-0005-0000-0000-0000900F0000}"/>
    <cellStyle name="20 % - Markeringsfarve2 2 3 2 4 2 2 2" xfId="31276" xr:uid="{00000000-0005-0000-0000-0000910F0000}"/>
    <cellStyle name="20 % - Markeringsfarve2 2 3 2 4 2 2 3" xfId="46240" xr:uid="{00000000-0005-0000-0000-0000920F0000}"/>
    <cellStyle name="20 % - Markeringsfarve2 2 3 2 4 2 3" xfId="24254" xr:uid="{00000000-0005-0000-0000-0000930F0000}"/>
    <cellStyle name="20 % - Markeringsfarve2 2 3 2 4 2 4" xfId="39241" xr:uid="{00000000-0005-0000-0000-0000940F0000}"/>
    <cellStyle name="20 % - Markeringsfarve2 2 3 2 4 3" xfId="10422" xr:uid="{00000000-0005-0000-0000-0000950F0000}"/>
    <cellStyle name="20 % - Markeringsfarve2 2 3 2 4 3 2" xfId="26742" xr:uid="{00000000-0005-0000-0000-0000960F0000}"/>
    <cellStyle name="20 % - Markeringsfarve2 2 3 2 4 3 3" xfId="41708" xr:uid="{00000000-0005-0000-0000-0000970F0000}"/>
    <cellStyle name="20 % - Markeringsfarve2 2 3 2 4 4" xfId="19720" xr:uid="{00000000-0005-0000-0000-0000980F0000}"/>
    <cellStyle name="20 % - Markeringsfarve2 2 3 2 4 5" xfId="34709" xr:uid="{00000000-0005-0000-0000-0000990F0000}"/>
    <cellStyle name="20 % - Markeringsfarve2 2 3 2 5" xfId="5414" xr:uid="{00000000-0005-0000-0000-00009A0F0000}"/>
    <cellStyle name="20 % - Markeringsfarve2 2 3 2 5 2" xfId="13333" xr:uid="{00000000-0005-0000-0000-00009B0F0000}"/>
    <cellStyle name="20 % - Markeringsfarve2 2 3 2 5 2 2" xfId="29648" xr:uid="{00000000-0005-0000-0000-00009C0F0000}"/>
    <cellStyle name="20 % - Markeringsfarve2 2 3 2 5 2 3" xfId="44612" xr:uid="{00000000-0005-0000-0000-00009D0F0000}"/>
    <cellStyle name="20 % - Markeringsfarve2 2 3 2 5 3" xfId="22626" xr:uid="{00000000-0005-0000-0000-00009E0F0000}"/>
    <cellStyle name="20 % - Markeringsfarve2 2 3 2 5 4" xfId="37613" xr:uid="{00000000-0005-0000-0000-00009F0F0000}"/>
    <cellStyle name="20 % - Markeringsfarve2 2 3 2 6" xfId="10418" xr:uid="{00000000-0005-0000-0000-0000A00F0000}"/>
    <cellStyle name="20 % - Markeringsfarve2 2 3 2 6 2" xfId="26738" xr:uid="{00000000-0005-0000-0000-0000A10F0000}"/>
    <cellStyle name="20 % - Markeringsfarve2 2 3 2 6 3" xfId="41704" xr:uid="{00000000-0005-0000-0000-0000A20F0000}"/>
    <cellStyle name="20 % - Markeringsfarve2 2 3 2 7" xfId="19716" xr:uid="{00000000-0005-0000-0000-0000A30F0000}"/>
    <cellStyle name="20 % - Markeringsfarve2 2 3 2 8" xfId="34705" xr:uid="{00000000-0005-0000-0000-0000A40F0000}"/>
    <cellStyle name="20 % - Markeringsfarve2 2 3 2 9" xfId="53900" xr:uid="{00000000-0005-0000-0000-0000A50F0000}"/>
    <cellStyle name="20 % - Markeringsfarve2 2 3 3" xfId="1863" xr:uid="{00000000-0005-0000-0000-0000A60F0000}"/>
    <cellStyle name="20 % - Markeringsfarve2 2 3 3 2" xfId="1864" xr:uid="{00000000-0005-0000-0000-0000A70F0000}"/>
    <cellStyle name="20 % - Markeringsfarve2 2 3 3 2 2" xfId="1865" xr:uid="{00000000-0005-0000-0000-0000A80F0000}"/>
    <cellStyle name="20 % - Markeringsfarve2 2 3 3 2 2 2" xfId="7676" xr:uid="{00000000-0005-0000-0000-0000A90F0000}"/>
    <cellStyle name="20 % - Markeringsfarve2 2 3 3 2 2 2 2" xfId="15578" xr:uid="{00000000-0005-0000-0000-0000AA0F0000}"/>
    <cellStyle name="20 % - Markeringsfarve2 2 3 3 2 2 2 2 2" xfId="31893" xr:uid="{00000000-0005-0000-0000-0000AB0F0000}"/>
    <cellStyle name="20 % - Markeringsfarve2 2 3 3 2 2 2 2 3" xfId="46857" xr:uid="{00000000-0005-0000-0000-0000AC0F0000}"/>
    <cellStyle name="20 % - Markeringsfarve2 2 3 3 2 2 2 3" xfId="24871" xr:uid="{00000000-0005-0000-0000-0000AD0F0000}"/>
    <cellStyle name="20 % - Markeringsfarve2 2 3 3 2 2 2 4" xfId="39858" xr:uid="{00000000-0005-0000-0000-0000AE0F0000}"/>
    <cellStyle name="20 % - Markeringsfarve2 2 3 3 2 2 3" xfId="10425" xr:uid="{00000000-0005-0000-0000-0000AF0F0000}"/>
    <cellStyle name="20 % - Markeringsfarve2 2 3 3 2 2 3 2" xfId="26745" xr:uid="{00000000-0005-0000-0000-0000B00F0000}"/>
    <cellStyle name="20 % - Markeringsfarve2 2 3 3 2 2 3 3" xfId="41711" xr:uid="{00000000-0005-0000-0000-0000B10F0000}"/>
    <cellStyle name="20 % - Markeringsfarve2 2 3 3 2 2 4" xfId="19723" xr:uid="{00000000-0005-0000-0000-0000B20F0000}"/>
    <cellStyle name="20 % - Markeringsfarve2 2 3 3 2 2 5" xfId="34712" xr:uid="{00000000-0005-0000-0000-0000B30F0000}"/>
    <cellStyle name="20 % - Markeringsfarve2 2 3 3 2 3" xfId="6240" xr:uid="{00000000-0005-0000-0000-0000B40F0000}"/>
    <cellStyle name="20 % - Markeringsfarve2 2 3 3 2 3 2" xfId="14158" xr:uid="{00000000-0005-0000-0000-0000B50F0000}"/>
    <cellStyle name="20 % - Markeringsfarve2 2 3 3 2 3 2 2" xfId="30473" xr:uid="{00000000-0005-0000-0000-0000B60F0000}"/>
    <cellStyle name="20 % - Markeringsfarve2 2 3 3 2 3 2 3" xfId="45437" xr:uid="{00000000-0005-0000-0000-0000B70F0000}"/>
    <cellStyle name="20 % - Markeringsfarve2 2 3 3 2 3 3" xfId="23451" xr:uid="{00000000-0005-0000-0000-0000B80F0000}"/>
    <cellStyle name="20 % - Markeringsfarve2 2 3 3 2 3 4" xfId="38438" xr:uid="{00000000-0005-0000-0000-0000B90F0000}"/>
    <cellStyle name="20 % - Markeringsfarve2 2 3 3 2 4" xfId="10424" xr:uid="{00000000-0005-0000-0000-0000BA0F0000}"/>
    <cellStyle name="20 % - Markeringsfarve2 2 3 3 2 4 2" xfId="26744" xr:uid="{00000000-0005-0000-0000-0000BB0F0000}"/>
    <cellStyle name="20 % - Markeringsfarve2 2 3 3 2 4 3" xfId="41710" xr:uid="{00000000-0005-0000-0000-0000BC0F0000}"/>
    <cellStyle name="20 % - Markeringsfarve2 2 3 3 2 5" xfId="19722" xr:uid="{00000000-0005-0000-0000-0000BD0F0000}"/>
    <cellStyle name="20 % - Markeringsfarve2 2 3 3 2 6" xfId="34711" xr:uid="{00000000-0005-0000-0000-0000BE0F0000}"/>
    <cellStyle name="20 % - Markeringsfarve2 2 3 3 3" xfId="1866" xr:uid="{00000000-0005-0000-0000-0000BF0F0000}"/>
    <cellStyle name="20 % - Markeringsfarve2 2 3 3 3 2" xfId="6906" xr:uid="{00000000-0005-0000-0000-0000C00F0000}"/>
    <cellStyle name="20 % - Markeringsfarve2 2 3 3 3 2 2" xfId="14818" xr:uid="{00000000-0005-0000-0000-0000C10F0000}"/>
    <cellStyle name="20 % - Markeringsfarve2 2 3 3 3 2 2 2" xfId="31133" xr:uid="{00000000-0005-0000-0000-0000C20F0000}"/>
    <cellStyle name="20 % - Markeringsfarve2 2 3 3 3 2 2 3" xfId="46097" xr:uid="{00000000-0005-0000-0000-0000C30F0000}"/>
    <cellStyle name="20 % - Markeringsfarve2 2 3 3 3 2 3" xfId="24111" xr:uid="{00000000-0005-0000-0000-0000C40F0000}"/>
    <cellStyle name="20 % - Markeringsfarve2 2 3 3 3 2 4" xfId="39098" xr:uid="{00000000-0005-0000-0000-0000C50F0000}"/>
    <cellStyle name="20 % - Markeringsfarve2 2 3 3 3 3" xfId="10426" xr:uid="{00000000-0005-0000-0000-0000C60F0000}"/>
    <cellStyle name="20 % - Markeringsfarve2 2 3 3 3 3 2" xfId="26746" xr:uid="{00000000-0005-0000-0000-0000C70F0000}"/>
    <cellStyle name="20 % - Markeringsfarve2 2 3 3 3 3 3" xfId="41712" xr:uid="{00000000-0005-0000-0000-0000C80F0000}"/>
    <cellStyle name="20 % - Markeringsfarve2 2 3 3 3 4" xfId="19724" xr:uid="{00000000-0005-0000-0000-0000C90F0000}"/>
    <cellStyle name="20 % - Markeringsfarve2 2 3 3 3 5" xfId="34713" xr:uid="{00000000-0005-0000-0000-0000CA0F0000}"/>
    <cellStyle name="20 % - Markeringsfarve2 2 3 3 4" xfId="1867" xr:uid="{00000000-0005-0000-0000-0000CB0F0000}"/>
    <cellStyle name="20 % - Markeringsfarve2 2 3 3 4 2" xfId="7051" xr:uid="{00000000-0005-0000-0000-0000CC0F0000}"/>
    <cellStyle name="20 % - Markeringsfarve2 2 3 3 4 2 2" xfId="14962" xr:uid="{00000000-0005-0000-0000-0000CD0F0000}"/>
    <cellStyle name="20 % - Markeringsfarve2 2 3 3 4 2 2 2" xfId="31277" xr:uid="{00000000-0005-0000-0000-0000CE0F0000}"/>
    <cellStyle name="20 % - Markeringsfarve2 2 3 3 4 2 2 3" xfId="46241" xr:uid="{00000000-0005-0000-0000-0000CF0F0000}"/>
    <cellStyle name="20 % - Markeringsfarve2 2 3 3 4 2 3" xfId="24255" xr:uid="{00000000-0005-0000-0000-0000D00F0000}"/>
    <cellStyle name="20 % - Markeringsfarve2 2 3 3 4 2 4" xfId="39242" xr:uid="{00000000-0005-0000-0000-0000D10F0000}"/>
    <cellStyle name="20 % - Markeringsfarve2 2 3 3 4 3" xfId="10427" xr:uid="{00000000-0005-0000-0000-0000D20F0000}"/>
    <cellStyle name="20 % - Markeringsfarve2 2 3 3 4 3 2" xfId="26747" xr:uid="{00000000-0005-0000-0000-0000D30F0000}"/>
    <cellStyle name="20 % - Markeringsfarve2 2 3 3 4 3 3" xfId="41713" xr:uid="{00000000-0005-0000-0000-0000D40F0000}"/>
    <cellStyle name="20 % - Markeringsfarve2 2 3 3 4 4" xfId="19725" xr:uid="{00000000-0005-0000-0000-0000D50F0000}"/>
    <cellStyle name="20 % - Markeringsfarve2 2 3 3 4 5" xfId="34714" xr:uid="{00000000-0005-0000-0000-0000D60F0000}"/>
    <cellStyle name="20 % - Markeringsfarve2 2 3 3 5" xfId="5415" xr:uid="{00000000-0005-0000-0000-0000D70F0000}"/>
    <cellStyle name="20 % - Markeringsfarve2 2 3 3 5 2" xfId="13334" xr:uid="{00000000-0005-0000-0000-0000D80F0000}"/>
    <cellStyle name="20 % - Markeringsfarve2 2 3 3 5 2 2" xfId="29649" xr:uid="{00000000-0005-0000-0000-0000D90F0000}"/>
    <cellStyle name="20 % - Markeringsfarve2 2 3 3 5 2 3" xfId="44613" xr:uid="{00000000-0005-0000-0000-0000DA0F0000}"/>
    <cellStyle name="20 % - Markeringsfarve2 2 3 3 5 3" xfId="22627" xr:uid="{00000000-0005-0000-0000-0000DB0F0000}"/>
    <cellStyle name="20 % - Markeringsfarve2 2 3 3 5 4" xfId="37614" xr:uid="{00000000-0005-0000-0000-0000DC0F0000}"/>
    <cellStyle name="20 % - Markeringsfarve2 2 3 3 6" xfId="10423" xr:uid="{00000000-0005-0000-0000-0000DD0F0000}"/>
    <cellStyle name="20 % - Markeringsfarve2 2 3 3 6 2" xfId="26743" xr:uid="{00000000-0005-0000-0000-0000DE0F0000}"/>
    <cellStyle name="20 % - Markeringsfarve2 2 3 3 6 3" xfId="41709" xr:uid="{00000000-0005-0000-0000-0000DF0F0000}"/>
    <cellStyle name="20 % - Markeringsfarve2 2 3 3 7" xfId="19721" xr:uid="{00000000-0005-0000-0000-0000E00F0000}"/>
    <cellStyle name="20 % - Markeringsfarve2 2 3 3 8" xfId="34710" xr:uid="{00000000-0005-0000-0000-0000E10F0000}"/>
    <cellStyle name="20 % - Markeringsfarve2 2 3 3 9" xfId="56444" xr:uid="{00000000-0005-0000-0000-0000E20F0000}"/>
    <cellStyle name="20 % - Markeringsfarve2 2 3 4" xfId="1868" xr:uid="{00000000-0005-0000-0000-0000E30F0000}"/>
    <cellStyle name="20 % - Markeringsfarve2 2 3 4 2" xfId="1869" xr:uid="{00000000-0005-0000-0000-0000E40F0000}"/>
    <cellStyle name="20 % - Markeringsfarve2 2 3 4 2 2" xfId="1870" xr:uid="{00000000-0005-0000-0000-0000E50F0000}"/>
    <cellStyle name="20 % - Markeringsfarve2 2 3 4 2 2 2" xfId="7891" xr:uid="{00000000-0005-0000-0000-0000E60F0000}"/>
    <cellStyle name="20 % - Markeringsfarve2 2 3 4 2 2 2 2" xfId="15793" xr:uid="{00000000-0005-0000-0000-0000E70F0000}"/>
    <cellStyle name="20 % - Markeringsfarve2 2 3 4 2 2 2 2 2" xfId="32108" xr:uid="{00000000-0005-0000-0000-0000E80F0000}"/>
    <cellStyle name="20 % - Markeringsfarve2 2 3 4 2 2 2 2 3" xfId="47072" xr:uid="{00000000-0005-0000-0000-0000E90F0000}"/>
    <cellStyle name="20 % - Markeringsfarve2 2 3 4 2 2 2 3" xfId="25086" xr:uid="{00000000-0005-0000-0000-0000EA0F0000}"/>
    <cellStyle name="20 % - Markeringsfarve2 2 3 4 2 2 2 4" xfId="40073" xr:uid="{00000000-0005-0000-0000-0000EB0F0000}"/>
    <cellStyle name="20 % - Markeringsfarve2 2 3 4 2 2 3" xfId="10430" xr:uid="{00000000-0005-0000-0000-0000EC0F0000}"/>
    <cellStyle name="20 % - Markeringsfarve2 2 3 4 2 2 3 2" xfId="26750" xr:uid="{00000000-0005-0000-0000-0000ED0F0000}"/>
    <cellStyle name="20 % - Markeringsfarve2 2 3 4 2 2 3 3" xfId="41716" xr:uid="{00000000-0005-0000-0000-0000EE0F0000}"/>
    <cellStyle name="20 % - Markeringsfarve2 2 3 4 2 2 4" xfId="19728" xr:uid="{00000000-0005-0000-0000-0000EF0F0000}"/>
    <cellStyle name="20 % - Markeringsfarve2 2 3 4 2 2 5" xfId="34717" xr:uid="{00000000-0005-0000-0000-0000F00F0000}"/>
    <cellStyle name="20 % - Markeringsfarve2 2 3 4 2 3" xfId="6422" xr:uid="{00000000-0005-0000-0000-0000F10F0000}"/>
    <cellStyle name="20 % - Markeringsfarve2 2 3 4 2 3 2" xfId="14337" xr:uid="{00000000-0005-0000-0000-0000F20F0000}"/>
    <cellStyle name="20 % - Markeringsfarve2 2 3 4 2 3 2 2" xfId="30652" xr:uid="{00000000-0005-0000-0000-0000F30F0000}"/>
    <cellStyle name="20 % - Markeringsfarve2 2 3 4 2 3 2 3" xfId="45616" xr:uid="{00000000-0005-0000-0000-0000F40F0000}"/>
    <cellStyle name="20 % - Markeringsfarve2 2 3 4 2 3 3" xfId="23630" xr:uid="{00000000-0005-0000-0000-0000F50F0000}"/>
    <cellStyle name="20 % - Markeringsfarve2 2 3 4 2 3 4" xfId="38617" xr:uid="{00000000-0005-0000-0000-0000F60F0000}"/>
    <cellStyle name="20 % - Markeringsfarve2 2 3 4 2 4" xfId="10429" xr:uid="{00000000-0005-0000-0000-0000F70F0000}"/>
    <cellStyle name="20 % - Markeringsfarve2 2 3 4 2 4 2" xfId="26749" xr:uid="{00000000-0005-0000-0000-0000F80F0000}"/>
    <cellStyle name="20 % - Markeringsfarve2 2 3 4 2 4 3" xfId="41715" xr:uid="{00000000-0005-0000-0000-0000F90F0000}"/>
    <cellStyle name="20 % - Markeringsfarve2 2 3 4 2 5" xfId="19727" xr:uid="{00000000-0005-0000-0000-0000FA0F0000}"/>
    <cellStyle name="20 % - Markeringsfarve2 2 3 4 2 6" xfId="34716" xr:uid="{00000000-0005-0000-0000-0000FB0F0000}"/>
    <cellStyle name="20 % - Markeringsfarve2 2 3 4 3" xfId="1871" xr:uid="{00000000-0005-0000-0000-0000FC0F0000}"/>
    <cellStyle name="20 % - Markeringsfarve2 2 3 4 3 2" xfId="7167" xr:uid="{00000000-0005-0000-0000-0000FD0F0000}"/>
    <cellStyle name="20 % - Markeringsfarve2 2 3 4 3 2 2" xfId="15078" xr:uid="{00000000-0005-0000-0000-0000FE0F0000}"/>
    <cellStyle name="20 % - Markeringsfarve2 2 3 4 3 2 2 2" xfId="31393" xr:uid="{00000000-0005-0000-0000-0000FF0F0000}"/>
    <cellStyle name="20 % - Markeringsfarve2 2 3 4 3 2 2 3" xfId="46357" xr:uid="{00000000-0005-0000-0000-000000100000}"/>
    <cellStyle name="20 % - Markeringsfarve2 2 3 4 3 2 3" xfId="24371" xr:uid="{00000000-0005-0000-0000-000001100000}"/>
    <cellStyle name="20 % - Markeringsfarve2 2 3 4 3 2 4" xfId="39358" xr:uid="{00000000-0005-0000-0000-000002100000}"/>
    <cellStyle name="20 % - Markeringsfarve2 2 3 4 3 3" xfId="10431" xr:uid="{00000000-0005-0000-0000-000003100000}"/>
    <cellStyle name="20 % - Markeringsfarve2 2 3 4 3 3 2" xfId="26751" xr:uid="{00000000-0005-0000-0000-000004100000}"/>
    <cellStyle name="20 % - Markeringsfarve2 2 3 4 3 3 3" xfId="41717" xr:uid="{00000000-0005-0000-0000-000005100000}"/>
    <cellStyle name="20 % - Markeringsfarve2 2 3 4 3 4" xfId="19729" xr:uid="{00000000-0005-0000-0000-000006100000}"/>
    <cellStyle name="20 % - Markeringsfarve2 2 3 4 3 5" xfId="34718" xr:uid="{00000000-0005-0000-0000-000007100000}"/>
    <cellStyle name="20 % - Markeringsfarve2 2 3 4 4" xfId="1872" xr:uid="{00000000-0005-0000-0000-000008100000}"/>
    <cellStyle name="20 % - Markeringsfarve2 2 3 4 4 2" xfId="7043" xr:uid="{00000000-0005-0000-0000-000009100000}"/>
    <cellStyle name="20 % - Markeringsfarve2 2 3 4 4 2 2" xfId="14954" xr:uid="{00000000-0005-0000-0000-00000A100000}"/>
    <cellStyle name="20 % - Markeringsfarve2 2 3 4 4 2 2 2" xfId="31269" xr:uid="{00000000-0005-0000-0000-00000B100000}"/>
    <cellStyle name="20 % - Markeringsfarve2 2 3 4 4 2 2 3" xfId="46233" xr:uid="{00000000-0005-0000-0000-00000C100000}"/>
    <cellStyle name="20 % - Markeringsfarve2 2 3 4 4 2 3" xfId="24247" xr:uid="{00000000-0005-0000-0000-00000D100000}"/>
    <cellStyle name="20 % - Markeringsfarve2 2 3 4 4 2 4" xfId="39234" xr:uid="{00000000-0005-0000-0000-00000E100000}"/>
    <cellStyle name="20 % - Markeringsfarve2 2 3 4 4 3" xfId="10432" xr:uid="{00000000-0005-0000-0000-00000F100000}"/>
    <cellStyle name="20 % - Markeringsfarve2 2 3 4 4 3 2" xfId="26752" xr:uid="{00000000-0005-0000-0000-000010100000}"/>
    <cellStyle name="20 % - Markeringsfarve2 2 3 4 4 3 3" xfId="41718" xr:uid="{00000000-0005-0000-0000-000011100000}"/>
    <cellStyle name="20 % - Markeringsfarve2 2 3 4 4 4" xfId="19730" xr:uid="{00000000-0005-0000-0000-000012100000}"/>
    <cellStyle name="20 % - Markeringsfarve2 2 3 4 4 5" xfId="34719" xr:uid="{00000000-0005-0000-0000-000013100000}"/>
    <cellStyle name="20 % - Markeringsfarve2 2 3 4 5" xfId="5416" xr:uid="{00000000-0005-0000-0000-000014100000}"/>
    <cellStyle name="20 % - Markeringsfarve2 2 3 4 5 2" xfId="13335" xr:uid="{00000000-0005-0000-0000-000015100000}"/>
    <cellStyle name="20 % - Markeringsfarve2 2 3 4 5 2 2" xfId="29650" xr:uid="{00000000-0005-0000-0000-000016100000}"/>
    <cellStyle name="20 % - Markeringsfarve2 2 3 4 5 2 3" xfId="44614" xr:uid="{00000000-0005-0000-0000-000017100000}"/>
    <cellStyle name="20 % - Markeringsfarve2 2 3 4 5 3" xfId="22628" xr:uid="{00000000-0005-0000-0000-000018100000}"/>
    <cellStyle name="20 % - Markeringsfarve2 2 3 4 5 4" xfId="37615" xr:uid="{00000000-0005-0000-0000-000019100000}"/>
    <cellStyle name="20 % - Markeringsfarve2 2 3 4 6" xfId="10428" xr:uid="{00000000-0005-0000-0000-00001A100000}"/>
    <cellStyle name="20 % - Markeringsfarve2 2 3 4 6 2" xfId="26748" xr:uid="{00000000-0005-0000-0000-00001B100000}"/>
    <cellStyle name="20 % - Markeringsfarve2 2 3 4 6 3" xfId="41714" xr:uid="{00000000-0005-0000-0000-00001C100000}"/>
    <cellStyle name="20 % - Markeringsfarve2 2 3 4 7" xfId="19726" xr:uid="{00000000-0005-0000-0000-00001D100000}"/>
    <cellStyle name="20 % - Markeringsfarve2 2 3 4 8" xfId="34715" xr:uid="{00000000-0005-0000-0000-00001E100000}"/>
    <cellStyle name="20 % - Markeringsfarve2 2 3 5" xfId="1873" xr:uid="{00000000-0005-0000-0000-00001F100000}"/>
    <cellStyle name="20 % - Markeringsfarve2 2 3 5 2" xfId="1874" xr:uid="{00000000-0005-0000-0000-000020100000}"/>
    <cellStyle name="20 % - Markeringsfarve2 2 3 5 2 2" xfId="1875" xr:uid="{00000000-0005-0000-0000-000021100000}"/>
    <cellStyle name="20 % - Markeringsfarve2 2 3 5 2 2 2" xfId="8008" xr:uid="{00000000-0005-0000-0000-000022100000}"/>
    <cellStyle name="20 % - Markeringsfarve2 2 3 5 2 2 2 2" xfId="15910" xr:uid="{00000000-0005-0000-0000-000023100000}"/>
    <cellStyle name="20 % - Markeringsfarve2 2 3 5 2 2 2 2 2" xfId="32225" xr:uid="{00000000-0005-0000-0000-000024100000}"/>
    <cellStyle name="20 % - Markeringsfarve2 2 3 5 2 2 2 2 3" xfId="47189" xr:uid="{00000000-0005-0000-0000-000025100000}"/>
    <cellStyle name="20 % - Markeringsfarve2 2 3 5 2 2 2 3" xfId="25203" xr:uid="{00000000-0005-0000-0000-000026100000}"/>
    <cellStyle name="20 % - Markeringsfarve2 2 3 5 2 2 2 4" xfId="40190" xr:uid="{00000000-0005-0000-0000-000027100000}"/>
    <cellStyle name="20 % - Markeringsfarve2 2 3 5 2 2 3" xfId="10435" xr:uid="{00000000-0005-0000-0000-000028100000}"/>
    <cellStyle name="20 % - Markeringsfarve2 2 3 5 2 2 3 2" xfId="26755" xr:uid="{00000000-0005-0000-0000-000029100000}"/>
    <cellStyle name="20 % - Markeringsfarve2 2 3 5 2 2 3 3" xfId="41721" xr:uid="{00000000-0005-0000-0000-00002A100000}"/>
    <cellStyle name="20 % - Markeringsfarve2 2 3 5 2 2 4" xfId="19733" xr:uid="{00000000-0005-0000-0000-00002B100000}"/>
    <cellStyle name="20 % - Markeringsfarve2 2 3 5 2 2 5" xfId="34722" xr:uid="{00000000-0005-0000-0000-00002C100000}"/>
    <cellStyle name="20 % - Markeringsfarve2 2 3 5 2 3" xfId="6521" xr:uid="{00000000-0005-0000-0000-00002D100000}"/>
    <cellStyle name="20 % - Markeringsfarve2 2 3 5 2 3 2" xfId="14436" xr:uid="{00000000-0005-0000-0000-00002E100000}"/>
    <cellStyle name="20 % - Markeringsfarve2 2 3 5 2 3 2 2" xfId="30751" xr:uid="{00000000-0005-0000-0000-00002F100000}"/>
    <cellStyle name="20 % - Markeringsfarve2 2 3 5 2 3 2 3" xfId="45715" xr:uid="{00000000-0005-0000-0000-000030100000}"/>
    <cellStyle name="20 % - Markeringsfarve2 2 3 5 2 3 3" xfId="23729" xr:uid="{00000000-0005-0000-0000-000031100000}"/>
    <cellStyle name="20 % - Markeringsfarve2 2 3 5 2 3 4" xfId="38716" xr:uid="{00000000-0005-0000-0000-000032100000}"/>
    <cellStyle name="20 % - Markeringsfarve2 2 3 5 2 4" xfId="10434" xr:uid="{00000000-0005-0000-0000-000033100000}"/>
    <cellStyle name="20 % - Markeringsfarve2 2 3 5 2 4 2" xfId="26754" xr:uid="{00000000-0005-0000-0000-000034100000}"/>
    <cellStyle name="20 % - Markeringsfarve2 2 3 5 2 4 3" xfId="41720" xr:uid="{00000000-0005-0000-0000-000035100000}"/>
    <cellStyle name="20 % - Markeringsfarve2 2 3 5 2 5" xfId="19732" xr:uid="{00000000-0005-0000-0000-000036100000}"/>
    <cellStyle name="20 % - Markeringsfarve2 2 3 5 2 6" xfId="34721" xr:uid="{00000000-0005-0000-0000-000037100000}"/>
    <cellStyle name="20 % - Markeringsfarve2 2 3 5 3" xfId="1876" xr:uid="{00000000-0005-0000-0000-000038100000}"/>
    <cellStyle name="20 % - Markeringsfarve2 2 3 5 3 2" xfId="7284" xr:uid="{00000000-0005-0000-0000-000039100000}"/>
    <cellStyle name="20 % - Markeringsfarve2 2 3 5 3 2 2" xfId="15195" xr:uid="{00000000-0005-0000-0000-00003A100000}"/>
    <cellStyle name="20 % - Markeringsfarve2 2 3 5 3 2 2 2" xfId="31510" xr:uid="{00000000-0005-0000-0000-00003B100000}"/>
    <cellStyle name="20 % - Markeringsfarve2 2 3 5 3 2 2 3" xfId="46474" xr:uid="{00000000-0005-0000-0000-00003C100000}"/>
    <cellStyle name="20 % - Markeringsfarve2 2 3 5 3 2 3" xfId="24488" xr:uid="{00000000-0005-0000-0000-00003D100000}"/>
    <cellStyle name="20 % - Markeringsfarve2 2 3 5 3 2 4" xfId="39475" xr:uid="{00000000-0005-0000-0000-00003E100000}"/>
    <cellStyle name="20 % - Markeringsfarve2 2 3 5 3 3" xfId="10436" xr:uid="{00000000-0005-0000-0000-00003F100000}"/>
    <cellStyle name="20 % - Markeringsfarve2 2 3 5 3 3 2" xfId="26756" xr:uid="{00000000-0005-0000-0000-000040100000}"/>
    <cellStyle name="20 % - Markeringsfarve2 2 3 5 3 3 3" xfId="41722" xr:uid="{00000000-0005-0000-0000-000041100000}"/>
    <cellStyle name="20 % - Markeringsfarve2 2 3 5 3 4" xfId="19734" xr:uid="{00000000-0005-0000-0000-000042100000}"/>
    <cellStyle name="20 % - Markeringsfarve2 2 3 5 3 5" xfId="34723" xr:uid="{00000000-0005-0000-0000-000043100000}"/>
    <cellStyle name="20 % - Markeringsfarve2 2 3 5 4" xfId="1877" xr:uid="{00000000-0005-0000-0000-000044100000}"/>
    <cellStyle name="20 % - Markeringsfarve2 2 3 5 4 2" xfId="7056" xr:uid="{00000000-0005-0000-0000-000045100000}"/>
    <cellStyle name="20 % - Markeringsfarve2 2 3 5 4 2 2" xfId="14967" xr:uid="{00000000-0005-0000-0000-000046100000}"/>
    <cellStyle name="20 % - Markeringsfarve2 2 3 5 4 2 2 2" xfId="31282" xr:uid="{00000000-0005-0000-0000-000047100000}"/>
    <cellStyle name="20 % - Markeringsfarve2 2 3 5 4 2 2 3" xfId="46246" xr:uid="{00000000-0005-0000-0000-000048100000}"/>
    <cellStyle name="20 % - Markeringsfarve2 2 3 5 4 2 3" xfId="24260" xr:uid="{00000000-0005-0000-0000-000049100000}"/>
    <cellStyle name="20 % - Markeringsfarve2 2 3 5 4 2 4" xfId="39247" xr:uid="{00000000-0005-0000-0000-00004A100000}"/>
    <cellStyle name="20 % - Markeringsfarve2 2 3 5 4 3" xfId="10437" xr:uid="{00000000-0005-0000-0000-00004B100000}"/>
    <cellStyle name="20 % - Markeringsfarve2 2 3 5 4 3 2" xfId="26757" xr:uid="{00000000-0005-0000-0000-00004C100000}"/>
    <cellStyle name="20 % - Markeringsfarve2 2 3 5 4 3 3" xfId="41723" xr:uid="{00000000-0005-0000-0000-00004D100000}"/>
    <cellStyle name="20 % - Markeringsfarve2 2 3 5 4 4" xfId="19735" xr:uid="{00000000-0005-0000-0000-00004E100000}"/>
    <cellStyle name="20 % - Markeringsfarve2 2 3 5 4 5" xfId="34724" xr:uid="{00000000-0005-0000-0000-00004F100000}"/>
    <cellStyle name="20 % - Markeringsfarve2 2 3 5 5" xfId="5417" xr:uid="{00000000-0005-0000-0000-000050100000}"/>
    <cellStyle name="20 % - Markeringsfarve2 2 3 5 5 2" xfId="13336" xr:uid="{00000000-0005-0000-0000-000051100000}"/>
    <cellStyle name="20 % - Markeringsfarve2 2 3 5 5 2 2" xfId="29651" xr:uid="{00000000-0005-0000-0000-000052100000}"/>
    <cellStyle name="20 % - Markeringsfarve2 2 3 5 5 2 3" xfId="44615" xr:uid="{00000000-0005-0000-0000-000053100000}"/>
    <cellStyle name="20 % - Markeringsfarve2 2 3 5 5 3" xfId="22629" xr:uid="{00000000-0005-0000-0000-000054100000}"/>
    <cellStyle name="20 % - Markeringsfarve2 2 3 5 5 4" xfId="37616" xr:uid="{00000000-0005-0000-0000-000055100000}"/>
    <cellStyle name="20 % - Markeringsfarve2 2 3 5 6" xfId="10433" xr:uid="{00000000-0005-0000-0000-000056100000}"/>
    <cellStyle name="20 % - Markeringsfarve2 2 3 5 6 2" xfId="26753" xr:uid="{00000000-0005-0000-0000-000057100000}"/>
    <cellStyle name="20 % - Markeringsfarve2 2 3 5 6 3" xfId="41719" xr:uid="{00000000-0005-0000-0000-000058100000}"/>
    <cellStyle name="20 % - Markeringsfarve2 2 3 5 7" xfId="19731" xr:uid="{00000000-0005-0000-0000-000059100000}"/>
    <cellStyle name="20 % - Markeringsfarve2 2 3 5 8" xfId="34720" xr:uid="{00000000-0005-0000-0000-00005A100000}"/>
    <cellStyle name="20 % - Markeringsfarve2 2 3 6" xfId="1878" xr:uid="{00000000-0005-0000-0000-00005B100000}"/>
    <cellStyle name="20 % - Markeringsfarve2 2 3 6 2" xfId="1879" xr:uid="{00000000-0005-0000-0000-00005C100000}"/>
    <cellStyle name="20 % - Markeringsfarve2 2 3 6 2 2" xfId="1880" xr:uid="{00000000-0005-0000-0000-00005D100000}"/>
    <cellStyle name="20 % - Markeringsfarve2 2 3 6 2 2 2" xfId="8031" xr:uid="{00000000-0005-0000-0000-00005E100000}"/>
    <cellStyle name="20 % - Markeringsfarve2 2 3 6 2 2 2 2" xfId="15933" xr:uid="{00000000-0005-0000-0000-00005F100000}"/>
    <cellStyle name="20 % - Markeringsfarve2 2 3 6 2 2 2 2 2" xfId="32248" xr:uid="{00000000-0005-0000-0000-000060100000}"/>
    <cellStyle name="20 % - Markeringsfarve2 2 3 6 2 2 2 2 3" xfId="47212" xr:uid="{00000000-0005-0000-0000-000061100000}"/>
    <cellStyle name="20 % - Markeringsfarve2 2 3 6 2 2 2 3" xfId="25226" xr:uid="{00000000-0005-0000-0000-000062100000}"/>
    <cellStyle name="20 % - Markeringsfarve2 2 3 6 2 2 2 4" xfId="40213" xr:uid="{00000000-0005-0000-0000-000063100000}"/>
    <cellStyle name="20 % - Markeringsfarve2 2 3 6 2 2 3" xfId="10440" xr:uid="{00000000-0005-0000-0000-000064100000}"/>
    <cellStyle name="20 % - Markeringsfarve2 2 3 6 2 2 3 2" xfId="26760" xr:uid="{00000000-0005-0000-0000-000065100000}"/>
    <cellStyle name="20 % - Markeringsfarve2 2 3 6 2 2 3 3" xfId="41726" xr:uid="{00000000-0005-0000-0000-000066100000}"/>
    <cellStyle name="20 % - Markeringsfarve2 2 3 6 2 2 4" xfId="19738" xr:uid="{00000000-0005-0000-0000-000067100000}"/>
    <cellStyle name="20 % - Markeringsfarve2 2 3 6 2 2 5" xfId="34727" xr:uid="{00000000-0005-0000-0000-000068100000}"/>
    <cellStyle name="20 % - Markeringsfarve2 2 3 6 2 3" xfId="6542" xr:uid="{00000000-0005-0000-0000-000069100000}"/>
    <cellStyle name="20 % - Markeringsfarve2 2 3 6 2 3 2" xfId="14457" xr:uid="{00000000-0005-0000-0000-00006A100000}"/>
    <cellStyle name="20 % - Markeringsfarve2 2 3 6 2 3 2 2" xfId="30772" xr:uid="{00000000-0005-0000-0000-00006B100000}"/>
    <cellStyle name="20 % - Markeringsfarve2 2 3 6 2 3 2 3" xfId="45736" xr:uid="{00000000-0005-0000-0000-00006C100000}"/>
    <cellStyle name="20 % - Markeringsfarve2 2 3 6 2 3 3" xfId="23750" xr:uid="{00000000-0005-0000-0000-00006D100000}"/>
    <cellStyle name="20 % - Markeringsfarve2 2 3 6 2 3 4" xfId="38737" xr:uid="{00000000-0005-0000-0000-00006E100000}"/>
    <cellStyle name="20 % - Markeringsfarve2 2 3 6 2 4" xfId="10439" xr:uid="{00000000-0005-0000-0000-00006F100000}"/>
    <cellStyle name="20 % - Markeringsfarve2 2 3 6 2 4 2" xfId="26759" xr:uid="{00000000-0005-0000-0000-000070100000}"/>
    <cellStyle name="20 % - Markeringsfarve2 2 3 6 2 4 3" xfId="41725" xr:uid="{00000000-0005-0000-0000-000071100000}"/>
    <cellStyle name="20 % - Markeringsfarve2 2 3 6 2 5" xfId="19737" xr:uid="{00000000-0005-0000-0000-000072100000}"/>
    <cellStyle name="20 % - Markeringsfarve2 2 3 6 2 6" xfId="34726" xr:uid="{00000000-0005-0000-0000-000073100000}"/>
    <cellStyle name="20 % - Markeringsfarve2 2 3 6 3" xfId="1881" xr:uid="{00000000-0005-0000-0000-000074100000}"/>
    <cellStyle name="20 % - Markeringsfarve2 2 3 6 3 2" xfId="7308" xr:uid="{00000000-0005-0000-0000-000075100000}"/>
    <cellStyle name="20 % - Markeringsfarve2 2 3 6 3 2 2" xfId="15219" xr:uid="{00000000-0005-0000-0000-000076100000}"/>
    <cellStyle name="20 % - Markeringsfarve2 2 3 6 3 2 2 2" xfId="31534" xr:uid="{00000000-0005-0000-0000-000077100000}"/>
    <cellStyle name="20 % - Markeringsfarve2 2 3 6 3 2 2 3" xfId="46498" xr:uid="{00000000-0005-0000-0000-000078100000}"/>
    <cellStyle name="20 % - Markeringsfarve2 2 3 6 3 2 3" xfId="24512" xr:uid="{00000000-0005-0000-0000-000079100000}"/>
    <cellStyle name="20 % - Markeringsfarve2 2 3 6 3 2 4" xfId="39499" xr:uid="{00000000-0005-0000-0000-00007A100000}"/>
    <cellStyle name="20 % - Markeringsfarve2 2 3 6 3 3" xfId="10441" xr:uid="{00000000-0005-0000-0000-00007B100000}"/>
    <cellStyle name="20 % - Markeringsfarve2 2 3 6 3 3 2" xfId="26761" xr:uid="{00000000-0005-0000-0000-00007C100000}"/>
    <cellStyle name="20 % - Markeringsfarve2 2 3 6 3 3 3" xfId="41727" xr:uid="{00000000-0005-0000-0000-00007D100000}"/>
    <cellStyle name="20 % - Markeringsfarve2 2 3 6 3 4" xfId="19739" xr:uid="{00000000-0005-0000-0000-00007E100000}"/>
    <cellStyle name="20 % - Markeringsfarve2 2 3 6 3 5" xfId="34728" xr:uid="{00000000-0005-0000-0000-00007F100000}"/>
    <cellStyle name="20 % - Markeringsfarve2 2 3 6 4" xfId="1882" xr:uid="{00000000-0005-0000-0000-000080100000}"/>
    <cellStyle name="20 % - Markeringsfarve2 2 3 6 4 2" xfId="7057" xr:uid="{00000000-0005-0000-0000-000081100000}"/>
    <cellStyle name="20 % - Markeringsfarve2 2 3 6 4 2 2" xfId="14968" xr:uid="{00000000-0005-0000-0000-000082100000}"/>
    <cellStyle name="20 % - Markeringsfarve2 2 3 6 4 2 2 2" xfId="31283" xr:uid="{00000000-0005-0000-0000-000083100000}"/>
    <cellStyle name="20 % - Markeringsfarve2 2 3 6 4 2 2 3" xfId="46247" xr:uid="{00000000-0005-0000-0000-000084100000}"/>
    <cellStyle name="20 % - Markeringsfarve2 2 3 6 4 2 3" xfId="24261" xr:uid="{00000000-0005-0000-0000-000085100000}"/>
    <cellStyle name="20 % - Markeringsfarve2 2 3 6 4 2 4" xfId="39248" xr:uid="{00000000-0005-0000-0000-000086100000}"/>
    <cellStyle name="20 % - Markeringsfarve2 2 3 6 4 3" xfId="10442" xr:uid="{00000000-0005-0000-0000-000087100000}"/>
    <cellStyle name="20 % - Markeringsfarve2 2 3 6 4 3 2" xfId="26762" xr:uid="{00000000-0005-0000-0000-000088100000}"/>
    <cellStyle name="20 % - Markeringsfarve2 2 3 6 4 3 3" xfId="41728" xr:uid="{00000000-0005-0000-0000-000089100000}"/>
    <cellStyle name="20 % - Markeringsfarve2 2 3 6 4 4" xfId="19740" xr:uid="{00000000-0005-0000-0000-00008A100000}"/>
    <cellStyle name="20 % - Markeringsfarve2 2 3 6 4 5" xfId="34729" xr:uid="{00000000-0005-0000-0000-00008B100000}"/>
    <cellStyle name="20 % - Markeringsfarve2 2 3 6 5" xfId="5418" xr:uid="{00000000-0005-0000-0000-00008C100000}"/>
    <cellStyle name="20 % - Markeringsfarve2 2 3 6 5 2" xfId="13337" xr:uid="{00000000-0005-0000-0000-00008D100000}"/>
    <cellStyle name="20 % - Markeringsfarve2 2 3 6 5 2 2" xfId="29652" xr:uid="{00000000-0005-0000-0000-00008E100000}"/>
    <cellStyle name="20 % - Markeringsfarve2 2 3 6 5 2 3" xfId="44616" xr:uid="{00000000-0005-0000-0000-00008F100000}"/>
    <cellStyle name="20 % - Markeringsfarve2 2 3 6 5 3" xfId="22630" xr:uid="{00000000-0005-0000-0000-000090100000}"/>
    <cellStyle name="20 % - Markeringsfarve2 2 3 6 5 4" xfId="37617" xr:uid="{00000000-0005-0000-0000-000091100000}"/>
    <cellStyle name="20 % - Markeringsfarve2 2 3 6 6" xfId="10438" xr:uid="{00000000-0005-0000-0000-000092100000}"/>
    <cellStyle name="20 % - Markeringsfarve2 2 3 6 6 2" xfId="26758" xr:uid="{00000000-0005-0000-0000-000093100000}"/>
    <cellStyle name="20 % - Markeringsfarve2 2 3 6 6 3" xfId="41724" xr:uid="{00000000-0005-0000-0000-000094100000}"/>
    <cellStyle name="20 % - Markeringsfarve2 2 3 6 7" xfId="19736" xr:uid="{00000000-0005-0000-0000-000095100000}"/>
    <cellStyle name="20 % - Markeringsfarve2 2 3 6 8" xfId="34725" xr:uid="{00000000-0005-0000-0000-000096100000}"/>
    <cellStyle name="20 % - Markeringsfarve2 2 3 7" xfId="1883" xr:uid="{00000000-0005-0000-0000-000097100000}"/>
    <cellStyle name="20 % - Markeringsfarve2 2 3 7 2" xfId="1884" xr:uid="{00000000-0005-0000-0000-000098100000}"/>
    <cellStyle name="20 % - Markeringsfarve2 2 3 7 2 2" xfId="7534" xr:uid="{00000000-0005-0000-0000-000099100000}"/>
    <cellStyle name="20 % - Markeringsfarve2 2 3 7 2 2 2" xfId="15436" xr:uid="{00000000-0005-0000-0000-00009A100000}"/>
    <cellStyle name="20 % - Markeringsfarve2 2 3 7 2 2 2 2" xfId="31751" xr:uid="{00000000-0005-0000-0000-00009B100000}"/>
    <cellStyle name="20 % - Markeringsfarve2 2 3 7 2 2 2 3" xfId="46715" xr:uid="{00000000-0005-0000-0000-00009C100000}"/>
    <cellStyle name="20 % - Markeringsfarve2 2 3 7 2 2 3" xfId="24729" xr:uid="{00000000-0005-0000-0000-00009D100000}"/>
    <cellStyle name="20 % - Markeringsfarve2 2 3 7 2 2 4" xfId="39716" xr:uid="{00000000-0005-0000-0000-00009E100000}"/>
    <cellStyle name="20 % - Markeringsfarve2 2 3 7 2 3" xfId="10444" xr:uid="{00000000-0005-0000-0000-00009F100000}"/>
    <cellStyle name="20 % - Markeringsfarve2 2 3 7 2 3 2" xfId="26764" xr:uid="{00000000-0005-0000-0000-0000A0100000}"/>
    <cellStyle name="20 % - Markeringsfarve2 2 3 7 2 3 3" xfId="41730" xr:uid="{00000000-0005-0000-0000-0000A1100000}"/>
    <cellStyle name="20 % - Markeringsfarve2 2 3 7 2 4" xfId="19742" xr:uid="{00000000-0005-0000-0000-0000A2100000}"/>
    <cellStyle name="20 % - Markeringsfarve2 2 3 7 2 5" xfId="34731" xr:uid="{00000000-0005-0000-0000-0000A3100000}"/>
    <cellStyle name="20 % - Markeringsfarve2 2 3 7 3" xfId="6121" xr:uid="{00000000-0005-0000-0000-0000A4100000}"/>
    <cellStyle name="20 % - Markeringsfarve2 2 3 7 3 2" xfId="14039" xr:uid="{00000000-0005-0000-0000-0000A5100000}"/>
    <cellStyle name="20 % - Markeringsfarve2 2 3 7 3 2 2" xfId="30354" xr:uid="{00000000-0005-0000-0000-0000A6100000}"/>
    <cellStyle name="20 % - Markeringsfarve2 2 3 7 3 2 3" xfId="45318" xr:uid="{00000000-0005-0000-0000-0000A7100000}"/>
    <cellStyle name="20 % - Markeringsfarve2 2 3 7 3 3" xfId="23332" xr:uid="{00000000-0005-0000-0000-0000A8100000}"/>
    <cellStyle name="20 % - Markeringsfarve2 2 3 7 3 4" xfId="38319" xr:uid="{00000000-0005-0000-0000-0000A9100000}"/>
    <cellStyle name="20 % - Markeringsfarve2 2 3 7 4" xfId="10443" xr:uid="{00000000-0005-0000-0000-0000AA100000}"/>
    <cellStyle name="20 % - Markeringsfarve2 2 3 7 4 2" xfId="26763" xr:uid="{00000000-0005-0000-0000-0000AB100000}"/>
    <cellStyle name="20 % - Markeringsfarve2 2 3 7 4 3" xfId="41729" xr:uid="{00000000-0005-0000-0000-0000AC100000}"/>
    <cellStyle name="20 % - Markeringsfarve2 2 3 7 5" xfId="19741" xr:uid="{00000000-0005-0000-0000-0000AD100000}"/>
    <cellStyle name="20 % - Markeringsfarve2 2 3 7 6" xfId="34730" xr:uid="{00000000-0005-0000-0000-0000AE100000}"/>
    <cellStyle name="20 % - Markeringsfarve2 2 3 8" xfId="1885" xr:uid="{00000000-0005-0000-0000-0000AF100000}"/>
    <cellStyle name="20 % - Markeringsfarve2 2 3 8 2" xfId="6762" xr:uid="{00000000-0005-0000-0000-0000B0100000}"/>
    <cellStyle name="20 % - Markeringsfarve2 2 3 8 2 2" xfId="14674" xr:uid="{00000000-0005-0000-0000-0000B1100000}"/>
    <cellStyle name="20 % - Markeringsfarve2 2 3 8 2 2 2" xfId="30989" xr:uid="{00000000-0005-0000-0000-0000B2100000}"/>
    <cellStyle name="20 % - Markeringsfarve2 2 3 8 2 2 3" xfId="45953" xr:uid="{00000000-0005-0000-0000-0000B3100000}"/>
    <cellStyle name="20 % - Markeringsfarve2 2 3 8 2 3" xfId="23967" xr:uid="{00000000-0005-0000-0000-0000B4100000}"/>
    <cellStyle name="20 % - Markeringsfarve2 2 3 8 2 4" xfId="38954" xr:uid="{00000000-0005-0000-0000-0000B5100000}"/>
    <cellStyle name="20 % - Markeringsfarve2 2 3 8 3" xfId="10445" xr:uid="{00000000-0005-0000-0000-0000B6100000}"/>
    <cellStyle name="20 % - Markeringsfarve2 2 3 8 3 2" xfId="26765" xr:uid="{00000000-0005-0000-0000-0000B7100000}"/>
    <cellStyle name="20 % - Markeringsfarve2 2 3 8 3 3" xfId="41731" xr:uid="{00000000-0005-0000-0000-0000B8100000}"/>
    <cellStyle name="20 % - Markeringsfarve2 2 3 8 4" xfId="19743" xr:uid="{00000000-0005-0000-0000-0000B9100000}"/>
    <cellStyle name="20 % - Markeringsfarve2 2 3 8 5" xfId="34732" xr:uid="{00000000-0005-0000-0000-0000BA100000}"/>
    <cellStyle name="20 % - Markeringsfarve2 2 3 9" xfId="1886" xr:uid="{00000000-0005-0000-0000-0000BB100000}"/>
    <cellStyle name="20 % - Markeringsfarve2 2 3 9 2" xfId="7049" xr:uid="{00000000-0005-0000-0000-0000BC100000}"/>
    <cellStyle name="20 % - Markeringsfarve2 2 3 9 2 2" xfId="14960" xr:uid="{00000000-0005-0000-0000-0000BD100000}"/>
    <cellStyle name="20 % - Markeringsfarve2 2 3 9 2 2 2" xfId="31275" xr:uid="{00000000-0005-0000-0000-0000BE100000}"/>
    <cellStyle name="20 % - Markeringsfarve2 2 3 9 2 2 3" xfId="46239" xr:uid="{00000000-0005-0000-0000-0000BF100000}"/>
    <cellStyle name="20 % - Markeringsfarve2 2 3 9 2 3" xfId="24253" xr:uid="{00000000-0005-0000-0000-0000C0100000}"/>
    <cellStyle name="20 % - Markeringsfarve2 2 3 9 2 4" xfId="39240" xr:uid="{00000000-0005-0000-0000-0000C1100000}"/>
    <cellStyle name="20 % - Markeringsfarve2 2 3 9 3" xfId="10446" xr:uid="{00000000-0005-0000-0000-0000C2100000}"/>
    <cellStyle name="20 % - Markeringsfarve2 2 3 9 3 2" xfId="26766" xr:uid="{00000000-0005-0000-0000-0000C3100000}"/>
    <cellStyle name="20 % - Markeringsfarve2 2 3 9 3 3" xfId="41732" xr:uid="{00000000-0005-0000-0000-0000C4100000}"/>
    <cellStyle name="20 % - Markeringsfarve2 2 3 9 4" xfId="19744" xr:uid="{00000000-0005-0000-0000-0000C5100000}"/>
    <cellStyle name="20 % - Markeringsfarve2 2 3 9 5" xfId="34733" xr:uid="{00000000-0005-0000-0000-0000C6100000}"/>
    <cellStyle name="20 % - Markeringsfarve2 2 4" xfId="1887" xr:uid="{00000000-0005-0000-0000-0000C7100000}"/>
    <cellStyle name="20 % - Markeringsfarve2 2 4 2" xfId="1888" xr:uid="{00000000-0005-0000-0000-0000C8100000}"/>
    <cellStyle name="20 % - Markeringsfarve2 2 4 2 2" xfId="1889" xr:uid="{00000000-0005-0000-0000-0000C9100000}"/>
    <cellStyle name="20 % - Markeringsfarve2 2 4 2 2 2" xfId="7575" xr:uid="{00000000-0005-0000-0000-0000CA100000}"/>
    <cellStyle name="20 % - Markeringsfarve2 2 4 2 2 2 2" xfId="15477" xr:uid="{00000000-0005-0000-0000-0000CB100000}"/>
    <cellStyle name="20 % - Markeringsfarve2 2 4 2 2 2 2 2" xfId="31792" xr:uid="{00000000-0005-0000-0000-0000CC100000}"/>
    <cellStyle name="20 % - Markeringsfarve2 2 4 2 2 2 2 3" xfId="46756" xr:uid="{00000000-0005-0000-0000-0000CD100000}"/>
    <cellStyle name="20 % - Markeringsfarve2 2 4 2 2 2 3" xfId="24770" xr:uid="{00000000-0005-0000-0000-0000CE100000}"/>
    <cellStyle name="20 % - Markeringsfarve2 2 4 2 2 2 4" xfId="39757" xr:uid="{00000000-0005-0000-0000-0000CF100000}"/>
    <cellStyle name="20 % - Markeringsfarve2 2 4 2 2 3" xfId="10449" xr:uid="{00000000-0005-0000-0000-0000D0100000}"/>
    <cellStyle name="20 % - Markeringsfarve2 2 4 2 2 3 2" xfId="26769" xr:uid="{00000000-0005-0000-0000-0000D1100000}"/>
    <cellStyle name="20 % - Markeringsfarve2 2 4 2 2 3 3" xfId="41735" xr:uid="{00000000-0005-0000-0000-0000D2100000}"/>
    <cellStyle name="20 % - Markeringsfarve2 2 4 2 2 4" xfId="19747" xr:uid="{00000000-0005-0000-0000-0000D3100000}"/>
    <cellStyle name="20 % - Markeringsfarve2 2 4 2 2 5" xfId="34736" xr:uid="{00000000-0005-0000-0000-0000D4100000}"/>
    <cellStyle name="20 % - Markeringsfarve2 2 4 2 3" xfId="6154" xr:uid="{00000000-0005-0000-0000-0000D5100000}"/>
    <cellStyle name="20 % - Markeringsfarve2 2 4 2 3 2" xfId="14072" xr:uid="{00000000-0005-0000-0000-0000D6100000}"/>
    <cellStyle name="20 % - Markeringsfarve2 2 4 2 3 2 2" xfId="30387" xr:uid="{00000000-0005-0000-0000-0000D7100000}"/>
    <cellStyle name="20 % - Markeringsfarve2 2 4 2 3 2 3" xfId="45351" xr:uid="{00000000-0005-0000-0000-0000D8100000}"/>
    <cellStyle name="20 % - Markeringsfarve2 2 4 2 3 3" xfId="23365" xr:uid="{00000000-0005-0000-0000-0000D9100000}"/>
    <cellStyle name="20 % - Markeringsfarve2 2 4 2 3 4" xfId="38352" xr:uid="{00000000-0005-0000-0000-0000DA100000}"/>
    <cellStyle name="20 % - Markeringsfarve2 2 4 2 4" xfId="10448" xr:uid="{00000000-0005-0000-0000-0000DB100000}"/>
    <cellStyle name="20 % - Markeringsfarve2 2 4 2 4 2" xfId="26768" xr:uid="{00000000-0005-0000-0000-0000DC100000}"/>
    <cellStyle name="20 % - Markeringsfarve2 2 4 2 4 3" xfId="41734" xr:uid="{00000000-0005-0000-0000-0000DD100000}"/>
    <cellStyle name="20 % - Markeringsfarve2 2 4 2 5" xfId="19746" xr:uid="{00000000-0005-0000-0000-0000DE100000}"/>
    <cellStyle name="20 % - Markeringsfarve2 2 4 2 6" xfId="34735" xr:uid="{00000000-0005-0000-0000-0000DF100000}"/>
    <cellStyle name="20 % - Markeringsfarve2 2 4 2 7" xfId="57120" xr:uid="{00000000-0005-0000-0000-0000E0100000}"/>
    <cellStyle name="20 % - Markeringsfarve2 2 4 3" xfId="1890" xr:uid="{00000000-0005-0000-0000-0000E1100000}"/>
    <cellStyle name="20 % - Markeringsfarve2 2 4 3 2" xfId="6805" xr:uid="{00000000-0005-0000-0000-0000E2100000}"/>
    <cellStyle name="20 % - Markeringsfarve2 2 4 3 2 2" xfId="14717" xr:uid="{00000000-0005-0000-0000-0000E3100000}"/>
    <cellStyle name="20 % - Markeringsfarve2 2 4 3 2 2 2" xfId="31032" xr:uid="{00000000-0005-0000-0000-0000E4100000}"/>
    <cellStyle name="20 % - Markeringsfarve2 2 4 3 2 2 3" xfId="45996" xr:uid="{00000000-0005-0000-0000-0000E5100000}"/>
    <cellStyle name="20 % - Markeringsfarve2 2 4 3 2 3" xfId="24010" xr:uid="{00000000-0005-0000-0000-0000E6100000}"/>
    <cellStyle name="20 % - Markeringsfarve2 2 4 3 2 4" xfId="38997" xr:uid="{00000000-0005-0000-0000-0000E7100000}"/>
    <cellStyle name="20 % - Markeringsfarve2 2 4 3 3" xfId="10450" xr:uid="{00000000-0005-0000-0000-0000E8100000}"/>
    <cellStyle name="20 % - Markeringsfarve2 2 4 3 3 2" xfId="26770" xr:uid="{00000000-0005-0000-0000-0000E9100000}"/>
    <cellStyle name="20 % - Markeringsfarve2 2 4 3 3 3" xfId="41736" xr:uid="{00000000-0005-0000-0000-0000EA100000}"/>
    <cellStyle name="20 % - Markeringsfarve2 2 4 3 4" xfId="19748" xr:uid="{00000000-0005-0000-0000-0000EB100000}"/>
    <cellStyle name="20 % - Markeringsfarve2 2 4 3 5" xfId="34737" xr:uid="{00000000-0005-0000-0000-0000EC100000}"/>
    <cellStyle name="20 % - Markeringsfarve2 2 4 4" xfId="1891" xr:uid="{00000000-0005-0000-0000-0000ED100000}"/>
    <cellStyle name="20 % - Markeringsfarve2 2 4 4 2" xfId="7058" xr:uid="{00000000-0005-0000-0000-0000EE100000}"/>
    <cellStyle name="20 % - Markeringsfarve2 2 4 4 2 2" xfId="14969" xr:uid="{00000000-0005-0000-0000-0000EF100000}"/>
    <cellStyle name="20 % - Markeringsfarve2 2 4 4 2 2 2" xfId="31284" xr:uid="{00000000-0005-0000-0000-0000F0100000}"/>
    <cellStyle name="20 % - Markeringsfarve2 2 4 4 2 2 3" xfId="46248" xr:uid="{00000000-0005-0000-0000-0000F1100000}"/>
    <cellStyle name="20 % - Markeringsfarve2 2 4 4 2 3" xfId="24262" xr:uid="{00000000-0005-0000-0000-0000F2100000}"/>
    <cellStyle name="20 % - Markeringsfarve2 2 4 4 2 4" xfId="39249" xr:uid="{00000000-0005-0000-0000-0000F3100000}"/>
    <cellStyle name="20 % - Markeringsfarve2 2 4 4 3" xfId="10451" xr:uid="{00000000-0005-0000-0000-0000F4100000}"/>
    <cellStyle name="20 % - Markeringsfarve2 2 4 4 3 2" xfId="26771" xr:uid="{00000000-0005-0000-0000-0000F5100000}"/>
    <cellStyle name="20 % - Markeringsfarve2 2 4 4 3 3" xfId="41737" xr:uid="{00000000-0005-0000-0000-0000F6100000}"/>
    <cellStyle name="20 % - Markeringsfarve2 2 4 4 4" xfId="19749" xr:uid="{00000000-0005-0000-0000-0000F7100000}"/>
    <cellStyle name="20 % - Markeringsfarve2 2 4 4 5" xfId="34738" xr:uid="{00000000-0005-0000-0000-0000F8100000}"/>
    <cellStyle name="20 % - Markeringsfarve2 2 4 5" xfId="5419" xr:uid="{00000000-0005-0000-0000-0000F9100000}"/>
    <cellStyle name="20 % - Markeringsfarve2 2 4 5 2" xfId="13338" xr:uid="{00000000-0005-0000-0000-0000FA100000}"/>
    <cellStyle name="20 % - Markeringsfarve2 2 4 5 2 2" xfId="29653" xr:uid="{00000000-0005-0000-0000-0000FB100000}"/>
    <cellStyle name="20 % - Markeringsfarve2 2 4 5 2 3" xfId="44617" xr:uid="{00000000-0005-0000-0000-0000FC100000}"/>
    <cellStyle name="20 % - Markeringsfarve2 2 4 5 3" xfId="22631" xr:uid="{00000000-0005-0000-0000-0000FD100000}"/>
    <cellStyle name="20 % - Markeringsfarve2 2 4 5 4" xfId="37618" xr:uid="{00000000-0005-0000-0000-0000FE100000}"/>
    <cellStyle name="20 % - Markeringsfarve2 2 4 6" xfId="10447" xr:uid="{00000000-0005-0000-0000-0000FF100000}"/>
    <cellStyle name="20 % - Markeringsfarve2 2 4 6 2" xfId="26767" xr:uid="{00000000-0005-0000-0000-000000110000}"/>
    <cellStyle name="20 % - Markeringsfarve2 2 4 6 3" xfId="41733" xr:uid="{00000000-0005-0000-0000-000001110000}"/>
    <cellStyle name="20 % - Markeringsfarve2 2 4 7" xfId="19745" xr:uid="{00000000-0005-0000-0000-000002110000}"/>
    <cellStyle name="20 % - Markeringsfarve2 2 4 8" xfId="34734" xr:uid="{00000000-0005-0000-0000-000003110000}"/>
    <cellStyle name="20 % - Markeringsfarve2 2 4 9" xfId="53953" xr:uid="{00000000-0005-0000-0000-000004110000}"/>
    <cellStyle name="20 % - Markeringsfarve2 2 5" xfId="1892" xr:uid="{00000000-0005-0000-0000-000005110000}"/>
    <cellStyle name="20 % - Markeringsfarve2 2 5 2" xfId="1893" xr:uid="{00000000-0005-0000-0000-000006110000}"/>
    <cellStyle name="20 % - Markeringsfarve2 2 5 2 2" xfId="1894" xr:uid="{00000000-0005-0000-0000-000007110000}"/>
    <cellStyle name="20 % - Markeringsfarve2 2 5 2 2 2" xfId="7674" xr:uid="{00000000-0005-0000-0000-000008110000}"/>
    <cellStyle name="20 % - Markeringsfarve2 2 5 2 2 2 2" xfId="15576" xr:uid="{00000000-0005-0000-0000-000009110000}"/>
    <cellStyle name="20 % - Markeringsfarve2 2 5 2 2 2 2 2" xfId="31891" xr:uid="{00000000-0005-0000-0000-00000A110000}"/>
    <cellStyle name="20 % - Markeringsfarve2 2 5 2 2 2 2 3" xfId="46855" xr:uid="{00000000-0005-0000-0000-00000B110000}"/>
    <cellStyle name="20 % - Markeringsfarve2 2 5 2 2 2 3" xfId="24869" xr:uid="{00000000-0005-0000-0000-00000C110000}"/>
    <cellStyle name="20 % - Markeringsfarve2 2 5 2 2 2 4" xfId="39856" xr:uid="{00000000-0005-0000-0000-00000D110000}"/>
    <cellStyle name="20 % - Markeringsfarve2 2 5 2 2 3" xfId="10454" xr:uid="{00000000-0005-0000-0000-00000E110000}"/>
    <cellStyle name="20 % - Markeringsfarve2 2 5 2 2 3 2" xfId="26774" xr:uid="{00000000-0005-0000-0000-00000F110000}"/>
    <cellStyle name="20 % - Markeringsfarve2 2 5 2 2 3 3" xfId="41740" xr:uid="{00000000-0005-0000-0000-000010110000}"/>
    <cellStyle name="20 % - Markeringsfarve2 2 5 2 2 4" xfId="19752" xr:uid="{00000000-0005-0000-0000-000011110000}"/>
    <cellStyle name="20 % - Markeringsfarve2 2 5 2 2 5" xfId="34741" xr:uid="{00000000-0005-0000-0000-000012110000}"/>
    <cellStyle name="20 % - Markeringsfarve2 2 5 2 3" xfId="6238" xr:uid="{00000000-0005-0000-0000-000013110000}"/>
    <cellStyle name="20 % - Markeringsfarve2 2 5 2 3 2" xfId="14156" xr:uid="{00000000-0005-0000-0000-000014110000}"/>
    <cellStyle name="20 % - Markeringsfarve2 2 5 2 3 2 2" xfId="30471" xr:uid="{00000000-0005-0000-0000-000015110000}"/>
    <cellStyle name="20 % - Markeringsfarve2 2 5 2 3 2 3" xfId="45435" xr:uid="{00000000-0005-0000-0000-000016110000}"/>
    <cellStyle name="20 % - Markeringsfarve2 2 5 2 3 3" xfId="23449" xr:uid="{00000000-0005-0000-0000-000017110000}"/>
    <cellStyle name="20 % - Markeringsfarve2 2 5 2 3 4" xfId="38436" xr:uid="{00000000-0005-0000-0000-000018110000}"/>
    <cellStyle name="20 % - Markeringsfarve2 2 5 2 4" xfId="10453" xr:uid="{00000000-0005-0000-0000-000019110000}"/>
    <cellStyle name="20 % - Markeringsfarve2 2 5 2 4 2" xfId="26773" xr:uid="{00000000-0005-0000-0000-00001A110000}"/>
    <cellStyle name="20 % - Markeringsfarve2 2 5 2 4 3" xfId="41739" xr:uid="{00000000-0005-0000-0000-00001B110000}"/>
    <cellStyle name="20 % - Markeringsfarve2 2 5 2 5" xfId="19751" xr:uid="{00000000-0005-0000-0000-00001C110000}"/>
    <cellStyle name="20 % - Markeringsfarve2 2 5 2 6" xfId="34740" xr:uid="{00000000-0005-0000-0000-00001D110000}"/>
    <cellStyle name="20 % - Markeringsfarve2 2 5 3" xfId="1895" xr:uid="{00000000-0005-0000-0000-00001E110000}"/>
    <cellStyle name="20 % - Markeringsfarve2 2 5 3 2" xfId="6904" xr:uid="{00000000-0005-0000-0000-00001F110000}"/>
    <cellStyle name="20 % - Markeringsfarve2 2 5 3 2 2" xfId="14816" xr:uid="{00000000-0005-0000-0000-000020110000}"/>
    <cellStyle name="20 % - Markeringsfarve2 2 5 3 2 2 2" xfId="31131" xr:uid="{00000000-0005-0000-0000-000021110000}"/>
    <cellStyle name="20 % - Markeringsfarve2 2 5 3 2 2 3" xfId="46095" xr:uid="{00000000-0005-0000-0000-000022110000}"/>
    <cellStyle name="20 % - Markeringsfarve2 2 5 3 2 3" xfId="24109" xr:uid="{00000000-0005-0000-0000-000023110000}"/>
    <cellStyle name="20 % - Markeringsfarve2 2 5 3 2 4" xfId="39096" xr:uid="{00000000-0005-0000-0000-000024110000}"/>
    <cellStyle name="20 % - Markeringsfarve2 2 5 3 3" xfId="10455" xr:uid="{00000000-0005-0000-0000-000025110000}"/>
    <cellStyle name="20 % - Markeringsfarve2 2 5 3 3 2" xfId="26775" xr:uid="{00000000-0005-0000-0000-000026110000}"/>
    <cellStyle name="20 % - Markeringsfarve2 2 5 3 3 3" xfId="41741" xr:uid="{00000000-0005-0000-0000-000027110000}"/>
    <cellStyle name="20 % - Markeringsfarve2 2 5 3 4" xfId="19753" xr:uid="{00000000-0005-0000-0000-000028110000}"/>
    <cellStyle name="20 % - Markeringsfarve2 2 5 3 5" xfId="34742" xr:uid="{00000000-0005-0000-0000-000029110000}"/>
    <cellStyle name="20 % - Markeringsfarve2 2 5 4" xfId="1896" xr:uid="{00000000-0005-0000-0000-00002A110000}"/>
    <cellStyle name="20 % - Markeringsfarve2 2 5 4 2" xfId="7059" xr:uid="{00000000-0005-0000-0000-00002B110000}"/>
    <cellStyle name="20 % - Markeringsfarve2 2 5 4 2 2" xfId="14970" xr:uid="{00000000-0005-0000-0000-00002C110000}"/>
    <cellStyle name="20 % - Markeringsfarve2 2 5 4 2 2 2" xfId="31285" xr:uid="{00000000-0005-0000-0000-00002D110000}"/>
    <cellStyle name="20 % - Markeringsfarve2 2 5 4 2 2 3" xfId="46249" xr:uid="{00000000-0005-0000-0000-00002E110000}"/>
    <cellStyle name="20 % - Markeringsfarve2 2 5 4 2 3" xfId="24263" xr:uid="{00000000-0005-0000-0000-00002F110000}"/>
    <cellStyle name="20 % - Markeringsfarve2 2 5 4 2 4" xfId="39250" xr:uid="{00000000-0005-0000-0000-000030110000}"/>
    <cellStyle name="20 % - Markeringsfarve2 2 5 4 3" xfId="10456" xr:uid="{00000000-0005-0000-0000-000031110000}"/>
    <cellStyle name="20 % - Markeringsfarve2 2 5 4 3 2" xfId="26776" xr:uid="{00000000-0005-0000-0000-000032110000}"/>
    <cellStyle name="20 % - Markeringsfarve2 2 5 4 3 3" xfId="41742" xr:uid="{00000000-0005-0000-0000-000033110000}"/>
    <cellStyle name="20 % - Markeringsfarve2 2 5 4 4" xfId="19754" xr:uid="{00000000-0005-0000-0000-000034110000}"/>
    <cellStyle name="20 % - Markeringsfarve2 2 5 4 5" xfId="34743" xr:uid="{00000000-0005-0000-0000-000035110000}"/>
    <cellStyle name="20 % - Markeringsfarve2 2 5 5" xfId="5420" xr:uid="{00000000-0005-0000-0000-000036110000}"/>
    <cellStyle name="20 % - Markeringsfarve2 2 5 5 2" xfId="13339" xr:uid="{00000000-0005-0000-0000-000037110000}"/>
    <cellStyle name="20 % - Markeringsfarve2 2 5 5 2 2" xfId="29654" xr:uid="{00000000-0005-0000-0000-000038110000}"/>
    <cellStyle name="20 % - Markeringsfarve2 2 5 5 2 3" xfId="44618" xr:uid="{00000000-0005-0000-0000-000039110000}"/>
    <cellStyle name="20 % - Markeringsfarve2 2 5 5 3" xfId="22632" xr:uid="{00000000-0005-0000-0000-00003A110000}"/>
    <cellStyle name="20 % - Markeringsfarve2 2 5 5 4" xfId="37619" xr:uid="{00000000-0005-0000-0000-00003B110000}"/>
    <cellStyle name="20 % - Markeringsfarve2 2 5 6" xfId="10452" xr:uid="{00000000-0005-0000-0000-00003C110000}"/>
    <cellStyle name="20 % - Markeringsfarve2 2 5 6 2" xfId="26772" xr:uid="{00000000-0005-0000-0000-00003D110000}"/>
    <cellStyle name="20 % - Markeringsfarve2 2 5 6 3" xfId="41738" xr:uid="{00000000-0005-0000-0000-00003E110000}"/>
    <cellStyle name="20 % - Markeringsfarve2 2 5 7" xfId="19750" xr:uid="{00000000-0005-0000-0000-00003F110000}"/>
    <cellStyle name="20 % - Markeringsfarve2 2 5 8" xfId="34739" xr:uid="{00000000-0005-0000-0000-000040110000}"/>
    <cellStyle name="20 % - Markeringsfarve2 2 5 9" xfId="56497" xr:uid="{00000000-0005-0000-0000-000041110000}"/>
    <cellStyle name="20 % - Markeringsfarve2 2 6" xfId="1897" xr:uid="{00000000-0005-0000-0000-000042110000}"/>
    <cellStyle name="20 % - Markeringsfarve2 2 6 2" xfId="1898" xr:uid="{00000000-0005-0000-0000-000043110000}"/>
    <cellStyle name="20 % - Markeringsfarve2 2 6 2 2" xfId="1899" xr:uid="{00000000-0005-0000-0000-000044110000}"/>
    <cellStyle name="20 % - Markeringsfarve2 2 6 2 2 2" xfId="7813" xr:uid="{00000000-0005-0000-0000-000045110000}"/>
    <cellStyle name="20 % - Markeringsfarve2 2 6 2 2 2 2" xfId="15715" xr:uid="{00000000-0005-0000-0000-000046110000}"/>
    <cellStyle name="20 % - Markeringsfarve2 2 6 2 2 2 2 2" xfId="32030" xr:uid="{00000000-0005-0000-0000-000047110000}"/>
    <cellStyle name="20 % - Markeringsfarve2 2 6 2 2 2 2 3" xfId="46994" xr:uid="{00000000-0005-0000-0000-000048110000}"/>
    <cellStyle name="20 % - Markeringsfarve2 2 6 2 2 2 3" xfId="25008" xr:uid="{00000000-0005-0000-0000-000049110000}"/>
    <cellStyle name="20 % - Markeringsfarve2 2 6 2 2 2 4" xfId="39995" xr:uid="{00000000-0005-0000-0000-00004A110000}"/>
    <cellStyle name="20 % - Markeringsfarve2 2 6 2 2 3" xfId="10459" xr:uid="{00000000-0005-0000-0000-00004B110000}"/>
    <cellStyle name="20 % - Markeringsfarve2 2 6 2 2 3 2" xfId="26779" xr:uid="{00000000-0005-0000-0000-00004C110000}"/>
    <cellStyle name="20 % - Markeringsfarve2 2 6 2 2 3 3" xfId="41745" xr:uid="{00000000-0005-0000-0000-00004D110000}"/>
    <cellStyle name="20 % - Markeringsfarve2 2 6 2 2 4" xfId="19757" xr:uid="{00000000-0005-0000-0000-00004E110000}"/>
    <cellStyle name="20 % - Markeringsfarve2 2 6 2 2 5" xfId="34746" xr:uid="{00000000-0005-0000-0000-00004F110000}"/>
    <cellStyle name="20 % - Markeringsfarve2 2 6 2 3" xfId="6356" xr:uid="{00000000-0005-0000-0000-000050110000}"/>
    <cellStyle name="20 % - Markeringsfarve2 2 6 2 3 2" xfId="14271" xr:uid="{00000000-0005-0000-0000-000051110000}"/>
    <cellStyle name="20 % - Markeringsfarve2 2 6 2 3 2 2" xfId="30586" xr:uid="{00000000-0005-0000-0000-000052110000}"/>
    <cellStyle name="20 % - Markeringsfarve2 2 6 2 3 2 3" xfId="45550" xr:uid="{00000000-0005-0000-0000-000053110000}"/>
    <cellStyle name="20 % - Markeringsfarve2 2 6 2 3 3" xfId="23564" xr:uid="{00000000-0005-0000-0000-000054110000}"/>
    <cellStyle name="20 % - Markeringsfarve2 2 6 2 3 4" xfId="38551" xr:uid="{00000000-0005-0000-0000-000055110000}"/>
    <cellStyle name="20 % - Markeringsfarve2 2 6 2 4" xfId="10458" xr:uid="{00000000-0005-0000-0000-000056110000}"/>
    <cellStyle name="20 % - Markeringsfarve2 2 6 2 4 2" xfId="26778" xr:uid="{00000000-0005-0000-0000-000057110000}"/>
    <cellStyle name="20 % - Markeringsfarve2 2 6 2 4 3" xfId="41744" xr:uid="{00000000-0005-0000-0000-000058110000}"/>
    <cellStyle name="20 % - Markeringsfarve2 2 6 2 5" xfId="19756" xr:uid="{00000000-0005-0000-0000-000059110000}"/>
    <cellStyle name="20 % - Markeringsfarve2 2 6 2 6" xfId="34745" xr:uid="{00000000-0005-0000-0000-00005A110000}"/>
    <cellStyle name="20 % - Markeringsfarve2 2 6 3" xfId="1900" xr:uid="{00000000-0005-0000-0000-00005B110000}"/>
    <cellStyle name="20 % - Markeringsfarve2 2 6 3 2" xfId="7089" xr:uid="{00000000-0005-0000-0000-00005C110000}"/>
    <cellStyle name="20 % - Markeringsfarve2 2 6 3 2 2" xfId="15000" xr:uid="{00000000-0005-0000-0000-00005D110000}"/>
    <cellStyle name="20 % - Markeringsfarve2 2 6 3 2 2 2" xfId="31315" xr:uid="{00000000-0005-0000-0000-00005E110000}"/>
    <cellStyle name="20 % - Markeringsfarve2 2 6 3 2 2 3" xfId="46279" xr:uid="{00000000-0005-0000-0000-00005F110000}"/>
    <cellStyle name="20 % - Markeringsfarve2 2 6 3 2 3" xfId="24293" xr:uid="{00000000-0005-0000-0000-000060110000}"/>
    <cellStyle name="20 % - Markeringsfarve2 2 6 3 2 4" xfId="39280" xr:uid="{00000000-0005-0000-0000-000061110000}"/>
    <cellStyle name="20 % - Markeringsfarve2 2 6 3 3" xfId="10460" xr:uid="{00000000-0005-0000-0000-000062110000}"/>
    <cellStyle name="20 % - Markeringsfarve2 2 6 3 3 2" xfId="26780" xr:uid="{00000000-0005-0000-0000-000063110000}"/>
    <cellStyle name="20 % - Markeringsfarve2 2 6 3 3 3" xfId="41746" xr:uid="{00000000-0005-0000-0000-000064110000}"/>
    <cellStyle name="20 % - Markeringsfarve2 2 6 3 4" xfId="19758" xr:uid="{00000000-0005-0000-0000-000065110000}"/>
    <cellStyle name="20 % - Markeringsfarve2 2 6 3 5" xfId="34747" xr:uid="{00000000-0005-0000-0000-000066110000}"/>
    <cellStyle name="20 % - Markeringsfarve2 2 6 4" xfId="1901" xr:uid="{00000000-0005-0000-0000-000067110000}"/>
    <cellStyle name="20 % - Markeringsfarve2 2 6 4 2" xfId="7060" xr:uid="{00000000-0005-0000-0000-000068110000}"/>
    <cellStyle name="20 % - Markeringsfarve2 2 6 4 2 2" xfId="14971" xr:uid="{00000000-0005-0000-0000-000069110000}"/>
    <cellStyle name="20 % - Markeringsfarve2 2 6 4 2 2 2" xfId="31286" xr:uid="{00000000-0005-0000-0000-00006A110000}"/>
    <cellStyle name="20 % - Markeringsfarve2 2 6 4 2 2 3" xfId="46250" xr:uid="{00000000-0005-0000-0000-00006B110000}"/>
    <cellStyle name="20 % - Markeringsfarve2 2 6 4 2 3" xfId="24264" xr:uid="{00000000-0005-0000-0000-00006C110000}"/>
    <cellStyle name="20 % - Markeringsfarve2 2 6 4 2 4" xfId="39251" xr:uid="{00000000-0005-0000-0000-00006D110000}"/>
    <cellStyle name="20 % - Markeringsfarve2 2 6 4 3" xfId="10461" xr:uid="{00000000-0005-0000-0000-00006E110000}"/>
    <cellStyle name="20 % - Markeringsfarve2 2 6 4 3 2" xfId="26781" xr:uid="{00000000-0005-0000-0000-00006F110000}"/>
    <cellStyle name="20 % - Markeringsfarve2 2 6 4 3 3" xfId="41747" xr:uid="{00000000-0005-0000-0000-000070110000}"/>
    <cellStyle name="20 % - Markeringsfarve2 2 6 4 4" xfId="19759" xr:uid="{00000000-0005-0000-0000-000071110000}"/>
    <cellStyle name="20 % - Markeringsfarve2 2 6 4 5" xfId="34748" xr:uid="{00000000-0005-0000-0000-000072110000}"/>
    <cellStyle name="20 % - Markeringsfarve2 2 6 5" xfId="5421" xr:uid="{00000000-0005-0000-0000-000073110000}"/>
    <cellStyle name="20 % - Markeringsfarve2 2 6 5 2" xfId="13340" xr:uid="{00000000-0005-0000-0000-000074110000}"/>
    <cellStyle name="20 % - Markeringsfarve2 2 6 5 2 2" xfId="29655" xr:uid="{00000000-0005-0000-0000-000075110000}"/>
    <cellStyle name="20 % - Markeringsfarve2 2 6 5 2 3" xfId="44619" xr:uid="{00000000-0005-0000-0000-000076110000}"/>
    <cellStyle name="20 % - Markeringsfarve2 2 6 5 3" xfId="22633" xr:uid="{00000000-0005-0000-0000-000077110000}"/>
    <cellStyle name="20 % - Markeringsfarve2 2 6 5 4" xfId="37620" xr:uid="{00000000-0005-0000-0000-000078110000}"/>
    <cellStyle name="20 % - Markeringsfarve2 2 6 6" xfId="10457" xr:uid="{00000000-0005-0000-0000-000079110000}"/>
    <cellStyle name="20 % - Markeringsfarve2 2 6 6 2" xfId="26777" xr:uid="{00000000-0005-0000-0000-00007A110000}"/>
    <cellStyle name="20 % - Markeringsfarve2 2 6 6 3" xfId="41743" xr:uid="{00000000-0005-0000-0000-00007B110000}"/>
    <cellStyle name="20 % - Markeringsfarve2 2 6 7" xfId="19755" xr:uid="{00000000-0005-0000-0000-00007C110000}"/>
    <cellStyle name="20 % - Markeringsfarve2 2 6 8" xfId="34744" xr:uid="{00000000-0005-0000-0000-00007D110000}"/>
    <cellStyle name="20 % - Markeringsfarve2 2 7" xfId="1902" xr:uid="{00000000-0005-0000-0000-00007E110000}"/>
    <cellStyle name="20 % - Markeringsfarve2 2 7 2" xfId="1903" xr:uid="{00000000-0005-0000-0000-00007F110000}"/>
    <cellStyle name="20 % - Markeringsfarve2 2 7 2 2" xfId="1904" xr:uid="{00000000-0005-0000-0000-000080110000}"/>
    <cellStyle name="20 % - Markeringsfarve2 2 7 2 2 2" xfId="7930" xr:uid="{00000000-0005-0000-0000-000081110000}"/>
    <cellStyle name="20 % - Markeringsfarve2 2 7 2 2 2 2" xfId="15832" xr:uid="{00000000-0005-0000-0000-000082110000}"/>
    <cellStyle name="20 % - Markeringsfarve2 2 7 2 2 2 2 2" xfId="32147" xr:uid="{00000000-0005-0000-0000-000083110000}"/>
    <cellStyle name="20 % - Markeringsfarve2 2 7 2 2 2 2 3" xfId="47111" xr:uid="{00000000-0005-0000-0000-000084110000}"/>
    <cellStyle name="20 % - Markeringsfarve2 2 7 2 2 2 3" xfId="25125" xr:uid="{00000000-0005-0000-0000-000085110000}"/>
    <cellStyle name="20 % - Markeringsfarve2 2 7 2 2 2 4" xfId="40112" xr:uid="{00000000-0005-0000-0000-000086110000}"/>
    <cellStyle name="20 % - Markeringsfarve2 2 7 2 2 3" xfId="10464" xr:uid="{00000000-0005-0000-0000-000087110000}"/>
    <cellStyle name="20 % - Markeringsfarve2 2 7 2 2 3 2" xfId="26784" xr:uid="{00000000-0005-0000-0000-000088110000}"/>
    <cellStyle name="20 % - Markeringsfarve2 2 7 2 2 3 3" xfId="41750" xr:uid="{00000000-0005-0000-0000-000089110000}"/>
    <cellStyle name="20 % - Markeringsfarve2 2 7 2 2 4" xfId="19762" xr:uid="{00000000-0005-0000-0000-00008A110000}"/>
    <cellStyle name="20 % - Markeringsfarve2 2 7 2 2 5" xfId="34751" xr:uid="{00000000-0005-0000-0000-00008B110000}"/>
    <cellStyle name="20 % - Markeringsfarve2 2 7 2 3" xfId="6455" xr:uid="{00000000-0005-0000-0000-00008C110000}"/>
    <cellStyle name="20 % - Markeringsfarve2 2 7 2 3 2" xfId="14370" xr:uid="{00000000-0005-0000-0000-00008D110000}"/>
    <cellStyle name="20 % - Markeringsfarve2 2 7 2 3 2 2" xfId="30685" xr:uid="{00000000-0005-0000-0000-00008E110000}"/>
    <cellStyle name="20 % - Markeringsfarve2 2 7 2 3 2 3" xfId="45649" xr:uid="{00000000-0005-0000-0000-00008F110000}"/>
    <cellStyle name="20 % - Markeringsfarve2 2 7 2 3 3" xfId="23663" xr:uid="{00000000-0005-0000-0000-000090110000}"/>
    <cellStyle name="20 % - Markeringsfarve2 2 7 2 3 4" xfId="38650" xr:uid="{00000000-0005-0000-0000-000091110000}"/>
    <cellStyle name="20 % - Markeringsfarve2 2 7 2 4" xfId="10463" xr:uid="{00000000-0005-0000-0000-000092110000}"/>
    <cellStyle name="20 % - Markeringsfarve2 2 7 2 4 2" xfId="26783" xr:uid="{00000000-0005-0000-0000-000093110000}"/>
    <cellStyle name="20 % - Markeringsfarve2 2 7 2 4 3" xfId="41749" xr:uid="{00000000-0005-0000-0000-000094110000}"/>
    <cellStyle name="20 % - Markeringsfarve2 2 7 2 5" xfId="19761" xr:uid="{00000000-0005-0000-0000-000095110000}"/>
    <cellStyle name="20 % - Markeringsfarve2 2 7 2 6" xfId="34750" xr:uid="{00000000-0005-0000-0000-000096110000}"/>
    <cellStyle name="20 % - Markeringsfarve2 2 7 3" xfId="1905" xr:uid="{00000000-0005-0000-0000-000097110000}"/>
    <cellStyle name="20 % - Markeringsfarve2 2 7 3 2" xfId="7206" xr:uid="{00000000-0005-0000-0000-000098110000}"/>
    <cellStyle name="20 % - Markeringsfarve2 2 7 3 2 2" xfId="15117" xr:uid="{00000000-0005-0000-0000-000099110000}"/>
    <cellStyle name="20 % - Markeringsfarve2 2 7 3 2 2 2" xfId="31432" xr:uid="{00000000-0005-0000-0000-00009A110000}"/>
    <cellStyle name="20 % - Markeringsfarve2 2 7 3 2 2 3" xfId="46396" xr:uid="{00000000-0005-0000-0000-00009B110000}"/>
    <cellStyle name="20 % - Markeringsfarve2 2 7 3 2 3" xfId="24410" xr:uid="{00000000-0005-0000-0000-00009C110000}"/>
    <cellStyle name="20 % - Markeringsfarve2 2 7 3 2 4" xfId="39397" xr:uid="{00000000-0005-0000-0000-00009D110000}"/>
    <cellStyle name="20 % - Markeringsfarve2 2 7 3 3" xfId="10465" xr:uid="{00000000-0005-0000-0000-00009E110000}"/>
    <cellStyle name="20 % - Markeringsfarve2 2 7 3 3 2" xfId="26785" xr:uid="{00000000-0005-0000-0000-00009F110000}"/>
    <cellStyle name="20 % - Markeringsfarve2 2 7 3 3 3" xfId="41751" xr:uid="{00000000-0005-0000-0000-0000A0110000}"/>
    <cellStyle name="20 % - Markeringsfarve2 2 7 3 4" xfId="19763" xr:uid="{00000000-0005-0000-0000-0000A1110000}"/>
    <cellStyle name="20 % - Markeringsfarve2 2 7 3 5" xfId="34752" xr:uid="{00000000-0005-0000-0000-0000A2110000}"/>
    <cellStyle name="20 % - Markeringsfarve2 2 7 4" xfId="1906" xr:uid="{00000000-0005-0000-0000-0000A3110000}"/>
    <cellStyle name="20 % - Markeringsfarve2 2 7 4 2" xfId="6635" xr:uid="{00000000-0005-0000-0000-0000A4110000}"/>
    <cellStyle name="20 % - Markeringsfarve2 2 7 4 2 2" xfId="14549" xr:uid="{00000000-0005-0000-0000-0000A5110000}"/>
    <cellStyle name="20 % - Markeringsfarve2 2 7 4 2 2 2" xfId="30864" xr:uid="{00000000-0005-0000-0000-0000A6110000}"/>
    <cellStyle name="20 % - Markeringsfarve2 2 7 4 2 2 3" xfId="45828" xr:uid="{00000000-0005-0000-0000-0000A7110000}"/>
    <cellStyle name="20 % - Markeringsfarve2 2 7 4 2 3" xfId="23842" xr:uid="{00000000-0005-0000-0000-0000A8110000}"/>
    <cellStyle name="20 % - Markeringsfarve2 2 7 4 2 4" xfId="38829" xr:uid="{00000000-0005-0000-0000-0000A9110000}"/>
    <cellStyle name="20 % - Markeringsfarve2 2 7 4 3" xfId="10466" xr:uid="{00000000-0005-0000-0000-0000AA110000}"/>
    <cellStyle name="20 % - Markeringsfarve2 2 7 4 3 2" xfId="26786" xr:uid="{00000000-0005-0000-0000-0000AB110000}"/>
    <cellStyle name="20 % - Markeringsfarve2 2 7 4 3 3" xfId="41752" xr:uid="{00000000-0005-0000-0000-0000AC110000}"/>
    <cellStyle name="20 % - Markeringsfarve2 2 7 4 4" xfId="19764" xr:uid="{00000000-0005-0000-0000-0000AD110000}"/>
    <cellStyle name="20 % - Markeringsfarve2 2 7 4 5" xfId="34753" xr:uid="{00000000-0005-0000-0000-0000AE110000}"/>
    <cellStyle name="20 % - Markeringsfarve2 2 7 5" xfId="5422" xr:uid="{00000000-0005-0000-0000-0000AF110000}"/>
    <cellStyle name="20 % - Markeringsfarve2 2 7 5 2" xfId="13341" xr:uid="{00000000-0005-0000-0000-0000B0110000}"/>
    <cellStyle name="20 % - Markeringsfarve2 2 7 5 2 2" xfId="29656" xr:uid="{00000000-0005-0000-0000-0000B1110000}"/>
    <cellStyle name="20 % - Markeringsfarve2 2 7 5 2 3" xfId="44620" xr:uid="{00000000-0005-0000-0000-0000B2110000}"/>
    <cellStyle name="20 % - Markeringsfarve2 2 7 5 3" xfId="22634" xr:uid="{00000000-0005-0000-0000-0000B3110000}"/>
    <cellStyle name="20 % - Markeringsfarve2 2 7 5 4" xfId="37621" xr:uid="{00000000-0005-0000-0000-0000B4110000}"/>
    <cellStyle name="20 % - Markeringsfarve2 2 7 6" xfId="10462" xr:uid="{00000000-0005-0000-0000-0000B5110000}"/>
    <cellStyle name="20 % - Markeringsfarve2 2 7 6 2" xfId="26782" xr:uid="{00000000-0005-0000-0000-0000B6110000}"/>
    <cellStyle name="20 % - Markeringsfarve2 2 7 6 3" xfId="41748" xr:uid="{00000000-0005-0000-0000-0000B7110000}"/>
    <cellStyle name="20 % - Markeringsfarve2 2 7 7" xfId="19760" xr:uid="{00000000-0005-0000-0000-0000B8110000}"/>
    <cellStyle name="20 % - Markeringsfarve2 2 7 8" xfId="34749" xr:uid="{00000000-0005-0000-0000-0000B9110000}"/>
    <cellStyle name="20 % - Markeringsfarve2 2 8" xfId="1907" xr:uid="{00000000-0005-0000-0000-0000BA110000}"/>
    <cellStyle name="20 % - Markeringsfarve2 2 8 2" xfId="1908" xr:uid="{00000000-0005-0000-0000-0000BB110000}"/>
    <cellStyle name="20 % - Markeringsfarve2 2 8 2 2" xfId="1909" xr:uid="{00000000-0005-0000-0000-0000BC110000}"/>
    <cellStyle name="20 % - Markeringsfarve2 2 8 2 2 2" xfId="8029" xr:uid="{00000000-0005-0000-0000-0000BD110000}"/>
    <cellStyle name="20 % - Markeringsfarve2 2 8 2 2 2 2" xfId="15931" xr:uid="{00000000-0005-0000-0000-0000BE110000}"/>
    <cellStyle name="20 % - Markeringsfarve2 2 8 2 2 2 2 2" xfId="32246" xr:uid="{00000000-0005-0000-0000-0000BF110000}"/>
    <cellStyle name="20 % - Markeringsfarve2 2 8 2 2 2 2 3" xfId="47210" xr:uid="{00000000-0005-0000-0000-0000C0110000}"/>
    <cellStyle name="20 % - Markeringsfarve2 2 8 2 2 2 3" xfId="25224" xr:uid="{00000000-0005-0000-0000-0000C1110000}"/>
    <cellStyle name="20 % - Markeringsfarve2 2 8 2 2 2 4" xfId="40211" xr:uid="{00000000-0005-0000-0000-0000C2110000}"/>
    <cellStyle name="20 % - Markeringsfarve2 2 8 2 2 3" xfId="10469" xr:uid="{00000000-0005-0000-0000-0000C3110000}"/>
    <cellStyle name="20 % - Markeringsfarve2 2 8 2 2 3 2" xfId="26789" xr:uid="{00000000-0005-0000-0000-0000C4110000}"/>
    <cellStyle name="20 % - Markeringsfarve2 2 8 2 2 3 3" xfId="41755" xr:uid="{00000000-0005-0000-0000-0000C5110000}"/>
    <cellStyle name="20 % - Markeringsfarve2 2 8 2 2 4" xfId="19767" xr:uid="{00000000-0005-0000-0000-0000C6110000}"/>
    <cellStyle name="20 % - Markeringsfarve2 2 8 2 2 5" xfId="34756" xr:uid="{00000000-0005-0000-0000-0000C7110000}"/>
    <cellStyle name="20 % - Markeringsfarve2 2 8 2 3" xfId="6540" xr:uid="{00000000-0005-0000-0000-0000C8110000}"/>
    <cellStyle name="20 % - Markeringsfarve2 2 8 2 3 2" xfId="14455" xr:uid="{00000000-0005-0000-0000-0000C9110000}"/>
    <cellStyle name="20 % - Markeringsfarve2 2 8 2 3 2 2" xfId="30770" xr:uid="{00000000-0005-0000-0000-0000CA110000}"/>
    <cellStyle name="20 % - Markeringsfarve2 2 8 2 3 2 3" xfId="45734" xr:uid="{00000000-0005-0000-0000-0000CB110000}"/>
    <cellStyle name="20 % - Markeringsfarve2 2 8 2 3 3" xfId="23748" xr:uid="{00000000-0005-0000-0000-0000CC110000}"/>
    <cellStyle name="20 % - Markeringsfarve2 2 8 2 3 4" xfId="38735" xr:uid="{00000000-0005-0000-0000-0000CD110000}"/>
    <cellStyle name="20 % - Markeringsfarve2 2 8 2 4" xfId="10468" xr:uid="{00000000-0005-0000-0000-0000CE110000}"/>
    <cellStyle name="20 % - Markeringsfarve2 2 8 2 4 2" xfId="26788" xr:uid="{00000000-0005-0000-0000-0000CF110000}"/>
    <cellStyle name="20 % - Markeringsfarve2 2 8 2 4 3" xfId="41754" xr:uid="{00000000-0005-0000-0000-0000D0110000}"/>
    <cellStyle name="20 % - Markeringsfarve2 2 8 2 5" xfId="19766" xr:uid="{00000000-0005-0000-0000-0000D1110000}"/>
    <cellStyle name="20 % - Markeringsfarve2 2 8 2 6" xfId="34755" xr:uid="{00000000-0005-0000-0000-0000D2110000}"/>
    <cellStyle name="20 % - Markeringsfarve2 2 8 3" xfId="1910" xr:uid="{00000000-0005-0000-0000-0000D3110000}"/>
    <cellStyle name="20 % - Markeringsfarve2 2 8 3 2" xfId="7306" xr:uid="{00000000-0005-0000-0000-0000D4110000}"/>
    <cellStyle name="20 % - Markeringsfarve2 2 8 3 2 2" xfId="15217" xr:uid="{00000000-0005-0000-0000-0000D5110000}"/>
    <cellStyle name="20 % - Markeringsfarve2 2 8 3 2 2 2" xfId="31532" xr:uid="{00000000-0005-0000-0000-0000D6110000}"/>
    <cellStyle name="20 % - Markeringsfarve2 2 8 3 2 2 3" xfId="46496" xr:uid="{00000000-0005-0000-0000-0000D7110000}"/>
    <cellStyle name="20 % - Markeringsfarve2 2 8 3 2 3" xfId="24510" xr:uid="{00000000-0005-0000-0000-0000D8110000}"/>
    <cellStyle name="20 % - Markeringsfarve2 2 8 3 2 4" xfId="39497" xr:uid="{00000000-0005-0000-0000-0000D9110000}"/>
    <cellStyle name="20 % - Markeringsfarve2 2 8 3 3" xfId="10470" xr:uid="{00000000-0005-0000-0000-0000DA110000}"/>
    <cellStyle name="20 % - Markeringsfarve2 2 8 3 3 2" xfId="26790" xr:uid="{00000000-0005-0000-0000-0000DB110000}"/>
    <cellStyle name="20 % - Markeringsfarve2 2 8 3 3 3" xfId="41756" xr:uid="{00000000-0005-0000-0000-0000DC110000}"/>
    <cellStyle name="20 % - Markeringsfarve2 2 8 3 4" xfId="19768" xr:uid="{00000000-0005-0000-0000-0000DD110000}"/>
    <cellStyle name="20 % - Markeringsfarve2 2 8 3 5" xfId="34757" xr:uid="{00000000-0005-0000-0000-0000DE110000}"/>
    <cellStyle name="20 % - Markeringsfarve2 2 8 4" xfId="1911" xr:uid="{00000000-0005-0000-0000-0000DF110000}"/>
    <cellStyle name="20 % - Markeringsfarve2 2 8 4 2" xfId="6646" xr:uid="{00000000-0005-0000-0000-0000E0110000}"/>
    <cellStyle name="20 % - Markeringsfarve2 2 8 4 2 2" xfId="14560" xr:uid="{00000000-0005-0000-0000-0000E1110000}"/>
    <cellStyle name="20 % - Markeringsfarve2 2 8 4 2 2 2" xfId="30875" xr:uid="{00000000-0005-0000-0000-0000E2110000}"/>
    <cellStyle name="20 % - Markeringsfarve2 2 8 4 2 2 3" xfId="45839" xr:uid="{00000000-0005-0000-0000-0000E3110000}"/>
    <cellStyle name="20 % - Markeringsfarve2 2 8 4 2 3" xfId="23853" xr:uid="{00000000-0005-0000-0000-0000E4110000}"/>
    <cellStyle name="20 % - Markeringsfarve2 2 8 4 2 4" xfId="38840" xr:uid="{00000000-0005-0000-0000-0000E5110000}"/>
    <cellStyle name="20 % - Markeringsfarve2 2 8 4 3" xfId="10471" xr:uid="{00000000-0005-0000-0000-0000E6110000}"/>
    <cellStyle name="20 % - Markeringsfarve2 2 8 4 3 2" xfId="26791" xr:uid="{00000000-0005-0000-0000-0000E7110000}"/>
    <cellStyle name="20 % - Markeringsfarve2 2 8 4 3 3" xfId="41757" xr:uid="{00000000-0005-0000-0000-0000E8110000}"/>
    <cellStyle name="20 % - Markeringsfarve2 2 8 4 4" xfId="19769" xr:uid="{00000000-0005-0000-0000-0000E9110000}"/>
    <cellStyle name="20 % - Markeringsfarve2 2 8 4 5" xfId="34758" xr:uid="{00000000-0005-0000-0000-0000EA110000}"/>
    <cellStyle name="20 % - Markeringsfarve2 2 8 5" xfId="5423" xr:uid="{00000000-0005-0000-0000-0000EB110000}"/>
    <cellStyle name="20 % - Markeringsfarve2 2 8 5 2" xfId="13342" xr:uid="{00000000-0005-0000-0000-0000EC110000}"/>
    <cellStyle name="20 % - Markeringsfarve2 2 8 5 2 2" xfId="29657" xr:uid="{00000000-0005-0000-0000-0000ED110000}"/>
    <cellStyle name="20 % - Markeringsfarve2 2 8 5 2 3" xfId="44621" xr:uid="{00000000-0005-0000-0000-0000EE110000}"/>
    <cellStyle name="20 % - Markeringsfarve2 2 8 5 3" xfId="22635" xr:uid="{00000000-0005-0000-0000-0000EF110000}"/>
    <cellStyle name="20 % - Markeringsfarve2 2 8 5 4" xfId="37622" xr:uid="{00000000-0005-0000-0000-0000F0110000}"/>
    <cellStyle name="20 % - Markeringsfarve2 2 8 6" xfId="10467" xr:uid="{00000000-0005-0000-0000-0000F1110000}"/>
    <cellStyle name="20 % - Markeringsfarve2 2 8 6 2" xfId="26787" xr:uid="{00000000-0005-0000-0000-0000F2110000}"/>
    <cellStyle name="20 % - Markeringsfarve2 2 8 6 3" xfId="41753" xr:uid="{00000000-0005-0000-0000-0000F3110000}"/>
    <cellStyle name="20 % - Markeringsfarve2 2 8 7" xfId="19765" xr:uid="{00000000-0005-0000-0000-0000F4110000}"/>
    <cellStyle name="20 % - Markeringsfarve2 2 8 8" xfId="34754" xr:uid="{00000000-0005-0000-0000-0000F5110000}"/>
    <cellStyle name="20 % - Markeringsfarve2 2 9" xfId="1912" xr:uid="{00000000-0005-0000-0000-0000F6110000}"/>
    <cellStyle name="20 % - Markeringsfarve2 2 9 2" xfId="1913" xr:uid="{00000000-0005-0000-0000-0000F7110000}"/>
    <cellStyle name="20 % - Markeringsfarve2 2 9 2 2" xfId="7456" xr:uid="{00000000-0005-0000-0000-0000F8110000}"/>
    <cellStyle name="20 % - Markeringsfarve2 2 9 2 2 2" xfId="15358" xr:uid="{00000000-0005-0000-0000-0000F9110000}"/>
    <cellStyle name="20 % - Markeringsfarve2 2 9 2 2 2 2" xfId="31673" xr:uid="{00000000-0005-0000-0000-0000FA110000}"/>
    <cellStyle name="20 % - Markeringsfarve2 2 9 2 2 2 3" xfId="46637" xr:uid="{00000000-0005-0000-0000-0000FB110000}"/>
    <cellStyle name="20 % - Markeringsfarve2 2 9 2 2 3" xfId="24651" xr:uid="{00000000-0005-0000-0000-0000FC110000}"/>
    <cellStyle name="20 % - Markeringsfarve2 2 9 2 2 4" xfId="39638" xr:uid="{00000000-0005-0000-0000-0000FD110000}"/>
    <cellStyle name="20 % - Markeringsfarve2 2 9 2 3" xfId="10473" xr:uid="{00000000-0005-0000-0000-0000FE110000}"/>
    <cellStyle name="20 % - Markeringsfarve2 2 9 2 3 2" xfId="26793" xr:uid="{00000000-0005-0000-0000-0000FF110000}"/>
    <cellStyle name="20 % - Markeringsfarve2 2 9 2 3 3" xfId="41759" xr:uid="{00000000-0005-0000-0000-000000120000}"/>
    <cellStyle name="20 % - Markeringsfarve2 2 9 2 4" xfId="19771" xr:uid="{00000000-0005-0000-0000-000001120000}"/>
    <cellStyle name="20 % - Markeringsfarve2 2 9 2 5" xfId="34760" xr:uid="{00000000-0005-0000-0000-000002120000}"/>
    <cellStyle name="20 % - Markeringsfarve2 2 9 3" xfId="6055" xr:uid="{00000000-0005-0000-0000-000003120000}"/>
    <cellStyle name="20 % - Markeringsfarve2 2 9 3 2" xfId="13973" xr:uid="{00000000-0005-0000-0000-000004120000}"/>
    <cellStyle name="20 % - Markeringsfarve2 2 9 3 2 2" xfId="30288" xr:uid="{00000000-0005-0000-0000-000005120000}"/>
    <cellStyle name="20 % - Markeringsfarve2 2 9 3 2 3" xfId="45252" xr:uid="{00000000-0005-0000-0000-000006120000}"/>
    <cellStyle name="20 % - Markeringsfarve2 2 9 3 3" xfId="23266" xr:uid="{00000000-0005-0000-0000-000007120000}"/>
    <cellStyle name="20 % - Markeringsfarve2 2 9 3 4" xfId="38253" xr:uid="{00000000-0005-0000-0000-000008120000}"/>
    <cellStyle name="20 % - Markeringsfarve2 2 9 4" xfId="10472" xr:uid="{00000000-0005-0000-0000-000009120000}"/>
    <cellStyle name="20 % - Markeringsfarve2 2 9 4 2" xfId="26792" xr:uid="{00000000-0005-0000-0000-00000A120000}"/>
    <cellStyle name="20 % - Markeringsfarve2 2 9 4 3" xfId="41758" xr:uid="{00000000-0005-0000-0000-00000B120000}"/>
    <cellStyle name="20 % - Markeringsfarve2 2 9 5" xfId="19770" xr:uid="{00000000-0005-0000-0000-00000C120000}"/>
    <cellStyle name="20 % - Markeringsfarve2 2 9 6" xfId="34759" xr:uid="{00000000-0005-0000-0000-00000D120000}"/>
    <cellStyle name="20 % - Markeringsfarve2 3" xfId="1914" xr:uid="{00000000-0005-0000-0000-00000E120000}"/>
    <cellStyle name="20 % - Markeringsfarve2 3 10" xfId="1915" xr:uid="{00000000-0005-0000-0000-00000F120000}"/>
    <cellStyle name="20 % - Markeringsfarve2 3 10 2" xfId="6669" xr:uid="{00000000-0005-0000-0000-000010120000}"/>
    <cellStyle name="20 % - Markeringsfarve2 3 10 2 2" xfId="14582" xr:uid="{00000000-0005-0000-0000-000011120000}"/>
    <cellStyle name="20 % - Markeringsfarve2 3 10 2 2 2" xfId="30897" xr:uid="{00000000-0005-0000-0000-000012120000}"/>
    <cellStyle name="20 % - Markeringsfarve2 3 10 2 2 3" xfId="45861" xr:uid="{00000000-0005-0000-0000-000013120000}"/>
    <cellStyle name="20 % - Markeringsfarve2 3 10 2 3" xfId="23875" xr:uid="{00000000-0005-0000-0000-000014120000}"/>
    <cellStyle name="20 % - Markeringsfarve2 3 10 2 4" xfId="38862" xr:uid="{00000000-0005-0000-0000-000015120000}"/>
    <cellStyle name="20 % - Markeringsfarve2 3 10 3" xfId="10475" xr:uid="{00000000-0005-0000-0000-000016120000}"/>
    <cellStyle name="20 % - Markeringsfarve2 3 10 3 2" xfId="26795" xr:uid="{00000000-0005-0000-0000-000017120000}"/>
    <cellStyle name="20 % - Markeringsfarve2 3 10 3 3" xfId="41761" xr:uid="{00000000-0005-0000-0000-000018120000}"/>
    <cellStyle name="20 % - Markeringsfarve2 3 10 4" xfId="19773" xr:uid="{00000000-0005-0000-0000-000019120000}"/>
    <cellStyle name="20 % - Markeringsfarve2 3 10 5" xfId="34762" xr:uid="{00000000-0005-0000-0000-00001A120000}"/>
    <cellStyle name="20 % - Markeringsfarve2 3 11" xfId="1916" xr:uid="{00000000-0005-0000-0000-00001B120000}"/>
    <cellStyle name="20 % - Markeringsfarve2 3 11 2" xfId="6638" xr:uid="{00000000-0005-0000-0000-00001C120000}"/>
    <cellStyle name="20 % - Markeringsfarve2 3 11 2 2" xfId="14552" xr:uid="{00000000-0005-0000-0000-00001D120000}"/>
    <cellStyle name="20 % - Markeringsfarve2 3 11 2 2 2" xfId="30867" xr:uid="{00000000-0005-0000-0000-00001E120000}"/>
    <cellStyle name="20 % - Markeringsfarve2 3 11 2 2 3" xfId="45831" xr:uid="{00000000-0005-0000-0000-00001F120000}"/>
    <cellStyle name="20 % - Markeringsfarve2 3 11 2 3" xfId="23845" xr:uid="{00000000-0005-0000-0000-000020120000}"/>
    <cellStyle name="20 % - Markeringsfarve2 3 11 2 4" xfId="38832" xr:uid="{00000000-0005-0000-0000-000021120000}"/>
    <cellStyle name="20 % - Markeringsfarve2 3 11 3" xfId="10476" xr:uid="{00000000-0005-0000-0000-000022120000}"/>
    <cellStyle name="20 % - Markeringsfarve2 3 11 3 2" xfId="26796" xr:uid="{00000000-0005-0000-0000-000023120000}"/>
    <cellStyle name="20 % - Markeringsfarve2 3 11 3 3" xfId="41762" xr:uid="{00000000-0005-0000-0000-000024120000}"/>
    <cellStyle name="20 % - Markeringsfarve2 3 11 4" xfId="19774" xr:uid="{00000000-0005-0000-0000-000025120000}"/>
    <cellStyle name="20 % - Markeringsfarve2 3 11 5" xfId="34763" xr:uid="{00000000-0005-0000-0000-000026120000}"/>
    <cellStyle name="20 % - Markeringsfarve2 3 12" xfId="5424" xr:uid="{00000000-0005-0000-0000-000027120000}"/>
    <cellStyle name="20 % - Markeringsfarve2 3 12 2" xfId="13343" xr:uid="{00000000-0005-0000-0000-000028120000}"/>
    <cellStyle name="20 % - Markeringsfarve2 3 12 2 2" xfId="29658" xr:uid="{00000000-0005-0000-0000-000029120000}"/>
    <cellStyle name="20 % - Markeringsfarve2 3 12 2 3" xfId="44622" xr:uid="{00000000-0005-0000-0000-00002A120000}"/>
    <cellStyle name="20 % - Markeringsfarve2 3 12 3" xfId="22636" xr:uid="{00000000-0005-0000-0000-00002B120000}"/>
    <cellStyle name="20 % - Markeringsfarve2 3 12 4" xfId="37623" xr:uid="{00000000-0005-0000-0000-00002C120000}"/>
    <cellStyle name="20 % - Markeringsfarve2 3 13" xfId="10474" xr:uid="{00000000-0005-0000-0000-00002D120000}"/>
    <cellStyle name="20 % - Markeringsfarve2 3 13 2" xfId="26794" xr:uid="{00000000-0005-0000-0000-00002E120000}"/>
    <cellStyle name="20 % - Markeringsfarve2 3 13 3" xfId="41760" xr:uid="{00000000-0005-0000-0000-00002F120000}"/>
    <cellStyle name="20 % - Markeringsfarve2 3 14" xfId="19772" xr:uid="{00000000-0005-0000-0000-000030120000}"/>
    <cellStyle name="20 % - Markeringsfarve2 3 15" xfId="34761" xr:uid="{00000000-0005-0000-0000-000031120000}"/>
    <cellStyle name="20 % - Markeringsfarve2 3 16" xfId="53315" xr:uid="{00000000-0005-0000-0000-000032120000}"/>
    <cellStyle name="20 % - Markeringsfarve2 3 2" xfId="1917" xr:uid="{00000000-0005-0000-0000-000033120000}"/>
    <cellStyle name="20 % - Markeringsfarve2 3 2 10" xfId="5425" xr:uid="{00000000-0005-0000-0000-000034120000}"/>
    <cellStyle name="20 % - Markeringsfarve2 3 2 10 2" xfId="13344" xr:uid="{00000000-0005-0000-0000-000035120000}"/>
    <cellStyle name="20 % - Markeringsfarve2 3 2 10 2 2" xfId="29659" xr:uid="{00000000-0005-0000-0000-000036120000}"/>
    <cellStyle name="20 % - Markeringsfarve2 3 2 10 2 3" xfId="44623" xr:uid="{00000000-0005-0000-0000-000037120000}"/>
    <cellStyle name="20 % - Markeringsfarve2 3 2 10 3" xfId="22637" xr:uid="{00000000-0005-0000-0000-000038120000}"/>
    <cellStyle name="20 % - Markeringsfarve2 3 2 10 4" xfId="37624" xr:uid="{00000000-0005-0000-0000-000039120000}"/>
    <cellStyle name="20 % - Markeringsfarve2 3 2 11" xfId="10477" xr:uid="{00000000-0005-0000-0000-00003A120000}"/>
    <cellStyle name="20 % - Markeringsfarve2 3 2 11 2" xfId="26797" xr:uid="{00000000-0005-0000-0000-00003B120000}"/>
    <cellStyle name="20 % - Markeringsfarve2 3 2 11 3" xfId="41763" xr:uid="{00000000-0005-0000-0000-00003C120000}"/>
    <cellStyle name="20 % - Markeringsfarve2 3 2 12" xfId="19775" xr:uid="{00000000-0005-0000-0000-00003D120000}"/>
    <cellStyle name="20 % - Markeringsfarve2 3 2 13" xfId="34764" xr:uid="{00000000-0005-0000-0000-00003E120000}"/>
    <cellStyle name="20 % - Markeringsfarve2 3 2 14" xfId="53952" xr:uid="{00000000-0005-0000-0000-00003F120000}"/>
    <cellStyle name="20 % - Markeringsfarve2 3 2 2" xfId="1918" xr:uid="{00000000-0005-0000-0000-000040120000}"/>
    <cellStyle name="20 % - Markeringsfarve2 3 2 2 2" xfId="1919" xr:uid="{00000000-0005-0000-0000-000041120000}"/>
    <cellStyle name="20 % - Markeringsfarve2 3 2 2 2 2" xfId="1920" xr:uid="{00000000-0005-0000-0000-000042120000}"/>
    <cellStyle name="20 % - Markeringsfarve2 3 2 2 2 2 2" xfId="7602" xr:uid="{00000000-0005-0000-0000-000043120000}"/>
    <cellStyle name="20 % - Markeringsfarve2 3 2 2 2 2 2 2" xfId="15504" xr:uid="{00000000-0005-0000-0000-000044120000}"/>
    <cellStyle name="20 % - Markeringsfarve2 3 2 2 2 2 2 2 2" xfId="31819" xr:uid="{00000000-0005-0000-0000-000045120000}"/>
    <cellStyle name="20 % - Markeringsfarve2 3 2 2 2 2 2 2 3" xfId="46783" xr:uid="{00000000-0005-0000-0000-000046120000}"/>
    <cellStyle name="20 % - Markeringsfarve2 3 2 2 2 2 2 3" xfId="24797" xr:uid="{00000000-0005-0000-0000-000047120000}"/>
    <cellStyle name="20 % - Markeringsfarve2 3 2 2 2 2 2 4" xfId="39784" xr:uid="{00000000-0005-0000-0000-000048120000}"/>
    <cellStyle name="20 % - Markeringsfarve2 3 2 2 2 2 3" xfId="10480" xr:uid="{00000000-0005-0000-0000-000049120000}"/>
    <cellStyle name="20 % - Markeringsfarve2 3 2 2 2 2 3 2" xfId="26800" xr:uid="{00000000-0005-0000-0000-00004A120000}"/>
    <cellStyle name="20 % - Markeringsfarve2 3 2 2 2 2 3 3" xfId="41766" xr:uid="{00000000-0005-0000-0000-00004B120000}"/>
    <cellStyle name="20 % - Markeringsfarve2 3 2 2 2 2 4" xfId="19778" xr:uid="{00000000-0005-0000-0000-00004C120000}"/>
    <cellStyle name="20 % - Markeringsfarve2 3 2 2 2 2 5" xfId="34767" xr:uid="{00000000-0005-0000-0000-00004D120000}"/>
    <cellStyle name="20 % - Markeringsfarve2 3 2 2 2 3" xfId="6177" xr:uid="{00000000-0005-0000-0000-00004E120000}"/>
    <cellStyle name="20 % - Markeringsfarve2 3 2 2 2 3 2" xfId="14095" xr:uid="{00000000-0005-0000-0000-00004F120000}"/>
    <cellStyle name="20 % - Markeringsfarve2 3 2 2 2 3 2 2" xfId="30410" xr:uid="{00000000-0005-0000-0000-000050120000}"/>
    <cellStyle name="20 % - Markeringsfarve2 3 2 2 2 3 2 3" xfId="45374" xr:uid="{00000000-0005-0000-0000-000051120000}"/>
    <cellStyle name="20 % - Markeringsfarve2 3 2 2 2 3 3" xfId="23388" xr:uid="{00000000-0005-0000-0000-000052120000}"/>
    <cellStyle name="20 % - Markeringsfarve2 3 2 2 2 3 4" xfId="38375" xr:uid="{00000000-0005-0000-0000-000053120000}"/>
    <cellStyle name="20 % - Markeringsfarve2 3 2 2 2 4" xfId="10479" xr:uid="{00000000-0005-0000-0000-000054120000}"/>
    <cellStyle name="20 % - Markeringsfarve2 3 2 2 2 4 2" xfId="26799" xr:uid="{00000000-0005-0000-0000-000055120000}"/>
    <cellStyle name="20 % - Markeringsfarve2 3 2 2 2 4 3" xfId="41765" xr:uid="{00000000-0005-0000-0000-000056120000}"/>
    <cellStyle name="20 % - Markeringsfarve2 3 2 2 2 5" xfId="19777" xr:uid="{00000000-0005-0000-0000-000057120000}"/>
    <cellStyle name="20 % - Markeringsfarve2 3 2 2 2 6" xfId="34766" xr:uid="{00000000-0005-0000-0000-000058120000}"/>
    <cellStyle name="20 % - Markeringsfarve2 3 2 2 3" xfId="1921" xr:uid="{00000000-0005-0000-0000-000059120000}"/>
    <cellStyle name="20 % - Markeringsfarve2 3 2 2 3 2" xfId="6832" xr:uid="{00000000-0005-0000-0000-00005A120000}"/>
    <cellStyle name="20 % - Markeringsfarve2 3 2 2 3 2 2" xfId="14744" xr:uid="{00000000-0005-0000-0000-00005B120000}"/>
    <cellStyle name="20 % - Markeringsfarve2 3 2 2 3 2 2 2" xfId="31059" xr:uid="{00000000-0005-0000-0000-00005C120000}"/>
    <cellStyle name="20 % - Markeringsfarve2 3 2 2 3 2 2 3" xfId="46023" xr:uid="{00000000-0005-0000-0000-00005D120000}"/>
    <cellStyle name="20 % - Markeringsfarve2 3 2 2 3 2 3" xfId="24037" xr:uid="{00000000-0005-0000-0000-00005E120000}"/>
    <cellStyle name="20 % - Markeringsfarve2 3 2 2 3 2 4" xfId="39024" xr:uid="{00000000-0005-0000-0000-00005F120000}"/>
    <cellStyle name="20 % - Markeringsfarve2 3 2 2 3 3" xfId="10481" xr:uid="{00000000-0005-0000-0000-000060120000}"/>
    <cellStyle name="20 % - Markeringsfarve2 3 2 2 3 3 2" xfId="26801" xr:uid="{00000000-0005-0000-0000-000061120000}"/>
    <cellStyle name="20 % - Markeringsfarve2 3 2 2 3 3 3" xfId="41767" xr:uid="{00000000-0005-0000-0000-000062120000}"/>
    <cellStyle name="20 % - Markeringsfarve2 3 2 2 3 4" xfId="19779" xr:uid="{00000000-0005-0000-0000-000063120000}"/>
    <cellStyle name="20 % - Markeringsfarve2 3 2 2 3 5" xfId="34768" xr:uid="{00000000-0005-0000-0000-000064120000}"/>
    <cellStyle name="20 % - Markeringsfarve2 3 2 2 4" xfId="1922" xr:uid="{00000000-0005-0000-0000-000065120000}"/>
    <cellStyle name="20 % - Markeringsfarve2 3 2 2 4 2" xfId="8265" xr:uid="{00000000-0005-0000-0000-000066120000}"/>
    <cellStyle name="20 % - Markeringsfarve2 3 2 2 4 2 2" xfId="16160" xr:uid="{00000000-0005-0000-0000-000067120000}"/>
    <cellStyle name="20 % - Markeringsfarve2 3 2 2 4 2 2 2" xfId="32475" xr:uid="{00000000-0005-0000-0000-000068120000}"/>
    <cellStyle name="20 % - Markeringsfarve2 3 2 2 4 2 2 3" xfId="47439" xr:uid="{00000000-0005-0000-0000-000069120000}"/>
    <cellStyle name="20 % - Markeringsfarve2 3 2 2 4 2 3" xfId="25453" xr:uid="{00000000-0005-0000-0000-00006A120000}"/>
    <cellStyle name="20 % - Markeringsfarve2 3 2 2 4 2 4" xfId="40440" xr:uid="{00000000-0005-0000-0000-00006B120000}"/>
    <cellStyle name="20 % - Markeringsfarve2 3 2 2 4 3" xfId="10482" xr:uid="{00000000-0005-0000-0000-00006C120000}"/>
    <cellStyle name="20 % - Markeringsfarve2 3 2 2 4 3 2" xfId="26802" xr:uid="{00000000-0005-0000-0000-00006D120000}"/>
    <cellStyle name="20 % - Markeringsfarve2 3 2 2 4 3 3" xfId="41768" xr:uid="{00000000-0005-0000-0000-00006E120000}"/>
    <cellStyle name="20 % - Markeringsfarve2 3 2 2 4 4" xfId="19780" xr:uid="{00000000-0005-0000-0000-00006F120000}"/>
    <cellStyle name="20 % - Markeringsfarve2 3 2 2 4 5" xfId="34769" xr:uid="{00000000-0005-0000-0000-000070120000}"/>
    <cellStyle name="20 % - Markeringsfarve2 3 2 2 5" xfId="5426" xr:uid="{00000000-0005-0000-0000-000071120000}"/>
    <cellStyle name="20 % - Markeringsfarve2 3 2 2 5 2" xfId="13345" xr:uid="{00000000-0005-0000-0000-000072120000}"/>
    <cellStyle name="20 % - Markeringsfarve2 3 2 2 5 2 2" xfId="29660" xr:uid="{00000000-0005-0000-0000-000073120000}"/>
    <cellStyle name="20 % - Markeringsfarve2 3 2 2 5 2 3" xfId="44624" xr:uid="{00000000-0005-0000-0000-000074120000}"/>
    <cellStyle name="20 % - Markeringsfarve2 3 2 2 5 3" xfId="22638" xr:uid="{00000000-0005-0000-0000-000075120000}"/>
    <cellStyle name="20 % - Markeringsfarve2 3 2 2 5 4" xfId="37625" xr:uid="{00000000-0005-0000-0000-000076120000}"/>
    <cellStyle name="20 % - Markeringsfarve2 3 2 2 6" xfId="10478" xr:uid="{00000000-0005-0000-0000-000077120000}"/>
    <cellStyle name="20 % - Markeringsfarve2 3 2 2 6 2" xfId="26798" xr:uid="{00000000-0005-0000-0000-000078120000}"/>
    <cellStyle name="20 % - Markeringsfarve2 3 2 2 6 3" xfId="41764" xr:uid="{00000000-0005-0000-0000-000079120000}"/>
    <cellStyle name="20 % - Markeringsfarve2 3 2 2 7" xfId="19776" xr:uid="{00000000-0005-0000-0000-00007A120000}"/>
    <cellStyle name="20 % - Markeringsfarve2 3 2 2 8" xfId="34765" xr:uid="{00000000-0005-0000-0000-00007B120000}"/>
    <cellStyle name="20 % - Markeringsfarve2 3 2 2 9" xfId="57119" xr:uid="{00000000-0005-0000-0000-00007C120000}"/>
    <cellStyle name="20 % - Markeringsfarve2 3 2 3" xfId="1923" xr:uid="{00000000-0005-0000-0000-00007D120000}"/>
    <cellStyle name="20 % - Markeringsfarve2 3 2 3 2" xfId="1924" xr:uid="{00000000-0005-0000-0000-00007E120000}"/>
    <cellStyle name="20 % - Markeringsfarve2 3 2 3 2 2" xfId="1925" xr:uid="{00000000-0005-0000-0000-00007F120000}"/>
    <cellStyle name="20 % - Markeringsfarve2 3 2 3 2 2 2" xfId="7678" xr:uid="{00000000-0005-0000-0000-000080120000}"/>
    <cellStyle name="20 % - Markeringsfarve2 3 2 3 2 2 2 2" xfId="15580" xr:uid="{00000000-0005-0000-0000-000081120000}"/>
    <cellStyle name="20 % - Markeringsfarve2 3 2 3 2 2 2 2 2" xfId="31895" xr:uid="{00000000-0005-0000-0000-000082120000}"/>
    <cellStyle name="20 % - Markeringsfarve2 3 2 3 2 2 2 2 3" xfId="46859" xr:uid="{00000000-0005-0000-0000-000083120000}"/>
    <cellStyle name="20 % - Markeringsfarve2 3 2 3 2 2 2 3" xfId="24873" xr:uid="{00000000-0005-0000-0000-000084120000}"/>
    <cellStyle name="20 % - Markeringsfarve2 3 2 3 2 2 2 4" xfId="39860" xr:uid="{00000000-0005-0000-0000-000085120000}"/>
    <cellStyle name="20 % - Markeringsfarve2 3 2 3 2 2 3" xfId="10485" xr:uid="{00000000-0005-0000-0000-000086120000}"/>
    <cellStyle name="20 % - Markeringsfarve2 3 2 3 2 2 3 2" xfId="26805" xr:uid="{00000000-0005-0000-0000-000087120000}"/>
    <cellStyle name="20 % - Markeringsfarve2 3 2 3 2 2 3 3" xfId="41771" xr:uid="{00000000-0005-0000-0000-000088120000}"/>
    <cellStyle name="20 % - Markeringsfarve2 3 2 3 2 2 4" xfId="19783" xr:uid="{00000000-0005-0000-0000-000089120000}"/>
    <cellStyle name="20 % - Markeringsfarve2 3 2 3 2 2 5" xfId="34772" xr:uid="{00000000-0005-0000-0000-00008A120000}"/>
    <cellStyle name="20 % - Markeringsfarve2 3 2 3 2 3" xfId="6242" xr:uid="{00000000-0005-0000-0000-00008B120000}"/>
    <cellStyle name="20 % - Markeringsfarve2 3 2 3 2 3 2" xfId="14160" xr:uid="{00000000-0005-0000-0000-00008C120000}"/>
    <cellStyle name="20 % - Markeringsfarve2 3 2 3 2 3 2 2" xfId="30475" xr:uid="{00000000-0005-0000-0000-00008D120000}"/>
    <cellStyle name="20 % - Markeringsfarve2 3 2 3 2 3 2 3" xfId="45439" xr:uid="{00000000-0005-0000-0000-00008E120000}"/>
    <cellStyle name="20 % - Markeringsfarve2 3 2 3 2 3 3" xfId="23453" xr:uid="{00000000-0005-0000-0000-00008F120000}"/>
    <cellStyle name="20 % - Markeringsfarve2 3 2 3 2 3 4" xfId="38440" xr:uid="{00000000-0005-0000-0000-000090120000}"/>
    <cellStyle name="20 % - Markeringsfarve2 3 2 3 2 4" xfId="10484" xr:uid="{00000000-0005-0000-0000-000091120000}"/>
    <cellStyle name="20 % - Markeringsfarve2 3 2 3 2 4 2" xfId="26804" xr:uid="{00000000-0005-0000-0000-000092120000}"/>
    <cellStyle name="20 % - Markeringsfarve2 3 2 3 2 4 3" xfId="41770" xr:uid="{00000000-0005-0000-0000-000093120000}"/>
    <cellStyle name="20 % - Markeringsfarve2 3 2 3 2 5" xfId="19782" xr:uid="{00000000-0005-0000-0000-000094120000}"/>
    <cellStyle name="20 % - Markeringsfarve2 3 2 3 2 6" xfId="34771" xr:uid="{00000000-0005-0000-0000-000095120000}"/>
    <cellStyle name="20 % - Markeringsfarve2 3 2 3 3" xfId="1926" xr:uid="{00000000-0005-0000-0000-000096120000}"/>
    <cellStyle name="20 % - Markeringsfarve2 3 2 3 3 2" xfId="6908" xr:uid="{00000000-0005-0000-0000-000097120000}"/>
    <cellStyle name="20 % - Markeringsfarve2 3 2 3 3 2 2" xfId="14820" xr:uid="{00000000-0005-0000-0000-000098120000}"/>
    <cellStyle name="20 % - Markeringsfarve2 3 2 3 3 2 2 2" xfId="31135" xr:uid="{00000000-0005-0000-0000-000099120000}"/>
    <cellStyle name="20 % - Markeringsfarve2 3 2 3 3 2 2 3" xfId="46099" xr:uid="{00000000-0005-0000-0000-00009A120000}"/>
    <cellStyle name="20 % - Markeringsfarve2 3 2 3 3 2 3" xfId="24113" xr:uid="{00000000-0005-0000-0000-00009B120000}"/>
    <cellStyle name="20 % - Markeringsfarve2 3 2 3 3 2 4" xfId="39100" xr:uid="{00000000-0005-0000-0000-00009C120000}"/>
    <cellStyle name="20 % - Markeringsfarve2 3 2 3 3 3" xfId="10486" xr:uid="{00000000-0005-0000-0000-00009D120000}"/>
    <cellStyle name="20 % - Markeringsfarve2 3 2 3 3 3 2" xfId="26806" xr:uid="{00000000-0005-0000-0000-00009E120000}"/>
    <cellStyle name="20 % - Markeringsfarve2 3 2 3 3 3 3" xfId="41772" xr:uid="{00000000-0005-0000-0000-00009F120000}"/>
    <cellStyle name="20 % - Markeringsfarve2 3 2 3 3 4" xfId="19784" xr:uid="{00000000-0005-0000-0000-0000A0120000}"/>
    <cellStyle name="20 % - Markeringsfarve2 3 2 3 3 5" xfId="34773" xr:uid="{00000000-0005-0000-0000-0000A1120000}"/>
    <cellStyle name="20 % - Markeringsfarve2 3 2 3 4" xfId="1927" xr:uid="{00000000-0005-0000-0000-0000A2120000}"/>
    <cellStyle name="20 % - Markeringsfarve2 3 2 3 4 2" xfId="8266" xr:uid="{00000000-0005-0000-0000-0000A3120000}"/>
    <cellStyle name="20 % - Markeringsfarve2 3 2 3 4 2 2" xfId="16161" xr:uid="{00000000-0005-0000-0000-0000A4120000}"/>
    <cellStyle name="20 % - Markeringsfarve2 3 2 3 4 2 2 2" xfId="32476" xr:uid="{00000000-0005-0000-0000-0000A5120000}"/>
    <cellStyle name="20 % - Markeringsfarve2 3 2 3 4 2 2 3" xfId="47440" xr:uid="{00000000-0005-0000-0000-0000A6120000}"/>
    <cellStyle name="20 % - Markeringsfarve2 3 2 3 4 2 3" xfId="25454" xr:uid="{00000000-0005-0000-0000-0000A7120000}"/>
    <cellStyle name="20 % - Markeringsfarve2 3 2 3 4 2 4" xfId="40441" xr:uid="{00000000-0005-0000-0000-0000A8120000}"/>
    <cellStyle name="20 % - Markeringsfarve2 3 2 3 4 3" xfId="10487" xr:uid="{00000000-0005-0000-0000-0000A9120000}"/>
    <cellStyle name="20 % - Markeringsfarve2 3 2 3 4 3 2" xfId="26807" xr:uid="{00000000-0005-0000-0000-0000AA120000}"/>
    <cellStyle name="20 % - Markeringsfarve2 3 2 3 4 3 3" xfId="41773" xr:uid="{00000000-0005-0000-0000-0000AB120000}"/>
    <cellStyle name="20 % - Markeringsfarve2 3 2 3 4 4" xfId="19785" xr:uid="{00000000-0005-0000-0000-0000AC120000}"/>
    <cellStyle name="20 % - Markeringsfarve2 3 2 3 4 5" xfId="34774" xr:uid="{00000000-0005-0000-0000-0000AD120000}"/>
    <cellStyle name="20 % - Markeringsfarve2 3 2 3 5" xfId="5427" xr:uid="{00000000-0005-0000-0000-0000AE120000}"/>
    <cellStyle name="20 % - Markeringsfarve2 3 2 3 5 2" xfId="13346" xr:uid="{00000000-0005-0000-0000-0000AF120000}"/>
    <cellStyle name="20 % - Markeringsfarve2 3 2 3 5 2 2" xfId="29661" xr:uid="{00000000-0005-0000-0000-0000B0120000}"/>
    <cellStyle name="20 % - Markeringsfarve2 3 2 3 5 2 3" xfId="44625" xr:uid="{00000000-0005-0000-0000-0000B1120000}"/>
    <cellStyle name="20 % - Markeringsfarve2 3 2 3 5 3" xfId="22639" xr:uid="{00000000-0005-0000-0000-0000B2120000}"/>
    <cellStyle name="20 % - Markeringsfarve2 3 2 3 5 4" xfId="37626" xr:uid="{00000000-0005-0000-0000-0000B3120000}"/>
    <cellStyle name="20 % - Markeringsfarve2 3 2 3 6" xfId="10483" xr:uid="{00000000-0005-0000-0000-0000B4120000}"/>
    <cellStyle name="20 % - Markeringsfarve2 3 2 3 6 2" xfId="26803" xr:uid="{00000000-0005-0000-0000-0000B5120000}"/>
    <cellStyle name="20 % - Markeringsfarve2 3 2 3 6 3" xfId="41769" xr:uid="{00000000-0005-0000-0000-0000B6120000}"/>
    <cellStyle name="20 % - Markeringsfarve2 3 2 3 7" xfId="19781" xr:uid="{00000000-0005-0000-0000-0000B7120000}"/>
    <cellStyle name="20 % - Markeringsfarve2 3 2 3 8" xfId="34770" xr:uid="{00000000-0005-0000-0000-0000B8120000}"/>
    <cellStyle name="20 % - Markeringsfarve2 3 2 4" xfId="1928" xr:uid="{00000000-0005-0000-0000-0000B9120000}"/>
    <cellStyle name="20 % - Markeringsfarve2 3 2 4 2" xfId="1929" xr:uid="{00000000-0005-0000-0000-0000BA120000}"/>
    <cellStyle name="20 % - Markeringsfarve2 3 2 4 2 2" xfId="1930" xr:uid="{00000000-0005-0000-0000-0000BB120000}"/>
    <cellStyle name="20 % - Markeringsfarve2 3 2 4 2 2 2" xfId="7840" xr:uid="{00000000-0005-0000-0000-0000BC120000}"/>
    <cellStyle name="20 % - Markeringsfarve2 3 2 4 2 2 2 2" xfId="15742" xr:uid="{00000000-0005-0000-0000-0000BD120000}"/>
    <cellStyle name="20 % - Markeringsfarve2 3 2 4 2 2 2 2 2" xfId="32057" xr:uid="{00000000-0005-0000-0000-0000BE120000}"/>
    <cellStyle name="20 % - Markeringsfarve2 3 2 4 2 2 2 2 3" xfId="47021" xr:uid="{00000000-0005-0000-0000-0000BF120000}"/>
    <cellStyle name="20 % - Markeringsfarve2 3 2 4 2 2 2 3" xfId="25035" xr:uid="{00000000-0005-0000-0000-0000C0120000}"/>
    <cellStyle name="20 % - Markeringsfarve2 3 2 4 2 2 2 4" xfId="40022" xr:uid="{00000000-0005-0000-0000-0000C1120000}"/>
    <cellStyle name="20 % - Markeringsfarve2 3 2 4 2 2 3" xfId="10490" xr:uid="{00000000-0005-0000-0000-0000C2120000}"/>
    <cellStyle name="20 % - Markeringsfarve2 3 2 4 2 2 3 2" xfId="26810" xr:uid="{00000000-0005-0000-0000-0000C3120000}"/>
    <cellStyle name="20 % - Markeringsfarve2 3 2 4 2 2 3 3" xfId="41776" xr:uid="{00000000-0005-0000-0000-0000C4120000}"/>
    <cellStyle name="20 % - Markeringsfarve2 3 2 4 2 2 4" xfId="19788" xr:uid="{00000000-0005-0000-0000-0000C5120000}"/>
    <cellStyle name="20 % - Markeringsfarve2 3 2 4 2 2 5" xfId="34777" xr:uid="{00000000-0005-0000-0000-0000C6120000}"/>
    <cellStyle name="20 % - Markeringsfarve2 3 2 4 2 3" xfId="6379" xr:uid="{00000000-0005-0000-0000-0000C7120000}"/>
    <cellStyle name="20 % - Markeringsfarve2 3 2 4 2 3 2" xfId="14294" xr:uid="{00000000-0005-0000-0000-0000C8120000}"/>
    <cellStyle name="20 % - Markeringsfarve2 3 2 4 2 3 2 2" xfId="30609" xr:uid="{00000000-0005-0000-0000-0000C9120000}"/>
    <cellStyle name="20 % - Markeringsfarve2 3 2 4 2 3 2 3" xfId="45573" xr:uid="{00000000-0005-0000-0000-0000CA120000}"/>
    <cellStyle name="20 % - Markeringsfarve2 3 2 4 2 3 3" xfId="23587" xr:uid="{00000000-0005-0000-0000-0000CB120000}"/>
    <cellStyle name="20 % - Markeringsfarve2 3 2 4 2 3 4" xfId="38574" xr:uid="{00000000-0005-0000-0000-0000CC120000}"/>
    <cellStyle name="20 % - Markeringsfarve2 3 2 4 2 4" xfId="10489" xr:uid="{00000000-0005-0000-0000-0000CD120000}"/>
    <cellStyle name="20 % - Markeringsfarve2 3 2 4 2 4 2" xfId="26809" xr:uid="{00000000-0005-0000-0000-0000CE120000}"/>
    <cellStyle name="20 % - Markeringsfarve2 3 2 4 2 4 3" xfId="41775" xr:uid="{00000000-0005-0000-0000-0000CF120000}"/>
    <cellStyle name="20 % - Markeringsfarve2 3 2 4 2 5" xfId="19787" xr:uid="{00000000-0005-0000-0000-0000D0120000}"/>
    <cellStyle name="20 % - Markeringsfarve2 3 2 4 2 6" xfId="34776" xr:uid="{00000000-0005-0000-0000-0000D1120000}"/>
    <cellStyle name="20 % - Markeringsfarve2 3 2 4 3" xfId="1931" xr:uid="{00000000-0005-0000-0000-0000D2120000}"/>
    <cellStyle name="20 % - Markeringsfarve2 3 2 4 3 2" xfId="7116" xr:uid="{00000000-0005-0000-0000-0000D3120000}"/>
    <cellStyle name="20 % - Markeringsfarve2 3 2 4 3 2 2" xfId="15027" xr:uid="{00000000-0005-0000-0000-0000D4120000}"/>
    <cellStyle name="20 % - Markeringsfarve2 3 2 4 3 2 2 2" xfId="31342" xr:uid="{00000000-0005-0000-0000-0000D5120000}"/>
    <cellStyle name="20 % - Markeringsfarve2 3 2 4 3 2 2 3" xfId="46306" xr:uid="{00000000-0005-0000-0000-0000D6120000}"/>
    <cellStyle name="20 % - Markeringsfarve2 3 2 4 3 2 3" xfId="24320" xr:uid="{00000000-0005-0000-0000-0000D7120000}"/>
    <cellStyle name="20 % - Markeringsfarve2 3 2 4 3 2 4" xfId="39307" xr:uid="{00000000-0005-0000-0000-0000D8120000}"/>
    <cellStyle name="20 % - Markeringsfarve2 3 2 4 3 3" xfId="10491" xr:uid="{00000000-0005-0000-0000-0000D9120000}"/>
    <cellStyle name="20 % - Markeringsfarve2 3 2 4 3 3 2" xfId="26811" xr:uid="{00000000-0005-0000-0000-0000DA120000}"/>
    <cellStyle name="20 % - Markeringsfarve2 3 2 4 3 3 3" xfId="41777" xr:uid="{00000000-0005-0000-0000-0000DB120000}"/>
    <cellStyle name="20 % - Markeringsfarve2 3 2 4 3 4" xfId="19789" xr:uid="{00000000-0005-0000-0000-0000DC120000}"/>
    <cellStyle name="20 % - Markeringsfarve2 3 2 4 3 5" xfId="34778" xr:uid="{00000000-0005-0000-0000-0000DD120000}"/>
    <cellStyle name="20 % - Markeringsfarve2 3 2 4 4" xfId="1932" xr:uid="{00000000-0005-0000-0000-0000DE120000}"/>
    <cellStyle name="20 % - Markeringsfarve2 3 2 4 4 2" xfId="8158" xr:uid="{00000000-0005-0000-0000-0000DF120000}"/>
    <cellStyle name="20 % - Markeringsfarve2 3 2 4 4 2 2" xfId="16056" xr:uid="{00000000-0005-0000-0000-0000E0120000}"/>
    <cellStyle name="20 % - Markeringsfarve2 3 2 4 4 2 2 2" xfId="32371" xr:uid="{00000000-0005-0000-0000-0000E1120000}"/>
    <cellStyle name="20 % - Markeringsfarve2 3 2 4 4 2 2 3" xfId="47335" xr:uid="{00000000-0005-0000-0000-0000E2120000}"/>
    <cellStyle name="20 % - Markeringsfarve2 3 2 4 4 2 3" xfId="25349" xr:uid="{00000000-0005-0000-0000-0000E3120000}"/>
    <cellStyle name="20 % - Markeringsfarve2 3 2 4 4 2 4" xfId="40336" xr:uid="{00000000-0005-0000-0000-0000E4120000}"/>
    <cellStyle name="20 % - Markeringsfarve2 3 2 4 4 3" xfId="10492" xr:uid="{00000000-0005-0000-0000-0000E5120000}"/>
    <cellStyle name="20 % - Markeringsfarve2 3 2 4 4 3 2" xfId="26812" xr:uid="{00000000-0005-0000-0000-0000E6120000}"/>
    <cellStyle name="20 % - Markeringsfarve2 3 2 4 4 3 3" xfId="41778" xr:uid="{00000000-0005-0000-0000-0000E7120000}"/>
    <cellStyle name="20 % - Markeringsfarve2 3 2 4 4 4" xfId="19790" xr:uid="{00000000-0005-0000-0000-0000E8120000}"/>
    <cellStyle name="20 % - Markeringsfarve2 3 2 4 4 5" xfId="34779" xr:uid="{00000000-0005-0000-0000-0000E9120000}"/>
    <cellStyle name="20 % - Markeringsfarve2 3 2 4 5" xfId="5428" xr:uid="{00000000-0005-0000-0000-0000EA120000}"/>
    <cellStyle name="20 % - Markeringsfarve2 3 2 4 5 2" xfId="13347" xr:uid="{00000000-0005-0000-0000-0000EB120000}"/>
    <cellStyle name="20 % - Markeringsfarve2 3 2 4 5 2 2" xfId="29662" xr:uid="{00000000-0005-0000-0000-0000EC120000}"/>
    <cellStyle name="20 % - Markeringsfarve2 3 2 4 5 2 3" xfId="44626" xr:uid="{00000000-0005-0000-0000-0000ED120000}"/>
    <cellStyle name="20 % - Markeringsfarve2 3 2 4 5 3" xfId="22640" xr:uid="{00000000-0005-0000-0000-0000EE120000}"/>
    <cellStyle name="20 % - Markeringsfarve2 3 2 4 5 4" xfId="37627" xr:uid="{00000000-0005-0000-0000-0000EF120000}"/>
    <cellStyle name="20 % - Markeringsfarve2 3 2 4 6" xfId="10488" xr:uid="{00000000-0005-0000-0000-0000F0120000}"/>
    <cellStyle name="20 % - Markeringsfarve2 3 2 4 6 2" xfId="26808" xr:uid="{00000000-0005-0000-0000-0000F1120000}"/>
    <cellStyle name="20 % - Markeringsfarve2 3 2 4 6 3" xfId="41774" xr:uid="{00000000-0005-0000-0000-0000F2120000}"/>
    <cellStyle name="20 % - Markeringsfarve2 3 2 4 7" xfId="19786" xr:uid="{00000000-0005-0000-0000-0000F3120000}"/>
    <cellStyle name="20 % - Markeringsfarve2 3 2 4 8" xfId="34775" xr:uid="{00000000-0005-0000-0000-0000F4120000}"/>
    <cellStyle name="20 % - Markeringsfarve2 3 2 5" xfId="1933" xr:uid="{00000000-0005-0000-0000-0000F5120000}"/>
    <cellStyle name="20 % - Markeringsfarve2 3 2 5 2" xfId="1934" xr:uid="{00000000-0005-0000-0000-0000F6120000}"/>
    <cellStyle name="20 % - Markeringsfarve2 3 2 5 2 2" xfId="1935" xr:uid="{00000000-0005-0000-0000-0000F7120000}"/>
    <cellStyle name="20 % - Markeringsfarve2 3 2 5 2 2 2" xfId="7957" xr:uid="{00000000-0005-0000-0000-0000F8120000}"/>
    <cellStyle name="20 % - Markeringsfarve2 3 2 5 2 2 2 2" xfId="15859" xr:uid="{00000000-0005-0000-0000-0000F9120000}"/>
    <cellStyle name="20 % - Markeringsfarve2 3 2 5 2 2 2 2 2" xfId="32174" xr:uid="{00000000-0005-0000-0000-0000FA120000}"/>
    <cellStyle name="20 % - Markeringsfarve2 3 2 5 2 2 2 2 3" xfId="47138" xr:uid="{00000000-0005-0000-0000-0000FB120000}"/>
    <cellStyle name="20 % - Markeringsfarve2 3 2 5 2 2 2 3" xfId="25152" xr:uid="{00000000-0005-0000-0000-0000FC120000}"/>
    <cellStyle name="20 % - Markeringsfarve2 3 2 5 2 2 2 4" xfId="40139" xr:uid="{00000000-0005-0000-0000-0000FD120000}"/>
    <cellStyle name="20 % - Markeringsfarve2 3 2 5 2 2 3" xfId="10495" xr:uid="{00000000-0005-0000-0000-0000FE120000}"/>
    <cellStyle name="20 % - Markeringsfarve2 3 2 5 2 2 3 2" xfId="26815" xr:uid="{00000000-0005-0000-0000-0000FF120000}"/>
    <cellStyle name="20 % - Markeringsfarve2 3 2 5 2 2 3 3" xfId="41781" xr:uid="{00000000-0005-0000-0000-000000130000}"/>
    <cellStyle name="20 % - Markeringsfarve2 3 2 5 2 2 4" xfId="19793" xr:uid="{00000000-0005-0000-0000-000001130000}"/>
    <cellStyle name="20 % - Markeringsfarve2 3 2 5 2 2 5" xfId="34782" xr:uid="{00000000-0005-0000-0000-000002130000}"/>
    <cellStyle name="20 % - Markeringsfarve2 3 2 5 2 3" xfId="6478" xr:uid="{00000000-0005-0000-0000-000003130000}"/>
    <cellStyle name="20 % - Markeringsfarve2 3 2 5 2 3 2" xfId="14393" xr:uid="{00000000-0005-0000-0000-000004130000}"/>
    <cellStyle name="20 % - Markeringsfarve2 3 2 5 2 3 2 2" xfId="30708" xr:uid="{00000000-0005-0000-0000-000005130000}"/>
    <cellStyle name="20 % - Markeringsfarve2 3 2 5 2 3 2 3" xfId="45672" xr:uid="{00000000-0005-0000-0000-000006130000}"/>
    <cellStyle name="20 % - Markeringsfarve2 3 2 5 2 3 3" xfId="23686" xr:uid="{00000000-0005-0000-0000-000007130000}"/>
    <cellStyle name="20 % - Markeringsfarve2 3 2 5 2 3 4" xfId="38673" xr:uid="{00000000-0005-0000-0000-000008130000}"/>
    <cellStyle name="20 % - Markeringsfarve2 3 2 5 2 4" xfId="10494" xr:uid="{00000000-0005-0000-0000-000009130000}"/>
    <cellStyle name="20 % - Markeringsfarve2 3 2 5 2 4 2" xfId="26814" xr:uid="{00000000-0005-0000-0000-00000A130000}"/>
    <cellStyle name="20 % - Markeringsfarve2 3 2 5 2 4 3" xfId="41780" xr:uid="{00000000-0005-0000-0000-00000B130000}"/>
    <cellStyle name="20 % - Markeringsfarve2 3 2 5 2 5" xfId="19792" xr:uid="{00000000-0005-0000-0000-00000C130000}"/>
    <cellStyle name="20 % - Markeringsfarve2 3 2 5 2 6" xfId="34781" xr:uid="{00000000-0005-0000-0000-00000D130000}"/>
    <cellStyle name="20 % - Markeringsfarve2 3 2 5 3" xfId="1936" xr:uid="{00000000-0005-0000-0000-00000E130000}"/>
    <cellStyle name="20 % - Markeringsfarve2 3 2 5 3 2" xfId="7233" xr:uid="{00000000-0005-0000-0000-00000F130000}"/>
    <cellStyle name="20 % - Markeringsfarve2 3 2 5 3 2 2" xfId="15144" xr:uid="{00000000-0005-0000-0000-000010130000}"/>
    <cellStyle name="20 % - Markeringsfarve2 3 2 5 3 2 2 2" xfId="31459" xr:uid="{00000000-0005-0000-0000-000011130000}"/>
    <cellStyle name="20 % - Markeringsfarve2 3 2 5 3 2 2 3" xfId="46423" xr:uid="{00000000-0005-0000-0000-000012130000}"/>
    <cellStyle name="20 % - Markeringsfarve2 3 2 5 3 2 3" xfId="24437" xr:uid="{00000000-0005-0000-0000-000013130000}"/>
    <cellStyle name="20 % - Markeringsfarve2 3 2 5 3 2 4" xfId="39424" xr:uid="{00000000-0005-0000-0000-000014130000}"/>
    <cellStyle name="20 % - Markeringsfarve2 3 2 5 3 3" xfId="10496" xr:uid="{00000000-0005-0000-0000-000015130000}"/>
    <cellStyle name="20 % - Markeringsfarve2 3 2 5 3 3 2" xfId="26816" xr:uid="{00000000-0005-0000-0000-000016130000}"/>
    <cellStyle name="20 % - Markeringsfarve2 3 2 5 3 3 3" xfId="41782" xr:uid="{00000000-0005-0000-0000-000017130000}"/>
    <cellStyle name="20 % - Markeringsfarve2 3 2 5 3 4" xfId="19794" xr:uid="{00000000-0005-0000-0000-000018130000}"/>
    <cellStyle name="20 % - Markeringsfarve2 3 2 5 3 5" xfId="34783" xr:uid="{00000000-0005-0000-0000-000019130000}"/>
    <cellStyle name="20 % - Markeringsfarve2 3 2 5 4" xfId="1937" xr:uid="{00000000-0005-0000-0000-00001A130000}"/>
    <cellStyle name="20 % - Markeringsfarve2 3 2 5 4 2" xfId="8264" xr:uid="{00000000-0005-0000-0000-00001B130000}"/>
    <cellStyle name="20 % - Markeringsfarve2 3 2 5 4 2 2" xfId="16159" xr:uid="{00000000-0005-0000-0000-00001C130000}"/>
    <cellStyle name="20 % - Markeringsfarve2 3 2 5 4 2 2 2" xfId="32474" xr:uid="{00000000-0005-0000-0000-00001D130000}"/>
    <cellStyle name="20 % - Markeringsfarve2 3 2 5 4 2 2 3" xfId="47438" xr:uid="{00000000-0005-0000-0000-00001E130000}"/>
    <cellStyle name="20 % - Markeringsfarve2 3 2 5 4 2 3" xfId="25452" xr:uid="{00000000-0005-0000-0000-00001F130000}"/>
    <cellStyle name="20 % - Markeringsfarve2 3 2 5 4 2 4" xfId="40439" xr:uid="{00000000-0005-0000-0000-000020130000}"/>
    <cellStyle name="20 % - Markeringsfarve2 3 2 5 4 3" xfId="10497" xr:uid="{00000000-0005-0000-0000-000021130000}"/>
    <cellStyle name="20 % - Markeringsfarve2 3 2 5 4 3 2" xfId="26817" xr:uid="{00000000-0005-0000-0000-000022130000}"/>
    <cellStyle name="20 % - Markeringsfarve2 3 2 5 4 3 3" xfId="41783" xr:uid="{00000000-0005-0000-0000-000023130000}"/>
    <cellStyle name="20 % - Markeringsfarve2 3 2 5 4 4" xfId="19795" xr:uid="{00000000-0005-0000-0000-000024130000}"/>
    <cellStyle name="20 % - Markeringsfarve2 3 2 5 4 5" xfId="34784" xr:uid="{00000000-0005-0000-0000-000025130000}"/>
    <cellStyle name="20 % - Markeringsfarve2 3 2 5 5" xfId="5429" xr:uid="{00000000-0005-0000-0000-000026130000}"/>
    <cellStyle name="20 % - Markeringsfarve2 3 2 5 5 2" xfId="13348" xr:uid="{00000000-0005-0000-0000-000027130000}"/>
    <cellStyle name="20 % - Markeringsfarve2 3 2 5 5 2 2" xfId="29663" xr:uid="{00000000-0005-0000-0000-000028130000}"/>
    <cellStyle name="20 % - Markeringsfarve2 3 2 5 5 2 3" xfId="44627" xr:uid="{00000000-0005-0000-0000-000029130000}"/>
    <cellStyle name="20 % - Markeringsfarve2 3 2 5 5 3" xfId="22641" xr:uid="{00000000-0005-0000-0000-00002A130000}"/>
    <cellStyle name="20 % - Markeringsfarve2 3 2 5 5 4" xfId="37628" xr:uid="{00000000-0005-0000-0000-00002B130000}"/>
    <cellStyle name="20 % - Markeringsfarve2 3 2 5 6" xfId="10493" xr:uid="{00000000-0005-0000-0000-00002C130000}"/>
    <cellStyle name="20 % - Markeringsfarve2 3 2 5 6 2" xfId="26813" xr:uid="{00000000-0005-0000-0000-00002D130000}"/>
    <cellStyle name="20 % - Markeringsfarve2 3 2 5 6 3" xfId="41779" xr:uid="{00000000-0005-0000-0000-00002E130000}"/>
    <cellStyle name="20 % - Markeringsfarve2 3 2 5 7" xfId="19791" xr:uid="{00000000-0005-0000-0000-00002F130000}"/>
    <cellStyle name="20 % - Markeringsfarve2 3 2 5 8" xfId="34780" xr:uid="{00000000-0005-0000-0000-000030130000}"/>
    <cellStyle name="20 % - Markeringsfarve2 3 2 6" xfId="1938" xr:uid="{00000000-0005-0000-0000-000031130000}"/>
    <cellStyle name="20 % - Markeringsfarve2 3 2 6 2" xfId="1939" xr:uid="{00000000-0005-0000-0000-000032130000}"/>
    <cellStyle name="20 % - Markeringsfarve2 3 2 6 2 2" xfId="1940" xr:uid="{00000000-0005-0000-0000-000033130000}"/>
    <cellStyle name="20 % - Markeringsfarve2 3 2 6 2 2 2" xfId="8033" xr:uid="{00000000-0005-0000-0000-000034130000}"/>
    <cellStyle name="20 % - Markeringsfarve2 3 2 6 2 2 2 2" xfId="15935" xr:uid="{00000000-0005-0000-0000-000035130000}"/>
    <cellStyle name="20 % - Markeringsfarve2 3 2 6 2 2 2 2 2" xfId="32250" xr:uid="{00000000-0005-0000-0000-000036130000}"/>
    <cellStyle name="20 % - Markeringsfarve2 3 2 6 2 2 2 2 3" xfId="47214" xr:uid="{00000000-0005-0000-0000-000037130000}"/>
    <cellStyle name="20 % - Markeringsfarve2 3 2 6 2 2 2 3" xfId="25228" xr:uid="{00000000-0005-0000-0000-000038130000}"/>
    <cellStyle name="20 % - Markeringsfarve2 3 2 6 2 2 2 4" xfId="40215" xr:uid="{00000000-0005-0000-0000-000039130000}"/>
    <cellStyle name="20 % - Markeringsfarve2 3 2 6 2 2 3" xfId="10500" xr:uid="{00000000-0005-0000-0000-00003A130000}"/>
    <cellStyle name="20 % - Markeringsfarve2 3 2 6 2 2 3 2" xfId="26820" xr:uid="{00000000-0005-0000-0000-00003B130000}"/>
    <cellStyle name="20 % - Markeringsfarve2 3 2 6 2 2 3 3" xfId="41786" xr:uid="{00000000-0005-0000-0000-00003C130000}"/>
    <cellStyle name="20 % - Markeringsfarve2 3 2 6 2 2 4" xfId="19798" xr:uid="{00000000-0005-0000-0000-00003D130000}"/>
    <cellStyle name="20 % - Markeringsfarve2 3 2 6 2 2 5" xfId="34787" xr:uid="{00000000-0005-0000-0000-00003E130000}"/>
    <cellStyle name="20 % - Markeringsfarve2 3 2 6 2 3" xfId="6544" xr:uid="{00000000-0005-0000-0000-00003F130000}"/>
    <cellStyle name="20 % - Markeringsfarve2 3 2 6 2 3 2" xfId="14459" xr:uid="{00000000-0005-0000-0000-000040130000}"/>
    <cellStyle name="20 % - Markeringsfarve2 3 2 6 2 3 2 2" xfId="30774" xr:uid="{00000000-0005-0000-0000-000041130000}"/>
    <cellStyle name="20 % - Markeringsfarve2 3 2 6 2 3 2 3" xfId="45738" xr:uid="{00000000-0005-0000-0000-000042130000}"/>
    <cellStyle name="20 % - Markeringsfarve2 3 2 6 2 3 3" xfId="23752" xr:uid="{00000000-0005-0000-0000-000043130000}"/>
    <cellStyle name="20 % - Markeringsfarve2 3 2 6 2 3 4" xfId="38739" xr:uid="{00000000-0005-0000-0000-000044130000}"/>
    <cellStyle name="20 % - Markeringsfarve2 3 2 6 2 4" xfId="10499" xr:uid="{00000000-0005-0000-0000-000045130000}"/>
    <cellStyle name="20 % - Markeringsfarve2 3 2 6 2 4 2" xfId="26819" xr:uid="{00000000-0005-0000-0000-000046130000}"/>
    <cellStyle name="20 % - Markeringsfarve2 3 2 6 2 4 3" xfId="41785" xr:uid="{00000000-0005-0000-0000-000047130000}"/>
    <cellStyle name="20 % - Markeringsfarve2 3 2 6 2 5" xfId="19797" xr:uid="{00000000-0005-0000-0000-000048130000}"/>
    <cellStyle name="20 % - Markeringsfarve2 3 2 6 2 6" xfId="34786" xr:uid="{00000000-0005-0000-0000-000049130000}"/>
    <cellStyle name="20 % - Markeringsfarve2 3 2 6 3" xfId="1941" xr:uid="{00000000-0005-0000-0000-00004A130000}"/>
    <cellStyle name="20 % - Markeringsfarve2 3 2 6 3 2" xfId="7310" xr:uid="{00000000-0005-0000-0000-00004B130000}"/>
    <cellStyle name="20 % - Markeringsfarve2 3 2 6 3 2 2" xfId="15221" xr:uid="{00000000-0005-0000-0000-00004C130000}"/>
    <cellStyle name="20 % - Markeringsfarve2 3 2 6 3 2 2 2" xfId="31536" xr:uid="{00000000-0005-0000-0000-00004D130000}"/>
    <cellStyle name="20 % - Markeringsfarve2 3 2 6 3 2 2 3" xfId="46500" xr:uid="{00000000-0005-0000-0000-00004E130000}"/>
    <cellStyle name="20 % - Markeringsfarve2 3 2 6 3 2 3" xfId="24514" xr:uid="{00000000-0005-0000-0000-00004F130000}"/>
    <cellStyle name="20 % - Markeringsfarve2 3 2 6 3 2 4" xfId="39501" xr:uid="{00000000-0005-0000-0000-000050130000}"/>
    <cellStyle name="20 % - Markeringsfarve2 3 2 6 3 3" xfId="10501" xr:uid="{00000000-0005-0000-0000-000051130000}"/>
    <cellStyle name="20 % - Markeringsfarve2 3 2 6 3 3 2" xfId="26821" xr:uid="{00000000-0005-0000-0000-000052130000}"/>
    <cellStyle name="20 % - Markeringsfarve2 3 2 6 3 3 3" xfId="41787" xr:uid="{00000000-0005-0000-0000-000053130000}"/>
    <cellStyle name="20 % - Markeringsfarve2 3 2 6 3 4" xfId="19799" xr:uid="{00000000-0005-0000-0000-000054130000}"/>
    <cellStyle name="20 % - Markeringsfarve2 3 2 6 3 5" xfId="34788" xr:uid="{00000000-0005-0000-0000-000055130000}"/>
    <cellStyle name="20 % - Markeringsfarve2 3 2 6 4" xfId="1942" xr:uid="{00000000-0005-0000-0000-000056130000}"/>
    <cellStyle name="20 % - Markeringsfarve2 3 2 6 4 2" xfId="8157" xr:uid="{00000000-0005-0000-0000-000057130000}"/>
    <cellStyle name="20 % - Markeringsfarve2 3 2 6 4 2 2" xfId="16055" xr:uid="{00000000-0005-0000-0000-000058130000}"/>
    <cellStyle name="20 % - Markeringsfarve2 3 2 6 4 2 2 2" xfId="32370" xr:uid="{00000000-0005-0000-0000-000059130000}"/>
    <cellStyle name="20 % - Markeringsfarve2 3 2 6 4 2 2 3" xfId="47334" xr:uid="{00000000-0005-0000-0000-00005A130000}"/>
    <cellStyle name="20 % - Markeringsfarve2 3 2 6 4 2 3" xfId="25348" xr:uid="{00000000-0005-0000-0000-00005B130000}"/>
    <cellStyle name="20 % - Markeringsfarve2 3 2 6 4 2 4" xfId="40335" xr:uid="{00000000-0005-0000-0000-00005C130000}"/>
    <cellStyle name="20 % - Markeringsfarve2 3 2 6 4 3" xfId="10502" xr:uid="{00000000-0005-0000-0000-00005D130000}"/>
    <cellStyle name="20 % - Markeringsfarve2 3 2 6 4 3 2" xfId="26822" xr:uid="{00000000-0005-0000-0000-00005E130000}"/>
    <cellStyle name="20 % - Markeringsfarve2 3 2 6 4 3 3" xfId="41788" xr:uid="{00000000-0005-0000-0000-00005F130000}"/>
    <cellStyle name="20 % - Markeringsfarve2 3 2 6 4 4" xfId="19800" xr:uid="{00000000-0005-0000-0000-000060130000}"/>
    <cellStyle name="20 % - Markeringsfarve2 3 2 6 4 5" xfId="34789" xr:uid="{00000000-0005-0000-0000-000061130000}"/>
    <cellStyle name="20 % - Markeringsfarve2 3 2 6 5" xfId="5430" xr:uid="{00000000-0005-0000-0000-000062130000}"/>
    <cellStyle name="20 % - Markeringsfarve2 3 2 6 5 2" xfId="13349" xr:uid="{00000000-0005-0000-0000-000063130000}"/>
    <cellStyle name="20 % - Markeringsfarve2 3 2 6 5 2 2" xfId="29664" xr:uid="{00000000-0005-0000-0000-000064130000}"/>
    <cellStyle name="20 % - Markeringsfarve2 3 2 6 5 2 3" xfId="44628" xr:uid="{00000000-0005-0000-0000-000065130000}"/>
    <cellStyle name="20 % - Markeringsfarve2 3 2 6 5 3" xfId="22642" xr:uid="{00000000-0005-0000-0000-000066130000}"/>
    <cellStyle name="20 % - Markeringsfarve2 3 2 6 5 4" xfId="37629" xr:uid="{00000000-0005-0000-0000-000067130000}"/>
    <cellStyle name="20 % - Markeringsfarve2 3 2 6 6" xfId="10498" xr:uid="{00000000-0005-0000-0000-000068130000}"/>
    <cellStyle name="20 % - Markeringsfarve2 3 2 6 6 2" xfId="26818" xr:uid="{00000000-0005-0000-0000-000069130000}"/>
    <cellStyle name="20 % - Markeringsfarve2 3 2 6 6 3" xfId="41784" xr:uid="{00000000-0005-0000-0000-00006A130000}"/>
    <cellStyle name="20 % - Markeringsfarve2 3 2 6 7" xfId="19796" xr:uid="{00000000-0005-0000-0000-00006B130000}"/>
    <cellStyle name="20 % - Markeringsfarve2 3 2 6 8" xfId="34785" xr:uid="{00000000-0005-0000-0000-00006C130000}"/>
    <cellStyle name="20 % - Markeringsfarve2 3 2 7" xfId="1943" xr:uid="{00000000-0005-0000-0000-00006D130000}"/>
    <cellStyle name="20 % - Markeringsfarve2 3 2 7 2" xfId="1944" xr:uid="{00000000-0005-0000-0000-00006E130000}"/>
    <cellStyle name="20 % - Markeringsfarve2 3 2 7 2 2" xfId="7483" xr:uid="{00000000-0005-0000-0000-00006F130000}"/>
    <cellStyle name="20 % - Markeringsfarve2 3 2 7 2 2 2" xfId="15385" xr:uid="{00000000-0005-0000-0000-000070130000}"/>
    <cellStyle name="20 % - Markeringsfarve2 3 2 7 2 2 2 2" xfId="31700" xr:uid="{00000000-0005-0000-0000-000071130000}"/>
    <cellStyle name="20 % - Markeringsfarve2 3 2 7 2 2 2 3" xfId="46664" xr:uid="{00000000-0005-0000-0000-000072130000}"/>
    <cellStyle name="20 % - Markeringsfarve2 3 2 7 2 2 3" xfId="24678" xr:uid="{00000000-0005-0000-0000-000073130000}"/>
    <cellStyle name="20 % - Markeringsfarve2 3 2 7 2 2 4" xfId="39665" xr:uid="{00000000-0005-0000-0000-000074130000}"/>
    <cellStyle name="20 % - Markeringsfarve2 3 2 7 2 3" xfId="10504" xr:uid="{00000000-0005-0000-0000-000075130000}"/>
    <cellStyle name="20 % - Markeringsfarve2 3 2 7 2 3 2" xfId="26824" xr:uid="{00000000-0005-0000-0000-000076130000}"/>
    <cellStyle name="20 % - Markeringsfarve2 3 2 7 2 3 3" xfId="41790" xr:uid="{00000000-0005-0000-0000-000077130000}"/>
    <cellStyle name="20 % - Markeringsfarve2 3 2 7 2 4" xfId="19802" xr:uid="{00000000-0005-0000-0000-000078130000}"/>
    <cellStyle name="20 % - Markeringsfarve2 3 2 7 2 5" xfId="34791" xr:uid="{00000000-0005-0000-0000-000079130000}"/>
    <cellStyle name="20 % - Markeringsfarve2 3 2 7 3" xfId="6078" xr:uid="{00000000-0005-0000-0000-00007A130000}"/>
    <cellStyle name="20 % - Markeringsfarve2 3 2 7 3 2" xfId="13996" xr:uid="{00000000-0005-0000-0000-00007B130000}"/>
    <cellStyle name="20 % - Markeringsfarve2 3 2 7 3 2 2" xfId="30311" xr:uid="{00000000-0005-0000-0000-00007C130000}"/>
    <cellStyle name="20 % - Markeringsfarve2 3 2 7 3 2 3" xfId="45275" xr:uid="{00000000-0005-0000-0000-00007D130000}"/>
    <cellStyle name="20 % - Markeringsfarve2 3 2 7 3 3" xfId="23289" xr:uid="{00000000-0005-0000-0000-00007E130000}"/>
    <cellStyle name="20 % - Markeringsfarve2 3 2 7 3 4" xfId="38276" xr:uid="{00000000-0005-0000-0000-00007F130000}"/>
    <cellStyle name="20 % - Markeringsfarve2 3 2 7 4" xfId="10503" xr:uid="{00000000-0005-0000-0000-000080130000}"/>
    <cellStyle name="20 % - Markeringsfarve2 3 2 7 4 2" xfId="26823" xr:uid="{00000000-0005-0000-0000-000081130000}"/>
    <cellStyle name="20 % - Markeringsfarve2 3 2 7 4 3" xfId="41789" xr:uid="{00000000-0005-0000-0000-000082130000}"/>
    <cellStyle name="20 % - Markeringsfarve2 3 2 7 5" xfId="19801" xr:uid="{00000000-0005-0000-0000-000083130000}"/>
    <cellStyle name="20 % - Markeringsfarve2 3 2 7 6" xfId="34790" xr:uid="{00000000-0005-0000-0000-000084130000}"/>
    <cellStyle name="20 % - Markeringsfarve2 3 2 8" xfId="1945" xr:uid="{00000000-0005-0000-0000-000085130000}"/>
    <cellStyle name="20 % - Markeringsfarve2 3 2 8 2" xfId="6711" xr:uid="{00000000-0005-0000-0000-000086130000}"/>
    <cellStyle name="20 % - Markeringsfarve2 3 2 8 2 2" xfId="14623" xr:uid="{00000000-0005-0000-0000-000087130000}"/>
    <cellStyle name="20 % - Markeringsfarve2 3 2 8 2 2 2" xfId="30938" xr:uid="{00000000-0005-0000-0000-000088130000}"/>
    <cellStyle name="20 % - Markeringsfarve2 3 2 8 2 2 3" xfId="45902" xr:uid="{00000000-0005-0000-0000-000089130000}"/>
    <cellStyle name="20 % - Markeringsfarve2 3 2 8 2 3" xfId="23916" xr:uid="{00000000-0005-0000-0000-00008A130000}"/>
    <cellStyle name="20 % - Markeringsfarve2 3 2 8 2 4" xfId="38903" xr:uid="{00000000-0005-0000-0000-00008B130000}"/>
    <cellStyle name="20 % - Markeringsfarve2 3 2 8 3" xfId="10505" xr:uid="{00000000-0005-0000-0000-00008C130000}"/>
    <cellStyle name="20 % - Markeringsfarve2 3 2 8 3 2" xfId="26825" xr:uid="{00000000-0005-0000-0000-00008D130000}"/>
    <cellStyle name="20 % - Markeringsfarve2 3 2 8 3 3" xfId="41791" xr:uid="{00000000-0005-0000-0000-00008E130000}"/>
    <cellStyle name="20 % - Markeringsfarve2 3 2 8 4" xfId="19803" xr:uid="{00000000-0005-0000-0000-00008F130000}"/>
    <cellStyle name="20 % - Markeringsfarve2 3 2 8 5" xfId="34792" xr:uid="{00000000-0005-0000-0000-000090130000}"/>
    <cellStyle name="20 % - Markeringsfarve2 3 2 9" xfId="1946" xr:uid="{00000000-0005-0000-0000-000091130000}"/>
    <cellStyle name="20 % - Markeringsfarve2 3 2 9 2" xfId="8267" xr:uid="{00000000-0005-0000-0000-000092130000}"/>
    <cellStyle name="20 % - Markeringsfarve2 3 2 9 2 2" xfId="16162" xr:uid="{00000000-0005-0000-0000-000093130000}"/>
    <cellStyle name="20 % - Markeringsfarve2 3 2 9 2 2 2" xfId="32477" xr:uid="{00000000-0005-0000-0000-000094130000}"/>
    <cellStyle name="20 % - Markeringsfarve2 3 2 9 2 2 3" xfId="47441" xr:uid="{00000000-0005-0000-0000-000095130000}"/>
    <cellStyle name="20 % - Markeringsfarve2 3 2 9 2 3" xfId="25455" xr:uid="{00000000-0005-0000-0000-000096130000}"/>
    <cellStyle name="20 % - Markeringsfarve2 3 2 9 2 4" xfId="40442" xr:uid="{00000000-0005-0000-0000-000097130000}"/>
    <cellStyle name="20 % - Markeringsfarve2 3 2 9 3" xfId="10506" xr:uid="{00000000-0005-0000-0000-000098130000}"/>
    <cellStyle name="20 % - Markeringsfarve2 3 2 9 3 2" xfId="26826" xr:uid="{00000000-0005-0000-0000-000099130000}"/>
    <cellStyle name="20 % - Markeringsfarve2 3 2 9 3 3" xfId="41792" xr:uid="{00000000-0005-0000-0000-00009A130000}"/>
    <cellStyle name="20 % - Markeringsfarve2 3 2 9 4" xfId="19804" xr:uid="{00000000-0005-0000-0000-00009B130000}"/>
    <cellStyle name="20 % - Markeringsfarve2 3 2 9 5" xfId="34793" xr:uid="{00000000-0005-0000-0000-00009C130000}"/>
    <cellStyle name="20 % - Markeringsfarve2 3 3" xfId="1947" xr:uid="{00000000-0005-0000-0000-00009D130000}"/>
    <cellStyle name="20 % - Markeringsfarve2 3 3 10" xfId="5431" xr:uid="{00000000-0005-0000-0000-00009E130000}"/>
    <cellStyle name="20 % - Markeringsfarve2 3 3 10 2" xfId="13350" xr:uid="{00000000-0005-0000-0000-00009F130000}"/>
    <cellStyle name="20 % - Markeringsfarve2 3 3 10 2 2" xfId="29665" xr:uid="{00000000-0005-0000-0000-0000A0130000}"/>
    <cellStyle name="20 % - Markeringsfarve2 3 3 10 2 3" xfId="44629" xr:uid="{00000000-0005-0000-0000-0000A1130000}"/>
    <cellStyle name="20 % - Markeringsfarve2 3 3 10 3" xfId="22643" xr:uid="{00000000-0005-0000-0000-0000A2130000}"/>
    <cellStyle name="20 % - Markeringsfarve2 3 3 10 4" xfId="37630" xr:uid="{00000000-0005-0000-0000-0000A3130000}"/>
    <cellStyle name="20 % - Markeringsfarve2 3 3 11" xfId="10507" xr:uid="{00000000-0005-0000-0000-0000A4130000}"/>
    <cellStyle name="20 % - Markeringsfarve2 3 3 11 2" xfId="26827" xr:uid="{00000000-0005-0000-0000-0000A5130000}"/>
    <cellStyle name="20 % - Markeringsfarve2 3 3 11 3" xfId="41793" xr:uid="{00000000-0005-0000-0000-0000A6130000}"/>
    <cellStyle name="20 % - Markeringsfarve2 3 3 12" xfId="19805" xr:uid="{00000000-0005-0000-0000-0000A7130000}"/>
    <cellStyle name="20 % - Markeringsfarve2 3 3 13" xfId="34794" xr:uid="{00000000-0005-0000-0000-0000A8130000}"/>
    <cellStyle name="20 % - Markeringsfarve2 3 3 14" xfId="56496" xr:uid="{00000000-0005-0000-0000-0000A9130000}"/>
    <cellStyle name="20 % - Markeringsfarve2 3 3 2" xfId="1948" xr:uid="{00000000-0005-0000-0000-0000AA130000}"/>
    <cellStyle name="20 % - Markeringsfarve2 3 3 2 2" xfId="1949" xr:uid="{00000000-0005-0000-0000-0000AB130000}"/>
    <cellStyle name="20 % - Markeringsfarve2 3 3 2 2 2" xfId="1950" xr:uid="{00000000-0005-0000-0000-0000AC130000}"/>
    <cellStyle name="20 % - Markeringsfarve2 3 3 2 2 2 2" xfId="7641" xr:uid="{00000000-0005-0000-0000-0000AD130000}"/>
    <cellStyle name="20 % - Markeringsfarve2 3 3 2 2 2 2 2" xfId="15543" xr:uid="{00000000-0005-0000-0000-0000AE130000}"/>
    <cellStyle name="20 % - Markeringsfarve2 3 3 2 2 2 2 2 2" xfId="31858" xr:uid="{00000000-0005-0000-0000-0000AF130000}"/>
    <cellStyle name="20 % - Markeringsfarve2 3 3 2 2 2 2 2 3" xfId="46822" xr:uid="{00000000-0005-0000-0000-0000B0130000}"/>
    <cellStyle name="20 % - Markeringsfarve2 3 3 2 2 2 2 3" xfId="24836" xr:uid="{00000000-0005-0000-0000-0000B1130000}"/>
    <cellStyle name="20 % - Markeringsfarve2 3 3 2 2 2 2 4" xfId="39823" xr:uid="{00000000-0005-0000-0000-0000B2130000}"/>
    <cellStyle name="20 % - Markeringsfarve2 3 3 2 2 2 3" xfId="10510" xr:uid="{00000000-0005-0000-0000-0000B3130000}"/>
    <cellStyle name="20 % - Markeringsfarve2 3 3 2 2 2 3 2" xfId="26830" xr:uid="{00000000-0005-0000-0000-0000B4130000}"/>
    <cellStyle name="20 % - Markeringsfarve2 3 3 2 2 2 3 3" xfId="41796" xr:uid="{00000000-0005-0000-0000-0000B5130000}"/>
    <cellStyle name="20 % - Markeringsfarve2 3 3 2 2 2 4" xfId="19808" xr:uid="{00000000-0005-0000-0000-0000B6130000}"/>
    <cellStyle name="20 % - Markeringsfarve2 3 3 2 2 2 5" xfId="34797" xr:uid="{00000000-0005-0000-0000-0000B7130000}"/>
    <cellStyle name="20 % - Markeringsfarve2 3 3 2 2 3" xfId="6210" xr:uid="{00000000-0005-0000-0000-0000B8130000}"/>
    <cellStyle name="20 % - Markeringsfarve2 3 3 2 2 3 2" xfId="14128" xr:uid="{00000000-0005-0000-0000-0000B9130000}"/>
    <cellStyle name="20 % - Markeringsfarve2 3 3 2 2 3 2 2" xfId="30443" xr:uid="{00000000-0005-0000-0000-0000BA130000}"/>
    <cellStyle name="20 % - Markeringsfarve2 3 3 2 2 3 2 3" xfId="45407" xr:uid="{00000000-0005-0000-0000-0000BB130000}"/>
    <cellStyle name="20 % - Markeringsfarve2 3 3 2 2 3 3" xfId="23421" xr:uid="{00000000-0005-0000-0000-0000BC130000}"/>
    <cellStyle name="20 % - Markeringsfarve2 3 3 2 2 3 4" xfId="38408" xr:uid="{00000000-0005-0000-0000-0000BD130000}"/>
    <cellStyle name="20 % - Markeringsfarve2 3 3 2 2 4" xfId="10509" xr:uid="{00000000-0005-0000-0000-0000BE130000}"/>
    <cellStyle name="20 % - Markeringsfarve2 3 3 2 2 4 2" xfId="26829" xr:uid="{00000000-0005-0000-0000-0000BF130000}"/>
    <cellStyle name="20 % - Markeringsfarve2 3 3 2 2 4 3" xfId="41795" xr:uid="{00000000-0005-0000-0000-0000C0130000}"/>
    <cellStyle name="20 % - Markeringsfarve2 3 3 2 2 5" xfId="19807" xr:uid="{00000000-0005-0000-0000-0000C1130000}"/>
    <cellStyle name="20 % - Markeringsfarve2 3 3 2 2 6" xfId="34796" xr:uid="{00000000-0005-0000-0000-0000C2130000}"/>
    <cellStyle name="20 % - Markeringsfarve2 3 3 2 3" xfId="1951" xr:uid="{00000000-0005-0000-0000-0000C3130000}"/>
    <cellStyle name="20 % - Markeringsfarve2 3 3 2 3 2" xfId="6871" xr:uid="{00000000-0005-0000-0000-0000C4130000}"/>
    <cellStyle name="20 % - Markeringsfarve2 3 3 2 3 2 2" xfId="14783" xr:uid="{00000000-0005-0000-0000-0000C5130000}"/>
    <cellStyle name="20 % - Markeringsfarve2 3 3 2 3 2 2 2" xfId="31098" xr:uid="{00000000-0005-0000-0000-0000C6130000}"/>
    <cellStyle name="20 % - Markeringsfarve2 3 3 2 3 2 2 3" xfId="46062" xr:uid="{00000000-0005-0000-0000-0000C7130000}"/>
    <cellStyle name="20 % - Markeringsfarve2 3 3 2 3 2 3" xfId="24076" xr:uid="{00000000-0005-0000-0000-0000C8130000}"/>
    <cellStyle name="20 % - Markeringsfarve2 3 3 2 3 2 4" xfId="39063" xr:uid="{00000000-0005-0000-0000-0000C9130000}"/>
    <cellStyle name="20 % - Markeringsfarve2 3 3 2 3 3" xfId="10511" xr:uid="{00000000-0005-0000-0000-0000CA130000}"/>
    <cellStyle name="20 % - Markeringsfarve2 3 3 2 3 3 2" xfId="26831" xr:uid="{00000000-0005-0000-0000-0000CB130000}"/>
    <cellStyle name="20 % - Markeringsfarve2 3 3 2 3 3 3" xfId="41797" xr:uid="{00000000-0005-0000-0000-0000CC130000}"/>
    <cellStyle name="20 % - Markeringsfarve2 3 3 2 3 4" xfId="19809" xr:uid="{00000000-0005-0000-0000-0000CD130000}"/>
    <cellStyle name="20 % - Markeringsfarve2 3 3 2 3 5" xfId="34798" xr:uid="{00000000-0005-0000-0000-0000CE130000}"/>
    <cellStyle name="20 % - Markeringsfarve2 3 3 2 4" xfId="1952" xr:uid="{00000000-0005-0000-0000-0000CF130000}"/>
    <cellStyle name="20 % - Markeringsfarve2 3 3 2 4 2" xfId="8730" xr:uid="{00000000-0005-0000-0000-0000D0130000}"/>
    <cellStyle name="20 % - Markeringsfarve2 3 3 2 4 2 2" xfId="16607" xr:uid="{00000000-0005-0000-0000-0000D1130000}"/>
    <cellStyle name="20 % - Markeringsfarve2 3 3 2 4 2 2 2" xfId="32922" xr:uid="{00000000-0005-0000-0000-0000D2130000}"/>
    <cellStyle name="20 % - Markeringsfarve2 3 3 2 4 2 2 3" xfId="47886" xr:uid="{00000000-0005-0000-0000-0000D3130000}"/>
    <cellStyle name="20 % - Markeringsfarve2 3 3 2 4 2 3" xfId="25900" xr:uid="{00000000-0005-0000-0000-0000D4130000}"/>
    <cellStyle name="20 % - Markeringsfarve2 3 3 2 4 2 4" xfId="40887" xr:uid="{00000000-0005-0000-0000-0000D5130000}"/>
    <cellStyle name="20 % - Markeringsfarve2 3 3 2 4 3" xfId="10512" xr:uid="{00000000-0005-0000-0000-0000D6130000}"/>
    <cellStyle name="20 % - Markeringsfarve2 3 3 2 4 3 2" xfId="26832" xr:uid="{00000000-0005-0000-0000-0000D7130000}"/>
    <cellStyle name="20 % - Markeringsfarve2 3 3 2 4 3 3" xfId="41798" xr:uid="{00000000-0005-0000-0000-0000D8130000}"/>
    <cellStyle name="20 % - Markeringsfarve2 3 3 2 4 4" xfId="19810" xr:uid="{00000000-0005-0000-0000-0000D9130000}"/>
    <cellStyle name="20 % - Markeringsfarve2 3 3 2 4 5" xfId="34799" xr:uid="{00000000-0005-0000-0000-0000DA130000}"/>
    <cellStyle name="20 % - Markeringsfarve2 3 3 2 5" xfId="5432" xr:uid="{00000000-0005-0000-0000-0000DB130000}"/>
    <cellStyle name="20 % - Markeringsfarve2 3 3 2 5 2" xfId="13351" xr:uid="{00000000-0005-0000-0000-0000DC130000}"/>
    <cellStyle name="20 % - Markeringsfarve2 3 3 2 5 2 2" xfId="29666" xr:uid="{00000000-0005-0000-0000-0000DD130000}"/>
    <cellStyle name="20 % - Markeringsfarve2 3 3 2 5 2 3" xfId="44630" xr:uid="{00000000-0005-0000-0000-0000DE130000}"/>
    <cellStyle name="20 % - Markeringsfarve2 3 3 2 5 3" xfId="22644" xr:uid="{00000000-0005-0000-0000-0000DF130000}"/>
    <cellStyle name="20 % - Markeringsfarve2 3 3 2 5 4" xfId="37631" xr:uid="{00000000-0005-0000-0000-0000E0130000}"/>
    <cellStyle name="20 % - Markeringsfarve2 3 3 2 6" xfId="10508" xr:uid="{00000000-0005-0000-0000-0000E1130000}"/>
    <cellStyle name="20 % - Markeringsfarve2 3 3 2 6 2" xfId="26828" xr:uid="{00000000-0005-0000-0000-0000E2130000}"/>
    <cellStyle name="20 % - Markeringsfarve2 3 3 2 6 3" xfId="41794" xr:uid="{00000000-0005-0000-0000-0000E3130000}"/>
    <cellStyle name="20 % - Markeringsfarve2 3 3 2 7" xfId="19806" xr:uid="{00000000-0005-0000-0000-0000E4130000}"/>
    <cellStyle name="20 % - Markeringsfarve2 3 3 2 8" xfId="34795" xr:uid="{00000000-0005-0000-0000-0000E5130000}"/>
    <cellStyle name="20 % - Markeringsfarve2 3 3 3" xfId="1953" xr:uid="{00000000-0005-0000-0000-0000E6130000}"/>
    <cellStyle name="20 % - Markeringsfarve2 3 3 3 2" xfId="1954" xr:uid="{00000000-0005-0000-0000-0000E7130000}"/>
    <cellStyle name="20 % - Markeringsfarve2 3 3 3 2 2" xfId="1955" xr:uid="{00000000-0005-0000-0000-0000E8130000}"/>
    <cellStyle name="20 % - Markeringsfarve2 3 3 3 2 2 2" xfId="7679" xr:uid="{00000000-0005-0000-0000-0000E9130000}"/>
    <cellStyle name="20 % - Markeringsfarve2 3 3 3 2 2 2 2" xfId="15581" xr:uid="{00000000-0005-0000-0000-0000EA130000}"/>
    <cellStyle name="20 % - Markeringsfarve2 3 3 3 2 2 2 2 2" xfId="31896" xr:uid="{00000000-0005-0000-0000-0000EB130000}"/>
    <cellStyle name="20 % - Markeringsfarve2 3 3 3 2 2 2 2 3" xfId="46860" xr:uid="{00000000-0005-0000-0000-0000EC130000}"/>
    <cellStyle name="20 % - Markeringsfarve2 3 3 3 2 2 2 3" xfId="24874" xr:uid="{00000000-0005-0000-0000-0000ED130000}"/>
    <cellStyle name="20 % - Markeringsfarve2 3 3 3 2 2 2 4" xfId="39861" xr:uid="{00000000-0005-0000-0000-0000EE130000}"/>
    <cellStyle name="20 % - Markeringsfarve2 3 3 3 2 2 3" xfId="10515" xr:uid="{00000000-0005-0000-0000-0000EF130000}"/>
    <cellStyle name="20 % - Markeringsfarve2 3 3 3 2 2 3 2" xfId="26835" xr:uid="{00000000-0005-0000-0000-0000F0130000}"/>
    <cellStyle name="20 % - Markeringsfarve2 3 3 3 2 2 3 3" xfId="41801" xr:uid="{00000000-0005-0000-0000-0000F1130000}"/>
    <cellStyle name="20 % - Markeringsfarve2 3 3 3 2 2 4" xfId="19813" xr:uid="{00000000-0005-0000-0000-0000F2130000}"/>
    <cellStyle name="20 % - Markeringsfarve2 3 3 3 2 2 5" xfId="34802" xr:uid="{00000000-0005-0000-0000-0000F3130000}"/>
    <cellStyle name="20 % - Markeringsfarve2 3 3 3 2 3" xfId="6243" xr:uid="{00000000-0005-0000-0000-0000F4130000}"/>
    <cellStyle name="20 % - Markeringsfarve2 3 3 3 2 3 2" xfId="14161" xr:uid="{00000000-0005-0000-0000-0000F5130000}"/>
    <cellStyle name="20 % - Markeringsfarve2 3 3 3 2 3 2 2" xfId="30476" xr:uid="{00000000-0005-0000-0000-0000F6130000}"/>
    <cellStyle name="20 % - Markeringsfarve2 3 3 3 2 3 2 3" xfId="45440" xr:uid="{00000000-0005-0000-0000-0000F7130000}"/>
    <cellStyle name="20 % - Markeringsfarve2 3 3 3 2 3 3" xfId="23454" xr:uid="{00000000-0005-0000-0000-0000F8130000}"/>
    <cellStyle name="20 % - Markeringsfarve2 3 3 3 2 3 4" xfId="38441" xr:uid="{00000000-0005-0000-0000-0000F9130000}"/>
    <cellStyle name="20 % - Markeringsfarve2 3 3 3 2 4" xfId="10514" xr:uid="{00000000-0005-0000-0000-0000FA130000}"/>
    <cellStyle name="20 % - Markeringsfarve2 3 3 3 2 4 2" xfId="26834" xr:uid="{00000000-0005-0000-0000-0000FB130000}"/>
    <cellStyle name="20 % - Markeringsfarve2 3 3 3 2 4 3" xfId="41800" xr:uid="{00000000-0005-0000-0000-0000FC130000}"/>
    <cellStyle name="20 % - Markeringsfarve2 3 3 3 2 5" xfId="19812" xr:uid="{00000000-0005-0000-0000-0000FD130000}"/>
    <cellStyle name="20 % - Markeringsfarve2 3 3 3 2 6" xfId="34801" xr:uid="{00000000-0005-0000-0000-0000FE130000}"/>
    <cellStyle name="20 % - Markeringsfarve2 3 3 3 3" xfId="1956" xr:uid="{00000000-0005-0000-0000-0000FF130000}"/>
    <cellStyle name="20 % - Markeringsfarve2 3 3 3 3 2" xfId="6909" xr:uid="{00000000-0005-0000-0000-000000140000}"/>
    <cellStyle name="20 % - Markeringsfarve2 3 3 3 3 2 2" xfId="14821" xr:uid="{00000000-0005-0000-0000-000001140000}"/>
    <cellStyle name="20 % - Markeringsfarve2 3 3 3 3 2 2 2" xfId="31136" xr:uid="{00000000-0005-0000-0000-000002140000}"/>
    <cellStyle name="20 % - Markeringsfarve2 3 3 3 3 2 2 3" xfId="46100" xr:uid="{00000000-0005-0000-0000-000003140000}"/>
    <cellStyle name="20 % - Markeringsfarve2 3 3 3 3 2 3" xfId="24114" xr:uid="{00000000-0005-0000-0000-000004140000}"/>
    <cellStyle name="20 % - Markeringsfarve2 3 3 3 3 2 4" xfId="39101" xr:uid="{00000000-0005-0000-0000-000005140000}"/>
    <cellStyle name="20 % - Markeringsfarve2 3 3 3 3 3" xfId="10516" xr:uid="{00000000-0005-0000-0000-000006140000}"/>
    <cellStyle name="20 % - Markeringsfarve2 3 3 3 3 3 2" xfId="26836" xr:uid="{00000000-0005-0000-0000-000007140000}"/>
    <cellStyle name="20 % - Markeringsfarve2 3 3 3 3 3 3" xfId="41802" xr:uid="{00000000-0005-0000-0000-000008140000}"/>
    <cellStyle name="20 % - Markeringsfarve2 3 3 3 3 4" xfId="19814" xr:uid="{00000000-0005-0000-0000-000009140000}"/>
    <cellStyle name="20 % - Markeringsfarve2 3 3 3 3 5" xfId="34803" xr:uid="{00000000-0005-0000-0000-00000A140000}"/>
    <cellStyle name="20 % - Markeringsfarve2 3 3 3 4" xfId="1957" xr:uid="{00000000-0005-0000-0000-00000B140000}"/>
    <cellStyle name="20 % - Markeringsfarve2 3 3 3 4 2" xfId="8450" xr:uid="{00000000-0005-0000-0000-00000C140000}"/>
    <cellStyle name="20 % - Markeringsfarve2 3 3 3 4 2 2" xfId="16340" xr:uid="{00000000-0005-0000-0000-00000D140000}"/>
    <cellStyle name="20 % - Markeringsfarve2 3 3 3 4 2 2 2" xfId="32655" xr:uid="{00000000-0005-0000-0000-00000E140000}"/>
    <cellStyle name="20 % - Markeringsfarve2 3 3 3 4 2 2 3" xfId="47619" xr:uid="{00000000-0005-0000-0000-00000F140000}"/>
    <cellStyle name="20 % - Markeringsfarve2 3 3 3 4 2 3" xfId="25633" xr:uid="{00000000-0005-0000-0000-000010140000}"/>
    <cellStyle name="20 % - Markeringsfarve2 3 3 3 4 2 4" xfId="40620" xr:uid="{00000000-0005-0000-0000-000011140000}"/>
    <cellStyle name="20 % - Markeringsfarve2 3 3 3 4 3" xfId="10517" xr:uid="{00000000-0005-0000-0000-000012140000}"/>
    <cellStyle name="20 % - Markeringsfarve2 3 3 3 4 3 2" xfId="26837" xr:uid="{00000000-0005-0000-0000-000013140000}"/>
    <cellStyle name="20 % - Markeringsfarve2 3 3 3 4 3 3" xfId="41803" xr:uid="{00000000-0005-0000-0000-000014140000}"/>
    <cellStyle name="20 % - Markeringsfarve2 3 3 3 4 4" xfId="19815" xr:uid="{00000000-0005-0000-0000-000015140000}"/>
    <cellStyle name="20 % - Markeringsfarve2 3 3 3 4 5" xfId="34804" xr:uid="{00000000-0005-0000-0000-000016140000}"/>
    <cellStyle name="20 % - Markeringsfarve2 3 3 3 5" xfId="5433" xr:uid="{00000000-0005-0000-0000-000017140000}"/>
    <cellStyle name="20 % - Markeringsfarve2 3 3 3 5 2" xfId="13352" xr:uid="{00000000-0005-0000-0000-000018140000}"/>
    <cellStyle name="20 % - Markeringsfarve2 3 3 3 5 2 2" xfId="29667" xr:uid="{00000000-0005-0000-0000-000019140000}"/>
    <cellStyle name="20 % - Markeringsfarve2 3 3 3 5 2 3" xfId="44631" xr:uid="{00000000-0005-0000-0000-00001A140000}"/>
    <cellStyle name="20 % - Markeringsfarve2 3 3 3 5 3" xfId="22645" xr:uid="{00000000-0005-0000-0000-00001B140000}"/>
    <cellStyle name="20 % - Markeringsfarve2 3 3 3 5 4" xfId="37632" xr:uid="{00000000-0005-0000-0000-00001C140000}"/>
    <cellStyle name="20 % - Markeringsfarve2 3 3 3 6" xfId="10513" xr:uid="{00000000-0005-0000-0000-00001D140000}"/>
    <cellStyle name="20 % - Markeringsfarve2 3 3 3 6 2" xfId="26833" xr:uid="{00000000-0005-0000-0000-00001E140000}"/>
    <cellStyle name="20 % - Markeringsfarve2 3 3 3 6 3" xfId="41799" xr:uid="{00000000-0005-0000-0000-00001F140000}"/>
    <cellStyle name="20 % - Markeringsfarve2 3 3 3 7" xfId="19811" xr:uid="{00000000-0005-0000-0000-000020140000}"/>
    <cellStyle name="20 % - Markeringsfarve2 3 3 3 8" xfId="34800" xr:uid="{00000000-0005-0000-0000-000021140000}"/>
    <cellStyle name="20 % - Markeringsfarve2 3 3 4" xfId="1958" xr:uid="{00000000-0005-0000-0000-000022140000}"/>
    <cellStyle name="20 % - Markeringsfarve2 3 3 4 2" xfId="1959" xr:uid="{00000000-0005-0000-0000-000023140000}"/>
    <cellStyle name="20 % - Markeringsfarve2 3 3 4 2 2" xfId="1960" xr:uid="{00000000-0005-0000-0000-000024140000}"/>
    <cellStyle name="20 % - Markeringsfarve2 3 3 4 2 2 2" xfId="7879" xr:uid="{00000000-0005-0000-0000-000025140000}"/>
    <cellStyle name="20 % - Markeringsfarve2 3 3 4 2 2 2 2" xfId="15781" xr:uid="{00000000-0005-0000-0000-000026140000}"/>
    <cellStyle name="20 % - Markeringsfarve2 3 3 4 2 2 2 2 2" xfId="32096" xr:uid="{00000000-0005-0000-0000-000027140000}"/>
    <cellStyle name="20 % - Markeringsfarve2 3 3 4 2 2 2 2 3" xfId="47060" xr:uid="{00000000-0005-0000-0000-000028140000}"/>
    <cellStyle name="20 % - Markeringsfarve2 3 3 4 2 2 2 3" xfId="25074" xr:uid="{00000000-0005-0000-0000-000029140000}"/>
    <cellStyle name="20 % - Markeringsfarve2 3 3 4 2 2 2 4" xfId="40061" xr:uid="{00000000-0005-0000-0000-00002A140000}"/>
    <cellStyle name="20 % - Markeringsfarve2 3 3 4 2 2 3" xfId="10520" xr:uid="{00000000-0005-0000-0000-00002B140000}"/>
    <cellStyle name="20 % - Markeringsfarve2 3 3 4 2 2 3 2" xfId="26840" xr:uid="{00000000-0005-0000-0000-00002C140000}"/>
    <cellStyle name="20 % - Markeringsfarve2 3 3 4 2 2 3 3" xfId="41806" xr:uid="{00000000-0005-0000-0000-00002D140000}"/>
    <cellStyle name="20 % - Markeringsfarve2 3 3 4 2 2 4" xfId="19818" xr:uid="{00000000-0005-0000-0000-00002E140000}"/>
    <cellStyle name="20 % - Markeringsfarve2 3 3 4 2 2 5" xfId="34807" xr:uid="{00000000-0005-0000-0000-00002F140000}"/>
    <cellStyle name="20 % - Markeringsfarve2 3 3 4 2 3" xfId="6412" xr:uid="{00000000-0005-0000-0000-000030140000}"/>
    <cellStyle name="20 % - Markeringsfarve2 3 3 4 2 3 2" xfId="14327" xr:uid="{00000000-0005-0000-0000-000031140000}"/>
    <cellStyle name="20 % - Markeringsfarve2 3 3 4 2 3 2 2" xfId="30642" xr:uid="{00000000-0005-0000-0000-000032140000}"/>
    <cellStyle name="20 % - Markeringsfarve2 3 3 4 2 3 2 3" xfId="45606" xr:uid="{00000000-0005-0000-0000-000033140000}"/>
    <cellStyle name="20 % - Markeringsfarve2 3 3 4 2 3 3" xfId="23620" xr:uid="{00000000-0005-0000-0000-000034140000}"/>
    <cellStyle name="20 % - Markeringsfarve2 3 3 4 2 3 4" xfId="38607" xr:uid="{00000000-0005-0000-0000-000035140000}"/>
    <cellStyle name="20 % - Markeringsfarve2 3 3 4 2 4" xfId="10519" xr:uid="{00000000-0005-0000-0000-000036140000}"/>
    <cellStyle name="20 % - Markeringsfarve2 3 3 4 2 4 2" xfId="26839" xr:uid="{00000000-0005-0000-0000-000037140000}"/>
    <cellStyle name="20 % - Markeringsfarve2 3 3 4 2 4 3" xfId="41805" xr:uid="{00000000-0005-0000-0000-000038140000}"/>
    <cellStyle name="20 % - Markeringsfarve2 3 3 4 2 5" xfId="19817" xr:uid="{00000000-0005-0000-0000-000039140000}"/>
    <cellStyle name="20 % - Markeringsfarve2 3 3 4 2 6" xfId="34806" xr:uid="{00000000-0005-0000-0000-00003A140000}"/>
    <cellStyle name="20 % - Markeringsfarve2 3 3 4 3" xfId="1961" xr:uid="{00000000-0005-0000-0000-00003B140000}"/>
    <cellStyle name="20 % - Markeringsfarve2 3 3 4 3 2" xfId="7155" xr:uid="{00000000-0005-0000-0000-00003C140000}"/>
    <cellStyle name="20 % - Markeringsfarve2 3 3 4 3 2 2" xfId="15066" xr:uid="{00000000-0005-0000-0000-00003D140000}"/>
    <cellStyle name="20 % - Markeringsfarve2 3 3 4 3 2 2 2" xfId="31381" xr:uid="{00000000-0005-0000-0000-00003E140000}"/>
    <cellStyle name="20 % - Markeringsfarve2 3 3 4 3 2 2 3" xfId="46345" xr:uid="{00000000-0005-0000-0000-00003F140000}"/>
    <cellStyle name="20 % - Markeringsfarve2 3 3 4 3 2 3" xfId="24359" xr:uid="{00000000-0005-0000-0000-000040140000}"/>
    <cellStyle name="20 % - Markeringsfarve2 3 3 4 3 2 4" xfId="39346" xr:uid="{00000000-0005-0000-0000-000041140000}"/>
    <cellStyle name="20 % - Markeringsfarve2 3 3 4 3 3" xfId="10521" xr:uid="{00000000-0005-0000-0000-000042140000}"/>
    <cellStyle name="20 % - Markeringsfarve2 3 3 4 3 3 2" xfId="26841" xr:uid="{00000000-0005-0000-0000-000043140000}"/>
    <cellStyle name="20 % - Markeringsfarve2 3 3 4 3 3 3" xfId="41807" xr:uid="{00000000-0005-0000-0000-000044140000}"/>
    <cellStyle name="20 % - Markeringsfarve2 3 3 4 3 4" xfId="19819" xr:uid="{00000000-0005-0000-0000-000045140000}"/>
    <cellStyle name="20 % - Markeringsfarve2 3 3 4 3 5" xfId="34808" xr:uid="{00000000-0005-0000-0000-000046140000}"/>
    <cellStyle name="20 % - Markeringsfarve2 3 3 4 4" xfId="1962" xr:uid="{00000000-0005-0000-0000-000047140000}"/>
    <cellStyle name="20 % - Markeringsfarve2 3 3 4 4 2" xfId="8598" xr:uid="{00000000-0005-0000-0000-000048140000}"/>
    <cellStyle name="20 % - Markeringsfarve2 3 3 4 4 2 2" xfId="16482" xr:uid="{00000000-0005-0000-0000-000049140000}"/>
    <cellStyle name="20 % - Markeringsfarve2 3 3 4 4 2 2 2" xfId="32797" xr:uid="{00000000-0005-0000-0000-00004A140000}"/>
    <cellStyle name="20 % - Markeringsfarve2 3 3 4 4 2 2 3" xfId="47761" xr:uid="{00000000-0005-0000-0000-00004B140000}"/>
    <cellStyle name="20 % - Markeringsfarve2 3 3 4 4 2 3" xfId="25775" xr:uid="{00000000-0005-0000-0000-00004C140000}"/>
    <cellStyle name="20 % - Markeringsfarve2 3 3 4 4 2 4" xfId="40762" xr:uid="{00000000-0005-0000-0000-00004D140000}"/>
    <cellStyle name="20 % - Markeringsfarve2 3 3 4 4 3" xfId="10522" xr:uid="{00000000-0005-0000-0000-00004E140000}"/>
    <cellStyle name="20 % - Markeringsfarve2 3 3 4 4 3 2" xfId="26842" xr:uid="{00000000-0005-0000-0000-00004F140000}"/>
    <cellStyle name="20 % - Markeringsfarve2 3 3 4 4 3 3" xfId="41808" xr:uid="{00000000-0005-0000-0000-000050140000}"/>
    <cellStyle name="20 % - Markeringsfarve2 3 3 4 4 4" xfId="19820" xr:uid="{00000000-0005-0000-0000-000051140000}"/>
    <cellStyle name="20 % - Markeringsfarve2 3 3 4 4 5" xfId="34809" xr:uid="{00000000-0005-0000-0000-000052140000}"/>
    <cellStyle name="20 % - Markeringsfarve2 3 3 4 5" xfId="5434" xr:uid="{00000000-0005-0000-0000-000053140000}"/>
    <cellStyle name="20 % - Markeringsfarve2 3 3 4 5 2" xfId="13353" xr:uid="{00000000-0005-0000-0000-000054140000}"/>
    <cellStyle name="20 % - Markeringsfarve2 3 3 4 5 2 2" xfId="29668" xr:uid="{00000000-0005-0000-0000-000055140000}"/>
    <cellStyle name="20 % - Markeringsfarve2 3 3 4 5 2 3" xfId="44632" xr:uid="{00000000-0005-0000-0000-000056140000}"/>
    <cellStyle name="20 % - Markeringsfarve2 3 3 4 5 3" xfId="22646" xr:uid="{00000000-0005-0000-0000-000057140000}"/>
    <cellStyle name="20 % - Markeringsfarve2 3 3 4 5 4" xfId="37633" xr:uid="{00000000-0005-0000-0000-000058140000}"/>
    <cellStyle name="20 % - Markeringsfarve2 3 3 4 6" xfId="10518" xr:uid="{00000000-0005-0000-0000-000059140000}"/>
    <cellStyle name="20 % - Markeringsfarve2 3 3 4 6 2" xfId="26838" xr:uid="{00000000-0005-0000-0000-00005A140000}"/>
    <cellStyle name="20 % - Markeringsfarve2 3 3 4 6 3" xfId="41804" xr:uid="{00000000-0005-0000-0000-00005B140000}"/>
    <cellStyle name="20 % - Markeringsfarve2 3 3 4 7" xfId="19816" xr:uid="{00000000-0005-0000-0000-00005C140000}"/>
    <cellStyle name="20 % - Markeringsfarve2 3 3 4 8" xfId="34805" xr:uid="{00000000-0005-0000-0000-00005D140000}"/>
    <cellStyle name="20 % - Markeringsfarve2 3 3 5" xfId="1963" xr:uid="{00000000-0005-0000-0000-00005E140000}"/>
    <cellStyle name="20 % - Markeringsfarve2 3 3 5 2" xfId="1964" xr:uid="{00000000-0005-0000-0000-00005F140000}"/>
    <cellStyle name="20 % - Markeringsfarve2 3 3 5 2 2" xfId="1965" xr:uid="{00000000-0005-0000-0000-000060140000}"/>
    <cellStyle name="20 % - Markeringsfarve2 3 3 5 2 2 2" xfId="7996" xr:uid="{00000000-0005-0000-0000-000061140000}"/>
    <cellStyle name="20 % - Markeringsfarve2 3 3 5 2 2 2 2" xfId="15898" xr:uid="{00000000-0005-0000-0000-000062140000}"/>
    <cellStyle name="20 % - Markeringsfarve2 3 3 5 2 2 2 2 2" xfId="32213" xr:uid="{00000000-0005-0000-0000-000063140000}"/>
    <cellStyle name="20 % - Markeringsfarve2 3 3 5 2 2 2 2 3" xfId="47177" xr:uid="{00000000-0005-0000-0000-000064140000}"/>
    <cellStyle name="20 % - Markeringsfarve2 3 3 5 2 2 2 3" xfId="25191" xr:uid="{00000000-0005-0000-0000-000065140000}"/>
    <cellStyle name="20 % - Markeringsfarve2 3 3 5 2 2 2 4" xfId="40178" xr:uid="{00000000-0005-0000-0000-000066140000}"/>
    <cellStyle name="20 % - Markeringsfarve2 3 3 5 2 2 3" xfId="10525" xr:uid="{00000000-0005-0000-0000-000067140000}"/>
    <cellStyle name="20 % - Markeringsfarve2 3 3 5 2 2 3 2" xfId="26845" xr:uid="{00000000-0005-0000-0000-000068140000}"/>
    <cellStyle name="20 % - Markeringsfarve2 3 3 5 2 2 3 3" xfId="41811" xr:uid="{00000000-0005-0000-0000-000069140000}"/>
    <cellStyle name="20 % - Markeringsfarve2 3 3 5 2 2 4" xfId="19823" xr:uid="{00000000-0005-0000-0000-00006A140000}"/>
    <cellStyle name="20 % - Markeringsfarve2 3 3 5 2 2 5" xfId="34812" xr:uid="{00000000-0005-0000-0000-00006B140000}"/>
    <cellStyle name="20 % - Markeringsfarve2 3 3 5 2 3" xfId="6511" xr:uid="{00000000-0005-0000-0000-00006C140000}"/>
    <cellStyle name="20 % - Markeringsfarve2 3 3 5 2 3 2" xfId="14426" xr:uid="{00000000-0005-0000-0000-00006D140000}"/>
    <cellStyle name="20 % - Markeringsfarve2 3 3 5 2 3 2 2" xfId="30741" xr:uid="{00000000-0005-0000-0000-00006E140000}"/>
    <cellStyle name="20 % - Markeringsfarve2 3 3 5 2 3 2 3" xfId="45705" xr:uid="{00000000-0005-0000-0000-00006F140000}"/>
    <cellStyle name="20 % - Markeringsfarve2 3 3 5 2 3 3" xfId="23719" xr:uid="{00000000-0005-0000-0000-000070140000}"/>
    <cellStyle name="20 % - Markeringsfarve2 3 3 5 2 3 4" xfId="38706" xr:uid="{00000000-0005-0000-0000-000071140000}"/>
    <cellStyle name="20 % - Markeringsfarve2 3 3 5 2 4" xfId="10524" xr:uid="{00000000-0005-0000-0000-000072140000}"/>
    <cellStyle name="20 % - Markeringsfarve2 3 3 5 2 4 2" xfId="26844" xr:uid="{00000000-0005-0000-0000-000073140000}"/>
    <cellStyle name="20 % - Markeringsfarve2 3 3 5 2 4 3" xfId="41810" xr:uid="{00000000-0005-0000-0000-000074140000}"/>
    <cellStyle name="20 % - Markeringsfarve2 3 3 5 2 5" xfId="19822" xr:uid="{00000000-0005-0000-0000-000075140000}"/>
    <cellStyle name="20 % - Markeringsfarve2 3 3 5 2 6" xfId="34811" xr:uid="{00000000-0005-0000-0000-000076140000}"/>
    <cellStyle name="20 % - Markeringsfarve2 3 3 5 3" xfId="1966" xr:uid="{00000000-0005-0000-0000-000077140000}"/>
    <cellStyle name="20 % - Markeringsfarve2 3 3 5 3 2" xfId="7272" xr:uid="{00000000-0005-0000-0000-000078140000}"/>
    <cellStyle name="20 % - Markeringsfarve2 3 3 5 3 2 2" xfId="15183" xr:uid="{00000000-0005-0000-0000-000079140000}"/>
    <cellStyle name="20 % - Markeringsfarve2 3 3 5 3 2 2 2" xfId="31498" xr:uid="{00000000-0005-0000-0000-00007A140000}"/>
    <cellStyle name="20 % - Markeringsfarve2 3 3 5 3 2 2 3" xfId="46462" xr:uid="{00000000-0005-0000-0000-00007B140000}"/>
    <cellStyle name="20 % - Markeringsfarve2 3 3 5 3 2 3" xfId="24476" xr:uid="{00000000-0005-0000-0000-00007C140000}"/>
    <cellStyle name="20 % - Markeringsfarve2 3 3 5 3 2 4" xfId="39463" xr:uid="{00000000-0005-0000-0000-00007D140000}"/>
    <cellStyle name="20 % - Markeringsfarve2 3 3 5 3 3" xfId="10526" xr:uid="{00000000-0005-0000-0000-00007E140000}"/>
    <cellStyle name="20 % - Markeringsfarve2 3 3 5 3 3 2" xfId="26846" xr:uid="{00000000-0005-0000-0000-00007F140000}"/>
    <cellStyle name="20 % - Markeringsfarve2 3 3 5 3 3 3" xfId="41812" xr:uid="{00000000-0005-0000-0000-000080140000}"/>
    <cellStyle name="20 % - Markeringsfarve2 3 3 5 3 4" xfId="19824" xr:uid="{00000000-0005-0000-0000-000081140000}"/>
    <cellStyle name="20 % - Markeringsfarve2 3 3 5 3 5" xfId="34813" xr:uid="{00000000-0005-0000-0000-000082140000}"/>
    <cellStyle name="20 % - Markeringsfarve2 3 3 5 4" xfId="1967" xr:uid="{00000000-0005-0000-0000-000083140000}"/>
    <cellStyle name="20 % - Markeringsfarve2 3 3 5 4 2" xfId="8263" xr:uid="{00000000-0005-0000-0000-000084140000}"/>
    <cellStyle name="20 % - Markeringsfarve2 3 3 5 4 2 2" xfId="16158" xr:uid="{00000000-0005-0000-0000-000085140000}"/>
    <cellStyle name="20 % - Markeringsfarve2 3 3 5 4 2 2 2" xfId="32473" xr:uid="{00000000-0005-0000-0000-000086140000}"/>
    <cellStyle name="20 % - Markeringsfarve2 3 3 5 4 2 2 3" xfId="47437" xr:uid="{00000000-0005-0000-0000-000087140000}"/>
    <cellStyle name="20 % - Markeringsfarve2 3 3 5 4 2 3" xfId="25451" xr:uid="{00000000-0005-0000-0000-000088140000}"/>
    <cellStyle name="20 % - Markeringsfarve2 3 3 5 4 2 4" xfId="40438" xr:uid="{00000000-0005-0000-0000-000089140000}"/>
    <cellStyle name="20 % - Markeringsfarve2 3 3 5 4 3" xfId="10527" xr:uid="{00000000-0005-0000-0000-00008A140000}"/>
    <cellStyle name="20 % - Markeringsfarve2 3 3 5 4 3 2" xfId="26847" xr:uid="{00000000-0005-0000-0000-00008B140000}"/>
    <cellStyle name="20 % - Markeringsfarve2 3 3 5 4 3 3" xfId="41813" xr:uid="{00000000-0005-0000-0000-00008C140000}"/>
    <cellStyle name="20 % - Markeringsfarve2 3 3 5 4 4" xfId="19825" xr:uid="{00000000-0005-0000-0000-00008D140000}"/>
    <cellStyle name="20 % - Markeringsfarve2 3 3 5 4 5" xfId="34814" xr:uid="{00000000-0005-0000-0000-00008E140000}"/>
    <cellStyle name="20 % - Markeringsfarve2 3 3 5 5" xfId="5435" xr:uid="{00000000-0005-0000-0000-00008F140000}"/>
    <cellStyle name="20 % - Markeringsfarve2 3 3 5 5 2" xfId="13354" xr:uid="{00000000-0005-0000-0000-000090140000}"/>
    <cellStyle name="20 % - Markeringsfarve2 3 3 5 5 2 2" xfId="29669" xr:uid="{00000000-0005-0000-0000-000091140000}"/>
    <cellStyle name="20 % - Markeringsfarve2 3 3 5 5 2 3" xfId="44633" xr:uid="{00000000-0005-0000-0000-000092140000}"/>
    <cellStyle name="20 % - Markeringsfarve2 3 3 5 5 3" xfId="22647" xr:uid="{00000000-0005-0000-0000-000093140000}"/>
    <cellStyle name="20 % - Markeringsfarve2 3 3 5 5 4" xfId="37634" xr:uid="{00000000-0005-0000-0000-000094140000}"/>
    <cellStyle name="20 % - Markeringsfarve2 3 3 5 6" xfId="10523" xr:uid="{00000000-0005-0000-0000-000095140000}"/>
    <cellStyle name="20 % - Markeringsfarve2 3 3 5 6 2" xfId="26843" xr:uid="{00000000-0005-0000-0000-000096140000}"/>
    <cellStyle name="20 % - Markeringsfarve2 3 3 5 6 3" xfId="41809" xr:uid="{00000000-0005-0000-0000-000097140000}"/>
    <cellStyle name="20 % - Markeringsfarve2 3 3 5 7" xfId="19821" xr:uid="{00000000-0005-0000-0000-000098140000}"/>
    <cellStyle name="20 % - Markeringsfarve2 3 3 5 8" xfId="34810" xr:uid="{00000000-0005-0000-0000-000099140000}"/>
    <cellStyle name="20 % - Markeringsfarve2 3 3 6" xfId="1968" xr:uid="{00000000-0005-0000-0000-00009A140000}"/>
    <cellStyle name="20 % - Markeringsfarve2 3 3 6 2" xfId="1969" xr:uid="{00000000-0005-0000-0000-00009B140000}"/>
    <cellStyle name="20 % - Markeringsfarve2 3 3 6 2 2" xfId="1970" xr:uid="{00000000-0005-0000-0000-00009C140000}"/>
    <cellStyle name="20 % - Markeringsfarve2 3 3 6 2 2 2" xfId="8034" xr:uid="{00000000-0005-0000-0000-00009D140000}"/>
    <cellStyle name="20 % - Markeringsfarve2 3 3 6 2 2 2 2" xfId="15936" xr:uid="{00000000-0005-0000-0000-00009E140000}"/>
    <cellStyle name="20 % - Markeringsfarve2 3 3 6 2 2 2 2 2" xfId="32251" xr:uid="{00000000-0005-0000-0000-00009F140000}"/>
    <cellStyle name="20 % - Markeringsfarve2 3 3 6 2 2 2 2 3" xfId="47215" xr:uid="{00000000-0005-0000-0000-0000A0140000}"/>
    <cellStyle name="20 % - Markeringsfarve2 3 3 6 2 2 2 3" xfId="25229" xr:uid="{00000000-0005-0000-0000-0000A1140000}"/>
    <cellStyle name="20 % - Markeringsfarve2 3 3 6 2 2 2 4" xfId="40216" xr:uid="{00000000-0005-0000-0000-0000A2140000}"/>
    <cellStyle name="20 % - Markeringsfarve2 3 3 6 2 2 3" xfId="10530" xr:uid="{00000000-0005-0000-0000-0000A3140000}"/>
    <cellStyle name="20 % - Markeringsfarve2 3 3 6 2 2 3 2" xfId="26850" xr:uid="{00000000-0005-0000-0000-0000A4140000}"/>
    <cellStyle name="20 % - Markeringsfarve2 3 3 6 2 2 3 3" xfId="41816" xr:uid="{00000000-0005-0000-0000-0000A5140000}"/>
    <cellStyle name="20 % - Markeringsfarve2 3 3 6 2 2 4" xfId="19828" xr:uid="{00000000-0005-0000-0000-0000A6140000}"/>
    <cellStyle name="20 % - Markeringsfarve2 3 3 6 2 2 5" xfId="34817" xr:uid="{00000000-0005-0000-0000-0000A7140000}"/>
    <cellStyle name="20 % - Markeringsfarve2 3 3 6 2 3" xfId="6545" xr:uid="{00000000-0005-0000-0000-0000A8140000}"/>
    <cellStyle name="20 % - Markeringsfarve2 3 3 6 2 3 2" xfId="14460" xr:uid="{00000000-0005-0000-0000-0000A9140000}"/>
    <cellStyle name="20 % - Markeringsfarve2 3 3 6 2 3 2 2" xfId="30775" xr:uid="{00000000-0005-0000-0000-0000AA140000}"/>
    <cellStyle name="20 % - Markeringsfarve2 3 3 6 2 3 2 3" xfId="45739" xr:uid="{00000000-0005-0000-0000-0000AB140000}"/>
    <cellStyle name="20 % - Markeringsfarve2 3 3 6 2 3 3" xfId="23753" xr:uid="{00000000-0005-0000-0000-0000AC140000}"/>
    <cellStyle name="20 % - Markeringsfarve2 3 3 6 2 3 4" xfId="38740" xr:uid="{00000000-0005-0000-0000-0000AD140000}"/>
    <cellStyle name="20 % - Markeringsfarve2 3 3 6 2 4" xfId="10529" xr:uid="{00000000-0005-0000-0000-0000AE140000}"/>
    <cellStyle name="20 % - Markeringsfarve2 3 3 6 2 4 2" xfId="26849" xr:uid="{00000000-0005-0000-0000-0000AF140000}"/>
    <cellStyle name="20 % - Markeringsfarve2 3 3 6 2 4 3" xfId="41815" xr:uid="{00000000-0005-0000-0000-0000B0140000}"/>
    <cellStyle name="20 % - Markeringsfarve2 3 3 6 2 5" xfId="19827" xr:uid="{00000000-0005-0000-0000-0000B1140000}"/>
    <cellStyle name="20 % - Markeringsfarve2 3 3 6 2 6" xfId="34816" xr:uid="{00000000-0005-0000-0000-0000B2140000}"/>
    <cellStyle name="20 % - Markeringsfarve2 3 3 6 3" xfId="1971" xr:uid="{00000000-0005-0000-0000-0000B3140000}"/>
    <cellStyle name="20 % - Markeringsfarve2 3 3 6 3 2" xfId="7311" xr:uid="{00000000-0005-0000-0000-0000B4140000}"/>
    <cellStyle name="20 % - Markeringsfarve2 3 3 6 3 2 2" xfId="15222" xr:uid="{00000000-0005-0000-0000-0000B5140000}"/>
    <cellStyle name="20 % - Markeringsfarve2 3 3 6 3 2 2 2" xfId="31537" xr:uid="{00000000-0005-0000-0000-0000B6140000}"/>
    <cellStyle name="20 % - Markeringsfarve2 3 3 6 3 2 2 3" xfId="46501" xr:uid="{00000000-0005-0000-0000-0000B7140000}"/>
    <cellStyle name="20 % - Markeringsfarve2 3 3 6 3 2 3" xfId="24515" xr:uid="{00000000-0005-0000-0000-0000B8140000}"/>
    <cellStyle name="20 % - Markeringsfarve2 3 3 6 3 2 4" xfId="39502" xr:uid="{00000000-0005-0000-0000-0000B9140000}"/>
    <cellStyle name="20 % - Markeringsfarve2 3 3 6 3 3" xfId="10531" xr:uid="{00000000-0005-0000-0000-0000BA140000}"/>
    <cellStyle name="20 % - Markeringsfarve2 3 3 6 3 3 2" xfId="26851" xr:uid="{00000000-0005-0000-0000-0000BB140000}"/>
    <cellStyle name="20 % - Markeringsfarve2 3 3 6 3 3 3" xfId="41817" xr:uid="{00000000-0005-0000-0000-0000BC140000}"/>
    <cellStyle name="20 % - Markeringsfarve2 3 3 6 3 4" xfId="19829" xr:uid="{00000000-0005-0000-0000-0000BD140000}"/>
    <cellStyle name="20 % - Markeringsfarve2 3 3 6 3 5" xfId="34818" xr:uid="{00000000-0005-0000-0000-0000BE140000}"/>
    <cellStyle name="20 % - Markeringsfarve2 3 3 6 4" xfId="1972" xr:uid="{00000000-0005-0000-0000-0000BF140000}"/>
    <cellStyle name="20 % - Markeringsfarve2 3 3 6 4 2" xfId="8156" xr:uid="{00000000-0005-0000-0000-0000C0140000}"/>
    <cellStyle name="20 % - Markeringsfarve2 3 3 6 4 2 2" xfId="16054" xr:uid="{00000000-0005-0000-0000-0000C1140000}"/>
    <cellStyle name="20 % - Markeringsfarve2 3 3 6 4 2 2 2" xfId="32369" xr:uid="{00000000-0005-0000-0000-0000C2140000}"/>
    <cellStyle name="20 % - Markeringsfarve2 3 3 6 4 2 2 3" xfId="47333" xr:uid="{00000000-0005-0000-0000-0000C3140000}"/>
    <cellStyle name="20 % - Markeringsfarve2 3 3 6 4 2 3" xfId="25347" xr:uid="{00000000-0005-0000-0000-0000C4140000}"/>
    <cellStyle name="20 % - Markeringsfarve2 3 3 6 4 2 4" xfId="40334" xr:uid="{00000000-0005-0000-0000-0000C5140000}"/>
    <cellStyle name="20 % - Markeringsfarve2 3 3 6 4 3" xfId="10532" xr:uid="{00000000-0005-0000-0000-0000C6140000}"/>
    <cellStyle name="20 % - Markeringsfarve2 3 3 6 4 3 2" xfId="26852" xr:uid="{00000000-0005-0000-0000-0000C7140000}"/>
    <cellStyle name="20 % - Markeringsfarve2 3 3 6 4 3 3" xfId="41818" xr:uid="{00000000-0005-0000-0000-0000C8140000}"/>
    <cellStyle name="20 % - Markeringsfarve2 3 3 6 4 4" xfId="19830" xr:uid="{00000000-0005-0000-0000-0000C9140000}"/>
    <cellStyle name="20 % - Markeringsfarve2 3 3 6 4 5" xfId="34819" xr:uid="{00000000-0005-0000-0000-0000CA140000}"/>
    <cellStyle name="20 % - Markeringsfarve2 3 3 6 5" xfId="5436" xr:uid="{00000000-0005-0000-0000-0000CB140000}"/>
    <cellStyle name="20 % - Markeringsfarve2 3 3 6 5 2" xfId="13355" xr:uid="{00000000-0005-0000-0000-0000CC140000}"/>
    <cellStyle name="20 % - Markeringsfarve2 3 3 6 5 2 2" xfId="29670" xr:uid="{00000000-0005-0000-0000-0000CD140000}"/>
    <cellStyle name="20 % - Markeringsfarve2 3 3 6 5 2 3" xfId="44634" xr:uid="{00000000-0005-0000-0000-0000CE140000}"/>
    <cellStyle name="20 % - Markeringsfarve2 3 3 6 5 3" xfId="22648" xr:uid="{00000000-0005-0000-0000-0000CF140000}"/>
    <cellStyle name="20 % - Markeringsfarve2 3 3 6 5 4" xfId="37635" xr:uid="{00000000-0005-0000-0000-0000D0140000}"/>
    <cellStyle name="20 % - Markeringsfarve2 3 3 6 6" xfId="10528" xr:uid="{00000000-0005-0000-0000-0000D1140000}"/>
    <cellStyle name="20 % - Markeringsfarve2 3 3 6 6 2" xfId="26848" xr:uid="{00000000-0005-0000-0000-0000D2140000}"/>
    <cellStyle name="20 % - Markeringsfarve2 3 3 6 6 3" xfId="41814" xr:uid="{00000000-0005-0000-0000-0000D3140000}"/>
    <cellStyle name="20 % - Markeringsfarve2 3 3 6 7" xfId="19826" xr:uid="{00000000-0005-0000-0000-0000D4140000}"/>
    <cellStyle name="20 % - Markeringsfarve2 3 3 6 8" xfId="34815" xr:uid="{00000000-0005-0000-0000-0000D5140000}"/>
    <cellStyle name="20 % - Markeringsfarve2 3 3 7" xfId="1973" xr:uid="{00000000-0005-0000-0000-0000D6140000}"/>
    <cellStyle name="20 % - Markeringsfarve2 3 3 7 2" xfId="1974" xr:uid="{00000000-0005-0000-0000-0000D7140000}"/>
    <cellStyle name="20 % - Markeringsfarve2 3 3 7 2 2" xfId="7522" xr:uid="{00000000-0005-0000-0000-0000D8140000}"/>
    <cellStyle name="20 % - Markeringsfarve2 3 3 7 2 2 2" xfId="15424" xr:uid="{00000000-0005-0000-0000-0000D9140000}"/>
    <cellStyle name="20 % - Markeringsfarve2 3 3 7 2 2 2 2" xfId="31739" xr:uid="{00000000-0005-0000-0000-0000DA140000}"/>
    <cellStyle name="20 % - Markeringsfarve2 3 3 7 2 2 2 3" xfId="46703" xr:uid="{00000000-0005-0000-0000-0000DB140000}"/>
    <cellStyle name="20 % - Markeringsfarve2 3 3 7 2 2 3" xfId="24717" xr:uid="{00000000-0005-0000-0000-0000DC140000}"/>
    <cellStyle name="20 % - Markeringsfarve2 3 3 7 2 2 4" xfId="39704" xr:uid="{00000000-0005-0000-0000-0000DD140000}"/>
    <cellStyle name="20 % - Markeringsfarve2 3 3 7 2 3" xfId="10534" xr:uid="{00000000-0005-0000-0000-0000DE140000}"/>
    <cellStyle name="20 % - Markeringsfarve2 3 3 7 2 3 2" xfId="26854" xr:uid="{00000000-0005-0000-0000-0000DF140000}"/>
    <cellStyle name="20 % - Markeringsfarve2 3 3 7 2 3 3" xfId="41820" xr:uid="{00000000-0005-0000-0000-0000E0140000}"/>
    <cellStyle name="20 % - Markeringsfarve2 3 3 7 2 4" xfId="19832" xr:uid="{00000000-0005-0000-0000-0000E1140000}"/>
    <cellStyle name="20 % - Markeringsfarve2 3 3 7 2 5" xfId="34821" xr:uid="{00000000-0005-0000-0000-0000E2140000}"/>
    <cellStyle name="20 % - Markeringsfarve2 3 3 7 3" xfId="6111" xr:uid="{00000000-0005-0000-0000-0000E3140000}"/>
    <cellStyle name="20 % - Markeringsfarve2 3 3 7 3 2" xfId="14029" xr:uid="{00000000-0005-0000-0000-0000E4140000}"/>
    <cellStyle name="20 % - Markeringsfarve2 3 3 7 3 2 2" xfId="30344" xr:uid="{00000000-0005-0000-0000-0000E5140000}"/>
    <cellStyle name="20 % - Markeringsfarve2 3 3 7 3 2 3" xfId="45308" xr:uid="{00000000-0005-0000-0000-0000E6140000}"/>
    <cellStyle name="20 % - Markeringsfarve2 3 3 7 3 3" xfId="23322" xr:uid="{00000000-0005-0000-0000-0000E7140000}"/>
    <cellStyle name="20 % - Markeringsfarve2 3 3 7 3 4" xfId="38309" xr:uid="{00000000-0005-0000-0000-0000E8140000}"/>
    <cellStyle name="20 % - Markeringsfarve2 3 3 7 4" xfId="10533" xr:uid="{00000000-0005-0000-0000-0000E9140000}"/>
    <cellStyle name="20 % - Markeringsfarve2 3 3 7 4 2" xfId="26853" xr:uid="{00000000-0005-0000-0000-0000EA140000}"/>
    <cellStyle name="20 % - Markeringsfarve2 3 3 7 4 3" xfId="41819" xr:uid="{00000000-0005-0000-0000-0000EB140000}"/>
    <cellStyle name="20 % - Markeringsfarve2 3 3 7 5" xfId="19831" xr:uid="{00000000-0005-0000-0000-0000EC140000}"/>
    <cellStyle name="20 % - Markeringsfarve2 3 3 7 6" xfId="34820" xr:uid="{00000000-0005-0000-0000-0000ED140000}"/>
    <cellStyle name="20 % - Markeringsfarve2 3 3 8" xfId="1975" xr:uid="{00000000-0005-0000-0000-0000EE140000}"/>
    <cellStyle name="20 % - Markeringsfarve2 3 3 8 2" xfId="6750" xr:uid="{00000000-0005-0000-0000-0000EF140000}"/>
    <cellStyle name="20 % - Markeringsfarve2 3 3 8 2 2" xfId="14662" xr:uid="{00000000-0005-0000-0000-0000F0140000}"/>
    <cellStyle name="20 % - Markeringsfarve2 3 3 8 2 2 2" xfId="30977" xr:uid="{00000000-0005-0000-0000-0000F1140000}"/>
    <cellStyle name="20 % - Markeringsfarve2 3 3 8 2 2 3" xfId="45941" xr:uid="{00000000-0005-0000-0000-0000F2140000}"/>
    <cellStyle name="20 % - Markeringsfarve2 3 3 8 2 3" xfId="23955" xr:uid="{00000000-0005-0000-0000-0000F3140000}"/>
    <cellStyle name="20 % - Markeringsfarve2 3 3 8 2 4" xfId="38942" xr:uid="{00000000-0005-0000-0000-0000F4140000}"/>
    <cellStyle name="20 % - Markeringsfarve2 3 3 8 3" xfId="10535" xr:uid="{00000000-0005-0000-0000-0000F5140000}"/>
    <cellStyle name="20 % - Markeringsfarve2 3 3 8 3 2" xfId="26855" xr:uid="{00000000-0005-0000-0000-0000F6140000}"/>
    <cellStyle name="20 % - Markeringsfarve2 3 3 8 3 3" xfId="41821" xr:uid="{00000000-0005-0000-0000-0000F7140000}"/>
    <cellStyle name="20 % - Markeringsfarve2 3 3 8 4" xfId="19833" xr:uid="{00000000-0005-0000-0000-0000F8140000}"/>
    <cellStyle name="20 % - Markeringsfarve2 3 3 8 5" xfId="34822" xr:uid="{00000000-0005-0000-0000-0000F9140000}"/>
    <cellStyle name="20 % - Markeringsfarve2 3 3 9" xfId="1976" xr:uid="{00000000-0005-0000-0000-0000FA140000}"/>
    <cellStyle name="20 % - Markeringsfarve2 3 3 9 2" xfId="8509" xr:uid="{00000000-0005-0000-0000-0000FB140000}"/>
    <cellStyle name="20 % - Markeringsfarve2 3 3 9 2 2" xfId="16397" xr:uid="{00000000-0005-0000-0000-0000FC140000}"/>
    <cellStyle name="20 % - Markeringsfarve2 3 3 9 2 2 2" xfId="32712" xr:uid="{00000000-0005-0000-0000-0000FD140000}"/>
    <cellStyle name="20 % - Markeringsfarve2 3 3 9 2 2 3" xfId="47676" xr:uid="{00000000-0005-0000-0000-0000FE140000}"/>
    <cellStyle name="20 % - Markeringsfarve2 3 3 9 2 3" xfId="25690" xr:uid="{00000000-0005-0000-0000-0000FF140000}"/>
    <cellStyle name="20 % - Markeringsfarve2 3 3 9 2 4" xfId="40677" xr:uid="{00000000-0005-0000-0000-000000150000}"/>
    <cellStyle name="20 % - Markeringsfarve2 3 3 9 3" xfId="10536" xr:uid="{00000000-0005-0000-0000-000001150000}"/>
    <cellStyle name="20 % - Markeringsfarve2 3 3 9 3 2" xfId="26856" xr:uid="{00000000-0005-0000-0000-000002150000}"/>
    <cellStyle name="20 % - Markeringsfarve2 3 3 9 3 3" xfId="41822" xr:uid="{00000000-0005-0000-0000-000003150000}"/>
    <cellStyle name="20 % - Markeringsfarve2 3 3 9 4" xfId="19834" xr:uid="{00000000-0005-0000-0000-000004150000}"/>
    <cellStyle name="20 % - Markeringsfarve2 3 3 9 5" xfId="34823" xr:uid="{00000000-0005-0000-0000-000005150000}"/>
    <cellStyle name="20 % - Markeringsfarve2 3 4" xfId="1977" xr:uid="{00000000-0005-0000-0000-000006150000}"/>
    <cellStyle name="20 % - Markeringsfarve2 3 4 2" xfId="1978" xr:uid="{00000000-0005-0000-0000-000007150000}"/>
    <cellStyle name="20 % - Markeringsfarve2 3 4 2 2" xfId="1979" xr:uid="{00000000-0005-0000-0000-000008150000}"/>
    <cellStyle name="20 % - Markeringsfarve2 3 4 2 2 2" xfId="7563" xr:uid="{00000000-0005-0000-0000-000009150000}"/>
    <cellStyle name="20 % - Markeringsfarve2 3 4 2 2 2 2" xfId="15465" xr:uid="{00000000-0005-0000-0000-00000A150000}"/>
    <cellStyle name="20 % - Markeringsfarve2 3 4 2 2 2 2 2" xfId="31780" xr:uid="{00000000-0005-0000-0000-00000B150000}"/>
    <cellStyle name="20 % - Markeringsfarve2 3 4 2 2 2 2 3" xfId="46744" xr:uid="{00000000-0005-0000-0000-00000C150000}"/>
    <cellStyle name="20 % - Markeringsfarve2 3 4 2 2 2 3" xfId="24758" xr:uid="{00000000-0005-0000-0000-00000D150000}"/>
    <cellStyle name="20 % - Markeringsfarve2 3 4 2 2 2 4" xfId="39745" xr:uid="{00000000-0005-0000-0000-00000E150000}"/>
    <cellStyle name="20 % - Markeringsfarve2 3 4 2 2 3" xfId="10539" xr:uid="{00000000-0005-0000-0000-00000F150000}"/>
    <cellStyle name="20 % - Markeringsfarve2 3 4 2 2 3 2" xfId="26859" xr:uid="{00000000-0005-0000-0000-000010150000}"/>
    <cellStyle name="20 % - Markeringsfarve2 3 4 2 2 3 3" xfId="41825" xr:uid="{00000000-0005-0000-0000-000011150000}"/>
    <cellStyle name="20 % - Markeringsfarve2 3 4 2 2 4" xfId="19837" xr:uid="{00000000-0005-0000-0000-000012150000}"/>
    <cellStyle name="20 % - Markeringsfarve2 3 4 2 2 5" xfId="34826" xr:uid="{00000000-0005-0000-0000-000013150000}"/>
    <cellStyle name="20 % - Markeringsfarve2 3 4 2 3" xfId="6144" xr:uid="{00000000-0005-0000-0000-000014150000}"/>
    <cellStyle name="20 % - Markeringsfarve2 3 4 2 3 2" xfId="14062" xr:uid="{00000000-0005-0000-0000-000015150000}"/>
    <cellStyle name="20 % - Markeringsfarve2 3 4 2 3 2 2" xfId="30377" xr:uid="{00000000-0005-0000-0000-000016150000}"/>
    <cellStyle name="20 % - Markeringsfarve2 3 4 2 3 2 3" xfId="45341" xr:uid="{00000000-0005-0000-0000-000017150000}"/>
    <cellStyle name="20 % - Markeringsfarve2 3 4 2 3 3" xfId="23355" xr:uid="{00000000-0005-0000-0000-000018150000}"/>
    <cellStyle name="20 % - Markeringsfarve2 3 4 2 3 4" xfId="38342" xr:uid="{00000000-0005-0000-0000-000019150000}"/>
    <cellStyle name="20 % - Markeringsfarve2 3 4 2 4" xfId="10538" xr:uid="{00000000-0005-0000-0000-00001A150000}"/>
    <cellStyle name="20 % - Markeringsfarve2 3 4 2 4 2" xfId="26858" xr:uid="{00000000-0005-0000-0000-00001B150000}"/>
    <cellStyle name="20 % - Markeringsfarve2 3 4 2 4 3" xfId="41824" xr:uid="{00000000-0005-0000-0000-00001C150000}"/>
    <cellStyle name="20 % - Markeringsfarve2 3 4 2 5" xfId="19836" xr:uid="{00000000-0005-0000-0000-00001D150000}"/>
    <cellStyle name="20 % - Markeringsfarve2 3 4 2 6" xfId="34825" xr:uid="{00000000-0005-0000-0000-00001E150000}"/>
    <cellStyle name="20 % - Markeringsfarve2 3 4 3" xfId="1980" xr:uid="{00000000-0005-0000-0000-00001F150000}"/>
    <cellStyle name="20 % - Markeringsfarve2 3 4 3 2" xfId="6793" xr:uid="{00000000-0005-0000-0000-000020150000}"/>
    <cellStyle name="20 % - Markeringsfarve2 3 4 3 2 2" xfId="14705" xr:uid="{00000000-0005-0000-0000-000021150000}"/>
    <cellStyle name="20 % - Markeringsfarve2 3 4 3 2 2 2" xfId="31020" xr:uid="{00000000-0005-0000-0000-000022150000}"/>
    <cellStyle name="20 % - Markeringsfarve2 3 4 3 2 2 3" xfId="45984" xr:uid="{00000000-0005-0000-0000-000023150000}"/>
    <cellStyle name="20 % - Markeringsfarve2 3 4 3 2 3" xfId="23998" xr:uid="{00000000-0005-0000-0000-000024150000}"/>
    <cellStyle name="20 % - Markeringsfarve2 3 4 3 2 4" xfId="38985" xr:uid="{00000000-0005-0000-0000-000025150000}"/>
    <cellStyle name="20 % - Markeringsfarve2 3 4 3 3" xfId="10540" xr:uid="{00000000-0005-0000-0000-000026150000}"/>
    <cellStyle name="20 % - Markeringsfarve2 3 4 3 3 2" xfId="26860" xr:uid="{00000000-0005-0000-0000-000027150000}"/>
    <cellStyle name="20 % - Markeringsfarve2 3 4 3 3 3" xfId="41826" xr:uid="{00000000-0005-0000-0000-000028150000}"/>
    <cellStyle name="20 % - Markeringsfarve2 3 4 3 4" xfId="19838" xr:uid="{00000000-0005-0000-0000-000029150000}"/>
    <cellStyle name="20 % - Markeringsfarve2 3 4 3 5" xfId="34827" xr:uid="{00000000-0005-0000-0000-00002A150000}"/>
    <cellStyle name="20 % - Markeringsfarve2 3 4 4" xfId="1981" xr:uid="{00000000-0005-0000-0000-00002B150000}"/>
    <cellStyle name="20 % - Markeringsfarve2 3 4 4 2" xfId="6658" xr:uid="{00000000-0005-0000-0000-00002C150000}"/>
    <cellStyle name="20 % - Markeringsfarve2 3 4 4 2 2" xfId="14572" xr:uid="{00000000-0005-0000-0000-00002D150000}"/>
    <cellStyle name="20 % - Markeringsfarve2 3 4 4 2 2 2" xfId="30887" xr:uid="{00000000-0005-0000-0000-00002E150000}"/>
    <cellStyle name="20 % - Markeringsfarve2 3 4 4 2 2 3" xfId="45851" xr:uid="{00000000-0005-0000-0000-00002F150000}"/>
    <cellStyle name="20 % - Markeringsfarve2 3 4 4 2 3" xfId="23865" xr:uid="{00000000-0005-0000-0000-000030150000}"/>
    <cellStyle name="20 % - Markeringsfarve2 3 4 4 2 4" xfId="38852" xr:uid="{00000000-0005-0000-0000-000031150000}"/>
    <cellStyle name="20 % - Markeringsfarve2 3 4 4 3" xfId="10541" xr:uid="{00000000-0005-0000-0000-000032150000}"/>
    <cellStyle name="20 % - Markeringsfarve2 3 4 4 3 2" xfId="26861" xr:uid="{00000000-0005-0000-0000-000033150000}"/>
    <cellStyle name="20 % - Markeringsfarve2 3 4 4 3 3" xfId="41827" xr:uid="{00000000-0005-0000-0000-000034150000}"/>
    <cellStyle name="20 % - Markeringsfarve2 3 4 4 4" xfId="19839" xr:uid="{00000000-0005-0000-0000-000035150000}"/>
    <cellStyle name="20 % - Markeringsfarve2 3 4 4 5" xfId="34828" xr:uid="{00000000-0005-0000-0000-000036150000}"/>
    <cellStyle name="20 % - Markeringsfarve2 3 4 5" xfId="5437" xr:uid="{00000000-0005-0000-0000-000037150000}"/>
    <cellStyle name="20 % - Markeringsfarve2 3 4 5 2" xfId="13356" xr:uid="{00000000-0005-0000-0000-000038150000}"/>
    <cellStyle name="20 % - Markeringsfarve2 3 4 5 2 2" xfId="29671" xr:uid="{00000000-0005-0000-0000-000039150000}"/>
    <cellStyle name="20 % - Markeringsfarve2 3 4 5 2 3" xfId="44635" xr:uid="{00000000-0005-0000-0000-00003A150000}"/>
    <cellStyle name="20 % - Markeringsfarve2 3 4 5 3" xfId="22649" xr:uid="{00000000-0005-0000-0000-00003B150000}"/>
    <cellStyle name="20 % - Markeringsfarve2 3 4 5 4" xfId="37636" xr:uid="{00000000-0005-0000-0000-00003C150000}"/>
    <cellStyle name="20 % - Markeringsfarve2 3 4 6" xfId="10537" xr:uid="{00000000-0005-0000-0000-00003D150000}"/>
    <cellStyle name="20 % - Markeringsfarve2 3 4 6 2" xfId="26857" xr:uid="{00000000-0005-0000-0000-00003E150000}"/>
    <cellStyle name="20 % - Markeringsfarve2 3 4 6 3" xfId="41823" xr:uid="{00000000-0005-0000-0000-00003F150000}"/>
    <cellStyle name="20 % - Markeringsfarve2 3 4 7" xfId="19835" xr:uid="{00000000-0005-0000-0000-000040150000}"/>
    <cellStyle name="20 % - Markeringsfarve2 3 4 8" xfId="34824" xr:uid="{00000000-0005-0000-0000-000041150000}"/>
    <cellStyle name="20 % - Markeringsfarve2 3 5" xfId="1982" xr:uid="{00000000-0005-0000-0000-000042150000}"/>
    <cellStyle name="20 % - Markeringsfarve2 3 5 2" xfId="1983" xr:uid="{00000000-0005-0000-0000-000043150000}"/>
    <cellStyle name="20 % - Markeringsfarve2 3 5 2 2" xfId="1984" xr:uid="{00000000-0005-0000-0000-000044150000}"/>
    <cellStyle name="20 % - Markeringsfarve2 3 5 2 2 2" xfId="7677" xr:uid="{00000000-0005-0000-0000-000045150000}"/>
    <cellStyle name="20 % - Markeringsfarve2 3 5 2 2 2 2" xfId="15579" xr:uid="{00000000-0005-0000-0000-000046150000}"/>
    <cellStyle name="20 % - Markeringsfarve2 3 5 2 2 2 2 2" xfId="31894" xr:uid="{00000000-0005-0000-0000-000047150000}"/>
    <cellStyle name="20 % - Markeringsfarve2 3 5 2 2 2 2 3" xfId="46858" xr:uid="{00000000-0005-0000-0000-000048150000}"/>
    <cellStyle name="20 % - Markeringsfarve2 3 5 2 2 2 3" xfId="24872" xr:uid="{00000000-0005-0000-0000-000049150000}"/>
    <cellStyle name="20 % - Markeringsfarve2 3 5 2 2 2 4" xfId="39859" xr:uid="{00000000-0005-0000-0000-00004A150000}"/>
    <cellStyle name="20 % - Markeringsfarve2 3 5 2 2 3" xfId="10544" xr:uid="{00000000-0005-0000-0000-00004B150000}"/>
    <cellStyle name="20 % - Markeringsfarve2 3 5 2 2 3 2" xfId="26864" xr:uid="{00000000-0005-0000-0000-00004C150000}"/>
    <cellStyle name="20 % - Markeringsfarve2 3 5 2 2 3 3" xfId="41830" xr:uid="{00000000-0005-0000-0000-00004D150000}"/>
    <cellStyle name="20 % - Markeringsfarve2 3 5 2 2 4" xfId="19842" xr:uid="{00000000-0005-0000-0000-00004E150000}"/>
    <cellStyle name="20 % - Markeringsfarve2 3 5 2 2 5" xfId="34831" xr:uid="{00000000-0005-0000-0000-00004F150000}"/>
    <cellStyle name="20 % - Markeringsfarve2 3 5 2 3" xfId="6241" xr:uid="{00000000-0005-0000-0000-000050150000}"/>
    <cellStyle name="20 % - Markeringsfarve2 3 5 2 3 2" xfId="14159" xr:uid="{00000000-0005-0000-0000-000051150000}"/>
    <cellStyle name="20 % - Markeringsfarve2 3 5 2 3 2 2" xfId="30474" xr:uid="{00000000-0005-0000-0000-000052150000}"/>
    <cellStyle name="20 % - Markeringsfarve2 3 5 2 3 2 3" xfId="45438" xr:uid="{00000000-0005-0000-0000-000053150000}"/>
    <cellStyle name="20 % - Markeringsfarve2 3 5 2 3 3" xfId="23452" xr:uid="{00000000-0005-0000-0000-000054150000}"/>
    <cellStyle name="20 % - Markeringsfarve2 3 5 2 3 4" xfId="38439" xr:uid="{00000000-0005-0000-0000-000055150000}"/>
    <cellStyle name="20 % - Markeringsfarve2 3 5 2 4" xfId="10543" xr:uid="{00000000-0005-0000-0000-000056150000}"/>
    <cellStyle name="20 % - Markeringsfarve2 3 5 2 4 2" xfId="26863" xr:uid="{00000000-0005-0000-0000-000057150000}"/>
    <cellStyle name="20 % - Markeringsfarve2 3 5 2 4 3" xfId="41829" xr:uid="{00000000-0005-0000-0000-000058150000}"/>
    <cellStyle name="20 % - Markeringsfarve2 3 5 2 5" xfId="19841" xr:uid="{00000000-0005-0000-0000-000059150000}"/>
    <cellStyle name="20 % - Markeringsfarve2 3 5 2 6" xfId="34830" xr:uid="{00000000-0005-0000-0000-00005A150000}"/>
    <cellStyle name="20 % - Markeringsfarve2 3 5 3" xfId="1985" xr:uid="{00000000-0005-0000-0000-00005B150000}"/>
    <cellStyle name="20 % - Markeringsfarve2 3 5 3 2" xfId="6907" xr:uid="{00000000-0005-0000-0000-00005C150000}"/>
    <cellStyle name="20 % - Markeringsfarve2 3 5 3 2 2" xfId="14819" xr:uid="{00000000-0005-0000-0000-00005D150000}"/>
    <cellStyle name="20 % - Markeringsfarve2 3 5 3 2 2 2" xfId="31134" xr:uid="{00000000-0005-0000-0000-00005E150000}"/>
    <cellStyle name="20 % - Markeringsfarve2 3 5 3 2 2 3" xfId="46098" xr:uid="{00000000-0005-0000-0000-00005F150000}"/>
    <cellStyle name="20 % - Markeringsfarve2 3 5 3 2 3" xfId="24112" xr:uid="{00000000-0005-0000-0000-000060150000}"/>
    <cellStyle name="20 % - Markeringsfarve2 3 5 3 2 4" xfId="39099" xr:uid="{00000000-0005-0000-0000-000061150000}"/>
    <cellStyle name="20 % - Markeringsfarve2 3 5 3 3" xfId="10545" xr:uid="{00000000-0005-0000-0000-000062150000}"/>
    <cellStyle name="20 % - Markeringsfarve2 3 5 3 3 2" xfId="26865" xr:uid="{00000000-0005-0000-0000-000063150000}"/>
    <cellStyle name="20 % - Markeringsfarve2 3 5 3 3 3" xfId="41831" xr:uid="{00000000-0005-0000-0000-000064150000}"/>
    <cellStyle name="20 % - Markeringsfarve2 3 5 3 4" xfId="19843" xr:uid="{00000000-0005-0000-0000-000065150000}"/>
    <cellStyle name="20 % - Markeringsfarve2 3 5 3 5" xfId="34832" xr:uid="{00000000-0005-0000-0000-000066150000}"/>
    <cellStyle name="20 % - Markeringsfarve2 3 5 4" xfId="1986" xr:uid="{00000000-0005-0000-0000-000067150000}"/>
    <cellStyle name="20 % - Markeringsfarve2 3 5 4 2" xfId="7664" xr:uid="{00000000-0005-0000-0000-000068150000}"/>
    <cellStyle name="20 % - Markeringsfarve2 3 5 4 2 2" xfId="15566" xr:uid="{00000000-0005-0000-0000-000069150000}"/>
    <cellStyle name="20 % - Markeringsfarve2 3 5 4 2 2 2" xfId="31881" xr:uid="{00000000-0005-0000-0000-00006A150000}"/>
    <cellStyle name="20 % - Markeringsfarve2 3 5 4 2 2 3" xfId="46845" xr:uid="{00000000-0005-0000-0000-00006B150000}"/>
    <cellStyle name="20 % - Markeringsfarve2 3 5 4 2 3" xfId="24859" xr:uid="{00000000-0005-0000-0000-00006C150000}"/>
    <cellStyle name="20 % - Markeringsfarve2 3 5 4 2 4" xfId="39846" xr:uid="{00000000-0005-0000-0000-00006D150000}"/>
    <cellStyle name="20 % - Markeringsfarve2 3 5 4 3" xfId="10546" xr:uid="{00000000-0005-0000-0000-00006E150000}"/>
    <cellStyle name="20 % - Markeringsfarve2 3 5 4 3 2" xfId="26866" xr:uid="{00000000-0005-0000-0000-00006F150000}"/>
    <cellStyle name="20 % - Markeringsfarve2 3 5 4 3 3" xfId="41832" xr:uid="{00000000-0005-0000-0000-000070150000}"/>
    <cellStyle name="20 % - Markeringsfarve2 3 5 4 4" xfId="19844" xr:uid="{00000000-0005-0000-0000-000071150000}"/>
    <cellStyle name="20 % - Markeringsfarve2 3 5 4 5" xfId="34833" xr:uid="{00000000-0005-0000-0000-000072150000}"/>
    <cellStyle name="20 % - Markeringsfarve2 3 5 5" xfId="5438" xr:uid="{00000000-0005-0000-0000-000073150000}"/>
    <cellStyle name="20 % - Markeringsfarve2 3 5 5 2" xfId="13357" xr:uid="{00000000-0005-0000-0000-000074150000}"/>
    <cellStyle name="20 % - Markeringsfarve2 3 5 5 2 2" xfId="29672" xr:uid="{00000000-0005-0000-0000-000075150000}"/>
    <cellStyle name="20 % - Markeringsfarve2 3 5 5 2 3" xfId="44636" xr:uid="{00000000-0005-0000-0000-000076150000}"/>
    <cellStyle name="20 % - Markeringsfarve2 3 5 5 3" xfId="22650" xr:uid="{00000000-0005-0000-0000-000077150000}"/>
    <cellStyle name="20 % - Markeringsfarve2 3 5 5 4" xfId="37637" xr:uid="{00000000-0005-0000-0000-000078150000}"/>
    <cellStyle name="20 % - Markeringsfarve2 3 5 6" xfId="10542" xr:uid="{00000000-0005-0000-0000-000079150000}"/>
    <cellStyle name="20 % - Markeringsfarve2 3 5 6 2" xfId="26862" xr:uid="{00000000-0005-0000-0000-00007A150000}"/>
    <cellStyle name="20 % - Markeringsfarve2 3 5 6 3" xfId="41828" xr:uid="{00000000-0005-0000-0000-00007B150000}"/>
    <cellStyle name="20 % - Markeringsfarve2 3 5 7" xfId="19840" xr:uid="{00000000-0005-0000-0000-00007C150000}"/>
    <cellStyle name="20 % - Markeringsfarve2 3 5 8" xfId="34829" xr:uid="{00000000-0005-0000-0000-00007D150000}"/>
    <cellStyle name="20 % - Markeringsfarve2 3 6" xfId="1987" xr:uid="{00000000-0005-0000-0000-00007E150000}"/>
    <cellStyle name="20 % - Markeringsfarve2 3 6 2" xfId="1988" xr:uid="{00000000-0005-0000-0000-00007F150000}"/>
    <cellStyle name="20 % - Markeringsfarve2 3 6 2 2" xfId="1989" xr:uid="{00000000-0005-0000-0000-000080150000}"/>
    <cellStyle name="20 % - Markeringsfarve2 3 6 2 2 2" xfId="7801" xr:uid="{00000000-0005-0000-0000-000081150000}"/>
    <cellStyle name="20 % - Markeringsfarve2 3 6 2 2 2 2" xfId="15703" xr:uid="{00000000-0005-0000-0000-000082150000}"/>
    <cellStyle name="20 % - Markeringsfarve2 3 6 2 2 2 2 2" xfId="32018" xr:uid="{00000000-0005-0000-0000-000083150000}"/>
    <cellStyle name="20 % - Markeringsfarve2 3 6 2 2 2 2 3" xfId="46982" xr:uid="{00000000-0005-0000-0000-000084150000}"/>
    <cellStyle name="20 % - Markeringsfarve2 3 6 2 2 2 3" xfId="24996" xr:uid="{00000000-0005-0000-0000-000085150000}"/>
    <cellStyle name="20 % - Markeringsfarve2 3 6 2 2 2 4" xfId="39983" xr:uid="{00000000-0005-0000-0000-000086150000}"/>
    <cellStyle name="20 % - Markeringsfarve2 3 6 2 2 3" xfId="10549" xr:uid="{00000000-0005-0000-0000-000087150000}"/>
    <cellStyle name="20 % - Markeringsfarve2 3 6 2 2 3 2" xfId="26869" xr:uid="{00000000-0005-0000-0000-000088150000}"/>
    <cellStyle name="20 % - Markeringsfarve2 3 6 2 2 3 3" xfId="41835" xr:uid="{00000000-0005-0000-0000-000089150000}"/>
    <cellStyle name="20 % - Markeringsfarve2 3 6 2 2 4" xfId="19847" xr:uid="{00000000-0005-0000-0000-00008A150000}"/>
    <cellStyle name="20 % - Markeringsfarve2 3 6 2 2 5" xfId="34836" xr:uid="{00000000-0005-0000-0000-00008B150000}"/>
    <cellStyle name="20 % - Markeringsfarve2 3 6 2 3" xfId="6346" xr:uid="{00000000-0005-0000-0000-00008C150000}"/>
    <cellStyle name="20 % - Markeringsfarve2 3 6 2 3 2" xfId="14261" xr:uid="{00000000-0005-0000-0000-00008D150000}"/>
    <cellStyle name="20 % - Markeringsfarve2 3 6 2 3 2 2" xfId="30576" xr:uid="{00000000-0005-0000-0000-00008E150000}"/>
    <cellStyle name="20 % - Markeringsfarve2 3 6 2 3 2 3" xfId="45540" xr:uid="{00000000-0005-0000-0000-00008F150000}"/>
    <cellStyle name="20 % - Markeringsfarve2 3 6 2 3 3" xfId="23554" xr:uid="{00000000-0005-0000-0000-000090150000}"/>
    <cellStyle name="20 % - Markeringsfarve2 3 6 2 3 4" xfId="38541" xr:uid="{00000000-0005-0000-0000-000091150000}"/>
    <cellStyle name="20 % - Markeringsfarve2 3 6 2 4" xfId="10548" xr:uid="{00000000-0005-0000-0000-000092150000}"/>
    <cellStyle name="20 % - Markeringsfarve2 3 6 2 4 2" xfId="26868" xr:uid="{00000000-0005-0000-0000-000093150000}"/>
    <cellStyle name="20 % - Markeringsfarve2 3 6 2 4 3" xfId="41834" xr:uid="{00000000-0005-0000-0000-000094150000}"/>
    <cellStyle name="20 % - Markeringsfarve2 3 6 2 5" xfId="19846" xr:uid="{00000000-0005-0000-0000-000095150000}"/>
    <cellStyle name="20 % - Markeringsfarve2 3 6 2 6" xfId="34835" xr:uid="{00000000-0005-0000-0000-000096150000}"/>
    <cellStyle name="20 % - Markeringsfarve2 3 6 3" xfId="1990" xr:uid="{00000000-0005-0000-0000-000097150000}"/>
    <cellStyle name="20 % - Markeringsfarve2 3 6 3 2" xfId="7077" xr:uid="{00000000-0005-0000-0000-000098150000}"/>
    <cellStyle name="20 % - Markeringsfarve2 3 6 3 2 2" xfId="14988" xr:uid="{00000000-0005-0000-0000-000099150000}"/>
    <cellStyle name="20 % - Markeringsfarve2 3 6 3 2 2 2" xfId="31303" xr:uid="{00000000-0005-0000-0000-00009A150000}"/>
    <cellStyle name="20 % - Markeringsfarve2 3 6 3 2 2 3" xfId="46267" xr:uid="{00000000-0005-0000-0000-00009B150000}"/>
    <cellStyle name="20 % - Markeringsfarve2 3 6 3 2 3" xfId="24281" xr:uid="{00000000-0005-0000-0000-00009C150000}"/>
    <cellStyle name="20 % - Markeringsfarve2 3 6 3 2 4" xfId="39268" xr:uid="{00000000-0005-0000-0000-00009D150000}"/>
    <cellStyle name="20 % - Markeringsfarve2 3 6 3 3" xfId="10550" xr:uid="{00000000-0005-0000-0000-00009E150000}"/>
    <cellStyle name="20 % - Markeringsfarve2 3 6 3 3 2" xfId="26870" xr:uid="{00000000-0005-0000-0000-00009F150000}"/>
    <cellStyle name="20 % - Markeringsfarve2 3 6 3 3 3" xfId="41836" xr:uid="{00000000-0005-0000-0000-0000A0150000}"/>
    <cellStyle name="20 % - Markeringsfarve2 3 6 3 4" xfId="19848" xr:uid="{00000000-0005-0000-0000-0000A1150000}"/>
    <cellStyle name="20 % - Markeringsfarve2 3 6 3 5" xfId="34837" xr:uid="{00000000-0005-0000-0000-0000A2150000}"/>
    <cellStyle name="20 % - Markeringsfarve2 3 6 4" xfId="1991" xr:uid="{00000000-0005-0000-0000-0000A3150000}"/>
    <cellStyle name="20 % - Markeringsfarve2 3 6 4 2" xfId="8262" xr:uid="{00000000-0005-0000-0000-0000A4150000}"/>
    <cellStyle name="20 % - Markeringsfarve2 3 6 4 2 2" xfId="16157" xr:uid="{00000000-0005-0000-0000-0000A5150000}"/>
    <cellStyle name="20 % - Markeringsfarve2 3 6 4 2 2 2" xfId="32472" xr:uid="{00000000-0005-0000-0000-0000A6150000}"/>
    <cellStyle name="20 % - Markeringsfarve2 3 6 4 2 2 3" xfId="47436" xr:uid="{00000000-0005-0000-0000-0000A7150000}"/>
    <cellStyle name="20 % - Markeringsfarve2 3 6 4 2 3" xfId="25450" xr:uid="{00000000-0005-0000-0000-0000A8150000}"/>
    <cellStyle name="20 % - Markeringsfarve2 3 6 4 2 4" xfId="40437" xr:uid="{00000000-0005-0000-0000-0000A9150000}"/>
    <cellStyle name="20 % - Markeringsfarve2 3 6 4 3" xfId="10551" xr:uid="{00000000-0005-0000-0000-0000AA150000}"/>
    <cellStyle name="20 % - Markeringsfarve2 3 6 4 3 2" xfId="26871" xr:uid="{00000000-0005-0000-0000-0000AB150000}"/>
    <cellStyle name="20 % - Markeringsfarve2 3 6 4 3 3" xfId="41837" xr:uid="{00000000-0005-0000-0000-0000AC150000}"/>
    <cellStyle name="20 % - Markeringsfarve2 3 6 4 4" xfId="19849" xr:uid="{00000000-0005-0000-0000-0000AD150000}"/>
    <cellStyle name="20 % - Markeringsfarve2 3 6 4 5" xfId="34838" xr:uid="{00000000-0005-0000-0000-0000AE150000}"/>
    <cellStyle name="20 % - Markeringsfarve2 3 6 5" xfId="5439" xr:uid="{00000000-0005-0000-0000-0000AF150000}"/>
    <cellStyle name="20 % - Markeringsfarve2 3 6 5 2" xfId="13358" xr:uid="{00000000-0005-0000-0000-0000B0150000}"/>
    <cellStyle name="20 % - Markeringsfarve2 3 6 5 2 2" xfId="29673" xr:uid="{00000000-0005-0000-0000-0000B1150000}"/>
    <cellStyle name="20 % - Markeringsfarve2 3 6 5 2 3" xfId="44637" xr:uid="{00000000-0005-0000-0000-0000B2150000}"/>
    <cellStyle name="20 % - Markeringsfarve2 3 6 5 3" xfId="22651" xr:uid="{00000000-0005-0000-0000-0000B3150000}"/>
    <cellStyle name="20 % - Markeringsfarve2 3 6 5 4" xfId="37638" xr:uid="{00000000-0005-0000-0000-0000B4150000}"/>
    <cellStyle name="20 % - Markeringsfarve2 3 6 6" xfId="10547" xr:uid="{00000000-0005-0000-0000-0000B5150000}"/>
    <cellStyle name="20 % - Markeringsfarve2 3 6 6 2" xfId="26867" xr:uid="{00000000-0005-0000-0000-0000B6150000}"/>
    <cellStyle name="20 % - Markeringsfarve2 3 6 6 3" xfId="41833" xr:uid="{00000000-0005-0000-0000-0000B7150000}"/>
    <cellStyle name="20 % - Markeringsfarve2 3 6 7" xfId="19845" xr:uid="{00000000-0005-0000-0000-0000B8150000}"/>
    <cellStyle name="20 % - Markeringsfarve2 3 6 8" xfId="34834" xr:uid="{00000000-0005-0000-0000-0000B9150000}"/>
    <cellStyle name="20 % - Markeringsfarve2 3 7" xfId="1992" xr:uid="{00000000-0005-0000-0000-0000BA150000}"/>
    <cellStyle name="20 % - Markeringsfarve2 3 7 2" xfId="1993" xr:uid="{00000000-0005-0000-0000-0000BB150000}"/>
    <cellStyle name="20 % - Markeringsfarve2 3 7 2 2" xfId="1994" xr:uid="{00000000-0005-0000-0000-0000BC150000}"/>
    <cellStyle name="20 % - Markeringsfarve2 3 7 2 2 2" xfId="7918" xr:uid="{00000000-0005-0000-0000-0000BD150000}"/>
    <cellStyle name="20 % - Markeringsfarve2 3 7 2 2 2 2" xfId="15820" xr:uid="{00000000-0005-0000-0000-0000BE150000}"/>
    <cellStyle name="20 % - Markeringsfarve2 3 7 2 2 2 2 2" xfId="32135" xr:uid="{00000000-0005-0000-0000-0000BF150000}"/>
    <cellStyle name="20 % - Markeringsfarve2 3 7 2 2 2 2 3" xfId="47099" xr:uid="{00000000-0005-0000-0000-0000C0150000}"/>
    <cellStyle name="20 % - Markeringsfarve2 3 7 2 2 2 3" xfId="25113" xr:uid="{00000000-0005-0000-0000-0000C1150000}"/>
    <cellStyle name="20 % - Markeringsfarve2 3 7 2 2 2 4" xfId="40100" xr:uid="{00000000-0005-0000-0000-0000C2150000}"/>
    <cellStyle name="20 % - Markeringsfarve2 3 7 2 2 3" xfId="10554" xr:uid="{00000000-0005-0000-0000-0000C3150000}"/>
    <cellStyle name="20 % - Markeringsfarve2 3 7 2 2 3 2" xfId="26874" xr:uid="{00000000-0005-0000-0000-0000C4150000}"/>
    <cellStyle name="20 % - Markeringsfarve2 3 7 2 2 3 3" xfId="41840" xr:uid="{00000000-0005-0000-0000-0000C5150000}"/>
    <cellStyle name="20 % - Markeringsfarve2 3 7 2 2 4" xfId="19852" xr:uid="{00000000-0005-0000-0000-0000C6150000}"/>
    <cellStyle name="20 % - Markeringsfarve2 3 7 2 2 5" xfId="34841" xr:uid="{00000000-0005-0000-0000-0000C7150000}"/>
    <cellStyle name="20 % - Markeringsfarve2 3 7 2 3" xfId="6445" xr:uid="{00000000-0005-0000-0000-0000C8150000}"/>
    <cellStyle name="20 % - Markeringsfarve2 3 7 2 3 2" xfId="14360" xr:uid="{00000000-0005-0000-0000-0000C9150000}"/>
    <cellStyle name="20 % - Markeringsfarve2 3 7 2 3 2 2" xfId="30675" xr:uid="{00000000-0005-0000-0000-0000CA150000}"/>
    <cellStyle name="20 % - Markeringsfarve2 3 7 2 3 2 3" xfId="45639" xr:uid="{00000000-0005-0000-0000-0000CB150000}"/>
    <cellStyle name="20 % - Markeringsfarve2 3 7 2 3 3" xfId="23653" xr:uid="{00000000-0005-0000-0000-0000CC150000}"/>
    <cellStyle name="20 % - Markeringsfarve2 3 7 2 3 4" xfId="38640" xr:uid="{00000000-0005-0000-0000-0000CD150000}"/>
    <cellStyle name="20 % - Markeringsfarve2 3 7 2 4" xfId="10553" xr:uid="{00000000-0005-0000-0000-0000CE150000}"/>
    <cellStyle name="20 % - Markeringsfarve2 3 7 2 4 2" xfId="26873" xr:uid="{00000000-0005-0000-0000-0000CF150000}"/>
    <cellStyle name="20 % - Markeringsfarve2 3 7 2 4 3" xfId="41839" xr:uid="{00000000-0005-0000-0000-0000D0150000}"/>
    <cellStyle name="20 % - Markeringsfarve2 3 7 2 5" xfId="19851" xr:uid="{00000000-0005-0000-0000-0000D1150000}"/>
    <cellStyle name="20 % - Markeringsfarve2 3 7 2 6" xfId="34840" xr:uid="{00000000-0005-0000-0000-0000D2150000}"/>
    <cellStyle name="20 % - Markeringsfarve2 3 7 3" xfId="1995" xr:uid="{00000000-0005-0000-0000-0000D3150000}"/>
    <cellStyle name="20 % - Markeringsfarve2 3 7 3 2" xfId="7194" xr:uid="{00000000-0005-0000-0000-0000D4150000}"/>
    <cellStyle name="20 % - Markeringsfarve2 3 7 3 2 2" xfId="15105" xr:uid="{00000000-0005-0000-0000-0000D5150000}"/>
    <cellStyle name="20 % - Markeringsfarve2 3 7 3 2 2 2" xfId="31420" xr:uid="{00000000-0005-0000-0000-0000D6150000}"/>
    <cellStyle name="20 % - Markeringsfarve2 3 7 3 2 2 3" xfId="46384" xr:uid="{00000000-0005-0000-0000-0000D7150000}"/>
    <cellStyle name="20 % - Markeringsfarve2 3 7 3 2 3" xfId="24398" xr:uid="{00000000-0005-0000-0000-0000D8150000}"/>
    <cellStyle name="20 % - Markeringsfarve2 3 7 3 2 4" xfId="39385" xr:uid="{00000000-0005-0000-0000-0000D9150000}"/>
    <cellStyle name="20 % - Markeringsfarve2 3 7 3 3" xfId="10555" xr:uid="{00000000-0005-0000-0000-0000DA150000}"/>
    <cellStyle name="20 % - Markeringsfarve2 3 7 3 3 2" xfId="26875" xr:uid="{00000000-0005-0000-0000-0000DB150000}"/>
    <cellStyle name="20 % - Markeringsfarve2 3 7 3 3 3" xfId="41841" xr:uid="{00000000-0005-0000-0000-0000DC150000}"/>
    <cellStyle name="20 % - Markeringsfarve2 3 7 3 4" xfId="19853" xr:uid="{00000000-0005-0000-0000-0000DD150000}"/>
    <cellStyle name="20 % - Markeringsfarve2 3 7 3 5" xfId="34842" xr:uid="{00000000-0005-0000-0000-0000DE150000}"/>
    <cellStyle name="20 % - Markeringsfarve2 3 7 4" xfId="1996" xr:uid="{00000000-0005-0000-0000-0000DF150000}"/>
    <cellStyle name="20 % - Markeringsfarve2 3 7 4 2" xfId="7023" xr:uid="{00000000-0005-0000-0000-0000E0150000}"/>
    <cellStyle name="20 % - Markeringsfarve2 3 7 4 2 2" xfId="14935" xr:uid="{00000000-0005-0000-0000-0000E1150000}"/>
    <cellStyle name="20 % - Markeringsfarve2 3 7 4 2 2 2" xfId="31250" xr:uid="{00000000-0005-0000-0000-0000E2150000}"/>
    <cellStyle name="20 % - Markeringsfarve2 3 7 4 2 2 3" xfId="46214" xr:uid="{00000000-0005-0000-0000-0000E3150000}"/>
    <cellStyle name="20 % - Markeringsfarve2 3 7 4 2 3" xfId="24228" xr:uid="{00000000-0005-0000-0000-0000E4150000}"/>
    <cellStyle name="20 % - Markeringsfarve2 3 7 4 2 4" xfId="39215" xr:uid="{00000000-0005-0000-0000-0000E5150000}"/>
    <cellStyle name="20 % - Markeringsfarve2 3 7 4 3" xfId="10556" xr:uid="{00000000-0005-0000-0000-0000E6150000}"/>
    <cellStyle name="20 % - Markeringsfarve2 3 7 4 3 2" xfId="26876" xr:uid="{00000000-0005-0000-0000-0000E7150000}"/>
    <cellStyle name="20 % - Markeringsfarve2 3 7 4 3 3" xfId="41842" xr:uid="{00000000-0005-0000-0000-0000E8150000}"/>
    <cellStyle name="20 % - Markeringsfarve2 3 7 4 4" xfId="19854" xr:uid="{00000000-0005-0000-0000-0000E9150000}"/>
    <cellStyle name="20 % - Markeringsfarve2 3 7 4 5" xfId="34843" xr:uid="{00000000-0005-0000-0000-0000EA150000}"/>
    <cellStyle name="20 % - Markeringsfarve2 3 7 5" xfId="5440" xr:uid="{00000000-0005-0000-0000-0000EB150000}"/>
    <cellStyle name="20 % - Markeringsfarve2 3 7 5 2" xfId="13359" xr:uid="{00000000-0005-0000-0000-0000EC150000}"/>
    <cellStyle name="20 % - Markeringsfarve2 3 7 5 2 2" xfId="29674" xr:uid="{00000000-0005-0000-0000-0000ED150000}"/>
    <cellStyle name="20 % - Markeringsfarve2 3 7 5 2 3" xfId="44638" xr:uid="{00000000-0005-0000-0000-0000EE150000}"/>
    <cellStyle name="20 % - Markeringsfarve2 3 7 5 3" xfId="22652" xr:uid="{00000000-0005-0000-0000-0000EF150000}"/>
    <cellStyle name="20 % - Markeringsfarve2 3 7 5 4" xfId="37639" xr:uid="{00000000-0005-0000-0000-0000F0150000}"/>
    <cellStyle name="20 % - Markeringsfarve2 3 7 6" xfId="10552" xr:uid="{00000000-0005-0000-0000-0000F1150000}"/>
    <cellStyle name="20 % - Markeringsfarve2 3 7 6 2" xfId="26872" xr:uid="{00000000-0005-0000-0000-0000F2150000}"/>
    <cellStyle name="20 % - Markeringsfarve2 3 7 6 3" xfId="41838" xr:uid="{00000000-0005-0000-0000-0000F3150000}"/>
    <cellStyle name="20 % - Markeringsfarve2 3 7 7" xfId="19850" xr:uid="{00000000-0005-0000-0000-0000F4150000}"/>
    <cellStyle name="20 % - Markeringsfarve2 3 7 8" xfId="34839" xr:uid="{00000000-0005-0000-0000-0000F5150000}"/>
    <cellStyle name="20 % - Markeringsfarve2 3 8" xfId="1997" xr:uid="{00000000-0005-0000-0000-0000F6150000}"/>
    <cellStyle name="20 % - Markeringsfarve2 3 8 2" xfId="1998" xr:uid="{00000000-0005-0000-0000-0000F7150000}"/>
    <cellStyle name="20 % - Markeringsfarve2 3 8 2 2" xfId="1999" xr:uid="{00000000-0005-0000-0000-0000F8150000}"/>
    <cellStyle name="20 % - Markeringsfarve2 3 8 2 2 2" xfId="8032" xr:uid="{00000000-0005-0000-0000-0000F9150000}"/>
    <cellStyle name="20 % - Markeringsfarve2 3 8 2 2 2 2" xfId="15934" xr:uid="{00000000-0005-0000-0000-0000FA150000}"/>
    <cellStyle name="20 % - Markeringsfarve2 3 8 2 2 2 2 2" xfId="32249" xr:uid="{00000000-0005-0000-0000-0000FB150000}"/>
    <cellStyle name="20 % - Markeringsfarve2 3 8 2 2 2 2 3" xfId="47213" xr:uid="{00000000-0005-0000-0000-0000FC150000}"/>
    <cellStyle name="20 % - Markeringsfarve2 3 8 2 2 2 3" xfId="25227" xr:uid="{00000000-0005-0000-0000-0000FD150000}"/>
    <cellStyle name="20 % - Markeringsfarve2 3 8 2 2 2 4" xfId="40214" xr:uid="{00000000-0005-0000-0000-0000FE150000}"/>
    <cellStyle name="20 % - Markeringsfarve2 3 8 2 2 3" xfId="10559" xr:uid="{00000000-0005-0000-0000-0000FF150000}"/>
    <cellStyle name="20 % - Markeringsfarve2 3 8 2 2 3 2" xfId="26879" xr:uid="{00000000-0005-0000-0000-000000160000}"/>
    <cellStyle name="20 % - Markeringsfarve2 3 8 2 2 3 3" xfId="41845" xr:uid="{00000000-0005-0000-0000-000001160000}"/>
    <cellStyle name="20 % - Markeringsfarve2 3 8 2 2 4" xfId="19857" xr:uid="{00000000-0005-0000-0000-000002160000}"/>
    <cellStyle name="20 % - Markeringsfarve2 3 8 2 2 5" xfId="34846" xr:uid="{00000000-0005-0000-0000-000003160000}"/>
    <cellStyle name="20 % - Markeringsfarve2 3 8 2 3" xfId="6543" xr:uid="{00000000-0005-0000-0000-000004160000}"/>
    <cellStyle name="20 % - Markeringsfarve2 3 8 2 3 2" xfId="14458" xr:uid="{00000000-0005-0000-0000-000005160000}"/>
    <cellStyle name="20 % - Markeringsfarve2 3 8 2 3 2 2" xfId="30773" xr:uid="{00000000-0005-0000-0000-000006160000}"/>
    <cellStyle name="20 % - Markeringsfarve2 3 8 2 3 2 3" xfId="45737" xr:uid="{00000000-0005-0000-0000-000007160000}"/>
    <cellStyle name="20 % - Markeringsfarve2 3 8 2 3 3" xfId="23751" xr:uid="{00000000-0005-0000-0000-000008160000}"/>
    <cellStyle name="20 % - Markeringsfarve2 3 8 2 3 4" xfId="38738" xr:uid="{00000000-0005-0000-0000-000009160000}"/>
    <cellStyle name="20 % - Markeringsfarve2 3 8 2 4" xfId="10558" xr:uid="{00000000-0005-0000-0000-00000A160000}"/>
    <cellStyle name="20 % - Markeringsfarve2 3 8 2 4 2" xfId="26878" xr:uid="{00000000-0005-0000-0000-00000B160000}"/>
    <cellStyle name="20 % - Markeringsfarve2 3 8 2 4 3" xfId="41844" xr:uid="{00000000-0005-0000-0000-00000C160000}"/>
    <cellStyle name="20 % - Markeringsfarve2 3 8 2 5" xfId="19856" xr:uid="{00000000-0005-0000-0000-00000D160000}"/>
    <cellStyle name="20 % - Markeringsfarve2 3 8 2 6" xfId="34845" xr:uid="{00000000-0005-0000-0000-00000E160000}"/>
    <cellStyle name="20 % - Markeringsfarve2 3 8 3" xfId="2000" xr:uid="{00000000-0005-0000-0000-00000F160000}"/>
    <cellStyle name="20 % - Markeringsfarve2 3 8 3 2" xfId="7309" xr:uid="{00000000-0005-0000-0000-000010160000}"/>
    <cellStyle name="20 % - Markeringsfarve2 3 8 3 2 2" xfId="15220" xr:uid="{00000000-0005-0000-0000-000011160000}"/>
    <cellStyle name="20 % - Markeringsfarve2 3 8 3 2 2 2" xfId="31535" xr:uid="{00000000-0005-0000-0000-000012160000}"/>
    <cellStyle name="20 % - Markeringsfarve2 3 8 3 2 2 3" xfId="46499" xr:uid="{00000000-0005-0000-0000-000013160000}"/>
    <cellStyle name="20 % - Markeringsfarve2 3 8 3 2 3" xfId="24513" xr:uid="{00000000-0005-0000-0000-000014160000}"/>
    <cellStyle name="20 % - Markeringsfarve2 3 8 3 2 4" xfId="39500" xr:uid="{00000000-0005-0000-0000-000015160000}"/>
    <cellStyle name="20 % - Markeringsfarve2 3 8 3 3" xfId="10560" xr:uid="{00000000-0005-0000-0000-000016160000}"/>
    <cellStyle name="20 % - Markeringsfarve2 3 8 3 3 2" xfId="26880" xr:uid="{00000000-0005-0000-0000-000017160000}"/>
    <cellStyle name="20 % - Markeringsfarve2 3 8 3 3 3" xfId="41846" xr:uid="{00000000-0005-0000-0000-000018160000}"/>
    <cellStyle name="20 % - Markeringsfarve2 3 8 3 4" xfId="19858" xr:uid="{00000000-0005-0000-0000-000019160000}"/>
    <cellStyle name="20 % - Markeringsfarve2 3 8 3 5" xfId="34847" xr:uid="{00000000-0005-0000-0000-00001A160000}"/>
    <cellStyle name="20 % - Markeringsfarve2 3 8 4" xfId="2001" xr:uid="{00000000-0005-0000-0000-00001B160000}"/>
    <cellStyle name="20 % - Markeringsfarve2 3 8 4 2" xfId="7024" xr:uid="{00000000-0005-0000-0000-00001C160000}"/>
    <cellStyle name="20 % - Markeringsfarve2 3 8 4 2 2" xfId="14936" xr:uid="{00000000-0005-0000-0000-00001D160000}"/>
    <cellStyle name="20 % - Markeringsfarve2 3 8 4 2 2 2" xfId="31251" xr:uid="{00000000-0005-0000-0000-00001E160000}"/>
    <cellStyle name="20 % - Markeringsfarve2 3 8 4 2 2 3" xfId="46215" xr:uid="{00000000-0005-0000-0000-00001F160000}"/>
    <cellStyle name="20 % - Markeringsfarve2 3 8 4 2 3" xfId="24229" xr:uid="{00000000-0005-0000-0000-000020160000}"/>
    <cellStyle name="20 % - Markeringsfarve2 3 8 4 2 4" xfId="39216" xr:uid="{00000000-0005-0000-0000-000021160000}"/>
    <cellStyle name="20 % - Markeringsfarve2 3 8 4 3" xfId="10561" xr:uid="{00000000-0005-0000-0000-000022160000}"/>
    <cellStyle name="20 % - Markeringsfarve2 3 8 4 3 2" xfId="26881" xr:uid="{00000000-0005-0000-0000-000023160000}"/>
    <cellStyle name="20 % - Markeringsfarve2 3 8 4 3 3" xfId="41847" xr:uid="{00000000-0005-0000-0000-000024160000}"/>
    <cellStyle name="20 % - Markeringsfarve2 3 8 4 4" xfId="19859" xr:uid="{00000000-0005-0000-0000-000025160000}"/>
    <cellStyle name="20 % - Markeringsfarve2 3 8 4 5" xfId="34848" xr:uid="{00000000-0005-0000-0000-000026160000}"/>
    <cellStyle name="20 % - Markeringsfarve2 3 8 5" xfId="5441" xr:uid="{00000000-0005-0000-0000-000027160000}"/>
    <cellStyle name="20 % - Markeringsfarve2 3 8 5 2" xfId="13360" xr:uid="{00000000-0005-0000-0000-000028160000}"/>
    <cellStyle name="20 % - Markeringsfarve2 3 8 5 2 2" xfId="29675" xr:uid="{00000000-0005-0000-0000-000029160000}"/>
    <cellStyle name="20 % - Markeringsfarve2 3 8 5 2 3" xfId="44639" xr:uid="{00000000-0005-0000-0000-00002A160000}"/>
    <cellStyle name="20 % - Markeringsfarve2 3 8 5 3" xfId="22653" xr:uid="{00000000-0005-0000-0000-00002B160000}"/>
    <cellStyle name="20 % - Markeringsfarve2 3 8 5 4" xfId="37640" xr:uid="{00000000-0005-0000-0000-00002C160000}"/>
    <cellStyle name="20 % - Markeringsfarve2 3 8 6" xfId="10557" xr:uid="{00000000-0005-0000-0000-00002D160000}"/>
    <cellStyle name="20 % - Markeringsfarve2 3 8 6 2" xfId="26877" xr:uid="{00000000-0005-0000-0000-00002E160000}"/>
    <cellStyle name="20 % - Markeringsfarve2 3 8 6 3" xfId="41843" xr:uid="{00000000-0005-0000-0000-00002F160000}"/>
    <cellStyle name="20 % - Markeringsfarve2 3 8 7" xfId="19855" xr:uid="{00000000-0005-0000-0000-000030160000}"/>
    <cellStyle name="20 % - Markeringsfarve2 3 8 8" xfId="34844" xr:uid="{00000000-0005-0000-0000-000031160000}"/>
    <cellStyle name="20 % - Markeringsfarve2 3 9" xfId="2002" xr:uid="{00000000-0005-0000-0000-000032160000}"/>
    <cellStyle name="20 % - Markeringsfarve2 3 9 2" xfId="2003" xr:uid="{00000000-0005-0000-0000-000033160000}"/>
    <cellStyle name="20 % - Markeringsfarve2 3 9 2 2" xfId="7444" xr:uid="{00000000-0005-0000-0000-000034160000}"/>
    <cellStyle name="20 % - Markeringsfarve2 3 9 2 2 2" xfId="15346" xr:uid="{00000000-0005-0000-0000-000035160000}"/>
    <cellStyle name="20 % - Markeringsfarve2 3 9 2 2 2 2" xfId="31661" xr:uid="{00000000-0005-0000-0000-000036160000}"/>
    <cellStyle name="20 % - Markeringsfarve2 3 9 2 2 2 3" xfId="46625" xr:uid="{00000000-0005-0000-0000-000037160000}"/>
    <cellStyle name="20 % - Markeringsfarve2 3 9 2 2 3" xfId="24639" xr:uid="{00000000-0005-0000-0000-000038160000}"/>
    <cellStyle name="20 % - Markeringsfarve2 3 9 2 2 4" xfId="39626" xr:uid="{00000000-0005-0000-0000-000039160000}"/>
    <cellStyle name="20 % - Markeringsfarve2 3 9 2 3" xfId="10563" xr:uid="{00000000-0005-0000-0000-00003A160000}"/>
    <cellStyle name="20 % - Markeringsfarve2 3 9 2 3 2" xfId="26883" xr:uid="{00000000-0005-0000-0000-00003B160000}"/>
    <cellStyle name="20 % - Markeringsfarve2 3 9 2 3 3" xfId="41849" xr:uid="{00000000-0005-0000-0000-00003C160000}"/>
    <cellStyle name="20 % - Markeringsfarve2 3 9 2 4" xfId="19861" xr:uid="{00000000-0005-0000-0000-00003D160000}"/>
    <cellStyle name="20 % - Markeringsfarve2 3 9 2 5" xfId="34850" xr:uid="{00000000-0005-0000-0000-00003E160000}"/>
    <cellStyle name="20 % - Markeringsfarve2 3 9 3" xfId="6045" xr:uid="{00000000-0005-0000-0000-00003F160000}"/>
    <cellStyle name="20 % - Markeringsfarve2 3 9 3 2" xfId="13963" xr:uid="{00000000-0005-0000-0000-000040160000}"/>
    <cellStyle name="20 % - Markeringsfarve2 3 9 3 2 2" xfId="30278" xr:uid="{00000000-0005-0000-0000-000041160000}"/>
    <cellStyle name="20 % - Markeringsfarve2 3 9 3 2 3" xfId="45242" xr:uid="{00000000-0005-0000-0000-000042160000}"/>
    <cellStyle name="20 % - Markeringsfarve2 3 9 3 3" xfId="23256" xr:uid="{00000000-0005-0000-0000-000043160000}"/>
    <cellStyle name="20 % - Markeringsfarve2 3 9 3 4" xfId="38243" xr:uid="{00000000-0005-0000-0000-000044160000}"/>
    <cellStyle name="20 % - Markeringsfarve2 3 9 4" xfId="10562" xr:uid="{00000000-0005-0000-0000-000045160000}"/>
    <cellStyle name="20 % - Markeringsfarve2 3 9 4 2" xfId="26882" xr:uid="{00000000-0005-0000-0000-000046160000}"/>
    <cellStyle name="20 % - Markeringsfarve2 3 9 4 3" xfId="41848" xr:uid="{00000000-0005-0000-0000-000047160000}"/>
    <cellStyle name="20 % - Markeringsfarve2 3 9 5" xfId="19860" xr:uid="{00000000-0005-0000-0000-000048160000}"/>
    <cellStyle name="20 % - Markeringsfarve2 3 9 6" xfId="34849" xr:uid="{00000000-0005-0000-0000-000049160000}"/>
    <cellStyle name="20 % - Markeringsfarve2 4" xfId="2004" xr:uid="{00000000-0005-0000-0000-00004A160000}"/>
    <cellStyle name="20 % - Markeringsfarve2 4 10" xfId="5442" xr:uid="{00000000-0005-0000-0000-00004B160000}"/>
    <cellStyle name="20 % - Markeringsfarve2 4 10 2" xfId="13361" xr:uid="{00000000-0005-0000-0000-00004C160000}"/>
    <cellStyle name="20 % - Markeringsfarve2 4 10 2 2" xfId="29676" xr:uid="{00000000-0005-0000-0000-00004D160000}"/>
    <cellStyle name="20 % - Markeringsfarve2 4 10 2 3" xfId="44640" xr:uid="{00000000-0005-0000-0000-00004E160000}"/>
    <cellStyle name="20 % - Markeringsfarve2 4 10 3" xfId="22654" xr:uid="{00000000-0005-0000-0000-00004F160000}"/>
    <cellStyle name="20 % - Markeringsfarve2 4 10 4" xfId="37641" xr:uid="{00000000-0005-0000-0000-000050160000}"/>
    <cellStyle name="20 % - Markeringsfarve2 4 11" xfId="10564" xr:uid="{00000000-0005-0000-0000-000051160000}"/>
    <cellStyle name="20 % - Markeringsfarve2 4 11 2" xfId="26884" xr:uid="{00000000-0005-0000-0000-000052160000}"/>
    <cellStyle name="20 % - Markeringsfarve2 4 11 3" xfId="41850" xr:uid="{00000000-0005-0000-0000-000053160000}"/>
    <cellStyle name="20 % - Markeringsfarve2 4 12" xfId="19862" xr:uid="{00000000-0005-0000-0000-000054160000}"/>
    <cellStyle name="20 % - Markeringsfarve2 4 13" xfId="34851" xr:uid="{00000000-0005-0000-0000-000055160000}"/>
    <cellStyle name="20 % - Markeringsfarve2 4 14" xfId="53314" xr:uid="{00000000-0005-0000-0000-000056160000}"/>
    <cellStyle name="20 % - Markeringsfarve2 4 2" xfId="2005" xr:uid="{00000000-0005-0000-0000-000057160000}"/>
    <cellStyle name="20 % - Markeringsfarve2 4 2 2" xfId="2006" xr:uid="{00000000-0005-0000-0000-000058160000}"/>
    <cellStyle name="20 % - Markeringsfarve2 4 2 2 2" xfId="2007" xr:uid="{00000000-0005-0000-0000-000059160000}"/>
    <cellStyle name="20 % - Markeringsfarve2 4 2 2 2 2" xfId="7588" xr:uid="{00000000-0005-0000-0000-00005A160000}"/>
    <cellStyle name="20 % - Markeringsfarve2 4 2 2 2 2 2" xfId="15490" xr:uid="{00000000-0005-0000-0000-00005B160000}"/>
    <cellStyle name="20 % - Markeringsfarve2 4 2 2 2 2 2 2" xfId="31805" xr:uid="{00000000-0005-0000-0000-00005C160000}"/>
    <cellStyle name="20 % - Markeringsfarve2 4 2 2 2 2 2 3" xfId="46769" xr:uid="{00000000-0005-0000-0000-00005D160000}"/>
    <cellStyle name="20 % - Markeringsfarve2 4 2 2 2 2 3" xfId="24783" xr:uid="{00000000-0005-0000-0000-00005E160000}"/>
    <cellStyle name="20 % - Markeringsfarve2 4 2 2 2 2 4" xfId="39770" xr:uid="{00000000-0005-0000-0000-00005F160000}"/>
    <cellStyle name="20 % - Markeringsfarve2 4 2 2 2 3" xfId="10567" xr:uid="{00000000-0005-0000-0000-000060160000}"/>
    <cellStyle name="20 % - Markeringsfarve2 4 2 2 2 3 2" xfId="26887" xr:uid="{00000000-0005-0000-0000-000061160000}"/>
    <cellStyle name="20 % - Markeringsfarve2 4 2 2 2 3 3" xfId="41853" xr:uid="{00000000-0005-0000-0000-000062160000}"/>
    <cellStyle name="20 % - Markeringsfarve2 4 2 2 2 4" xfId="19865" xr:uid="{00000000-0005-0000-0000-000063160000}"/>
    <cellStyle name="20 % - Markeringsfarve2 4 2 2 2 5" xfId="34854" xr:uid="{00000000-0005-0000-0000-000064160000}"/>
    <cellStyle name="20 % - Markeringsfarve2 4 2 2 3" xfId="6165" xr:uid="{00000000-0005-0000-0000-000065160000}"/>
    <cellStyle name="20 % - Markeringsfarve2 4 2 2 3 2" xfId="14083" xr:uid="{00000000-0005-0000-0000-000066160000}"/>
    <cellStyle name="20 % - Markeringsfarve2 4 2 2 3 2 2" xfId="30398" xr:uid="{00000000-0005-0000-0000-000067160000}"/>
    <cellStyle name="20 % - Markeringsfarve2 4 2 2 3 2 3" xfId="45362" xr:uid="{00000000-0005-0000-0000-000068160000}"/>
    <cellStyle name="20 % - Markeringsfarve2 4 2 2 3 3" xfId="23376" xr:uid="{00000000-0005-0000-0000-000069160000}"/>
    <cellStyle name="20 % - Markeringsfarve2 4 2 2 3 4" xfId="38363" xr:uid="{00000000-0005-0000-0000-00006A160000}"/>
    <cellStyle name="20 % - Markeringsfarve2 4 2 2 4" xfId="10566" xr:uid="{00000000-0005-0000-0000-00006B160000}"/>
    <cellStyle name="20 % - Markeringsfarve2 4 2 2 4 2" xfId="26886" xr:uid="{00000000-0005-0000-0000-00006C160000}"/>
    <cellStyle name="20 % - Markeringsfarve2 4 2 2 4 3" xfId="41852" xr:uid="{00000000-0005-0000-0000-00006D160000}"/>
    <cellStyle name="20 % - Markeringsfarve2 4 2 2 5" xfId="19864" xr:uid="{00000000-0005-0000-0000-00006E160000}"/>
    <cellStyle name="20 % - Markeringsfarve2 4 2 2 6" xfId="34853" xr:uid="{00000000-0005-0000-0000-00006F160000}"/>
    <cellStyle name="20 % - Markeringsfarve2 4 2 2 7" xfId="57118" xr:uid="{00000000-0005-0000-0000-000070160000}"/>
    <cellStyle name="20 % - Markeringsfarve2 4 2 3" xfId="2008" xr:uid="{00000000-0005-0000-0000-000071160000}"/>
    <cellStyle name="20 % - Markeringsfarve2 4 2 3 2" xfId="6818" xr:uid="{00000000-0005-0000-0000-000072160000}"/>
    <cellStyle name="20 % - Markeringsfarve2 4 2 3 2 2" xfId="14730" xr:uid="{00000000-0005-0000-0000-000073160000}"/>
    <cellStyle name="20 % - Markeringsfarve2 4 2 3 2 2 2" xfId="31045" xr:uid="{00000000-0005-0000-0000-000074160000}"/>
    <cellStyle name="20 % - Markeringsfarve2 4 2 3 2 2 3" xfId="46009" xr:uid="{00000000-0005-0000-0000-000075160000}"/>
    <cellStyle name="20 % - Markeringsfarve2 4 2 3 2 3" xfId="24023" xr:uid="{00000000-0005-0000-0000-000076160000}"/>
    <cellStyle name="20 % - Markeringsfarve2 4 2 3 2 4" xfId="39010" xr:uid="{00000000-0005-0000-0000-000077160000}"/>
    <cellStyle name="20 % - Markeringsfarve2 4 2 3 3" xfId="10568" xr:uid="{00000000-0005-0000-0000-000078160000}"/>
    <cellStyle name="20 % - Markeringsfarve2 4 2 3 3 2" xfId="26888" xr:uid="{00000000-0005-0000-0000-000079160000}"/>
    <cellStyle name="20 % - Markeringsfarve2 4 2 3 3 3" xfId="41854" xr:uid="{00000000-0005-0000-0000-00007A160000}"/>
    <cellStyle name="20 % - Markeringsfarve2 4 2 3 4" xfId="19866" xr:uid="{00000000-0005-0000-0000-00007B160000}"/>
    <cellStyle name="20 % - Markeringsfarve2 4 2 3 5" xfId="34855" xr:uid="{00000000-0005-0000-0000-00007C160000}"/>
    <cellStyle name="20 % - Markeringsfarve2 4 2 4" xfId="2009" xr:uid="{00000000-0005-0000-0000-00007D160000}"/>
    <cellStyle name="20 % - Markeringsfarve2 4 2 4 2" xfId="8451" xr:uid="{00000000-0005-0000-0000-00007E160000}"/>
    <cellStyle name="20 % - Markeringsfarve2 4 2 4 2 2" xfId="16341" xr:uid="{00000000-0005-0000-0000-00007F160000}"/>
    <cellStyle name="20 % - Markeringsfarve2 4 2 4 2 2 2" xfId="32656" xr:uid="{00000000-0005-0000-0000-000080160000}"/>
    <cellStyle name="20 % - Markeringsfarve2 4 2 4 2 2 3" xfId="47620" xr:uid="{00000000-0005-0000-0000-000081160000}"/>
    <cellStyle name="20 % - Markeringsfarve2 4 2 4 2 3" xfId="25634" xr:uid="{00000000-0005-0000-0000-000082160000}"/>
    <cellStyle name="20 % - Markeringsfarve2 4 2 4 2 4" xfId="40621" xr:uid="{00000000-0005-0000-0000-000083160000}"/>
    <cellStyle name="20 % - Markeringsfarve2 4 2 4 3" xfId="10569" xr:uid="{00000000-0005-0000-0000-000084160000}"/>
    <cellStyle name="20 % - Markeringsfarve2 4 2 4 3 2" xfId="26889" xr:uid="{00000000-0005-0000-0000-000085160000}"/>
    <cellStyle name="20 % - Markeringsfarve2 4 2 4 3 3" xfId="41855" xr:uid="{00000000-0005-0000-0000-000086160000}"/>
    <cellStyle name="20 % - Markeringsfarve2 4 2 4 4" xfId="19867" xr:uid="{00000000-0005-0000-0000-000087160000}"/>
    <cellStyle name="20 % - Markeringsfarve2 4 2 4 5" xfId="34856" xr:uid="{00000000-0005-0000-0000-000088160000}"/>
    <cellStyle name="20 % - Markeringsfarve2 4 2 5" xfId="5443" xr:uid="{00000000-0005-0000-0000-000089160000}"/>
    <cellStyle name="20 % - Markeringsfarve2 4 2 5 2" xfId="13362" xr:uid="{00000000-0005-0000-0000-00008A160000}"/>
    <cellStyle name="20 % - Markeringsfarve2 4 2 5 2 2" xfId="29677" xr:uid="{00000000-0005-0000-0000-00008B160000}"/>
    <cellStyle name="20 % - Markeringsfarve2 4 2 5 2 3" xfId="44641" xr:uid="{00000000-0005-0000-0000-00008C160000}"/>
    <cellStyle name="20 % - Markeringsfarve2 4 2 5 3" xfId="22655" xr:uid="{00000000-0005-0000-0000-00008D160000}"/>
    <cellStyle name="20 % - Markeringsfarve2 4 2 5 4" xfId="37642" xr:uid="{00000000-0005-0000-0000-00008E160000}"/>
    <cellStyle name="20 % - Markeringsfarve2 4 2 6" xfId="10565" xr:uid="{00000000-0005-0000-0000-00008F160000}"/>
    <cellStyle name="20 % - Markeringsfarve2 4 2 6 2" xfId="26885" xr:uid="{00000000-0005-0000-0000-000090160000}"/>
    <cellStyle name="20 % - Markeringsfarve2 4 2 6 3" xfId="41851" xr:uid="{00000000-0005-0000-0000-000091160000}"/>
    <cellStyle name="20 % - Markeringsfarve2 4 2 7" xfId="19863" xr:uid="{00000000-0005-0000-0000-000092160000}"/>
    <cellStyle name="20 % - Markeringsfarve2 4 2 8" xfId="34852" xr:uid="{00000000-0005-0000-0000-000093160000}"/>
    <cellStyle name="20 % - Markeringsfarve2 4 2 9" xfId="53951" xr:uid="{00000000-0005-0000-0000-000094160000}"/>
    <cellStyle name="20 % - Markeringsfarve2 4 3" xfId="2010" xr:uid="{00000000-0005-0000-0000-000095160000}"/>
    <cellStyle name="20 % - Markeringsfarve2 4 3 2" xfId="2011" xr:uid="{00000000-0005-0000-0000-000096160000}"/>
    <cellStyle name="20 % - Markeringsfarve2 4 3 2 2" xfId="2012" xr:uid="{00000000-0005-0000-0000-000097160000}"/>
    <cellStyle name="20 % - Markeringsfarve2 4 3 2 2 2" xfId="7680" xr:uid="{00000000-0005-0000-0000-000098160000}"/>
    <cellStyle name="20 % - Markeringsfarve2 4 3 2 2 2 2" xfId="15582" xr:uid="{00000000-0005-0000-0000-000099160000}"/>
    <cellStyle name="20 % - Markeringsfarve2 4 3 2 2 2 2 2" xfId="31897" xr:uid="{00000000-0005-0000-0000-00009A160000}"/>
    <cellStyle name="20 % - Markeringsfarve2 4 3 2 2 2 2 3" xfId="46861" xr:uid="{00000000-0005-0000-0000-00009B160000}"/>
    <cellStyle name="20 % - Markeringsfarve2 4 3 2 2 2 3" xfId="24875" xr:uid="{00000000-0005-0000-0000-00009C160000}"/>
    <cellStyle name="20 % - Markeringsfarve2 4 3 2 2 2 4" xfId="39862" xr:uid="{00000000-0005-0000-0000-00009D160000}"/>
    <cellStyle name="20 % - Markeringsfarve2 4 3 2 2 3" xfId="10572" xr:uid="{00000000-0005-0000-0000-00009E160000}"/>
    <cellStyle name="20 % - Markeringsfarve2 4 3 2 2 3 2" xfId="26892" xr:uid="{00000000-0005-0000-0000-00009F160000}"/>
    <cellStyle name="20 % - Markeringsfarve2 4 3 2 2 3 3" xfId="41858" xr:uid="{00000000-0005-0000-0000-0000A0160000}"/>
    <cellStyle name="20 % - Markeringsfarve2 4 3 2 2 4" xfId="19870" xr:uid="{00000000-0005-0000-0000-0000A1160000}"/>
    <cellStyle name="20 % - Markeringsfarve2 4 3 2 2 5" xfId="34859" xr:uid="{00000000-0005-0000-0000-0000A2160000}"/>
    <cellStyle name="20 % - Markeringsfarve2 4 3 2 3" xfId="6244" xr:uid="{00000000-0005-0000-0000-0000A3160000}"/>
    <cellStyle name="20 % - Markeringsfarve2 4 3 2 3 2" xfId="14162" xr:uid="{00000000-0005-0000-0000-0000A4160000}"/>
    <cellStyle name="20 % - Markeringsfarve2 4 3 2 3 2 2" xfId="30477" xr:uid="{00000000-0005-0000-0000-0000A5160000}"/>
    <cellStyle name="20 % - Markeringsfarve2 4 3 2 3 2 3" xfId="45441" xr:uid="{00000000-0005-0000-0000-0000A6160000}"/>
    <cellStyle name="20 % - Markeringsfarve2 4 3 2 3 3" xfId="23455" xr:uid="{00000000-0005-0000-0000-0000A7160000}"/>
    <cellStyle name="20 % - Markeringsfarve2 4 3 2 3 4" xfId="38442" xr:uid="{00000000-0005-0000-0000-0000A8160000}"/>
    <cellStyle name="20 % - Markeringsfarve2 4 3 2 4" xfId="10571" xr:uid="{00000000-0005-0000-0000-0000A9160000}"/>
    <cellStyle name="20 % - Markeringsfarve2 4 3 2 4 2" xfId="26891" xr:uid="{00000000-0005-0000-0000-0000AA160000}"/>
    <cellStyle name="20 % - Markeringsfarve2 4 3 2 4 3" xfId="41857" xr:uid="{00000000-0005-0000-0000-0000AB160000}"/>
    <cellStyle name="20 % - Markeringsfarve2 4 3 2 5" xfId="19869" xr:uid="{00000000-0005-0000-0000-0000AC160000}"/>
    <cellStyle name="20 % - Markeringsfarve2 4 3 2 6" xfId="34858" xr:uid="{00000000-0005-0000-0000-0000AD160000}"/>
    <cellStyle name="20 % - Markeringsfarve2 4 3 3" xfId="2013" xr:uid="{00000000-0005-0000-0000-0000AE160000}"/>
    <cellStyle name="20 % - Markeringsfarve2 4 3 3 2" xfId="6910" xr:uid="{00000000-0005-0000-0000-0000AF160000}"/>
    <cellStyle name="20 % - Markeringsfarve2 4 3 3 2 2" xfId="14822" xr:uid="{00000000-0005-0000-0000-0000B0160000}"/>
    <cellStyle name="20 % - Markeringsfarve2 4 3 3 2 2 2" xfId="31137" xr:uid="{00000000-0005-0000-0000-0000B1160000}"/>
    <cellStyle name="20 % - Markeringsfarve2 4 3 3 2 2 3" xfId="46101" xr:uid="{00000000-0005-0000-0000-0000B2160000}"/>
    <cellStyle name="20 % - Markeringsfarve2 4 3 3 2 3" xfId="24115" xr:uid="{00000000-0005-0000-0000-0000B3160000}"/>
    <cellStyle name="20 % - Markeringsfarve2 4 3 3 2 4" xfId="39102" xr:uid="{00000000-0005-0000-0000-0000B4160000}"/>
    <cellStyle name="20 % - Markeringsfarve2 4 3 3 3" xfId="10573" xr:uid="{00000000-0005-0000-0000-0000B5160000}"/>
    <cellStyle name="20 % - Markeringsfarve2 4 3 3 3 2" xfId="26893" xr:uid="{00000000-0005-0000-0000-0000B6160000}"/>
    <cellStyle name="20 % - Markeringsfarve2 4 3 3 3 3" xfId="41859" xr:uid="{00000000-0005-0000-0000-0000B7160000}"/>
    <cellStyle name="20 % - Markeringsfarve2 4 3 3 4" xfId="19871" xr:uid="{00000000-0005-0000-0000-0000B8160000}"/>
    <cellStyle name="20 % - Markeringsfarve2 4 3 3 5" xfId="34860" xr:uid="{00000000-0005-0000-0000-0000B9160000}"/>
    <cellStyle name="20 % - Markeringsfarve2 4 3 4" xfId="2014" xr:uid="{00000000-0005-0000-0000-0000BA160000}"/>
    <cellStyle name="20 % - Markeringsfarve2 4 3 4 2" xfId="8510" xr:uid="{00000000-0005-0000-0000-0000BB160000}"/>
    <cellStyle name="20 % - Markeringsfarve2 4 3 4 2 2" xfId="16398" xr:uid="{00000000-0005-0000-0000-0000BC160000}"/>
    <cellStyle name="20 % - Markeringsfarve2 4 3 4 2 2 2" xfId="32713" xr:uid="{00000000-0005-0000-0000-0000BD160000}"/>
    <cellStyle name="20 % - Markeringsfarve2 4 3 4 2 2 3" xfId="47677" xr:uid="{00000000-0005-0000-0000-0000BE160000}"/>
    <cellStyle name="20 % - Markeringsfarve2 4 3 4 2 3" xfId="25691" xr:uid="{00000000-0005-0000-0000-0000BF160000}"/>
    <cellStyle name="20 % - Markeringsfarve2 4 3 4 2 4" xfId="40678" xr:uid="{00000000-0005-0000-0000-0000C0160000}"/>
    <cellStyle name="20 % - Markeringsfarve2 4 3 4 3" xfId="10574" xr:uid="{00000000-0005-0000-0000-0000C1160000}"/>
    <cellStyle name="20 % - Markeringsfarve2 4 3 4 3 2" xfId="26894" xr:uid="{00000000-0005-0000-0000-0000C2160000}"/>
    <cellStyle name="20 % - Markeringsfarve2 4 3 4 3 3" xfId="41860" xr:uid="{00000000-0005-0000-0000-0000C3160000}"/>
    <cellStyle name="20 % - Markeringsfarve2 4 3 4 4" xfId="19872" xr:uid="{00000000-0005-0000-0000-0000C4160000}"/>
    <cellStyle name="20 % - Markeringsfarve2 4 3 4 5" xfId="34861" xr:uid="{00000000-0005-0000-0000-0000C5160000}"/>
    <cellStyle name="20 % - Markeringsfarve2 4 3 5" xfId="5444" xr:uid="{00000000-0005-0000-0000-0000C6160000}"/>
    <cellStyle name="20 % - Markeringsfarve2 4 3 5 2" xfId="13363" xr:uid="{00000000-0005-0000-0000-0000C7160000}"/>
    <cellStyle name="20 % - Markeringsfarve2 4 3 5 2 2" xfId="29678" xr:uid="{00000000-0005-0000-0000-0000C8160000}"/>
    <cellStyle name="20 % - Markeringsfarve2 4 3 5 2 3" xfId="44642" xr:uid="{00000000-0005-0000-0000-0000C9160000}"/>
    <cellStyle name="20 % - Markeringsfarve2 4 3 5 3" xfId="22656" xr:uid="{00000000-0005-0000-0000-0000CA160000}"/>
    <cellStyle name="20 % - Markeringsfarve2 4 3 5 4" xfId="37643" xr:uid="{00000000-0005-0000-0000-0000CB160000}"/>
    <cellStyle name="20 % - Markeringsfarve2 4 3 6" xfId="10570" xr:uid="{00000000-0005-0000-0000-0000CC160000}"/>
    <cellStyle name="20 % - Markeringsfarve2 4 3 6 2" xfId="26890" xr:uid="{00000000-0005-0000-0000-0000CD160000}"/>
    <cellStyle name="20 % - Markeringsfarve2 4 3 6 3" xfId="41856" xr:uid="{00000000-0005-0000-0000-0000CE160000}"/>
    <cellStyle name="20 % - Markeringsfarve2 4 3 7" xfId="19868" xr:uid="{00000000-0005-0000-0000-0000CF160000}"/>
    <cellStyle name="20 % - Markeringsfarve2 4 3 8" xfId="34857" xr:uid="{00000000-0005-0000-0000-0000D0160000}"/>
    <cellStyle name="20 % - Markeringsfarve2 4 3 9" xfId="56495" xr:uid="{00000000-0005-0000-0000-0000D1160000}"/>
    <cellStyle name="20 % - Markeringsfarve2 4 4" xfId="2015" xr:uid="{00000000-0005-0000-0000-0000D2160000}"/>
    <cellStyle name="20 % - Markeringsfarve2 4 4 2" xfId="2016" xr:uid="{00000000-0005-0000-0000-0000D3160000}"/>
    <cellStyle name="20 % - Markeringsfarve2 4 4 2 2" xfId="2017" xr:uid="{00000000-0005-0000-0000-0000D4160000}"/>
    <cellStyle name="20 % - Markeringsfarve2 4 4 2 2 2" xfId="7826" xr:uid="{00000000-0005-0000-0000-0000D5160000}"/>
    <cellStyle name="20 % - Markeringsfarve2 4 4 2 2 2 2" xfId="15728" xr:uid="{00000000-0005-0000-0000-0000D6160000}"/>
    <cellStyle name="20 % - Markeringsfarve2 4 4 2 2 2 2 2" xfId="32043" xr:uid="{00000000-0005-0000-0000-0000D7160000}"/>
    <cellStyle name="20 % - Markeringsfarve2 4 4 2 2 2 2 3" xfId="47007" xr:uid="{00000000-0005-0000-0000-0000D8160000}"/>
    <cellStyle name="20 % - Markeringsfarve2 4 4 2 2 2 3" xfId="25021" xr:uid="{00000000-0005-0000-0000-0000D9160000}"/>
    <cellStyle name="20 % - Markeringsfarve2 4 4 2 2 2 4" xfId="40008" xr:uid="{00000000-0005-0000-0000-0000DA160000}"/>
    <cellStyle name="20 % - Markeringsfarve2 4 4 2 2 3" xfId="10577" xr:uid="{00000000-0005-0000-0000-0000DB160000}"/>
    <cellStyle name="20 % - Markeringsfarve2 4 4 2 2 3 2" xfId="26897" xr:uid="{00000000-0005-0000-0000-0000DC160000}"/>
    <cellStyle name="20 % - Markeringsfarve2 4 4 2 2 3 3" xfId="41863" xr:uid="{00000000-0005-0000-0000-0000DD160000}"/>
    <cellStyle name="20 % - Markeringsfarve2 4 4 2 2 4" xfId="19875" xr:uid="{00000000-0005-0000-0000-0000DE160000}"/>
    <cellStyle name="20 % - Markeringsfarve2 4 4 2 2 5" xfId="34864" xr:uid="{00000000-0005-0000-0000-0000DF160000}"/>
    <cellStyle name="20 % - Markeringsfarve2 4 4 2 3" xfId="6367" xr:uid="{00000000-0005-0000-0000-0000E0160000}"/>
    <cellStyle name="20 % - Markeringsfarve2 4 4 2 3 2" xfId="14282" xr:uid="{00000000-0005-0000-0000-0000E1160000}"/>
    <cellStyle name="20 % - Markeringsfarve2 4 4 2 3 2 2" xfId="30597" xr:uid="{00000000-0005-0000-0000-0000E2160000}"/>
    <cellStyle name="20 % - Markeringsfarve2 4 4 2 3 2 3" xfId="45561" xr:uid="{00000000-0005-0000-0000-0000E3160000}"/>
    <cellStyle name="20 % - Markeringsfarve2 4 4 2 3 3" xfId="23575" xr:uid="{00000000-0005-0000-0000-0000E4160000}"/>
    <cellStyle name="20 % - Markeringsfarve2 4 4 2 3 4" xfId="38562" xr:uid="{00000000-0005-0000-0000-0000E5160000}"/>
    <cellStyle name="20 % - Markeringsfarve2 4 4 2 4" xfId="10576" xr:uid="{00000000-0005-0000-0000-0000E6160000}"/>
    <cellStyle name="20 % - Markeringsfarve2 4 4 2 4 2" xfId="26896" xr:uid="{00000000-0005-0000-0000-0000E7160000}"/>
    <cellStyle name="20 % - Markeringsfarve2 4 4 2 4 3" xfId="41862" xr:uid="{00000000-0005-0000-0000-0000E8160000}"/>
    <cellStyle name="20 % - Markeringsfarve2 4 4 2 5" xfId="19874" xr:uid="{00000000-0005-0000-0000-0000E9160000}"/>
    <cellStyle name="20 % - Markeringsfarve2 4 4 2 6" xfId="34863" xr:uid="{00000000-0005-0000-0000-0000EA160000}"/>
    <cellStyle name="20 % - Markeringsfarve2 4 4 3" xfId="2018" xr:uid="{00000000-0005-0000-0000-0000EB160000}"/>
    <cellStyle name="20 % - Markeringsfarve2 4 4 3 2" xfId="7102" xr:uid="{00000000-0005-0000-0000-0000EC160000}"/>
    <cellStyle name="20 % - Markeringsfarve2 4 4 3 2 2" xfId="15013" xr:uid="{00000000-0005-0000-0000-0000ED160000}"/>
    <cellStyle name="20 % - Markeringsfarve2 4 4 3 2 2 2" xfId="31328" xr:uid="{00000000-0005-0000-0000-0000EE160000}"/>
    <cellStyle name="20 % - Markeringsfarve2 4 4 3 2 2 3" xfId="46292" xr:uid="{00000000-0005-0000-0000-0000EF160000}"/>
    <cellStyle name="20 % - Markeringsfarve2 4 4 3 2 3" xfId="24306" xr:uid="{00000000-0005-0000-0000-0000F0160000}"/>
    <cellStyle name="20 % - Markeringsfarve2 4 4 3 2 4" xfId="39293" xr:uid="{00000000-0005-0000-0000-0000F1160000}"/>
    <cellStyle name="20 % - Markeringsfarve2 4 4 3 3" xfId="10578" xr:uid="{00000000-0005-0000-0000-0000F2160000}"/>
    <cellStyle name="20 % - Markeringsfarve2 4 4 3 3 2" xfId="26898" xr:uid="{00000000-0005-0000-0000-0000F3160000}"/>
    <cellStyle name="20 % - Markeringsfarve2 4 4 3 3 3" xfId="41864" xr:uid="{00000000-0005-0000-0000-0000F4160000}"/>
    <cellStyle name="20 % - Markeringsfarve2 4 4 3 4" xfId="19876" xr:uid="{00000000-0005-0000-0000-0000F5160000}"/>
    <cellStyle name="20 % - Markeringsfarve2 4 4 3 5" xfId="34865" xr:uid="{00000000-0005-0000-0000-0000F6160000}"/>
    <cellStyle name="20 % - Markeringsfarve2 4 4 4" xfId="2019" xr:uid="{00000000-0005-0000-0000-0000F7160000}"/>
    <cellStyle name="20 % - Markeringsfarve2 4 4 4 2" xfId="8597" xr:uid="{00000000-0005-0000-0000-0000F8160000}"/>
    <cellStyle name="20 % - Markeringsfarve2 4 4 4 2 2" xfId="16481" xr:uid="{00000000-0005-0000-0000-0000F9160000}"/>
    <cellStyle name="20 % - Markeringsfarve2 4 4 4 2 2 2" xfId="32796" xr:uid="{00000000-0005-0000-0000-0000FA160000}"/>
    <cellStyle name="20 % - Markeringsfarve2 4 4 4 2 2 3" xfId="47760" xr:uid="{00000000-0005-0000-0000-0000FB160000}"/>
    <cellStyle name="20 % - Markeringsfarve2 4 4 4 2 3" xfId="25774" xr:uid="{00000000-0005-0000-0000-0000FC160000}"/>
    <cellStyle name="20 % - Markeringsfarve2 4 4 4 2 4" xfId="40761" xr:uid="{00000000-0005-0000-0000-0000FD160000}"/>
    <cellStyle name="20 % - Markeringsfarve2 4 4 4 3" xfId="10579" xr:uid="{00000000-0005-0000-0000-0000FE160000}"/>
    <cellStyle name="20 % - Markeringsfarve2 4 4 4 3 2" xfId="26899" xr:uid="{00000000-0005-0000-0000-0000FF160000}"/>
    <cellStyle name="20 % - Markeringsfarve2 4 4 4 3 3" xfId="41865" xr:uid="{00000000-0005-0000-0000-000000170000}"/>
    <cellStyle name="20 % - Markeringsfarve2 4 4 4 4" xfId="19877" xr:uid="{00000000-0005-0000-0000-000001170000}"/>
    <cellStyle name="20 % - Markeringsfarve2 4 4 4 5" xfId="34866" xr:uid="{00000000-0005-0000-0000-000002170000}"/>
    <cellStyle name="20 % - Markeringsfarve2 4 4 5" xfId="5445" xr:uid="{00000000-0005-0000-0000-000003170000}"/>
    <cellStyle name="20 % - Markeringsfarve2 4 4 5 2" xfId="13364" xr:uid="{00000000-0005-0000-0000-000004170000}"/>
    <cellStyle name="20 % - Markeringsfarve2 4 4 5 2 2" xfId="29679" xr:uid="{00000000-0005-0000-0000-000005170000}"/>
    <cellStyle name="20 % - Markeringsfarve2 4 4 5 2 3" xfId="44643" xr:uid="{00000000-0005-0000-0000-000006170000}"/>
    <cellStyle name="20 % - Markeringsfarve2 4 4 5 3" xfId="22657" xr:uid="{00000000-0005-0000-0000-000007170000}"/>
    <cellStyle name="20 % - Markeringsfarve2 4 4 5 4" xfId="37644" xr:uid="{00000000-0005-0000-0000-000008170000}"/>
    <cellStyle name="20 % - Markeringsfarve2 4 4 6" xfId="10575" xr:uid="{00000000-0005-0000-0000-000009170000}"/>
    <cellStyle name="20 % - Markeringsfarve2 4 4 6 2" xfId="26895" xr:uid="{00000000-0005-0000-0000-00000A170000}"/>
    <cellStyle name="20 % - Markeringsfarve2 4 4 6 3" xfId="41861" xr:uid="{00000000-0005-0000-0000-00000B170000}"/>
    <cellStyle name="20 % - Markeringsfarve2 4 4 7" xfId="19873" xr:uid="{00000000-0005-0000-0000-00000C170000}"/>
    <cellStyle name="20 % - Markeringsfarve2 4 4 8" xfId="34862" xr:uid="{00000000-0005-0000-0000-00000D170000}"/>
    <cellStyle name="20 % - Markeringsfarve2 4 5" xfId="2020" xr:uid="{00000000-0005-0000-0000-00000E170000}"/>
    <cellStyle name="20 % - Markeringsfarve2 4 5 2" xfId="2021" xr:uid="{00000000-0005-0000-0000-00000F170000}"/>
    <cellStyle name="20 % - Markeringsfarve2 4 5 2 2" xfId="2022" xr:uid="{00000000-0005-0000-0000-000010170000}"/>
    <cellStyle name="20 % - Markeringsfarve2 4 5 2 2 2" xfId="7943" xr:uid="{00000000-0005-0000-0000-000011170000}"/>
    <cellStyle name="20 % - Markeringsfarve2 4 5 2 2 2 2" xfId="15845" xr:uid="{00000000-0005-0000-0000-000012170000}"/>
    <cellStyle name="20 % - Markeringsfarve2 4 5 2 2 2 2 2" xfId="32160" xr:uid="{00000000-0005-0000-0000-000013170000}"/>
    <cellStyle name="20 % - Markeringsfarve2 4 5 2 2 2 2 3" xfId="47124" xr:uid="{00000000-0005-0000-0000-000014170000}"/>
    <cellStyle name="20 % - Markeringsfarve2 4 5 2 2 2 3" xfId="25138" xr:uid="{00000000-0005-0000-0000-000015170000}"/>
    <cellStyle name="20 % - Markeringsfarve2 4 5 2 2 2 4" xfId="40125" xr:uid="{00000000-0005-0000-0000-000016170000}"/>
    <cellStyle name="20 % - Markeringsfarve2 4 5 2 2 3" xfId="10582" xr:uid="{00000000-0005-0000-0000-000017170000}"/>
    <cellStyle name="20 % - Markeringsfarve2 4 5 2 2 3 2" xfId="26902" xr:uid="{00000000-0005-0000-0000-000018170000}"/>
    <cellStyle name="20 % - Markeringsfarve2 4 5 2 2 3 3" xfId="41868" xr:uid="{00000000-0005-0000-0000-000019170000}"/>
    <cellStyle name="20 % - Markeringsfarve2 4 5 2 2 4" xfId="19880" xr:uid="{00000000-0005-0000-0000-00001A170000}"/>
    <cellStyle name="20 % - Markeringsfarve2 4 5 2 2 5" xfId="34869" xr:uid="{00000000-0005-0000-0000-00001B170000}"/>
    <cellStyle name="20 % - Markeringsfarve2 4 5 2 3" xfId="6466" xr:uid="{00000000-0005-0000-0000-00001C170000}"/>
    <cellStyle name="20 % - Markeringsfarve2 4 5 2 3 2" xfId="14381" xr:uid="{00000000-0005-0000-0000-00001D170000}"/>
    <cellStyle name="20 % - Markeringsfarve2 4 5 2 3 2 2" xfId="30696" xr:uid="{00000000-0005-0000-0000-00001E170000}"/>
    <cellStyle name="20 % - Markeringsfarve2 4 5 2 3 2 3" xfId="45660" xr:uid="{00000000-0005-0000-0000-00001F170000}"/>
    <cellStyle name="20 % - Markeringsfarve2 4 5 2 3 3" xfId="23674" xr:uid="{00000000-0005-0000-0000-000020170000}"/>
    <cellStyle name="20 % - Markeringsfarve2 4 5 2 3 4" xfId="38661" xr:uid="{00000000-0005-0000-0000-000021170000}"/>
    <cellStyle name="20 % - Markeringsfarve2 4 5 2 4" xfId="10581" xr:uid="{00000000-0005-0000-0000-000022170000}"/>
    <cellStyle name="20 % - Markeringsfarve2 4 5 2 4 2" xfId="26901" xr:uid="{00000000-0005-0000-0000-000023170000}"/>
    <cellStyle name="20 % - Markeringsfarve2 4 5 2 4 3" xfId="41867" xr:uid="{00000000-0005-0000-0000-000024170000}"/>
    <cellStyle name="20 % - Markeringsfarve2 4 5 2 5" xfId="19879" xr:uid="{00000000-0005-0000-0000-000025170000}"/>
    <cellStyle name="20 % - Markeringsfarve2 4 5 2 6" xfId="34868" xr:uid="{00000000-0005-0000-0000-000026170000}"/>
    <cellStyle name="20 % - Markeringsfarve2 4 5 3" xfId="2023" xr:uid="{00000000-0005-0000-0000-000027170000}"/>
    <cellStyle name="20 % - Markeringsfarve2 4 5 3 2" xfId="7219" xr:uid="{00000000-0005-0000-0000-000028170000}"/>
    <cellStyle name="20 % - Markeringsfarve2 4 5 3 2 2" xfId="15130" xr:uid="{00000000-0005-0000-0000-000029170000}"/>
    <cellStyle name="20 % - Markeringsfarve2 4 5 3 2 2 2" xfId="31445" xr:uid="{00000000-0005-0000-0000-00002A170000}"/>
    <cellStyle name="20 % - Markeringsfarve2 4 5 3 2 2 3" xfId="46409" xr:uid="{00000000-0005-0000-0000-00002B170000}"/>
    <cellStyle name="20 % - Markeringsfarve2 4 5 3 2 3" xfId="24423" xr:uid="{00000000-0005-0000-0000-00002C170000}"/>
    <cellStyle name="20 % - Markeringsfarve2 4 5 3 2 4" xfId="39410" xr:uid="{00000000-0005-0000-0000-00002D170000}"/>
    <cellStyle name="20 % - Markeringsfarve2 4 5 3 3" xfId="10583" xr:uid="{00000000-0005-0000-0000-00002E170000}"/>
    <cellStyle name="20 % - Markeringsfarve2 4 5 3 3 2" xfId="26903" xr:uid="{00000000-0005-0000-0000-00002F170000}"/>
    <cellStyle name="20 % - Markeringsfarve2 4 5 3 3 3" xfId="41869" xr:uid="{00000000-0005-0000-0000-000030170000}"/>
    <cellStyle name="20 % - Markeringsfarve2 4 5 3 4" xfId="19881" xr:uid="{00000000-0005-0000-0000-000031170000}"/>
    <cellStyle name="20 % - Markeringsfarve2 4 5 3 5" xfId="34870" xr:uid="{00000000-0005-0000-0000-000032170000}"/>
    <cellStyle name="20 % - Markeringsfarve2 4 5 4" xfId="2024" xr:uid="{00000000-0005-0000-0000-000033170000}"/>
    <cellStyle name="20 % - Markeringsfarve2 4 5 4 2" xfId="8261" xr:uid="{00000000-0005-0000-0000-000034170000}"/>
    <cellStyle name="20 % - Markeringsfarve2 4 5 4 2 2" xfId="16156" xr:uid="{00000000-0005-0000-0000-000035170000}"/>
    <cellStyle name="20 % - Markeringsfarve2 4 5 4 2 2 2" xfId="32471" xr:uid="{00000000-0005-0000-0000-000036170000}"/>
    <cellStyle name="20 % - Markeringsfarve2 4 5 4 2 2 3" xfId="47435" xr:uid="{00000000-0005-0000-0000-000037170000}"/>
    <cellStyle name="20 % - Markeringsfarve2 4 5 4 2 3" xfId="25449" xr:uid="{00000000-0005-0000-0000-000038170000}"/>
    <cellStyle name="20 % - Markeringsfarve2 4 5 4 2 4" xfId="40436" xr:uid="{00000000-0005-0000-0000-000039170000}"/>
    <cellStyle name="20 % - Markeringsfarve2 4 5 4 3" xfId="10584" xr:uid="{00000000-0005-0000-0000-00003A170000}"/>
    <cellStyle name="20 % - Markeringsfarve2 4 5 4 3 2" xfId="26904" xr:uid="{00000000-0005-0000-0000-00003B170000}"/>
    <cellStyle name="20 % - Markeringsfarve2 4 5 4 3 3" xfId="41870" xr:uid="{00000000-0005-0000-0000-00003C170000}"/>
    <cellStyle name="20 % - Markeringsfarve2 4 5 4 4" xfId="19882" xr:uid="{00000000-0005-0000-0000-00003D170000}"/>
    <cellStyle name="20 % - Markeringsfarve2 4 5 4 5" xfId="34871" xr:uid="{00000000-0005-0000-0000-00003E170000}"/>
    <cellStyle name="20 % - Markeringsfarve2 4 5 5" xfId="5446" xr:uid="{00000000-0005-0000-0000-00003F170000}"/>
    <cellStyle name="20 % - Markeringsfarve2 4 5 5 2" xfId="13365" xr:uid="{00000000-0005-0000-0000-000040170000}"/>
    <cellStyle name="20 % - Markeringsfarve2 4 5 5 2 2" xfId="29680" xr:uid="{00000000-0005-0000-0000-000041170000}"/>
    <cellStyle name="20 % - Markeringsfarve2 4 5 5 2 3" xfId="44644" xr:uid="{00000000-0005-0000-0000-000042170000}"/>
    <cellStyle name="20 % - Markeringsfarve2 4 5 5 3" xfId="22658" xr:uid="{00000000-0005-0000-0000-000043170000}"/>
    <cellStyle name="20 % - Markeringsfarve2 4 5 5 4" xfId="37645" xr:uid="{00000000-0005-0000-0000-000044170000}"/>
    <cellStyle name="20 % - Markeringsfarve2 4 5 6" xfId="10580" xr:uid="{00000000-0005-0000-0000-000045170000}"/>
    <cellStyle name="20 % - Markeringsfarve2 4 5 6 2" xfId="26900" xr:uid="{00000000-0005-0000-0000-000046170000}"/>
    <cellStyle name="20 % - Markeringsfarve2 4 5 6 3" xfId="41866" xr:uid="{00000000-0005-0000-0000-000047170000}"/>
    <cellStyle name="20 % - Markeringsfarve2 4 5 7" xfId="19878" xr:uid="{00000000-0005-0000-0000-000048170000}"/>
    <cellStyle name="20 % - Markeringsfarve2 4 5 8" xfId="34867" xr:uid="{00000000-0005-0000-0000-000049170000}"/>
    <cellStyle name="20 % - Markeringsfarve2 4 6" xfId="2025" xr:uid="{00000000-0005-0000-0000-00004A170000}"/>
    <cellStyle name="20 % - Markeringsfarve2 4 6 2" xfId="2026" xr:uid="{00000000-0005-0000-0000-00004B170000}"/>
    <cellStyle name="20 % - Markeringsfarve2 4 6 2 2" xfId="2027" xr:uid="{00000000-0005-0000-0000-00004C170000}"/>
    <cellStyle name="20 % - Markeringsfarve2 4 6 2 2 2" xfId="8035" xr:uid="{00000000-0005-0000-0000-00004D170000}"/>
    <cellStyle name="20 % - Markeringsfarve2 4 6 2 2 2 2" xfId="15937" xr:uid="{00000000-0005-0000-0000-00004E170000}"/>
    <cellStyle name="20 % - Markeringsfarve2 4 6 2 2 2 2 2" xfId="32252" xr:uid="{00000000-0005-0000-0000-00004F170000}"/>
    <cellStyle name="20 % - Markeringsfarve2 4 6 2 2 2 2 3" xfId="47216" xr:uid="{00000000-0005-0000-0000-000050170000}"/>
    <cellStyle name="20 % - Markeringsfarve2 4 6 2 2 2 3" xfId="25230" xr:uid="{00000000-0005-0000-0000-000051170000}"/>
    <cellStyle name="20 % - Markeringsfarve2 4 6 2 2 2 4" xfId="40217" xr:uid="{00000000-0005-0000-0000-000052170000}"/>
    <cellStyle name="20 % - Markeringsfarve2 4 6 2 2 3" xfId="10587" xr:uid="{00000000-0005-0000-0000-000053170000}"/>
    <cellStyle name="20 % - Markeringsfarve2 4 6 2 2 3 2" xfId="26907" xr:uid="{00000000-0005-0000-0000-000054170000}"/>
    <cellStyle name="20 % - Markeringsfarve2 4 6 2 2 3 3" xfId="41873" xr:uid="{00000000-0005-0000-0000-000055170000}"/>
    <cellStyle name="20 % - Markeringsfarve2 4 6 2 2 4" xfId="19885" xr:uid="{00000000-0005-0000-0000-000056170000}"/>
    <cellStyle name="20 % - Markeringsfarve2 4 6 2 2 5" xfId="34874" xr:uid="{00000000-0005-0000-0000-000057170000}"/>
    <cellStyle name="20 % - Markeringsfarve2 4 6 2 3" xfId="6546" xr:uid="{00000000-0005-0000-0000-000058170000}"/>
    <cellStyle name="20 % - Markeringsfarve2 4 6 2 3 2" xfId="14461" xr:uid="{00000000-0005-0000-0000-000059170000}"/>
    <cellStyle name="20 % - Markeringsfarve2 4 6 2 3 2 2" xfId="30776" xr:uid="{00000000-0005-0000-0000-00005A170000}"/>
    <cellStyle name="20 % - Markeringsfarve2 4 6 2 3 2 3" xfId="45740" xr:uid="{00000000-0005-0000-0000-00005B170000}"/>
    <cellStyle name="20 % - Markeringsfarve2 4 6 2 3 3" xfId="23754" xr:uid="{00000000-0005-0000-0000-00005C170000}"/>
    <cellStyle name="20 % - Markeringsfarve2 4 6 2 3 4" xfId="38741" xr:uid="{00000000-0005-0000-0000-00005D170000}"/>
    <cellStyle name="20 % - Markeringsfarve2 4 6 2 4" xfId="10586" xr:uid="{00000000-0005-0000-0000-00005E170000}"/>
    <cellStyle name="20 % - Markeringsfarve2 4 6 2 4 2" xfId="26906" xr:uid="{00000000-0005-0000-0000-00005F170000}"/>
    <cellStyle name="20 % - Markeringsfarve2 4 6 2 4 3" xfId="41872" xr:uid="{00000000-0005-0000-0000-000060170000}"/>
    <cellStyle name="20 % - Markeringsfarve2 4 6 2 5" xfId="19884" xr:uid="{00000000-0005-0000-0000-000061170000}"/>
    <cellStyle name="20 % - Markeringsfarve2 4 6 2 6" xfId="34873" xr:uid="{00000000-0005-0000-0000-000062170000}"/>
    <cellStyle name="20 % - Markeringsfarve2 4 6 3" xfId="2028" xr:uid="{00000000-0005-0000-0000-000063170000}"/>
    <cellStyle name="20 % - Markeringsfarve2 4 6 3 2" xfId="7312" xr:uid="{00000000-0005-0000-0000-000064170000}"/>
    <cellStyle name="20 % - Markeringsfarve2 4 6 3 2 2" xfId="15223" xr:uid="{00000000-0005-0000-0000-000065170000}"/>
    <cellStyle name="20 % - Markeringsfarve2 4 6 3 2 2 2" xfId="31538" xr:uid="{00000000-0005-0000-0000-000066170000}"/>
    <cellStyle name="20 % - Markeringsfarve2 4 6 3 2 2 3" xfId="46502" xr:uid="{00000000-0005-0000-0000-000067170000}"/>
    <cellStyle name="20 % - Markeringsfarve2 4 6 3 2 3" xfId="24516" xr:uid="{00000000-0005-0000-0000-000068170000}"/>
    <cellStyle name="20 % - Markeringsfarve2 4 6 3 2 4" xfId="39503" xr:uid="{00000000-0005-0000-0000-000069170000}"/>
    <cellStyle name="20 % - Markeringsfarve2 4 6 3 3" xfId="10588" xr:uid="{00000000-0005-0000-0000-00006A170000}"/>
    <cellStyle name="20 % - Markeringsfarve2 4 6 3 3 2" xfId="26908" xr:uid="{00000000-0005-0000-0000-00006B170000}"/>
    <cellStyle name="20 % - Markeringsfarve2 4 6 3 3 3" xfId="41874" xr:uid="{00000000-0005-0000-0000-00006C170000}"/>
    <cellStyle name="20 % - Markeringsfarve2 4 6 3 4" xfId="19886" xr:uid="{00000000-0005-0000-0000-00006D170000}"/>
    <cellStyle name="20 % - Markeringsfarve2 4 6 3 5" xfId="34875" xr:uid="{00000000-0005-0000-0000-00006E170000}"/>
    <cellStyle name="20 % - Markeringsfarve2 4 6 4" xfId="2029" xr:uid="{00000000-0005-0000-0000-00006F170000}"/>
    <cellStyle name="20 % - Markeringsfarve2 4 6 4 2" xfId="8159" xr:uid="{00000000-0005-0000-0000-000070170000}"/>
    <cellStyle name="20 % - Markeringsfarve2 4 6 4 2 2" xfId="16057" xr:uid="{00000000-0005-0000-0000-000071170000}"/>
    <cellStyle name="20 % - Markeringsfarve2 4 6 4 2 2 2" xfId="32372" xr:uid="{00000000-0005-0000-0000-000072170000}"/>
    <cellStyle name="20 % - Markeringsfarve2 4 6 4 2 2 3" xfId="47336" xr:uid="{00000000-0005-0000-0000-000073170000}"/>
    <cellStyle name="20 % - Markeringsfarve2 4 6 4 2 3" xfId="25350" xr:uid="{00000000-0005-0000-0000-000074170000}"/>
    <cellStyle name="20 % - Markeringsfarve2 4 6 4 2 4" xfId="40337" xr:uid="{00000000-0005-0000-0000-000075170000}"/>
    <cellStyle name="20 % - Markeringsfarve2 4 6 4 3" xfId="10589" xr:uid="{00000000-0005-0000-0000-000076170000}"/>
    <cellStyle name="20 % - Markeringsfarve2 4 6 4 3 2" xfId="26909" xr:uid="{00000000-0005-0000-0000-000077170000}"/>
    <cellStyle name="20 % - Markeringsfarve2 4 6 4 3 3" xfId="41875" xr:uid="{00000000-0005-0000-0000-000078170000}"/>
    <cellStyle name="20 % - Markeringsfarve2 4 6 4 4" xfId="19887" xr:uid="{00000000-0005-0000-0000-000079170000}"/>
    <cellStyle name="20 % - Markeringsfarve2 4 6 4 5" xfId="34876" xr:uid="{00000000-0005-0000-0000-00007A170000}"/>
    <cellStyle name="20 % - Markeringsfarve2 4 6 5" xfId="5447" xr:uid="{00000000-0005-0000-0000-00007B170000}"/>
    <cellStyle name="20 % - Markeringsfarve2 4 6 5 2" xfId="13366" xr:uid="{00000000-0005-0000-0000-00007C170000}"/>
    <cellStyle name="20 % - Markeringsfarve2 4 6 5 2 2" xfId="29681" xr:uid="{00000000-0005-0000-0000-00007D170000}"/>
    <cellStyle name="20 % - Markeringsfarve2 4 6 5 2 3" xfId="44645" xr:uid="{00000000-0005-0000-0000-00007E170000}"/>
    <cellStyle name="20 % - Markeringsfarve2 4 6 5 3" xfId="22659" xr:uid="{00000000-0005-0000-0000-00007F170000}"/>
    <cellStyle name="20 % - Markeringsfarve2 4 6 5 4" xfId="37646" xr:uid="{00000000-0005-0000-0000-000080170000}"/>
    <cellStyle name="20 % - Markeringsfarve2 4 6 6" xfId="10585" xr:uid="{00000000-0005-0000-0000-000081170000}"/>
    <cellStyle name="20 % - Markeringsfarve2 4 6 6 2" xfId="26905" xr:uid="{00000000-0005-0000-0000-000082170000}"/>
    <cellStyle name="20 % - Markeringsfarve2 4 6 6 3" xfId="41871" xr:uid="{00000000-0005-0000-0000-000083170000}"/>
    <cellStyle name="20 % - Markeringsfarve2 4 6 7" xfId="19883" xr:uid="{00000000-0005-0000-0000-000084170000}"/>
    <cellStyle name="20 % - Markeringsfarve2 4 6 8" xfId="34872" xr:uid="{00000000-0005-0000-0000-000085170000}"/>
    <cellStyle name="20 % - Markeringsfarve2 4 7" xfId="2030" xr:uid="{00000000-0005-0000-0000-000086170000}"/>
    <cellStyle name="20 % - Markeringsfarve2 4 7 2" xfId="2031" xr:uid="{00000000-0005-0000-0000-000087170000}"/>
    <cellStyle name="20 % - Markeringsfarve2 4 7 2 2" xfId="7469" xr:uid="{00000000-0005-0000-0000-000088170000}"/>
    <cellStyle name="20 % - Markeringsfarve2 4 7 2 2 2" xfId="15371" xr:uid="{00000000-0005-0000-0000-000089170000}"/>
    <cellStyle name="20 % - Markeringsfarve2 4 7 2 2 2 2" xfId="31686" xr:uid="{00000000-0005-0000-0000-00008A170000}"/>
    <cellStyle name="20 % - Markeringsfarve2 4 7 2 2 2 3" xfId="46650" xr:uid="{00000000-0005-0000-0000-00008B170000}"/>
    <cellStyle name="20 % - Markeringsfarve2 4 7 2 2 3" xfId="24664" xr:uid="{00000000-0005-0000-0000-00008C170000}"/>
    <cellStyle name="20 % - Markeringsfarve2 4 7 2 2 4" xfId="39651" xr:uid="{00000000-0005-0000-0000-00008D170000}"/>
    <cellStyle name="20 % - Markeringsfarve2 4 7 2 3" xfId="10591" xr:uid="{00000000-0005-0000-0000-00008E170000}"/>
    <cellStyle name="20 % - Markeringsfarve2 4 7 2 3 2" xfId="26911" xr:uid="{00000000-0005-0000-0000-00008F170000}"/>
    <cellStyle name="20 % - Markeringsfarve2 4 7 2 3 3" xfId="41877" xr:uid="{00000000-0005-0000-0000-000090170000}"/>
    <cellStyle name="20 % - Markeringsfarve2 4 7 2 4" xfId="19889" xr:uid="{00000000-0005-0000-0000-000091170000}"/>
    <cellStyle name="20 % - Markeringsfarve2 4 7 2 5" xfId="34878" xr:uid="{00000000-0005-0000-0000-000092170000}"/>
    <cellStyle name="20 % - Markeringsfarve2 4 7 3" xfId="6066" xr:uid="{00000000-0005-0000-0000-000093170000}"/>
    <cellStyle name="20 % - Markeringsfarve2 4 7 3 2" xfId="13984" xr:uid="{00000000-0005-0000-0000-000094170000}"/>
    <cellStyle name="20 % - Markeringsfarve2 4 7 3 2 2" xfId="30299" xr:uid="{00000000-0005-0000-0000-000095170000}"/>
    <cellStyle name="20 % - Markeringsfarve2 4 7 3 2 3" xfId="45263" xr:uid="{00000000-0005-0000-0000-000096170000}"/>
    <cellStyle name="20 % - Markeringsfarve2 4 7 3 3" xfId="23277" xr:uid="{00000000-0005-0000-0000-000097170000}"/>
    <cellStyle name="20 % - Markeringsfarve2 4 7 3 4" xfId="38264" xr:uid="{00000000-0005-0000-0000-000098170000}"/>
    <cellStyle name="20 % - Markeringsfarve2 4 7 4" xfId="10590" xr:uid="{00000000-0005-0000-0000-000099170000}"/>
    <cellStyle name="20 % - Markeringsfarve2 4 7 4 2" xfId="26910" xr:uid="{00000000-0005-0000-0000-00009A170000}"/>
    <cellStyle name="20 % - Markeringsfarve2 4 7 4 3" xfId="41876" xr:uid="{00000000-0005-0000-0000-00009B170000}"/>
    <cellStyle name="20 % - Markeringsfarve2 4 7 5" xfId="19888" xr:uid="{00000000-0005-0000-0000-00009C170000}"/>
    <cellStyle name="20 % - Markeringsfarve2 4 7 6" xfId="34877" xr:uid="{00000000-0005-0000-0000-00009D170000}"/>
    <cellStyle name="20 % - Markeringsfarve2 4 8" xfId="2032" xr:uid="{00000000-0005-0000-0000-00009E170000}"/>
    <cellStyle name="20 % - Markeringsfarve2 4 8 2" xfId="6697" xr:uid="{00000000-0005-0000-0000-00009F170000}"/>
    <cellStyle name="20 % - Markeringsfarve2 4 8 2 2" xfId="14609" xr:uid="{00000000-0005-0000-0000-0000A0170000}"/>
    <cellStyle name="20 % - Markeringsfarve2 4 8 2 2 2" xfId="30924" xr:uid="{00000000-0005-0000-0000-0000A1170000}"/>
    <cellStyle name="20 % - Markeringsfarve2 4 8 2 2 3" xfId="45888" xr:uid="{00000000-0005-0000-0000-0000A2170000}"/>
    <cellStyle name="20 % - Markeringsfarve2 4 8 2 3" xfId="23902" xr:uid="{00000000-0005-0000-0000-0000A3170000}"/>
    <cellStyle name="20 % - Markeringsfarve2 4 8 2 4" xfId="38889" xr:uid="{00000000-0005-0000-0000-0000A4170000}"/>
    <cellStyle name="20 % - Markeringsfarve2 4 8 3" xfId="10592" xr:uid="{00000000-0005-0000-0000-0000A5170000}"/>
    <cellStyle name="20 % - Markeringsfarve2 4 8 3 2" xfId="26912" xr:uid="{00000000-0005-0000-0000-0000A6170000}"/>
    <cellStyle name="20 % - Markeringsfarve2 4 8 3 3" xfId="41878" xr:uid="{00000000-0005-0000-0000-0000A7170000}"/>
    <cellStyle name="20 % - Markeringsfarve2 4 8 4" xfId="19890" xr:uid="{00000000-0005-0000-0000-0000A8170000}"/>
    <cellStyle name="20 % - Markeringsfarve2 4 8 5" xfId="34879" xr:uid="{00000000-0005-0000-0000-0000A9170000}"/>
    <cellStyle name="20 % - Markeringsfarve2 4 9" xfId="2033" xr:uid="{00000000-0005-0000-0000-0000AA170000}"/>
    <cellStyle name="20 % - Markeringsfarve2 4 9 2" xfId="8731" xr:uid="{00000000-0005-0000-0000-0000AB170000}"/>
    <cellStyle name="20 % - Markeringsfarve2 4 9 2 2" xfId="16608" xr:uid="{00000000-0005-0000-0000-0000AC170000}"/>
    <cellStyle name="20 % - Markeringsfarve2 4 9 2 2 2" xfId="32923" xr:uid="{00000000-0005-0000-0000-0000AD170000}"/>
    <cellStyle name="20 % - Markeringsfarve2 4 9 2 2 3" xfId="47887" xr:uid="{00000000-0005-0000-0000-0000AE170000}"/>
    <cellStyle name="20 % - Markeringsfarve2 4 9 2 3" xfId="25901" xr:uid="{00000000-0005-0000-0000-0000AF170000}"/>
    <cellStyle name="20 % - Markeringsfarve2 4 9 2 4" xfId="40888" xr:uid="{00000000-0005-0000-0000-0000B0170000}"/>
    <cellStyle name="20 % - Markeringsfarve2 4 9 3" xfId="10593" xr:uid="{00000000-0005-0000-0000-0000B1170000}"/>
    <cellStyle name="20 % - Markeringsfarve2 4 9 3 2" xfId="26913" xr:uid="{00000000-0005-0000-0000-0000B2170000}"/>
    <cellStyle name="20 % - Markeringsfarve2 4 9 3 3" xfId="41879" xr:uid="{00000000-0005-0000-0000-0000B3170000}"/>
    <cellStyle name="20 % - Markeringsfarve2 4 9 4" xfId="19891" xr:uid="{00000000-0005-0000-0000-0000B4170000}"/>
    <cellStyle name="20 % - Markeringsfarve2 4 9 5" xfId="34880" xr:uid="{00000000-0005-0000-0000-0000B5170000}"/>
    <cellStyle name="20 % - Markeringsfarve2 5" xfId="2034" xr:uid="{00000000-0005-0000-0000-0000B6170000}"/>
    <cellStyle name="20 % - Markeringsfarve2 5 10" xfId="5448" xr:uid="{00000000-0005-0000-0000-0000B7170000}"/>
    <cellStyle name="20 % - Markeringsfarve2 5 10 2" xfId="13367" xr:uid="{00000000-0005-0000-0000-0000B8170000}"/>
    <cellStyle name="20 % - Markeringsfarve2 5 10 2 2" xfId="29682" xr:uid="{00000000-0005-0000-0000-0000B9170000}"/>
    <cellStyle name="20 % - Markeringsfarve2 5 10 2 3" xfId="44646" xr:uid="{00000000-0005-0000-0000-0000BA170000}"/>
    <cellStyle name="20 % - Markeringsfarve2 5 10 3" xfId="22660" xr:uid="{00000000-0005-0000-0000-0000BB170000}"/>
    <cellStyle name="20 % - Markeringsfarve2 5 10 4" xfId="37647" xr:uid="{00000000-0005-0000-0000-0000BC170000}"/>
    <cellStyle name="20 % - Markeringsfarve2 5 11" xfId="10594" xr:uid="{00000000-0005-0000-0000-0000BD170000}"/>
    <cellStyle name="20 % - Markeringsfarve2 5 11 2" xfId="26914" xr:uid="{00000000-0005-0000-0000-0000BE170000}"/>
    <cellStyle name="20 % - Markeringsfarve2 5 11 3" xfId="41880" xr:uid="{00000000-0005-0000-0000-0000BF170000}"/>
    <cellStyle name="20 % - Markeringsfarve2 5 12" xfId="19892" xr:uid="{00000000-0005-0000-0000-0000C0170000}"/>
    <cellStyle name="20 % - Markeringsfarve2 5 13" xfId="34881" xr:uid="{00000000-0005-0000-0000-0000C1170000}"/>
    <cellStyle name="20 % - Markeringsfarve2 5 14" xfId="53313" xr:uid="{00000000-0005-0000-0000-0000C2170000}"/>
    <cellStyle name="20 % - Markeringsfarve2 5 2" xfId="2035" xr:uid="{00000000-0005-0000-0000-0000C3170000}"/>
    <cellStyle name="20 % - Markeringsfarve2 5 2 2" xfId="2036" xr:uid="{00000000-0005-0000-0000-0000C4170000}"/>
    <cellStyle name="20 % - Markeringsfarve2 5 2 2 2" xfId="2037" xr:uid="{00000000-0005-0000-0000-0000C5170000}"/>
    <cellStyle name="20 % - Markeringsfarve2 5 2 2 2 2" xfId="7627" xr:uid="{00000000-0005-0000-0000-0000C6170000}"/>
    <cellStyle name="20 % - Markeringsfarve2 5 2 2 2 2 2" xfId="15529" xr:uid="{00000000-0005-0000-0000-0000C7170000}"/>
    <cellStyle name="20 % - Markeringsfarve2 5 2 2 2 2 2 2" xfId="31844" xr:uid="{00000000-0005-0000-0000-0000C8170000}"/>
    <cellStyle name="20 % - Markeringsfarve2 5 2 2 2 2 2 3" xfId="46808" xr:uid="{00000000-0005-0000-0000-0000C9170000}"/>
    <cellStyle name="20 % - Markeringsfarve2 5 2 2 2 2 3" xfId="24822" xr:uid="{00000000-0005-0000-0000-0000CA170000}"/>
    <cellStyle name="20 % - Markeringsfarve2 5 2 2 2 2 4" xfId="39809" xr:uid="{00000000-0005-0000-0000-0000CB170000}"/>
    <cellStyle name="20 % - Markeringsfarve2 5 2 2 2 3" xfId="10597" xr:uid="{00000000-0005-0000-0000-0000CC170000}"/>
    <cellStyle name="20 % - Markeringsfarve2 5 2 2 2 3 2" xfId="26917" xr:uid="{00000000-0005-0000-0000-0000CD170000}"/>
    <cellStyle name="20 % - Markeringsfarve2 5 2 2 2 3 3" xfId="41883" xr:uid="{00000000-0005-0000-0000-0000CE170000}"/>
    <cellStyle name="20 % - Markeringsfarve2 5 2 2 2 4" xfId="19895" xr:uid="{00000000-0005-0000-0000-0000CF170000}"/>
    <cellStyle name="20 % - Markeringsfarve2 5 2 2 2 5" xfId="34884" xr:uid="{00000000-0005-0000-0000-0000D0170000}"/>
    <cellStyle name="20 % - Markeringsfarve2 5 2 2 3" xfId="6198" xr:uid="{00000000-0005-0000-0000-0000D1170000}"/>
    <cellStyle name="20 % - Markeringsfarve2 5 2 2 3 2" xfId="14116" xr:uid="{00000000-0005-0000-0000-0000D2170000}"/>
    <cellStyle name="20 % - Markeringsfarve2 5 2 2 3 2 2" xfId="30431" xr:uid="{00000000-0005-0000-0000-0000D3170000}"/>
    <cellStyle name="20 % - Markeringsfarve2 5 2 2 3 2 3" xfId="45395" xr:uid="{00000000-0005-0000-0000-0000D4170000}"/>
    <cellStyle name="20 % - Markeringsfarve2 5 2 2 3 3" xfId="23409" xr:uid="{00000000-0005-0000-0000-0000D5170000}"/>
    <cellStyle name="20 % - Markeringsfarve2 5 2 2 3 4" xfId="38396" xr:uid="{00000000-0005-0000-0000-0000D6170000}"/>
    <cellStyle name="20 % - Markeringsfarve2 5 2 2 4" xfId="10596" xr:uid="{00000000-0005-0000-0000-0000D7170000}"/>
    <cellStyle name="20 % - Markeringsfarve2 5 2 2 4 2" xfId="26916" xr:uid="{00000000-0005-0000-0000-0000D8170000}"/>
    <cellStyle name="20 % - Markeringsfarve2 5 2 2 4 3" xfId="41882" xr:uid="{00000000-0005-0000-0000-0000D9170000}"/>
    <cellStyle name="20 % - Markeringsfarve2 5 2 2 5" xfId="19894" xr:uid="{00000000-0005-0000-0000-0000DA170000}"/>
    <cellStyle name="20 % - Markeringsfarve2 5 2 2 6" xfId="34883" xr:uid="{00000000-0005-0000-0000-0000DB170000}"/>
    <cellStyle name="20 % - Markeringsfarve2 5 2 2 7" xfId="57117" xr:uid="{00000000-0005-0000-0000-0000DC170000}"/>
    <cellStyle name="20 % - Markeringsfarve2 5 2 3" xfId="2038" xr:uid="{00000000-0005-0000-0000-0000DD170000}"/>
    <cellStyle name="20 % - Markeringsfarve2 5 2 3 2" xfId="6857" xr:uid="{00000000-0005-0000-0000-0000DE170000}"/>
    <cellStyle name="20 % - Markeringsfarve2 5 2 3 2 2" xfId="14769" xr:uid="{00000000-0005-0000-0000-0000DF170000}"/>
    <cellStyle name="20 % - Markeringsfarve2 5 2 3 2 2 2" xfId="31084" xr:uid="{00000000-0005-0000-0000-0000E0170000}"/>
    <cellStyle name="20 % - Markeringsfarve2 5 2 3 2 2 3" xfId="46048" xr:uid="{00000000-0005-0000-0000-0000E1170000}"/>
    <cellStyle name="20 % - Markeringsfarve2 5 2 3 2 3" xfId="24062" xr:uid="{00000000-0005-0000-0000-0000E2170000}"/>
    <cellStyle name="20 % - Markeringsfarve2 5 2 3 2 4" xfId="39049" xr:uid="{00000000-0005-0000-0000-0000E3170000}"/>
    <cellStyle name="20 % - Markeringsfarve2 5 2 3 3" xfId="10598" xr:uid="{00000000-0005-0000-0000-0000E4170000}"/>
    <cellStyle name="20 % - Markeringsfarve2 5 2 3 3 2" xfId="26918" xr:uid="{00000000-0005-0000-0000-0000E5170000}"/>
    <cellStyle name="20 % - Markeringsfarve2 5 2 3 3 3" xfId="41884" xr:uid="{00000000-0005-0000-0000-0000E6170000}"/>
    <cellStyle name="20 % - Markeringsfarve2 5 2 3 4" xfId="19896" xr:uid="{00000000-0005-0000-0000-0000E7170000}"/>
    <cellStyle name="20 % - Markeringsfarve2 5 2 3 5" xfId="34885" xr:uid="{00000000-0005-0000-0000-0000E8170000}"/>
    <cellStyle name="20 % - Markeringsfarve2 5 2 4" xfId="2039" xr:uid="{00000000-0005-0000-0000-0000E9170000}"/>
    <cellStyle name="20 % - Markeringsfarve2 5 2 4 2" xfId="8260" xr:uid="{00000000-0005-0000-0000-0000EA170000}"/>
    <cellStyle name="20 % - Markeringsfarve2 5 2 4 2 2" xfId="16155" xr:uid="{00000000-0005-0000-0000-0000EB170000}"/>
    <cellStyle name="20 % - Markeringsfarve2 5 2 4 2 2 2" xfId="32470" xr:uid="{00000000-0005-0000-0000-0000EC170000}"/>
    <cellStyle name="20 % - Markeringsfarve2 5 2 4 2 2 3" xfId="47434" xr:uid="{00000000-0005-0000-0000-0000ED170000}"/>
    <cellStyle name="20 % - Markeringsfarve2 5 2 4 2 3" xfId="25448" xr:uid="{00000000-0005-0000-0000-0000EE170000}"/>
    <cellStyle name="20 % - Markeringsfarve2 5 2 4 2 4" xfId="40435" xr:uid="{00000000-0005-0000-0000-0000EF170000}"/>
    <cellStyle name="20 % - Markeringsfarve2 5 2 4 3" xfId="10599" xr:uid="{00000000-0005-0000-0000-0000F0170000}"/>
    <cellStyle name="20 % - Markeringsfarve2 5 2 4 3 2" xfId="26919" xr:uid="{00000000-0005-0000-0000-0000F1170000}"/>
    <cellStyle name="20 % - Markeringsfarve2 5 2 4 3 3" xfId="41885" xr:uid="{00000000-0005-0000-0000-0000F2170000}"/>
    <cellStyle name="20 % - Markeringsfarve2 5 2 4 4" xfId="19897" xr:uid="{00000000-0005-0000-0000-0000F3170000}"/>
    <cellStyle name="20 % - Markeringsfarve2 5 2 4 5" xfId="34886" xr:uid="{00000000-0005-0000-0000-0000F4170000}"/>
    <cellStyle name="20 % - Markeringsfarve2 5 2 5" xfId="5449" xr:uid="{00000000-0005-0000-0000-0000F5170000}"/>
    <cellStyle name="20 % - Markeringsfarve2 5 2 5 2" xfId="13368" xr:uid="{00000000-0005-0000-0000-0000F6170000}"/>
    <cellStyle name="20 % - Markeringsfarve2 5 2 5 2 2" xfId="29683" xr:uid="{00000000-0005-0000-0000-0000F7170000}"/>
    <cellStyle name="20 % - Markeringsfarve2 5 2 5 2 3" xfId="44647" xr:uid="{00000000-0005-0000-0000-0000F8170000}"/>
    <cellStyle name="20 % - Markeringsfarve2 5 2 5 3" xfId="22661" xr:uid="{00000000-0005-0000-0000-0000F9170000}"/>
    <cellStyle name="20 % - Markeringsfarve2 5 2 5 4" xfId="37648" xr:uid="{00000000-0005-0000-0000-0000FA170000}"/>
    <cellStyle name="20 % - Markeringsfarve2 5 2 6" xfId="10595" xr:uid="{00000000-0005-0000-0000-0000FB170000}"/>
    <cellStyle name="20 % - Markeringsfarve2 5 2 6 2" xfId="26915" xr:uid="{00000000-0005-0000-0000-0000FC170000}"/>
    <cellStyle name="20 % - Markeringsfarve2 5 2 6 3" xfId="41881" xr:uid="{00000000-0005-0000-0000-0000FD170000}"/>
    <cellStyle name="20 % - Markeringsfarve2 5 2 7" xfId="19893" xr:uid="{00000000-0005-0000-0000-0000FE170000}"/>
    <cellStyle name="20 % - Markeringsfarve2 5 2 8" xfId="34882" xr:uid="{00000000-0005-0000-0000-0000FF170000}"/>
    <cellStyle name="20 % - Markeringsfarve2 5 2 9" xfId="53950" xr:uid="{00000000-0005-0000-0000-000000180000}"/>
    <cellStyle name="20 % - Markeringsfarve2 5 3" xfId="2040" xr:uid="{00000000-0005-0000-0000-000001180000}"/>
    <cellStyle name="20 % - Markeringsfarve2 5 3 2" xfId="2041" xr:uid="{00000000-0005-0000-0000-000002180000}"/>
    <cellStyle name="20 % - Markeringsfarve2 5 3 2 2" xfId="2042" xr:uid="{00000000-0005-0000-0000-000003180000}"/>
    <cellStyle name="20 % - Markeringsfarve2 5 3 2 2 2" xfId="7681" xr:uid="{00000000-0005-0000-0000-000004180000}"/>
    <cellStyle name="20 % - Markeringsfarve2 5 3 2 2 2 2" xfId="15583" xr:uid="{00000000-0005-0000-0000-000005180000}"/>
    <cellStyle name="20 % - Markeringsfarve2 5 3 2 2 2 2 2" xfId="31898" xr:uid="{00000000-0005-0000-0000-000006180000}"/>
    <cellStyle name="20 % - Markeringsfarve2 5 3 2 2 2 2 3" xfId="46862" xr:uid="{00000000-0005-0000-0000-000007180000}"/>
    <cellStyle name="20 % - Markeringsfarve2 5 3 2 2 2 3" xfId="24876" xr:uid="{00000000-0005-0000-0000-000008180000}"/>
    <cellStyle name="20 % - Markeringsfarve2 5 3 2 2 2 4" xfId="39863" xr:uid="{00000000-0005-0000-0000-000009180000}"/>
    <cellStyle name="20 % - Markeringsfarve2 5 3 2 2 3" xfId="10602" xr:uid="{00000000-0005-0000-0000-00000A180000}"/>
    <cellStyle name="20 % - Markeringsfarve2 5 3 2 2 3 2" xfId="26922" xr:uid="{00000000-0005-0000-0000-00000B180000}"/>
    <cellStyle name="20 % - Markeringsfarve2 5 3 2 2 3 3" xfId="41888" xr:uid="{00000000-0005-0000-0000-00000C180000}"/>
    <cellStyle name="20 % - Markeringsfarve2 5 3 2 2 4" xfId="19900" xr:uid="{00000000-0005-0000-0000-00000D180000}"/>
    <cellStyle name="20 % - Markeringsfarve2 5 3 2 2 5" xfId="34889" xr:uid="{00000000-0005-0000-0000-00000E180000}"/>
    <cellStyle name="20 % - Markeringsfarve2 5 3 2 3" xfId="6245" xr:uid="{00000000-0005-0000-0000-00000F180000}"/>
    <cellStyle name="20 % - Markeringsfarve2 5 3 2 3 2" xfId="14163" xr:uid="{00000000-0005-0000-0000-000010180000}"/>
    <cellStyle name="20 % - Markeringsfarve2 5 3 2 3 2 2" xfId="30478" xr:uid="{00000000-0005-0000-0000-000011180000}"/>
    <cellStyle name="20 % - Markeringsfarve2 5 3 2 3 2 3" xfId="45442" xr:uid="{00000000-0005-0000-0000-000012180000}"/>
    <cellStyle name="20 % - Markeringsfarve2 5 3 2 3 3" xfId="23456" xr:uid="{00000000-0005-0000-0000-000013180000}"/>
    <cellStyle name="20 % - Markeringsfarve2 5 3 2 3 4" xfId="38443" xr:uid="{00000000-0005-0000-0000-000014180000}"/>
    <cellStyle name="20 % - Markeringsfarve2 5 3 2 4" xfId="10601" xr:uid="{00000000-0005-0000-0000-000015180000}"/>
    <cellStyle name="20 % - Markeringsfarve2 5 3 2 4 2" xfId="26921" xr:uid="{00000000-0005-0000-0000-000016180000}"/>
    <cellStyle name="20 % - Markeringsfarve2 5 3 2 4 3" xfId="41887" xr:uid="{00000000-0005-0000-0000-000017180000}"/>
    <cellStyle name="20 % - Markeringsfarve2 5 3 2 5" xfId="19899" xr:uid="{00000000-0005-0000-0000-000018180000}"/>
    <cellStyle name="20 % - Markeringsfarve2 5 3 2 6" xfId="34888" xr:uid="{00000000-0005-0000-0000-000019180000}"/>
    <cellStyle name="20 % - Markeringsfarve2 5 3 3" xfId="2043" xr:uid="{00000000-0005-0000-0000-00001A180000}"/>
    <cellStyle name="20 % - Markeringsfarve2 5 3 3 2" xfId="6911" xr:uid="{00000000-0005-0000-0000-00001B180000}"/>
    <cellStyle name="20 % - Markeringsfarve2 5 3 3 2 2" xfId="14823" xr:uid="{00000000-0005-0000-0000-00001C180000}"/>
    <cellStyle name="20 % - Markeringsfarve2 5 3 3 2 2 2" xfId="31138" xr:uid="{00000000-0005-0000-0000-00001D180000}"/>
    <cellStyle name="20 % - Markeringsfarve2 5 3 3 2 2 3" xfId="46102" xr:uid="{00000000-0005-0000-0000-00001E180000}"/>
    <cellStyle name="20 % - Markeringsfarve2 5 3 3 2 3" xfId="24116" xr:uid="{00000000-0005-0000-0000-00001F180000}"/>
    <cellStyle name="20 % - Markeringsfarve2 5 3 3 2 4" xfId="39103" xr:uid="{00000000-0005-0000-0000-000020180000}"/>
    <cellStyle name="20 % - Markeringsfarve2 5 3 3 3" xfId="10603" xr:uid="{00000000-0005-0000-0000-000021180000}"/>
    <cellStyle name="20 % - Markeringsfarve2 5 3 3 3 2" xfId="26923" xr:uid="{00000000-0005-0000-0000-000022180000}"/>
    <cellStyle name="20 % - Markeringsfarve2 5 3 3 3 3" xfId="41889" xr:uid="{00000000-0005-0000-0000-000023180000}"/>
    <cellStyle name="20 % - Markeringsfarve2 5 3 3 4" xfId="19901" xr:uid="{00000000-0005-0000-0000-000024180000}"/>
    <cellStyle name="20 % - Markeringsfarve2 5 3 3 5" xfId="34890" xr:uid="{00000000-0005-0000-0000-000025180000}"/>
    <cellStyle name="20 % - Markeringsfarve2 5 3 4" xfId="2044" xr:uid="{00000000-0005-0000-0000-000026180000}"/>
    <cellStyle name="20 % - Markeringsfarve2 5 3 4 2" xfId="8259" xr:uid="{00000000-0005-0000-0000-000027180000}"/>
    <cellStyle name="20 % - Markeringsfarve2 5 3 4 2 2" xfId="16154" xr:uid="{00000000-0005-0000-0000-000028180000}"/>
    <cellStyle name="20 % - Markeringsfarve2 5 3 4 2 2 2" xfId="32469" xr:uid="{00000000-0005-0000-0000-000029180000}"/>
    <cellStyle name="20 % - Markeringsfarve2 5 3 4 2 2 3" xfId="47433" xr:uid="{00000000-0005-0000-0000-00002A180000}"/>
    <cellStyle name="20 % - Markeringsfarve2 5 3 4 2 3" xfId="25447" xr:uid="{00000000-0005-0000-0000-00002B180000}"/>
    <cellStyle name="20 % - Markeringsfarve2 5 3 4 2 4" xfId="40434" xr:uid="{00000000-0005-0000-0000-00002C180000}"/>
    <cellStyle name="20 % - Markeringsfarve2 5 3 4 3" xfId="10604" xr:uid="{00000000-0005-0000-0000-00002D180000}"/>
    <cellStyle name="20 % - Markeringsfarve2 5 3 4 3 2" xfId="26924" xr:uid="{00000000-0005-0000-0000-00002E180000}"/>
    <cellStyle name="20 % - Markeringsfarve2 5 3 4 3 3" xfId="41890" xr:uid="{00000000-0005-0000-0000-00002F180000}"/>
    <cellStyle name="20 % - Markeringsfarve2 5 3 4 4" xfId="19902" xr:uid="{00000000-0005-0000-0000-000030180000}"/>
    <cellStyle name="20 % - Markeringsfarve2 5 3 4 5" xfId="34891" xr:uid="{00000000-0005-0000-0000-000031180000}"/>
    <cellStyle name="20 % - Markeringsfarve2 5 3 5" xfId="5450" xr:uid="{00000000-0005-0000-0000-000032180000}"/>
    <cellStyle name="20 % - Markeringsfarve2 5 3 5 2" xfId="13369" xr:uid="{00000000-0005-0000-0000-000033180000}"/>
    <cellStyle name="20 % - Markeringsfarve2 5 3 5 2 2" xfId="29684" xr:uid="{00000000-0005-0000-0000-000034180000}"/>
    <cellStyle name="20 % - Markeringsfarve2 5 3 5 2 3" xfId="44648" xr:uid="{00000000-0005-0000-0000-000035180000}"/>
    <cellStyle name="20 % - Markeringsfarve2 5 3 5 3" xfId="22662" xr:uid="{00000000-0005-0000-0000-000036180000}"/>
    <cellStyle name="20 % - Markeringsfarve2 5 3 5 4" xfId="37649" xr:uid="{00000000-0005-0000-0000-000037180000}"/>
    <cellStyle name="20 % - Markeringsfarve2 5 3 6" xfId="10600" xr:uid="{00000000-0005-0000-0000-000038180000}"/>
    <cellStyle name="20 % - Markeringsfarve2 5 3 6 2" xfId="26920" xr:uid="{00000000-0005-0000-0000-000039180000}"/>
    <cellStyle name="20 % - Markeringsfarve2 5 3 6 3" xfId="41886" xr:uid="{00000000-0005-0000-0000-00003A180000}"/>
    <cellStyle name="20 % - Markeringsfarve2 5 3 7" xfId="19898" xr:uid="{00000000-0005-0000-0000-00003B180000}"/>
    <cellStyle name="20 % - Markeringsfarve2 5 3 8" xfId="34887" xr:uid="{00000000-0005-0000-0000-00003C180000}"/>
    <cellStyle name="20 % - Markeringsfarve2 5 3 9" xfId="56494" xr:uid="{00000000-0005-0000-0000-00003D180000}"/>
    <cellStyle name="20 % - Markeringsfarve2 5 4" xfId="2045" xr:uid="{00000000-0005-0000-0000-00003E180000}"/>
    <cellStyle name="20 % - Markeringsfarve2 5 4 2" xfId="2046" xr:uid="{00000000-0005-0000-0000-00003F180000}"/>
    <cellStyle name="20 % - Markeringsfarve2 5 4 2 2" xfId="2047" xr:uid="{00000000-0005-0000-0000-000040180000}"/>
    <cellStyle name="20 % - Markeringsfarve2 5 4 2 2 2" xfId="7865" xr:uid="{00000000-0005-0000-0000-000041180000}"/>
    <cellStyle name="20 % - Markeringsfarve2 5 4 2 2 2 2" xfId="15767" xr:uid="{00000000-0005-0000-0000-000042180000}"/>
    <cellStyle name="20 % - Markeringsfarve2 5 4 2 2 2 2 2" xfId="32082" xr:uid="{00000000-0005-0000-0000-000043180000}"/>
    <cellStyle name="20 % - Markeringsfarve2 5 4 2 2 2 2 3" xfId="47046" xr:uid="{00000000-0005-0000-0000-000044180000}"/>
    <cellStyle name="20 % - Markeringsfarve2 5 4 2 2 2 3" xfId="25060" xr:uid="{00000000-0005-0000-0000-000045180000}"/>
    <cellStyle name="20 % - Markeringsfarve2 5 4 2 2 2 4" xfId="40047" xr:uid="{00000000-0005-0000-0000-000046180000}"/>
    <cellStyle name="20 % - Markeringsfarve2 5 4 2 2 3" xfId="10607" xr:uid="{00000000-0005-0000-0000-000047180000}"/>
    <cellStyle name="20 % - Markeringsfarve2 5 4 2 2 3 2" xfId="26927" xr:uid="{00000000-0005-0000-0000-000048180000}"/>
    <cellStyle name="20 % - Markeringsfarve2 5 4 2 2 3 3" xfId="41893" xr:uid="{00000000-0005-0000-0000-000049180000}"/>
    <cellStyle name="20 % - Markeringsfarve2 5 4 2 2 4" xfId="19905" xr:uid="{00000000-0005-0000-0000-00004A180000}"/>
    <cellStyle name="20 % - Markeringsfarve2 5 4 2 2 5" xfId="34894" xr:uid="{00000000-0005-0000-0000-00004B180000}"/>
    <cellStyle name="20 % - Markeringsfarve2 5 4 2 3" xfId="6400" xr:uid="{00000000-0005-0000-0000-00004C180000}"/>
    <cellStyle name="20 % - Markeringsfarve2 5 4 2 3 2" xfId="14315" xr:uid="{00000000-0005-0000-0000-00004D180000}"/>
    <cellStyle name="20 % - Markeringsfarve2 5 4 2 3 2 2" xfId="30630" xr:uid="{00000000-0005-0000-0000-00004E180000}"/>
    <cellStyle name="20 % - Markeringsfarve2 5 4 2 3 2 3" xfId="45594" xr:uid="{00000000-0005-0000-0000-00004F180000}"/>
    <cellStyle name="20 % - Markeringsfarve2 5 4 2 3 3" xfId="23608" xr:uid="{00000000-0005-0000-0000-000050180000}"/>
    <cellStyle name="20 % - Markeringsfarve2 5 4 2 3 4" xfId="38595" xr:uid="{00000000-0005-0000-0000-000051180000}"/>
    <cellStyle name="20 % - Markeringsfarve2 5 4 2 4" xfId="10606" xr:uid="{00000000-0005-0000-0000-000052180000}"/>
    <cellStyle name="20 % - Markeringsfarve2 5 4 2 4 2" xfId="26926" xr:uid="{00000000-0005-0000-0000-000053180000}"/>
    <cellStyle name="20 % - Markeringsfarve2 5 4 2 4 3" xfId="41892" xr:uid="{00000000-0005-0000-0000-000054180000}"/>
    <cellStyle name="20 % - Markeringsfarve2 5 4 2 5" xfId="19904" xr:uid="{00000000-0005-0000-0000-000055180000}"/>
    <cellStyle name="20 % - Markeringsfarve2 5 4 2 6" xfId="34893" xr:uid="{00000000-0005-0000-0000-000056180000}"/>
    <cellStyle name="20 % - Markeringsfarve2 5 4 3" xfId="2048" xr:uid="{00000000-0005-0000-0000-000057180000}"/>
    <cellStyle name="20 % - Markeringsfarve2 5 4 3 2" xfId="7141" xr:uid="{00000000-0005-0000-0000-000058180000}"/>
    <cellStyle name="20 % - Markeringsfarve2 5 4 3 2 2" xfId="15052" xr:uid="{00000000-0005-0000-0000-000059180000}"/>
    <cellStyle name="20 % - Markeringsfarve2 5 4 3 2 2 2" xfId="31367" xr:uid="{00000000-0005-0000-0000-00005A180000}"/>
    <cellStyle name="20 % - Markeringsfarve2 5 4 3 2 2 3" xfId="46331" xr:uid="{00000000-0005-0000-0000-00005B180000}"/>
    <cellStyle name="20 % - Markeringsfarve2 5 4 3 2 3" xfId="24345" xr:uid="{00000000-0005-0000-0000-00005C180000}"/>
    <cellStyle name="20 % - Markeringsfarve2 5 4 3 2 4" xfId="39332" xr:uid="{00000000-0005-0000-0000-00005D180000}"/>
    <cellStyle name="20 % - Markeringsfarve2 5 4 3 3" xfId="10608" xr:uid="{00000000-0005-0000-0000-00005E180000}"/>
    <cellStyle name="20 % - Markeringsfarve2 5 4 3 3 2" xfId="26928" xr:uid="{00000000-0005-0000-0000-00005F180000}"/>
    <cellStyle name="20 % - Markeringsfarve2 5 4 3 3 3" xfId="41894" xr:uid="{00000000-0005-0000-0000-000060180000}"/>
    <cellStyle name="20 % - Markeringsfarve2 5 4 3 4" xfId="19906" xr:uid="{00000000-0005-0000-0000-000061180000}"/>
    <cellStyle name="20 % - Markeringsfarve2 5 4 3 5" xfId="34895" xr:uid="{00000000-0005-0000-0000-000062180000}"/>
    <cellStyle name="20 % - Markeringsfarve2 5 4 4" xfId="2049" xr:uid="{00000000-0005-0000-0000-000063180000}"/>
    <cellStyle name="20 % - Markeringsfarve2 5 4 4 2" xfId="8258" xr:uid="{00000000-0005-0000-0000-000064180000}"/>
    <cellStyle name="20 % - Markeringsfarve2 5 4 4 2 2" xfId="16153" xr:uid="{00000000-0005-0000-0000-000065180000}"/>
    <cellStyle name="20 % - Markeringsfarve2 5 4 4 2 2 2" xfId="32468" xr:uid="{00000000-0005-0000-0000-000066180000}"/>
    <cellStyle name="20 % - Markeringsfarve2 5 4 4 2 2 3" xfId="47432" xr:uid="{00000000-0005-0000-0000-000067180000}"/>
    <cellStyle name="20 % - Markeringsfarve2 5 4 4 2 3" xfId="25446" xr:uid="{00000000-0005-0000-0000-000068180000}"/>
    <cellStyle name="20 % - Markeringsfarve2 5 4 4 2 4" xfId="40433" xr:uid="{00000000-0005-0000-0000-000069180000}"/>
    <cellStyle name="20 % - Markeringsfarve2 5 4 4 3" xfId="10609" xr:uid="{00000000-0005-0000-0000-00006A180000}"/>
    <cellStyle name="20 % - Markeringsfarve2 5 4 4 3 2" xfId="26929" xr:uid="{00000000-0005-0000-0000-00006B180000}"/>
    <cellStyle name="20 % - Markeringsfarve2 5 4 4 3 3" xfId="41895" xr:uid="{00000000-0005-0000-0000-00006C180000}"/>
    <cellStyle name="20 % - Markeringsfarve2 5 4 4 4" xfId="19907" xr:uid="{00000000-0005-0000-0000-00006D180000}"/>
    <cellStyle name="20 % - Markeringsfarve2 5 4 4 5" xfId="34896" xr:uid="{00000000-0005-0000-0000-00006E180000}"/>
    <cellStyle name="20 % - Markeringsfarve2 5 4 5" xfId="5451" xr:uid="{00000000-0005-0000-0000-00006F180000}"/>
    <cellStyle name="20 % - Markeringsfarve2 5 4 5 2" xfId="13370" xr:uid="{00000000-0005-0000-0000-000070180000}"/>
    <cellStyle name="20 % - Markeringsfarve2 5 4 5 2 2" xfId="29685" xr:uid="{00000000-0005-0000-0000-000071180000}"/>
    <cellStyle name="20 % - Markeringsfarve2 5 4 5 2 3" xfId="44649" xr:uid="{00000000-0005-0000-0000-000072180000}"/>
    <cellStyle name="20 % - Markeringsfarve2 5 4 5 3" xfId="22663" xr:uid="{00000000-0005-0000-0000-000073180000}"/>
    <cellStyle name="20 % - Markeringsfarve2 5 4 5 4" xfId="37650" xr:uid="{00000000-0005-0000-0000-000074180000}"/>
    <cellStyle name="20 % - Markeringsfarve2 5 4 6" xfId="10605" xr:uid="{00000000-0005-0000-0000-000075180000}"/>
    <cellStyle name="20 % - Markeringsfarve2 5 4 6 2" xfId="26925" xr:uid="{00000000-0005-0000-0000-000076180000}"/>
    <cellStyle name="20 % - Markeringsfarve2 5 4 6 3" xfId="41891" xr:uid="{00000000-0005-0000-0000-000077180000}"/>
    <cellStyle name="20 % - Markeringsfarve2 5 4 7" xfId="19903" xr:uid="{00000000-0005-0000-0000-000078180000}"/>
    <cellStyle name="20 % - Markeringsfarve2 5 4 8" xfId="34892" xr:uid="{00000000-0005-0000-0000-000079180000}"/>
    <cellStyle name="20 % - Markeringsfarve2 5 5" xfId="2050" xr:uid="{00000000-0005-0000-0000-00007A180000}"/>
    <cellStyle name="20 % - Markeringsfarve2 5 5 2" xfId="2051" xr:uid="{00000000-0005-0000-0000-00007B180000}"/>
    <cellStyle name="20 % - Markeringsfarve2 5 5 2 2" xfId="2052" xr:uid="{00000000-0005-0000-0000-00007C180000}"/>
    <cellStyle name="20 % - Markeringsfarve2 5 5 2 2 2" xfId="7982" xr:uid="{00000000-0005-0000-0000-00007D180000}"/>
    <cellStyle name="20 % - Markeringsfarve2 5 5 2 2 2 2" xfId="15884" xr:uid="{00000000-0005-0000-0000-00007E180000}"/>
    <cellStyle name="20 % - Markeringsfarve2 5 5 2 2 2 2 2" xfId="32199" xr:uid="{00000000-0005-0000-0000-00007F180000}"/>
    <cellStyle name="20 % - Markeringsfarve2 5 5 2 2 2 2 3" xfId="47163" xr:uid="{00000000-0005-0000-0000-000080180000}"/>
    <cellStyle name="20 % - Markeringsfarve2 5 5 2 2 2 3" xfId="25177" xr:uid="{00000000-0005-0000-0000-000081180000}"/>
    <cellStyle name="20 % - Markeringsfarve2 5 5 2 2 2 4" xfId="40164" xr:uid="{00000000-0005-0000-0000-000082180000}"/>
    <cellStyle name="20 % - Markeringsfarve2 5 5 2 2 3" xfId="10612" xr:uid="{00000000-0005-0000-0000-000083180000}"/>
    <cellStyle name="20 % - Markeringsfarve2 5 5 2 2 3 2" xfId="26932" xr:uid="{00000000-0005-0000-0000-000084180000}"/>
    <cellStyle name="20 % - Markeringsfarve2 5 5 2 2 3 3" xfId="41898" xr:uid="{00000000-0005-0000-0000-000085180000}"/>
    <cellStyle name="20 % - Markeringsfarve2 5 5 2 2 4" xfId="19910" xr:uid="{00000000-0005-0000-0000-000086180000}"/>
    <cellStyle name="20 % - Markeringsfarve2 5 5 2 2 5" xfId="34899" xr:uid="{00000000-0005-0000-0000-000087180000}"/>
    <cellStyle name="20 % - Markeringsfarve2 5 5 2 3" xfId="6499" xr:uid="{00000000-0005-0000-0000-000088180000}"/>
    <cellStyle name="20 % - Markeringsfarve2 5 5 2 3 2" xfId="14414" xr:uid="{00000000-0005-0000-0000-000089180000}"/>
    <cellStyle name="20 % - Markeringsfarve2 5 5 2 3 2 2" xfId="30729" xr:uid="{00000000-0005-0000-0000-00008A180000}"/>
    <cellStyle name="20 % - Markeringsfarve2 5 5 2 3 2 3" xfId="45693" xr:uid="{00000000-0005-0000-0000-00008B180000}"/>
    <cellStyle name="20 % - Markeringsfarve2 5 5 2 3 3" xfId="23707" xr:uid="{00000000-0005-0000-0000-00008C180000}"/>
    <cellStyle name="20 % - Markeringsfarve2 5 5 2 3 4" xfId="38694" xr:uid="{00000000-0005-0000-0000-00008D180000}"/>
    <cellStyle name="20 % - Markeringsfarve2 5 5 2 4" xfId="10611" xr:uid="{00000000-0005-0000-0000-00008E180000}"/>
    <cellStyle name="20 % - Markeringsfarve2 5 5 2 4 2" xfId="26931" xr:uid="{00000000-0005-0000-0000-00008F180000}"/>
    <cellStyle name="20 % - Markeringsfarve2 5 5 2 4 3" xfId="41897" xr:uid="{00000000-0005-0000-0000-000090180000}"/>
    <cellStyle name="20 % - Markeringsfarve2 5 5 2 5" xfId="19909" xr:uid="{00000000-0005-0000-0000-000091180000}"/>
    <cellStyle name="20 % - Markeringsfarve2 5 5 2 6" xfId="34898" xr:uid="{00000000-0005-0000-0000-000092180000}"/>
    <cellStyle name="20 % - Markeringsfarve2 5 5 3" xfId="2053" xr:uid="{00000000-0005-0000-0000-000093180000}"/>
    <cellStyle name="20 % - Markeringsfarve2 5 5 3 2" xfId="7258" xr:uid="{00000000-0005-0000-0000-000094180000}"/>
    <cellStyle name="20 % - Markeringsfarve2 5 5 3 2 2" xfId="15169" xr:uid="{00000000-0005-0000-0000-000095180000}"/>
    <cellStyle name="20 % - Markeringsfarve2 5 5 3 2 2 2" xfId="31484" xr:uid="{00000000-0005-0000-0000-000096180000}"/>
    <cellStyle name="20 % - Markeringsfarve2 5 5 3 2 2 3" xfId="46448" xr:uid="{00000000-0005-0000-0000-000097180000}"/>
    <cellStyle name="20 % - Markeringsfarve2 5 5 3 2 3" xfId="24462" xr:uid="{00000000-0005-0000-0000-000098180000}"/>
    <cellStyle name="20 % - Markeringsfarve2 5 5 3 2 4" xfId="39449" xr:uid="{00000000-0005-0000-0000-000099180000}"/>
    <cellStyle name="20 % - Markeringsfarve2 5 5 3 3" xfId="10613" xr:uid="{00000000-0005-0000-0000-00009A180000}"/>
    <cellStyle name="20 % - Markeringsfarve2 5 5 3 3 2" xfId="26933" xr:uid="{00000000-0005-0000-0000-00009B180000}"/>
    <cellStyle name="20 % - Markeringsfarve2 5 5 3 3 3" xfId="41899" xr:uid="{00000000-0005-0000-0000-00009C180000}"/>
    <cellStyle name="20 % - Markeringsfarve2 5 5 3 4" xfId="19911" xr:uid="{00000000-0005-0000-0000-00009D180000}"/>
    <cellStyle name="20 % - Markeringsfarve2 5 5 3 5" xfId="34900" xr:uid="{00000000-0005-0000-0000-00009E180000}"/>
    <cellStyle name="20 % - Markeringsfarve2 5 5 4" xfId="2054" xr:uid="{00000000-0005-0000-0000-00009F180000}"/>
    <cellStyle name="20 % - Markeringsfarve2 5 5 4 2" xfId="6775" xr:uid="{00000000-0005-0000-0000-0000A0180000}"/>
    <cellStyle name="20 % - Markeringsfarve2 5 5 4 2 2" xfId="14687" xr:uid="{00000000-0005-0000-0000-0000A1180000}"/>
    <cellStyle name="20 % - Markeringsfarve2 5 5 4 2 2 2" xfId="31002" xr:uid="{00000000-0005-0000-0000-0000A2180000}"/>
    <cellStyle name="20 % - Markeringsfarve2 5 5 4 2 2 3" xfId="45966" xr:uid="{00000000-0005-0000-0000-0000A3180000}"/>
    <cellStyle name="20 % - Markeringsfarve2 5 5 4 2 3" xfId="23980" xr:uid="{00000000-0005-0000-0000-0000A4180000}"/>
    <cellStyle name="20 % - Markeringsfarve2 5 5 4 2 4" xfId="38967" xr:uid="{00000000-0005-0000-0000-0000A5180000}"/>
    <cellStyle name="20 % - Markeringsfarve2 5 5 4 3" xfId="10614" xr:uid="{00000000-0005-0000-0000-0000A6180000}"/>
    <cellStyle name="20 % - Markeringsfarve2 5 5 4 3 2" xfId="26934" xr:uid="{00000000-0005-0000-0000-0000A7180000}"/>
    <cellStyle name="20 % - Markeringsfarve2 5 5 4 3 3" xfId="41900" xr:uid="{00000000-0005-0000-0000-0000A8180000}"/>
    <cellStyle name="20 % - Markeringsfarve2 5 5 4 4" xfId="19912" xr:uid="{00000000-0005-0000-0000-0000A9180000}"/>
    <cellStyle name="20 % - Markeringsfarve2 5 5 4 5" xfId="34901" xr:uid="{00000000-0005-0000-0000-0000AA180000}"/>
    <cellStyle name="20 % - Markeringsfarve2 5 5 5" xfId="5452" xr:uid="{00000000-0005-0000-0000-0000AB180000}"/>
    <cellStyle name="20 % - Markeringsfarve2 5 5 5 2" xfId="13371" xr:uid="{00000000-0005-0000-0000-0000AC180000}"/>
    <cellStyle name="20 % - Markeringsfarve2 5 5 5 2 2" xfId="29686" xr:uid="{00000000-0005-0000-0000-0000AD180000}"/>
    <cellStyle name="20 % - Markeringsfarve2 5 5 5 2 3" xfId="44650" xr:uid="{00000000-0005-0000-0000-0000AE180000}"/>
    <cellStyle name="20 % - Markeringsfarve2 5 5 5 3" xfId="22664" xr:uid="{00000000-0005-0000-0000-0000AF180000}"/>
    <cellStyle name="20 % - Markeringsfarve2 5 5 5 4" xfId="37651" xr:uid="{00000000-0005-0000-0000-0000B0180000}"/>
    <cellStyle name="20 % - Markeringsfarve2 5 5 6" xfId="10610" xr:uid="{00000000-0005-0000-0000-0000B1180000}"/>
    <cellStyle name="20 % - Markeringsfarve2 5 5 6 2" xfId="26930" xr:uid="{00000000-0005-0000-0000-0000B2180000}"/>
    <cellStyle name="20 % - Markeringsfarve2 5 5 6 3" xfId="41896" xr:uid="{00000000-0005-0000-0000-0000B3180000}"/>
    <cellStyle name="20 % - Markeringsfarve2 5 5 7" xfId="19908" xr:uid="{00000000-0005-0000-0000-0000B4180000}"/>
    <cellStyle name="20 % - Markeringsfarve2 5 5 8" xfId="34897" xr:uid="{00000000-0005-0000-0000-0000B5180000}"/>
    <cellStyle name="20 % - Markeringsfarve2 5 6" xfId="2055" xr:uid="{00000000-0005-0000-0000-0000B6180000}"/>
    <cellStyle name="20 % - Markeringsfarve2 5 6 2" xfId="2056" xr:uid="{00000000-0005-0000-0000-0000B7180000}"/>
    <cellStyle name="20 % - Markeringsfarve2 5 6 2 2" xfId="2057" xr:uid="{00000000-0005-0000-0000-0000B8180000}"/>
    <cellStyle name="20 % - Markeringsfarve2 5 6 2 2 2" xfId="8036" xr:uid="{00000000-0005-0000-0000-0000B9180000}"/>
    <cellStyle name="20 % - Markeringsfarve2 5 6 2 2 2 2" xfId="15938" xr:uid="{00000000-0005-0000-0000-0000BA180000}"/>
    <cellStyle name="20 % - Markeringsfarve2 5 6 2 2 2 2 2" xfId="32253" xr:uid="{00000000-0005-0000-0000-0000BB180000}"/>
    <cellStyle name="20 % - Markeringsfarve2 5 6 2 2 2 2 3" xfId="47217" xr:uid="{00000000-0005-0000-0000-0000BC180000}"/>
    <cellStyle name="20 % - Markeringsfarve2 5 6 2 2 2 3" xfId="25231" xr:uid="{00000000-0005-0000-0000-0000BD180000}"/>
    <cellStyle name="20 % - Markeringsfarve2 5 6 2 2 2 4" xfId="40218" xr:uid="{00000000-0005-0000-0000-0000BE180000}"/>
    <cellStyle name="20 % - Markeringsfarve2 5 6 2 2 3" xfId="10617" xr:uid="{00000000-0005-0000-0000-0000BF180000}"/>
    <cellStyle name="20 % - Markeringsfarve2 5 6 2 2 3 2" xfId="26937" xr:uid="{00000000-0005-0000-0000-0000C0180000}"/>
    <cellStyle name="20 % - Markeringsfarve2 5 6 2 2 3 3" xfId="41903" xr:uid="{00000000-0005-0000-0000-0000C1180000}"/>
    <cellStyle name="20 % - Markeringsfarve2 5 6 2 2 4" xfId="19915" xr:uid="{00000000-0005-0000-0000-0000C2180000}"/>
    <cellStyle name="20 % - Markeringsfarve2 5 6 2 2 5" xfId="34904" xr:uid="{00000000-0005-0000-0000-0000C3180000}"/>
    <cellStyle name="20 % - Markeringsfarve2 5 6 2 3" xfId="6547" xr:uid="{00000000-0005-0000-0000-0000C4180000}"/>
    <cellStyle name="20 % - Markeringsfarve2 5 6 2 3 2" xfId="14462" xr:uid="{00000000-0005-0000-0000-0000C5180000}"/>
    <cellStyle name="20 % - Markeringsfarve2 5 6 2 3 2 2" xfId="30777" xr:uid="{00000000-0005-0000-0000-0000C6180000}"/>
    <cellStyle name="20 % - Markeringsfarve2 5 6 2 3 2 3" xfId="45741" xr:uid="{00000000-0005-0000-0000-0000C7180000}"/>
    <cellStyle name="20 % - Markeringsfarve2 5 6 2 3 3" xfId="23755" xr:uid="{00000000-0005-0000-0000-0000C8180000}"/>
    <cellStyle name="20 % - Markeringsfarve2 5 6 2 3 4" xfId="38742" xr:uid="{00000000-0005-0000-0000-0000C9180000}"/>
    <cellStyle name="20 % - Markeringsfarve2 5 6 2 4" xfId="10616" xr:uid="{00000000-0005-0000-0000-0000CA180000}"/>
    <cellStyle name="20 % - Markeringsfarve2 5 6 2 4 2" xfId="26936" xr:uid="{00000000-0005-0000-0000-0000CB180000}"/>
    <cellStyle name="20 % - Markeringsfarve2 5 6 2 4 3" xfId="41902" xr:uid="{00000000-0005-0000-0000-0000CC180000}"/>
    <cellStyle name="20 % - Markeringsfarve2 5 6 2 5" xfId="19914" xr:uid="{00000000-0005-0000-0000-0000CD180000}"/>
    <cellStyle name="20 % - Markeringsfarve2 5 6 2 6" xfId="34903" xr:uid="{00000000-0005-0000-0000-0000CE180000}"/>
    <cellStyle name="20 % - Markeringsfarve2 5 6 3" xfId="2058" xr:uid="{00000000-0005-0000-0000-0000CF180000}"/>
    <cellStyle name="20 % - Markeringsfarve2 5 6 3 2" xfId="7313" xr:uid="{00000000-0005-0000-0000-0000D0180000}"/>
    <cellStyle name="20 % - Markeringsfarve2 5 6 3 2 2" xfId="15224" xr:uid="{00000000-0005-0000-0000-0000D1180000}"/>
    <cellStyle name="20 % - Markeringsfarve2 5 6 3 2 2 2" xfId="31539" xr:uid="{00000000-0005-0000-0000-0000D2180000}"/>
    <cellStyle name="20 % - Markeringsfarve2 5 6 3 2 2 3" xfId="46503" xr:uid="{00000000-0005-0000-0000-0000D3180000}"/>
    <cellStyle name="20 % - Markeringsfarve2 5 6 3 2 3" xfId="24517" xr:uid="{00000000-0005-0000-0000-0000D4180000}"/>
    <cellStyle name="20 % - Markeringsfarve2 5 6 3 2 4" xfId="39504" xr:uid="{00000000-0005-0000-0000-0000D5180000}"/>
    <cellStyle name="20 % - Markeringsfarve2 5 6 3 3" xfId="10618" xr:uid="{00000000-0005-0000-0000-0000D6180000}"/>
    <cellStyle name="20 % - Markeringsfarve2 5 6 3 3 2" xfId="26938" xr:uid="{00000000-0005-0000-0000-0000D7180000}"/>
    <cellStyle name="20 % - Markeringsfarve2 5 6 3 3 3" xfId="41904" xr:uid="{00000000-0005-0000-0000-0000D8180000}"/>
    <cellStyle name="20 % - Markeringsfarve2 5 6 3 4" xfId="19916" xr:uid="{00000000-0005-0000-0000-0000D9180000}"/>
    <cellStyle name="20 % - Markeringsfarve2 5 6 3 5" xfId="34905" xr:uid="{00000000-0005-0000-0000-0000DA180000}"/>
    <cellStyle name="20 % - Markeringsfarve2 5 6 4" xfId="2059" xr:uid="{00000000-0005-0000-0000-0000DB180000}"/>
    <cellStyle name="20 % - Markeringsfarve2 5 6 4 2" xfId="6633" xr:uid="{00000000-0005-0000-0000-0000DC180000}"/>
    <cellStyle name="20 % - Markeringsfarve2 5 6 4 2 2" xfId="14547" xr:uid="{00000000-0005-0000-0000-0000DD180000}"/>
    <cellStyle name="20 % - Markeringsfarve2 5 6 4 2 2 2" xfId="30862" xr:uid="{00000000-0005-0000-0000-0000DE180000}"/>
    <cellStyle name="20 % - Markeringsfarve2 5 6 4 2 2 3" xfId="45826" xr:uid="{00000000-0005-0000-0000-0000DF180000}"/>
    <cellStyle name="20 % - Markeringsfarve2 5 6 4 2 3" xfId="23840" xr:uid="{00000000-0005-0000-0000-0000E0180000}"/>
    <cellStyle name="20 % - Markeringsfarve2 5 6 4 2 4" xfId="38827" xr:uid="{00000000-0005-0000-0000-0000E1180000}"/>
    <cellStyle name="20 % - Markeringsfarve2 5 6 4 3" xfId="10619" xr:uid="{00000000-0005-0000-0000-0000E2180000}"/>
    <cellStyle name="20 % - Markeringsfarve2 5 6 4 3 2" xfId="26939" xr:uid="{00000000-0005-0000-0000-0000E3180000}"/>
    <cellStyle name="20 % - Markeringsfarve2 5 6 4 3 3" xfId="41905" xr:uid="{00000000-0005-0000-0000-0000E4180000}"/>
    <cellStyle name="20 % - Markeringsfarve2 5 6 4 4" xfId="19917" xr:uid="{00000000-0005-0000-0000-0000E5180000}"/>
    <cellStyle name="20 % - Markeringsfarve2 5 6 4 5" xfId="34906" xr:uid="{00000000-0005-0000-0000-0000E6180000}"/>
    <cellStyle name="20 % - Markeringsfarve2 5 6 5" xfId="5453" xr:uid="{00000000-0005-0000-0000-0000E7180000}"/>
    <cellStyle name="20 % - Markeringsfarve2 5 6 5 2" xfId="13372" xr:uid="{00000000-0005-0000-0000-0000E8180000}"/>
    <cellStyle name="20 % - Markeringsfarve2 5 6 5 2 2" xfId="29687" xr:uid="{00000000-0005-0000-0000-0000E9180000}"/>
    <cellStyle name="20 % - Markeringsfarve2 5 6 5 2 3" xfId="44651" xr:uid="{00000000-0005-0000-0000-0000EA180000}"/>
    <cellStyle name="20 % - Markeringsfarve2 5 6 5 3" xfId="22665" xr:uid="{00000000-0005-0000-0000-0000EB180000}"/>
    <cellStyle name="20 % - Markeringsfarve2 5 6 5 4" xfId="37652" xr:uid="{00000000-0005-0000-0000-0000EC180000}"/>
    <cellStyle name="20 % - Markeringsfarve2 5 6 6" xfId="10615" xr:uid="{00000000-0005-0000-0000-0000ED180000}"/>
    <cellStyle name="20 % - Markeringsfarve2 5 6 6 2" xfId="26935" xr:uid="{00000000-0005-0000-0000-0000EE180000}"/>
    <cellStyle name="20 % - Markeringsfarve2 5 6 6 3" xfId="41901" xr:uid="{00000000-0005-0000-0000-0000EF180000}"/>
    <cellStyle name="20 % - Markeringsfarve2 5 6 7" xfId="19913" xr:uid="{00000000-0005-0000-0000-0000F0180000}"/>
    <cellStyle name="20 % - Markeringsfarve2 5 6 8" xfId="34902" xr:uid="{00000000-0005-0000-0000-0000F1180000}"/>
    <cellStyle name="20 % - Markeringsfarve2 5 7" xfId="2060" xr:uid="{00000000-0005-0000-0000-0000F2180000}"/>
    <cellStyle name="20 % - Markeringsfarve2 5 7 2" xfId="2061" xr:uid="{00000000-0005-0000-0000-0000F3180000}"/>
    <cellStyle name="20 % - Markeringsfarve2 5 7 2 2" xfId="7508" xr:uid="{00000000-0005-0000-0000-0000F4180000}"/>
    <cellStyle name="20 % - Markeringsfarve2 5 7 2 2 2" xfId="15410" xr:uid="{00000000-0005-0000-0000-0000F5180000}"/>
    <cellStyle name="20 % - Markeringsfarve2 5 7 2 2 2 2" xfId="31725" xr:uid="{00000000-0005-0000-0000-0000F6180000}"/>
    <cellStyle name="20 % - Markeringsfarve2 5 7 2 2 2 3" xfId="46689" xr:uid="{00000000-0005-0000-0000-0000F7180000}"/>
    <cellStyle name="20 % - Markeringsfarve2 5 7 2 2 3" xfId="24703" xr:uid="{00000000-0005-0000-0000-0000F8180000}"/>
    <cellStyle name="20 % - Markeringsfarve2 5 7 2 2 4" xfId="39690" xr:uid="{00000000-0005-0000-0000-0000F9180000}"/>
    <cellStyle name="20 % - Markeringsfarve2 5 7 2 3" xfId="10621" xr:uid="{00000000-0005-0000-0000-0000FA180000}"/>
    <cellStyle name="20 % - Markeringsfarve2 5 7 2 3 2" xfId="26941" xr:uid="{00000000-0005-0000-0000-0000FB180000}"/>
    <cellStyle name="20 % - Markeringsfarve2 5 7 2 3 3" xfId="41907" xr:uid="{00000000-0005-0000-0000-0000FC180000}"/>
    <cellStyle name="20 % - Markeringsfarve2 5 7 2 4" xfId="19919" xr:uid="{00000000-0005-0000-0000-0000FD180000}"/>
    <cellStyle name="20 % - Markeringsfarve2 5 7 2 5" xfId="34908" xr:uid="{00000000-0005-0000-0000-0000FE180000}"/>
    <cellStyle name="20 % - Markeringsfarve2 5 7 3" xfId="6099" xr:uid="{00000000-0005-0000-0000-0000FF180000}"/>
    <cellStyle name="20 % - Markeringsfarve2 5 7 3 2" xfId="14017" xr:uid="{00000000-0005-0000-0000-000000190000}"/>
    <cellStyle name="20 % - Markeringsfarve2 5 7 3 2 2" xfId="30332" xr:uid="{00000000-0005-0000-0000-000001190000}"/>
    <cellStyle name="20 % - Markeringsfarve2 5 7 3 2 3" xfId="45296" xr:uid="{00000000-0005-0000-0000-000002190000}"/>
    <cellStyle name="20 % - Markeringsfarve2 5 7 3 3" xfId="23310" xr:uid="{00000000-0005-0000-0000-000003190000}"/>
    <cellStyle name="20 % - Markeringsfarve2 5 7 3 4" xfId="38297" xr:uid="{00000000-0005-0000-0000-000004190000}"/>
    <cellStyle name="20 % - Markeringsfarve2 5 7 4" xfId="10620" xr:uid="{00000000-0005-0000-0000-000005190000}"/>
    <cellStyle name="20 % - Markeringsfarve2 5 7 4 2" xfId="26940" xr:uid="{00000000-0005-0000-0000-000006190000}"/>
    <cellStyle name="20 % - Markeringsfarve2 5 7 4 3" xfId="41906" xr:uid="{00000000-0005-0000-0000-000007190000}"/>
    <cellStyle name="20 % - Markeringsfarve2 5 7 5" xfId="19918" xr:uid="{00000000-0005-0000-0000-000008190000}"/>
    <cellStyle name="20 % - Markeringsfarve2 5 7 6" xfId="34907" xr:uid="{00000000-0005-0000-0000-000009190000}"/>
    <cellStyle name="20 % - Markeringsfarve2 5 8" xfId="2062" xr:uid="{00000000-0005-0000-0000-00000A190000}"/>
    <cellStyle name="20 % - Markeringsfarve2 5 8 2" xfId="6736" xr:uid="{00000000-0005-0000-0000-00000B190000}"/>
    <cellStyle name="20 % - Markeringsfarve2 5 8 2 2" xfId="14648" xr:uid="{00000000-0005-0000-0000-00000C190000}"/>
    <cellStyle name="20 % - Markeringsfarve2 5 8 2 2 2" xfId="30963" xr:uid="{00000000-0005-0000-0000-00000D190000}"/>
    <cellStyle name="20 % - Markeringsfarve2 5 8 2 2 3" xfId="45927" xr:uid="{00000000-0005-0000-0000-00000E190000}"/>
    <cellStyle name="20 % - Markeringsfarve2 5 8 2 3" xfId="23941" xr:uid="{00000000-0005-0000-0000-00000F190000}"/>
    <cellStyle name="20 % - Markeringsfarve2 5 8 2 4" xfId="38928" xr:uid="{00000000-0005-0000-0000-000010190000}"/>
    <cellStyle name="20 % - Markeringsfarve2 5 8 3" xfId="10622" xr:uid="{00000000-0005-0000-0000-000011190000}"/>
    <cellStyle name="20 % - Markeringsfarve2 5 8 3 2" xfId="26942" xr:uid="{00000000-0005-0000-0000-000012190000}"/>
    <cellStyle name="20 % - Markeringsfarve2 5 8 3 3" xfId="41908" xr:uid="{00000000-0005-0000-0000-000013190000}"/>
    <cellStyle name="20 % - Markeringsfarve2 5 8 4" xfId="19920" xr:uid="{00000000-0005-0000-0000-000014190000}"/>
    <cellStyle name="20 % - Markeringsfarve2 5 8 5" xfId="34909" xr:uid="{00000000-0005-0000-0000-000015190000}"/>
    <cellStyle name="20 % - Markeringsfarve2 5 9" xfId="2063" xr:uid="{00000000-0005-0000-0000-000016190000}"/>
    <cellStyle name="20 % - Markeringsfarve2 5 9 2" xfId="8596" xr:uid="{00000000-0005-0000-0000-000017190000}"/>
    <cellStyle name="20 % - Markeringsfarve2 5 9 2 2" xfId="16480" xr:uid="{00000000-0005-0000-0000-000018190000}"/>
    <cellStyle name="20 % - Markeringsfarve2 5 9 2 2 2" xfId="32795" xr:uid="{00000000-0005-0000-0000-000019190000}"/>
    <cellStyle name="20 % - Markeringsfarve2 5 9 2 2 3" xfId="47759" xr:uid="{00000000-0005-0000-0000-00001A190000}"/>
    <cellStyle name="20 % - Markeringsfarve2 5 9 2 3" xfId="25773" xr:uid="{00000000-0005-0000-0000-00001B190000}"/>
    <cellStyle name="20 % - Markeringsfarve2 5 9 2 4" xfId="40760" xr:uid="{00000000-0005-0000-0000-00001C190000}"/>
    <cellStyle name="20 % - Markeringsfarve2 5 9 3" xfId="10623" xr:uid="{00000000-0005-0000-0000-00001D190000}"/>
    <cellStyle name="20 % - Markeringsfarve2 5 9 3 2" xfId="26943" xr:uid="{00000000-0005-0000-0000-00001E190000}"/>
    <cellStyle name="20 % - Markeringsfarve2 5 9 3 3" xfId="41909" xr:uid="{00000000-0005-0000-0000-00001F190000}"/>
    <cellStyle name="20 % - Markeringsfarve2 5 9 4" xfId="19921" xr:uid="{00000000-0005-0000-0000-000020190000}"/>
    <cellStyle name="20 % - Markeringsfarve2 5 9 5" xfId="34910" xr:uid="{00000000-0005-0000-0000-000021190000}"/>
    <cellStyle name="20 % - Markeringsfarve2 6" xfId="2064" xr:uid="{00000000-0005-0000-0000-000022190000}"/>
    <cellStyle name="20 % - Markeringsfarve2 6 10" xfId="53312" xr:uid="{00000000-0005-0000-0000-000023190000}"/>
    <cellStyle name="20 % - Markeringsfarve2 6 2" xfId="2065" xr:uid="{00000000-0005-0000-0000-000024190000}"/>
    <cellStyle name="20 % - Markeringsfarve2 6 2 2" xfId="2066" xr:uid="{00000000-0005-0000-0000-000025190000}"/>
    <cellStyle name="20 % - Markeringsfarve2 6 2 2 2" xfId="2067" xr:uid="{00000000-0005-0000-0000-000026190000}"/>
    <cellStyle name="20 % - Markeringsfarve2 6 2 2 2 2" xfId="7682" xr:uid="{00000000-0005-0000-0000-000027190000}"/>
    <cellStyle name="20 % - Markeringsfarve2 6 2 2 2 2 2" xfId="15584" xr:uid="{00000000-0005-0000-0000-000028190000}"/>
    <cellStyle name="20 % - Markeringsfarve2 6 2 2 2 2 2 2" xfId="31899" xr:uid="{00000000-0005-0000-0000-000029190000}"/>
    <cellStyle name="20 % - Markeringsfarve2 6 2 2 2 2 2 3" xfId="46863" xr:uid="{00000000-0005-0000-0000-00002A190000}"/>
    <cellStyle name="20 % - Markeringsfarve2 6 2 2 2 2 3" xfId="24877" xr:uid="{00000000-0005-0000-0000-00002B190000}"/>
    <cellStyle name="20 % - Markeringsfarve2 6 2 2 2 2 4" xfId="39864" xr:uid="{00000000-0005-0000-0000-00002C190000}"/>
    <cellStyle name="20 % - Markeringsfarve2 6 2 2 2 3" xfId="10627" xr:uid="{00000000-0005-0000-0000-00002D190000}"/>
    <cellStyle name="20 % - Markeringsfarve2 6 2 2 2 3 2" xfId="26947" xr:uid="{00000000-0005-0000-0000-00002E190000}"/>
    <cellStyle name="20 % - Markeringsfarve2 6 2 2 2 3 3" xfId="41913" xr:uid="{00000000-0005-0000-0000-00002F190000}"/>
    <cellStyle name="20 % - Markeringsfarve2 6 2 2 2 4" xfId="19925" xr:uid="{00000000-0005-0000-0000-000030190000}"/>
    <cellStyle name="20 % - Markeringsfarve2 6 2 2 2 5" xfId="34914" xr:uid="{00000000-0005-0000-0000-000031190000}"/>
    <cellStyle name="20 % - Markeringsfarve2 6 2 2 3" xfId="6246" xr:uid="{00000000-0005-0000-0000-000032190000}"/>
    <cellStyle name="20 % - Markeringsfarve2 6 2 2 3 2" xfId="14164" xr:uid="{00000000-0005-0000-0000-000033190000}"/>
    <cellStyle name="20 % - Markeringsfarve2 6 2 2 3 2 2" xfId="30479" xr:uid="{00000000-0005-0000-0000-000034190000}"/>
    <cellStyle name="20 % - Markeringsfarve2 6 2 2 3 2 3" xfId="45443" xr:uid="{00000000-0005-0000-0000-000035190000}"/>
    <cellStyle name="20 % - Markeringsfarve2 6 2 2 3 3" xfId="23457" xr:uid="{00000000-0005-0000-0000-000036190000}"/>
    <cellStyle name="20 % - Markeringsfarve2 6 2 2 3 4" xfId="38444" xr:uid="{00000000-0005-0000-0000-000037190000}"/>
    <cellStyle name="20 % - Markeringsfarve2 6 2 2 4" xfId="10626" xr:uid="{00000000-0005-0000-0000-000038190000}"/>
    <cellStyle name="20 % - Markeringsfarve2 6 2 2 4 2" xfId="26946" xr:uid="{00000000-0005-0000-0000-000039190000}"/>
    <cellStyle name="20 % - Markeringsfarve2 6 2 2 4 3" xfId="41912" xr:uid="{00000000-0005-0000-0000-00003A190000}"/>
    <cellStyle name="20 % - Markeringsfarve2 6 2 2 5" xfId="19924" xr:uid="{00000000-0005-0000-0000-00003B190000}"/>
    <cellStyle name="20 % - Markeringsfarve2 6 2 2 6" xfId="34913" xr:uid="{00000000-0005-0000-0000-00003C190000}"/>
    <cellStyle name="20 % - Markeringsfarve2 6 2 2 7" xfId="57116" xr:uid="{00000000-0005-0000-0000-00003D190000}"/>
    <cellStyle name="20 % - Markeringsfarve2 6 2 3" xfId="2068" xr:uid="{00000000-0005-0000-0000-00003E190000}"/>
    <cellStyle name="20 % - Markeringsfarve2 6 2 3 2" xfId="6912" xr:uid="{00000000-0005-0000-0000-00003F190000}"/>
    <cellStyle name="20 % - Markeringsfarve2 6 2 3 2 2" xfId="14824" xr:uid="{00000000-0005-0000-0000-000040190000}"/>
    <cellStyle name="20 % - Markeringsfarve2 6 2 3 2 2 2" xfId="31139" xr:uid="{00000000-0005-0000-0000-000041190000}"/>
    <cellStyle name="20 % - Markeringsfarve2 6 2 3 2 2 3" xfId="46103" xr:uid="{00000000-0005-0000-0000-000042190000}"/>
    <cellStyle name="20 % - Markeringsfarve2 6 2 3 2 3" xfId="24117" xr:uid="{00000000-0005-0000-0000-000043190000}"/>
    <cellStyle name="20 % - Markeringsfarve2 6 2 3 2 4" xfId="39104" xr:uid="{00000000-0005-0000-0000-000044190000}"/>
    <cellStyle name="20 % - Markeringsfarve2 6 2 3 3" xfId="10628" xr:uid="{00000000-0005-0000-0000-000045190000}"/>
    <cellStyle name="20 % - Markeringsfarve2 6 2 3 3 2" xfId="26948" xr:uid="{00000000-0005-0000-0000-000046190000}"/>
    <cellStyle name="20 % - Markeringsfarve2 6 2 3 3 3" xfId="41914" xr:uid="{00000000-0005-0000-0000-000047190000}"/>
    <cellStyle name="20 % - Markeringsfarve2 6 2 3 4" xfId="19926" xr:uid="{00000000-0005-0000-0000-000048190000}"/>
    <cellStyle name="20 % - Markeringsfarve2 6 2 3 5" xfId="34915" xr:uid="{00000000-0005-0000-0000-000049190000}"/>
    <cellStyle name="20 % - Markeringsfarve2 6 2 4" xfId="2069" xr:uid="{00000000-0005-0000-0000-00004A190000}"/>
    <cellStyle name="20 % - Markeringsfarve2 6 2 4 2" xfId="8470" xr:uid="{00000000-0005-0000-0000-00004B190000}"/>
    <cellStyle name="20 % - Markeringsfarve2 6 2 4 2 2" xfId="16359" xr:uid="{00000000-0005-0000-0000-00004C190000}"/>
    <cellStyle name="20 % - Markeringsfarve2 6 2 4 2 2 2" xfId="32674" xr:uid="{00000000-0005-0000-0000-00004D190000}"/>
    <cellStyle name="20 % - Markeringsfarve2 6 2 4 2 2 3" xfId="47638" xr:uid="{00000000-0005-0000-0000-00004E190000}"/>
    <cellStyle name="20 % - Markeringsfarve2 6 2 4 2 3" xfId="25652" xr:uid="{00000000-0005-0000-0000-00004F190000}"/>
    <cellStyle name="20 % - Markeringsfarve2 6 2 4 2 4" xfId="40639" xr:uid="{00000000-0005-0000-0000-000050190000}"/>
    <cellStyle name="20 % - Markeringsfarve2 6 2 4 3" xfId="10629" xr:uid="{00000000-0005-0000-0000-000051190000}"/>
    <cellStyle name="20 % - Markeringsfarve2 6 2 4 3 2" xfId="26949" xr:uid="{00000000-0005-0000-0000-000052190000}"/>
    <cellStyle name="20 % - Markeringsfarve2 6 2 4 3 3" xfId="41915" xr:uid="{00000000-0005-0000-0000-000053190000}"/>
    <cellStyle name="20 % - Markeringsfarve2 6 2 4 4" xfId="19927" xr:uid="{00000000-0005-0000-0000-000054190000}"/>
    <cellStyle name="20 % - Markeringsfarve2 6 2 4 5" xfId="34916" xr:uid="{00000000-0005-0000-0000-000055190000}"/>
    <cellStyle name="20 % - Markeringsfarve2 6 2 5" xfId="5455" xr:uid="{00000000-0005-0000-0000-000056190000}"/>
    <cellStyle name="20 % - Markeringsfarve2 6 2 5 2" xfId="13374" xr:uid="{00000000-0005-0000-0000-000057190000}"/>
    <cellStyle name="20 % - Markeringsfarve2 6 2 5 2 2" xfId="29689" xr:uid="{00000000-0005-0000-0000-000058190000}"/>
    <cellStyle name="20 % - Markeringsfarve2 6 2 5 2 3" xfId="44653" xr:uid="{00000000-0005-0000-0000-000059190000}"/>
    <cellStyle name="20 % - Markeringsfarve2 6 2 5 3" xfId="22667" xr:uid="{00000000-0005-0000-0000-00005A190000}"/>
    <cellStyle name="20 % - Markeringsfarve2 6 2 5 4" xfId="37654" xr:uid="{00000000-0005-0000-0000-00005B190000}"/>
    <cellStyle name="20 % - Markeringsfarve2 6 2 6" xfId="10625" xr:uid="{00000000-0005-0000-0000-00005C190000}"/>
    <cellStyle name="20 % - Markeringsfarve2 6 2 6 2" xfId="26945" xr:uid="{00000000-0005-0000-0000-00005D190000}"/>
    <cellStyle name="20 % - Markeringsfarve2 6 2 6 3" xfId="41911" xr:uid="{00000000-0005-0000-0000-00005E190000}"/>
    <cellStyle name="20 % - Markeringsfarve2 6 2 7" xfId="19923" xr:uid="{00000000-0005-0000-0000-00005F190000}"/>
    <cellStyle name="20 % - Markeringsfarve2 6 2 8" xfId="34912" xr:uid="{00000000-0005-0000-0000-000060190000}"/>
    <cellStyle name="20 % - Markeringsfarve2 6 2 9" xfId="53949" xr:uid="{00000000-0005-0000-0000-000061190000}"/>
    <cellStyle name="20 % - Markeringsfarve2 6 3" xfId="2070" xr:uid="{00000000-0005-0000-0000-000062190000}"/>
    <cellStyle name="20 % - Markeringsfarve2 6 3 2" xfId="2071" xr:uid="{00000000-0005-0000-0000-000063190000}"/>
    <cellStyle name="20 % - Markeringsfarve2 6 3 2 2" xfId="7549" xr:uid="{00000000-0005-0000-0000-000064190000}"/>
    <cellStyle name="20 % - Markeringsfarve2 6 3 2 2 2" xfId="15451" xr:uid="{00000000-0005-0000-0000-000065190000}"/>
    <cellStyle name="20 % - Markeringsfarve2 6 3 2 2 2 2" xfId="31766" xr:uid="{00000000-0005-0000-0000-000066190000}"/>
    <cellStyle name="20 % - Markeringsfarve2 6 3 2 2 2 3" xfId="46730" xr:uid="{00000000-0005-0000-0000-000067190000}"/>
    <cellStyle name="20 % - Markeringsfarve2 6 3 2 2 3" xfId="24744" xr:uid="{00000000-0005-0000-0000-000068190000}"/>
    <cellStyle name="20 % - Markeringsfarve2 6 3 2 2 4" xfId="39731" xr:uid="{00000000-0005-0000-0000-000069190000}"/>
    <cellStyle name="20 % - Markeringsfarve2 6 3 2 3" xfId="10631" xr:uid="{00000000-0005-0000-0000-00006A190000}"/>
    <cellStyle name="20 % - Markeringsfarve2 6 3 2 3 2" xfId="26951" xr:uid="{00000000-0005-0000-0000-00006B190000}"/>
    <cellStyle name="20 % - Markeringsfarve2 6 3 2 3 3" xfId="41917" xr:uid="{00000000-0005-0000-0000-00006C190000}"/>
    <cellStyle name="20 % - Markeringsfarve2 6 3 2 4" xfId="19929" xr:uid="{00000000-0005-0000-0000-00006D190000}"/>
    <cellStyle name="20 % - Markeringsfarve2 6 3 2 5" xfId="34918" xr:uid="{00000000-0005-0000-0000-00006E190000}"/>
    <cellStyle name="20 % - Markeringsfarve2 6 3 3" xfId="6132" xr:uid="{00000000-0005-0000-0000-00006F190000}"/>
    <cellStyle name="20 % - Markeringsfarve2 6 3 3 2" xfId="14050" xr:uid="{00000000-0005-0000-0000-000070190000}"/>
    <cellStyle name="20 % - Markeringsfarve2 6 3 3 2 2" xfId="30365" xr:uid="{00000000-0005-0000-0000-000071190000}"/>
    <cellStyle name="20 % - Markeringsfarve2 6 3 3 2 3" xfId="45329" xr:uid="{00000000-0005-0000-0000-000072190000}"/>
    <cellStyle name="20 % - Markeringsfarve2 6 3 3 3" xfId="23343" xr:uid="{00000000-0005-0000-0000-000073190000}"/>
    <cellStyle name="20 % - Markeringsfarve2 6 3 3 4" xfId="38330" xr:uid="{00000000-0005-0000-0000-000074190000}"/>
    <cellStyle name="20 % - Markeringsfarve2 6 3 4" xfId="10630" xr:uid="{00000000-0005-0000-0000-000075190000}"/>
    <cellStyle name="20 % - Markeringsfarve2 6 3 4 2" xfId="26950" xr:uid="{00000000-0005-0000-0000-000076190000}"/>
    <cellStyle name="20 % - Markeringsfarve2 6 3 4 3" xfId="41916" xr:uid="{00000000-0005-0000-0000-000077190000}"/>
    <cellStyle name="20 % - Markeringsfarve2 6 3 5" xfId="19928" xr:uid="{00000000-0005-0000-0000-000078190000}"/>
    <cellStyle name="20 % - Markeringsfarve2 6 3 6" xfId="34917" xr:uid="{00000000-0005-0000-0000-000079190000}"/>
    <cellStyle name="20 % - Markeringsfarve2 6 3 7" xfId="56493" xr:uid="{00000000-0005-0000-0000-00007A190000}"/>
    <cellStyle name="20 % - Markeringsfarve2 6 4" xfId="2072" xr:uid="{00000000-0005-0000-0000-00007B190000}"/>
    <cellStyle name="20 % - Markeringsfarve2 6 4 2" xfId="6779" xr:uid="{00000000-0005-0000-0000-00007C190000}"/>
    <cellStyle name="20 % - Markeringsfarve2 6 4 2 2" xfId="14691" xr:uid="{00000000-0005-0000-0000-00007D190000}"/>
    <cellStyle name="20 % - Markeringsfarve2 6 4 2 2 2" xfId="31006" xr:uid="{00000000-0005-0000-0000-00007E190000}"/>
    <cellStyle name="20 % - Markeringsfarve2 6 4 2 2 3" xfId="45970" xr:uid="{00000000-0005-0000-0000-00007F190000}"/>
    <cellStyle name="20 % - Markeringsfarve2 6 4 2 3" xfId="23984" xr:uid="{00000000-0005-0000-0000-000080190000}"/>
    <cellStyle name="20 % - Markeringsfarve2 6 4 2 4" xfId="38971" xr:uid="{00000000-0005-0000-0000-000081190000}"/>
    <cellStyle name="20 % - Markeringsfarve2 6 4 3" xfId="10632" xr:uid="{00000000-0005-0000-0000-000082190000}"/>
    <cellStyle name="20 % - Markeringsfarve2 6 4 3 2" xfId="26952" xr:uid="{00000000-0005-0000-0000-000083190000}"/>
    <cellStyle name="20 % - Markeringsfarve2 6 4 3 3" xfId="41918" xr:uid="{00000000-0005-0000-0000-000084190000}"/>
    <cellStyle name="20 % - Markeringsfarve2 6 4 4" xfId="19930" xr:uid="{00000000-0005-0000-0000-000085190000}"/>
    <cellStyle name="20 % - Markeringsfarve2 6 4 5" xfId="34919" xr:uid="{00000000-0005-0000-0000-000086190000}"/>
    <cellStyle name="20 % - Markeringsfarve2 6 5" xfId="2073" xr:uid="{00000000-0005-0000-0000-000087190000}"/>
    <cellStyle name="20 % - Markeringsfarve2 6 5 2" xfId="8465" xr:uid="{00000000-0005-0000-0000-000088190000}"/>
    <cellStyle name="20 % - Markeringsfarve2 6 5 2 2" xfId="16355" xr:uid="{00000000-0005-0000-0000-000089190000}"/>
    <cellStyle name="20 % - Markeringsfarve2 6 5 2 2 2" xfId="32670" xr:uid="{00000000-0005-0000-0000-00008A190000}"/>
    <cellStyle name="20 % - Markeringsfarve2 6 5 2 2 3" xfId="47634" xr:uid="{00000000-0005-0000-0000-00008B190000}"/>
    <cellStyle name="20 % - Markeringsfarve2 6 5 2 3" xfId="25648" xr:uid="{00000000-0005-0000-0000-00008C190000}"/>
    <cellStyle name="20 % - Markeringsfarve2 6 5 2 4" xfId="40635" xr:uid="{00000000-0005-0000-0000-00008D190000}"/>
    <cellStyle name="20 % - Markeringsfarve2 6 5 3" xfId="10633" xr:uid="{00000000-0005-0000-0000-00008E190000}"/>
    <cellStyle name="20 % - Markeringsfarve2 6 5 3 2" xfId="26953" xr:uid="{00000000-0005-0000-0000-00008F190000}"/>
    <cellStyle name="20 % - Markeringsfarve2 6 5 3 3" xfId="41919" xr:uid="{00000000-0005-0000-0000-000090190000}"/>
    <cellStyle name="20 % - Markeringsfarve2 6 5 4" xfId="19931" xr:uid="{00000000-0005-0000-0000-000091190000}"/>
    <cellStyle name="20 % - Markeringsfarve2 6 5 5" xfId="34920" xr:uid="{00000000-0005-0000-0000-000092190000}"/>
    <cellStyle name="20 % - Markeringsfarve2 6 6" xfId="5454" xr:uid="{00000000-0005-0000-0000-000093190000}"/>
    <cellStyle name="20 % - Markeringsfarve2 6 6 2" xfId="13373" xr:uid="{00000000-0005-0000-0000-000094190000}"/>
    <cellStyle name="20 % - Markeringsfarve2 6 6 2 2" xfId="29688" xr:uid="{00000000-0005-0000-0000-000095190000}"/>
    <cellStyle name="20 % - Markeringsfarve2 6 6 2 3" xfId="44652" xr:uid="{00000000-0005-0000-0000-000096190000}"/>
    <cellStyle name="20 % - Markeringsfarve2 6 6 3" xfId="22666" xr:uid="{00000000-0005-0000-0000-000097190000}"/>
    <cellStyle name="20 % - Markeringsfarve2 6 6 4" xfId="37653" xr:uid="{00000000-0005-0000-0000-000098190000}"/>
    <cellStyle name="20 % - Markeringsfarve2 6 7" xfId="10624" xr:uid="{00000000-0005-0000-0000-000099190000}"/>
    <cellStyle name="20 % - Markeringsfarve2 6 7 2" xfId="26944" xr:uid="{00000000-0005-0000-0000-00009A190000}"/>
    <cellStyle name="20 % - Markeringsfarve2 6 7 3" xfId="41910" xr:uid="{00000000-0005-0000-0000-00009B190000}"/>
    <cellStyle name="20 % - Markeringsfarve2 6 8" xfId="19922" xr:uid="{00000000-0005-0000-0000-00009C190000}"/>
    <cellStyle name="20 % - Markeringsfarve2 6 9" xfId="34911" xr:uid="{00000000-0005-0000-0000-00009D190000}"/>
    <cellStyle name="20 % - Markeringsfarve2 7" xfId="2074" xr:uid="{00000000-0005-0000-0000-00009E190000}"/>
    <cellStyle name="20 % - Markeringsfarve2 7 2" xfId="2075" xr:uid="{00000000-0005-0000-0000-00009F190000}"/>
    <cellStyle name="20 % - Markeringsfarve2 7 2 2" xfId="2076" xr:uid="{00000000-0005-0000-0000-0000A0190000}"/>
    <cellStyle name="20 % - Markeringsfarve2 7 2 2 2" xfId="7787" xr:uid="{00000000-0005-0000-0000-0000A1190000}"/>
    <cellStyle name="20 % - Markeringsfarve2 7 2 2 2 2" xfId="15689" xr:uid="{00000000-0005-0000-0000-0000A2190000}"/>
    <cellStyle name="20 % - Markeringsfarve2 7 2 2 2 2 2" xfId="32004" xr:uid="{00000000-0005-0000-0000-0000A3190000}"/>
    <cellStyle name="20 % - Markeringsfarve2 7 2 2 2 2 3" xfId="46968" xr:uid="{00000000-0005-0000-0000-0000A4190000}"/>
    <cellStyle name="20 % - Markeringsfarve2 7 2 2 2 3" xfId="24982" xr:uid="{00000000-0005-0000-0000-0000A5190000}"/>
    <cellStyle name="20 % - Markeringsfarve2 7 2 2 2 4" xfId="39969" xr:uid="{00000000-0005-0000-0000-0000A6190000}"/>
    <cellStyle name="20 % - Markeringsfarve2 7 2 2 3" xfId="10636" xr:uid="{00000000-0005-0000-0000-0000A7190000}"/>
    <cellStyle name="20 % - Markeringsfarve2 7 2 2 3 2" xfId="26956" xr:uid="{00000000-0005-0000-0000-0000A8190000}"/>
    <cellStyle name="20 % - Markeringsfarve2 7 2 2 3 3" xfId="41922" xr:uid="{00000000-0005-0000-0000-0000A9190000}"/>
    <cellStyle name="20 % - Markeringsfarve2 7 2 2 4" xfId="19934" xr:uid="{00000000-0005-0000-0000-0000AA190000}"/>
    <cellStyle name="20 % - Markeringsfarve2 7 2 2 5" xfId="34923" xr:uid="{00000000-0005-0000-0000-0000AB190000}"/>
    <cellStyle name="20 % - Markeringsfarve2 7 2 3" xfId="6334" xr:uid="{00000000-0005-0000-0000-0000AC190000}"/>
    <cellStyle name="20 % - Markeringsfarve2 7 2 3 2" xfId="14249" xr:uid="{00000000-0005-0000-0000-0000AD190000}"/>
    <cellStyle name="20 % - Markeringsfarve2 7 2 3 2 2" xfId="30564" xr:uid="{00000000-0005-0000-0000-0000AE190000}"/>
    <cellStyle name="20 % - Markeringsfarve2 7 2 3 2 3" xfId="45528" xr:uid="{00000000-0005-0000-0000-0000AF190000}"/>
    <cellStyle name="20 % - Markeringsfarve2 7 2 3 3" xfId="23542" xr:uid="{00000000-0005-0000-0000-0000B0190000}"/>
    <cellStyle name="20 % - Markeringsfarve2 7 2 3 4" xfId="38529" xr:uid="{00000000-0005-0000-0000-0000B1190000}"/>
    <cellStyle name="20 % - Markeringsfarve2 7 2 4" xfId="10635" xr:uid="{00000000-0005-0000-0000-0000B2190000}"/>
    <cellStyle name="20 % - Markeringsfarve2 7 2 4 2" xfId="26955" xr:uid="{00000000-0005-0000-0000-0000B3190000}"/>
    <cellStyle name="20 % - Markeringsfarve2 7 2 4 3" xfId="41921" xr:uid="{00000000-0005-0000-0000-0000B4190000}"/>
    <cellStyle name="20 % - Markeringsfarve2 7 2 5" xfId="19933" xr:uid="{00000000-0005-0000-0000-0000B5190000}"/>
    <cellStyle name="20 % - Markeringsfarve2 7 2 6" xfId="34922" xr:uid="{00000000-0005-0000-0000-0000B6190000}"/>
    <cellStyle name="20 % - Markeringsfarve2 7 2 7" xfId="57056" xr:uid="{00000000-0005-0000-0000-0000B7190000}"/>
    <cellStyle name="20 % - Markeringsfarve2 7 3" xfId="2077" xr:uid="{00000000-0005-0000-0000-0000B8190000}"/>
    <cellStyle name="20 % - Markeringsfarve2 7 3 2" xfId="7063" xr:uid="{00000000-0005-0000-0000-0000B9190000}"/>
    <cellStyle name="20 % - Markeringsfarve2 7 3 2 2" xfId="14974" xr:uid="{00000000-0005-0000-0000-0000BA190000}"/>
    <cellStyle name="20 % - Markeringsfarve2 7 3 2 2 2" xfId="31289" xr:uid="{00000000-0005-0000-0000-0000BB190000}"/>
    <cellStyle name="20 % - Markeringsfarve2 7 3 2 2 3" xfId="46253" xr:uid="{00000000-0005-0000-0000-0000BC190000}"/>
    <cellStyle name="20 % - Markeringsfarve2 7 3 2 3" xfId="24267" xr:uid="{00000000-0005-0000-0000-0000BD190000}"/>
    <cellStyle name="20 % - Markeringsfarve2 7 3 2 4" xfId="39254" xr:uid="{00000000-0005-0000-0000-0000BE190000}"/>
    <cellStyle name="20 % - Markeringsfarve2 7 3 3" xfId="10637" xr:uid="{00000000-0005-0000-0000-0000BF190000}"/>
    <cellStyle name="20 % - Markeringsfarve2 7 3 3 2" xfId="26957" xr:uid="{00000000-0005-0000-0000-0000C0190000}"/>
    <cellStyle name="20 % - Markeringsfarve2 7 3 3 3" xfId="41923" xr:uid="{00000000-0005-0000-0000-0000C1190000}"/>
    <cellStyle name="20 % - Markeringsfarve2 7 3 4" xfId="19935" xr:uid="{00000000-0005-0000-0000-0000C2190000}"/>
    <cellStyle name="20 % - Markeringsfarve2 7 3 5" xfId="34924" xr:uid="{00000000-0005-0000-0000-0000C3190000}"/>
    <cellStyle name="20 % - Markeringsfarve2 7 4" xfId="2078" xr:uid="{00000000-0005-0000-0000-0000C4190000}"/>
    <cellStyle name="20 % - Markeringsfarve2 7 4 2" xfId="8735" xr:uid="{00000000-0005-0000-0000-0000C5190000}"/>
    <cellStyle name="20 % - Markeringsfarve2 7 4 2 2" xfId="16612" xr:uid="{00000000-0005-0000-0000-0000C6190000}"/>
    <cellStyle name="20 % - Markeringsfarve2 7 4 2 2 2" xfId="32927" xr:uid="{00000000-0005-0000-0000-0000C7190000}"/>
    <cellStyle name="20 % - Markeringsfarve2 7 4 2 2 3" xfId="47891" xr:uid="{00000000-0005-0000-0000-0000C8190000}"/>
    <cellStyle name="20 % - Markeringsfarve2 7 4 2 3" xfId="25905" xr:uid="{00000000-0005-0000-0000-0000C9190000}"/>
    <cellStyle name="20 % - Markeringsfarve2 7 4 2 4" xfId="40892" xr:uid="{00000000-0005-0000-0000-0000CA190000}"/>
    <cellStyle name="20 % - Markeringsfarve2 7 4 3" xfId="10638" xr:uid="{00000000-0005-0000-0000-0000CB190000}"/>
    <cellStyle name="20 % - Markeringsfarve2 7 4 3 2" xfId="26958" xr:uid="{00000000-0005-0000-0000-0000CC190000}"/>
    <cellStyle name="20 % - Markeringsfarve2 7 4 3 3" xfId="41924" xr:uid="{00000000-0005-0000-0000-0000CD190000}"/>
    <cellStyle name="20 % - Markeringsfarve2 7 4 4" xfId="19936" xr:uid="{00000000-0005-0000-0000-0000CE190000}"/>
    <cellStyle name="20 % - Markeringsfarve2 7 4 5" xfId="34925" xr:uid="{00000000-0005-0000-0000-0000CF190000}"/>
    <cellStyle name="20 % - Markeringsfarve2 7 5" xfId="5456" xr:uid="{00000000-0005-0000-0000-0000D0190000}"/>
    <cellStyle name="20 % - Markeringsfarve2 7 5 2" xfId="13375" xr:uid="{00000000-0005-0000-0000-0000D1190000}"/>
    <cellStyle name="20 % - Markeringsfarve2 7 5 2 2" xfId="29690" xr:uid="{00000000-0005-0000-0000-0000D2190000}"/>
    <cellStyle name="20 % - Markeringsfarve2 7 5 2 3" xfId="44654" xr:uid="{00000000-0005-0000-0000-0000D3190000}"/>
    <cellStyle name="20 % - Markeringsfarve2 7 5 3" xfId="22668" xr:uid="{00000000-0005-0000-0000-0000D4190000}"/>
    <cellStyle name="20 % - Markeringsfarve2 7 5 4" xfId="37655" xr:uid="{00000000-0005-0000-0000-0000D5190000}"/>
    <cellStyle name="20 % - Markeringsfarve2 7 6" xfId="10634" xr:uid="{00000000-0005-0000-0000-0000D6190000}"/>
    <cellStyle name="20 % - Markeringsfarve2 7 6 2" xfId="26954" xr:uid="{00000000-0005-0000-0000-0000D7190000}"/>
    <cellStyle name="20 % - Markeringsfarve2 7 6 3" xfId="41920" xr:uid="{00000000-0005-0000-0000-0000D8190000}"/>
    <cellStyle name="20 % - Markeringsfarve2 7 7" xfId="19932" xr:uid="{00000000-0005-0000-0000-0000D9190000}"/>
    <cellStyle name="20 % - Markeringsfarve2 7 8" xfId="34921" xr:uid="{00000000-0005-0000-0000-0000DA190000}"/>
    <cellStyle name="20 % - Markeringsfarve2 7 9" xfId="53889" xr:uid="{00000000-0005-0000-0000-0000DB190000}"/>
    <cellStyle name="20 % - Markeringsfarve2 8" xfId="2079" xr:uid="{00000000-0005-0000-0000-0000DC190000}"/>
    <cellStyle name="20 % - Markeringsfarve2 8 2" xfId="2080" xr:uid="{00000000-0005-0000-0000-0000DD190000}"/>
    <cellStyle name="20 % - Markeringsfarve2 8 2 2" xfId="2081" xr:uid="{00000000-0005-0000-0000-0000DE190000}"/>
    <cellStyle name="20 % - Markeringsfarve2 8 2 2 2" xfId="7904" xr:uid="{00000000-0005-0000-0000-0000DF190000}"/>
    <cellStyle name="20 % - Markeringsfarve2 8 2 2 2 2" xfId="15806" xr:uid="{00000000-0005-0000-0000-0000E0190000}"/>
    <cellStyle name="20 % - Markeringsfarve2 8 2 2 2 2 2" xfId="32121" xr:uid="{00000000-0005-0000-0000-0000E1190000}"/>
    <cellStyle name="20 % - Markeringsfarve2 8 2 2 2 2 3" xfId="47085" xr:uid="{00000000-0005-0000-0000-0000E2190000}"/>
    <cellStyle name="20 % - Markeringsfarve2 8 2 2 2 3" xfId="25099" xr:uid="{00000000-0005-0000-0000-0000E3190000}"/>
    <cellStyle name="20 % - Markeringsfarve2 8 2 2 2 4" xfId="40086" xr:uid="{00000000-0005-0000-0000-0000E4190000}"/>
    <cellStyle name="20 % - Markeringsfarve2 8 2 2 3" xfId="10641" xr:uid="{00000000-0005-0000-0000-0000E5190000}"/>
    <cellStyle name="20 % - Markeringsfarve2 8 2 2 3 2" xfId="26961" xr:uid="{00000000-0005-0000-0000-0000E6190000}"/>
    <cellStyle name="20 % - Markeringsfarve2 8 2 2 3 3" xfId="41927" xr:uid="{00000000-0005-0000-0000-0000E7190000}"/>
    <cellStyle name="20 % - Markeringsfarve2 8 2 2 4" xfId="19939" xr:uid="{00000000-0005-0000-0000-0000E8190000}"/>
    <cellStyle name="20 % - Markeringsfarve2 8 2 2 5" xfId="34928" xr:uid="{00000000-0005-0000-0000-0000E9190000}"/>
    <cellStyle name="20 % - Markeringsfarve2 8 2 3" xfId="6433" xr:uid="{00000000-0005-0000-0000-0000EA190000}"/>
    <cellStyle name="20 % - Markeringsfarve2 8 2 3 2" xfId="14348" xr:uid="{00000000-0005-0000-0000-0000EB190000}"/>
    <cellStyle name="20 % - Markeringsfarve2 8 2 3 2 2" xfId="30663" xr:uid="{00000000-0005-0000-0000-0000EC190000}"/>
    <cellStyle name="20 % - Markeringsfarve2 8 2 3 2 3" xfId="45627" xr:uid="{00000000-0005-0000-0000-0000ED190000}"/>
    <cellStyle name="20 % - Markeringsfarve2 8 2 3 3" xfId="23641" xr:uid="{00000000-0005-0000-0000-0000EE190000}"/>
    <cellStyle name="20 % - Markeringsfarve2 8 2 3 4" xfId="38628" xr:uid="{00000000-0005-0000-0000-0000EF190000}"/>
    <cellStyle name="20 % - Markeringsfarve2 8 2 4" xfId="10640" xr:uid="{00000000-0005-0000-0000-0000F0190000}"/>
    <cellStyle name="20 % - Markeringsfarve2 8 2 4 2" xfId="26960" xr:uid="{00000000-0005-0000-0000-0000F1190000}"/>
    <cellStyle name="20 % - Markeringsfarve2 8 2 4 3" xfId="41926" xr:uid="{00000000-0005-0000-0000-0000F2190000}"/>
    <cellStyle name="20 % - Markeringsfarve2 8 2 5" xfId="19938" xr:uid="{00000000-0005-0000-0000-0000F3190000}"/>
    <cellStyle name="20 % - Markeringsfarve2 8 2 6" xfId="34927" xr:uid="{00000000-0005-0000-0000-0000F4190000}"/>
    <cellStyle name="20 % - Markeringsfarve2 8 3" xfId="2082" xr:uid="{00000000-0005-0000-0000-0000F5190000}"/>
    <cellStyle name="20 % - Markeringsfarve2 8 3 2" xfId="7180" xr:uid="{00000000-0005-0000-0000-0000F6190000}"/>
    <cellStyle name="20 % - Markeringsfarve2 8 3 2 2" xfId="15091" xr:uid="{00000000-0005-0000-0000-0000F7190000}"/>
    <cellStyle name="20 % - Markeringsfarve2 8 3 2 2 2" xfId="31406" xr:uid="{00000000-0005-0000-0000-0000F8190000}"/>
    <cellStyle name="20 % - Markeringsfarve2 8 3 2 2 3" xfId="46370" xr:uid="{00000000-0005-0000-0000-0000F9190000}"/>
    <cellStyle name="20 % - Markeringsfarve2 8 3 2 3" xfId="24384" xr:uid="{00000000-0005-0000-0000-0000FA190000}"/>
    <cellStyle name="20 % - Markeringsfarve2 8 3 2 4" xfId="39371" xr:uid="{00000000-0005-0000-0000-0000FB190000}"/>
    <cellStyle name="20 % - Markeringsfarve2 8 3 3" xfId="10642" xr:uid="{00000000-0005-0000-0000-0000FC190000}"/>
    <cellStyle name="20 % - Markeringsfarve2 8 3 3 2" xfId="26962" xr:uid="{00000000-0005-0000-0000-0000FD190000}"/>
    <cellStyle name="20 % - Markeringsfarve2 8 3 3 3" xfId="41928" xr:uid="{00000000-0005-0000-0000-0000FE190000}"/>
    <cellStyle name="20 % - Markeringsfarve2 8 3 4" xfId="19940" xr:uid="{00000000-0005-0000-0000-0000FF190000}"/>
    <cellStyle name="20 % - Markeringsfarve2 8 3 5" xfId="34929" xr:uid="{00000000-0005-0000-0000-0000001A0000}"/>
    <cellStyle name="20 % - Markeringsfarve2 8 4" xfId="2083" xr:uid="{00000000-0005-0000-0000-0000011A0000}"/>
    <cellStyle name="20 % - Markeringsfarve2 8 4 2" xfId="8456" xr:uid="{00000000-0005-0000-0000-0000021A0000}"/>
    <cellStyle name="20 % - Markeringsfarve2 8 4 2 2" xfId="16346" xr:uid="{00000000-0005-0000-0000-0000031A0000}"/>
    <cellStyle name="20 % - Markeringsfarve2 8 4 2 2 2" xfId="32661" xr:uid="{00000000-0005-0000-0000-0000041A0000}"/>
    <cellStyle name="20 % - Markeringsfarve2 8 4 2 2 3" xfId="47625" xr:uid="{00000000-0005-0000-0000-0000051A0000}"/>
    <cellStyle name="20 % - Markeringsfarve2 8 4 2 3" xfId="25639" xr:uid="{00000000-0005-0000-0000-0000061A0000}"/>
    <cellStyle name="20 % - Markeringsfarve2 8 4 2 4" xfId="40626" xr:uid="{00000000-0005-0000-0000-0000071A0000}"/>
    <cellStyle name="20 % - Markeringsfarve2 8 4 3" xfId="10643" xr:uid="{00000000-0005-0000-0000-0000081A0000}"/>
    <cellStyle name="20 % - Markeringsfarve2 8 4 3 2" xfId="26963" xr:uid="{00000000-0005-0000-0000-0000091A0000}"/>
    <cellStyle name="20 % - Markeringsfarve2 8 4 3 3" xfId="41929" xr:uid="{00000000-0005-0000-0000-00000A1A0000}"/>
    <cellStyle name="20 % - Markeringsfarve2 8 4 4" xfId="19941" xr:uid="{00000000-0005-0000-0000-00000B1A0000}"/>
    <cellStyle name="20 % - Markeringsfarve2 8 4 5" xfId="34930" xr:uid="{00000000-0005-0000-0000-00000C1A0000}"/>
    <cellStyle name="20 % - Markeringsfarve2 8 5" xfId="5457" xr:uid="{00000000-0005-0000-0000-00000D1A0000}"/>
    <cellStyle name="20 % - Markeringsfarve2 8 5 2" xfId="13376" xr:uid="{00000000-0005-0000-0000-00000E1A0000}"/>
    <cellStyle name="20 % - Markeringsfarve2 8 5 2 2" xfId="29691" xr:uid="{00000000-0005-0000-0000-00000F1A0000}"/>
    <cellStyle name="20 % - Markeringsfarve2 8 5 2 3" xfId="44655" xr:uid="{00000000-0005-0000-0000-0000101A0000}"/>
    <cellStyle name="20 % - Markeringsfarve2 8 5 3" xfId="22669" xr:uid="{00000000-0005-0000-0000-0000111A0000}"/>
    <cellStyle name="20 % - Markeringsfarve2 8 5 4" xfId="37656" xr:uid="{00000000-0005-0000-0000-0000121A0000}"/>
    <cellStyle name="20 % - Markeringsfarve2 8 6" xfId="10639" xr:uid="{00000000-0005-0000-0000-0000131A0000}"/>
    <cellStyle name="20 % - Markeringsfarve2 8 6 2" xfId="26959" xr:uid="{00000000-0005-0000-0000-0000141A0000}"/>
    <cellStyle name="20 % - Markeringsfarve2 8 6 3" xfId="41925" xr:uid="{00000000-0005-0000-0000-0000151A0000}"/>
    <cellStyle name="20 % - Markeringsfarve2 8 7" xfId="19937" xr:uid="{00000000-0005-0000-0000-0000161A0000}"/>
    <cellStyle name="20 % - Markeringsfarve2 8 8" xfId="34926" xr:uid="{00000000-0005-0000-0000-0000171A0000}"/>
    <cellStyle name="20 % - Markeringsfarve2 9" xfId="2084" xr:uid="{00000000-0005-0000-0000-0000181A0000}"/>
    <cellStyle name="20 % - Markeringsfarve2 9 2" xfId="2085" xr:uid="{00000000-0005-0000-0000-0000191A0000}"/>
    <cellStyle name="20 % - Markeringsfarve2 9 2 2" xfId="2086" xr:uid="{00000000-0005-0000-0000-00001A1A0000}"/>
    <cellStyle name="20 % - Markeringsfarve2 9 2 2 2" xfId="8028" xr:uid="{00000000-0005-0000-0000-00001B1A0000}"/>
    <cellStyle name="20 % - Markeringsfarve2 9 2 2 2 2" xfId="15930" xr:uid="{00000000-0005-0000-0000-00001C1A0000}"/>
    <cellStyle name="20 % - Markeringsfarve2 9 2 2 2 2 2" xfId="32245" xr:uid="{00000000-0005-0000-0000-00001D1A0000}"/>
    <cellStyle name="20 % - Markeringsfarve2 9 2 2 2 2 3" xfId="47209" xr:uid="{00000000-0005-0000-0000-00001E1A0000}"/>
    <cellStyle name="20 % - Markeringsfarve2 9 2 2 2 3" xfId="25223" xr:uid="{00000000-0005-0000-0000-00001F1A0000}"/>
    <cellStyle name="20 % - Markeringsfarve2 9 2 2 2 4" xfId="40210" xr:uid="{00000000-0005-0000-0000-0000201A0000}"/>
    <cellStyle name="20 % - Markeringsfarve2 9 2 2 3" xfId="10646" xr:uid="{00000000-0005-0000-0000-0000211A0000}"/>
    <cellStyle name="20 % - Markeringsfarve2 9 2 2 3 2" xfId="26966" xr:uid="{00000000-0005-0000-0000-0000221A0000}"/>
    <cellStyle name="20 % - Markeringsfarve2 9 2 2 3 3" xfId="41932" xr:uid="{00000000-0005-0000-0000-0000231A0000}"/>
    <cellStyle name="20 % - Markeringsfarve2 9 2 2 4" xfId="19944" xr:uid="{00000000-0005-0000-0000-0000241A0000}"/>
    <cellStyle name="20 % - Markeringsfarve2 9 2 2 5" xfId="34933" xr:uid="{00000000-0005-0000-0000-0000251A0000}"/>
    <cellStyle name="20 % - Markeringsfarve2 9 2 3" xfId="6539" xr:uid="{00000000-0005-0000-0000-0000261A0000}"/>
    <cellStyle name="20 % - Markeringsfarve2 9 2 3 2" xfId="14454" xr:uid="{00000000-0005-0000-0000-0000271A0000}"/>
    <cellStyle name="20 % - Markeringsfarve2 9 2 3 2 2" xfId="30769" xr:uid="{00000000-0005-0000-0000-0000281A0000}"/>
    <cellStyle name="20 % - Markeringsfarve2 9 2 3 2 3" xfId="45733" xr:uid="{00000000-0005-0000-0000-0000291A0000}"/>
    <cellStyle name="20 % - Markeringsfarve2 9 2 3 3" xfId="23747" xr:uid="{00000000-0005-0000-0000-00002A1A0000}"/>
    <cellStyle name="20 % - Markeringsfarve2 9 2 3 4" xfId="38734" xr:uid="{00000000-0005-0000-0000-00002B1A0000}"/>
    <cellStyle name="20 % - Markeringsfarve2 9 2 4" xfId="10645" xr:uid="{00000000-0005-0000-0000-00002C1A0000}"/>
    <cellStyle name="20 % - Markeringsfarve2 9 2 4 2" xfId="26965" xr:uid="{00000000-0005-0000-0000-00002D1A0000}"/>
    <cellStyle name="20 % - Markeringsfarve2 9 2 4 3" xfId="41931" xr:uid="{00000000-0005-0000-0000-00002E1A0000}"/>
    <cellStyle name="20 % - Markeringsfarve2 9 2 5" xfId="19943" xr:uid="{00000000-0005-0000-0000-00002F1A0000}"/>
    <cellStyle name="20 % - Markeringsfarve2 9 2 6" xfId="34932" xr:uid="{00000000-0005-0000-0000-0000301A0000}"/>
    <cellStyle name="20 % - Markeringsfarve2 9 3" xfId="2087" xr:uid="{00000000-0005-0000-0000-0000311A0000}"/>
    <cellStyle name="20 % - Markeringsfarve2 9 3 2" xfId="7305" xr:uid="{00000000-0005-0000-0000-0000321A0000}"/>
    <cellStyle name="20 % - Markeringsfarve2 9 3 2 2" xfId="15216" xr:uid="{00000000-0005-0000-0000-0000331A0000}"/>
    <cellStyle name="20 % - Markeringsfarve2 9 3 2 2 2" xfId="31531" xr:uid="{00000000-0005-0000-0000-0000341A0000}"/>
    <cellStyle name="20 % - Markeringsfarve2 9 3 2 2 3" xfId="46495" xr:uid="{00000000-0005-0000-0000-0000351A0000}"/>
    <cellStyle name="20 % - Markeringsfarve2 9 3 2 3" xfId="24509" xr:uid="{00000000-0005-0000-0000-0000361A0000}"/>
    <cellStyle name="20 % - Markeringsfarve2 9 3 2 4" xfId="39496" xr:uid="{00000000-0005-0000-0000-0000371A0000}"/>
    <cellStyle name="20 % - Markeringsfarve2 9 3 3" xfId="10647" xr:uid="{00000000-0005-0000-0000-0000381A0000}"/>
    <cellStyle name="20 % - Markeringsfarve2 9 3 3 2" xfId="26967" xr:uid="{00000000-0005-0000-0000-0000391A0000}"/>
    <cellStyle name="20 % - Markeringsfarve2 9 3 3 3" xfId="41933" xr:uid="{00000000-0005-0000-0000-00003A1A0000}"/>
    <cellStyle name="20 % - Markeringsfarve2 9 3 4" xfId="19945" xr:uid="{00000000-0005-0000-0000-00003B1A0000}"/>
    <cellStyle name="20 % - Markeringsfarve2 9 3 5" xfId="34934" xr:uid="{00000000-0005-0000-0000-00003C1A0000}"/>
    <cellStyle name="20 % - Markeringsfarve2 9 4" xfId="2088" xr:uid="{00000000-0005-0000-0000-00003D1A0000}"/>
    <cellStyle name="20 % - Markeringsfarve2 9 4 2" xfId="8734" xr:uid="{00000000-0005-0000-0000-00003E1A0000}"/>
    <cellStyle name="20 % - Markeringsfarve2 9 4 2 2" xfId="16611" xr:uid="{00000000-0005-0000-0000-00003F1A0000}"/>
    <cellStyle name="20 % - Markeringsfarve2 9 4 2 2 2" xfId="32926" xr:uid="{00000000-0005-0000-0000-0000401A0000}"/>
    <cellStyle name="20 % - Markeringsfarve2 9 4 2 2 3" xfId="47890" xr:uid="{00000000-0005-0000-0000-0000411A0000}"/>
    <cellStyle name="20 % - Markeringsfarve2 9 4 2 3" xfId="25904" xr:uid="{00000000-0005-0000-0000-0000421A0000}"/>
    <cellStyle name="20 % - Markeringsfarve2 9 4 2 4" xfId="40891" xr:uid="{00000000-0005-0000-0000-0000431A0000}"/>
    <cellStyle name="20 % - Markeringsfarve2 9 4 3" xfId="10648" xr:uid="{00000000-0005-0000-0000-0000441A0000}"/>
    <cellStyle name="20 % - Markeringsfarve2 9 4 3 2" xfId="26968" xr:uid="{00000000-0005-0000-0000-0000451A0000}"/>
    <cellStyle name="20 % - Markeringsfarve2 9 4 3 3" xfId="41934" xr:uid="{00000000-0005-0000-0000-0000461A0000}"/>
    <cellStyle name="20 % - Markeringsfarve2 9 4 4" xfId="19946" xr:uid="{00000000-0005-0000-0000-0000471A0000}"/>
    <cellStyle name="20 % - Markeringsfarve2 9 4 5" xfId="34935" xr:uid="{00000000-0005-0000-0000-0000481A0000}"/>
    <cellStyle name="20 % - Markeringsfarve2 9 5" xfId="5458" xr:uid="{00000000-0005-0000-0000-0000491A0000}"/>
    <cellStyle name="20 % - Markeringsfarve2 9 5 2" xfId="13377" xr:uid="{00000000-0005-0000-0000-00004A1A0000}"/>
    <cellStyle name="20 % - Markeringsfarve2 9 5 2 2" xfId="29692" xr:uid="{00000000-0005-0000-0000-00004B1A0000}"/>
    <cellStyle name="20 % - Markeringsfarve2 9 5 2 3" xfId="44656" xr:uid="{00000000-0005-0000-0000-00004C1A0000}"/>
    <cellStyle name="20 % - Markeringsfarve2 9 5 3" xfId="22670" xr:uid="{00000000-0005-0000-0000-00004D1A0000}"/>
    <cellStyle name="20 % - Markeringsfarve2 9 5 4" xfId="37657" xr:uid="{00000000-0005-0000-0000-00004E1A0000}"/>
    <cellStyle name="20 % - Markeringsfarve2 9 6" xfId="10644" xr:uid="{00000000-0005-0000-0000-00004F1A0000}"/>
    <cellStyle name="20 % - Markeringsfarve2 9 6 2" xfId="26964" xr:uid="{00000000-0005-0000-0000-0000501A0000}"/>
    <cellStyle name="20 % - Markeringsfarve2 9 6 3" xfId="41930" xr:uid="{00000000-0005-0000-0000-0000511A0000}"/>
    <cellStyle name="20 % - Markeringsfarve2 9 7" xfId="19942" xr:uid="{00000000-0005-0000-0000-0000521A0000}"/>
    <cellStyle name="20 % - Markeringsfarve2 9 8" xfId="34931" xr:uid="{00000000-0005-0000-0000-0000531A0000}"/>
    <cellStyle name="20 % - Markeringsfarve3 10" xfId="2090" xr:uid="{00000000-0005-0000-0000-0000541A0000}"/>
    <cellStyle name="20 % - Markeringsfarve3 10 2" xfId="2091" xr:uid="{00000000-0005-0000-0000-0000551A0000}"/>
    <cellStyle name="20 % - Markeringsfarve3 10 2 2" xfId="7431" xr:uid="{00000000-0005-0000-0000-0000561A0000}"/>
    <cellStyle name="20 % - Markeringsfarve3 10 2 2 2" xfId="15333" xr:uid="{00000000-0005-0000-0000-0000571A0000}"/>
    <cellStyle name="20 % - Markeringsfarve3 10 2 2 2 2" xfId="31648" xr:uid="{00000000-0005-0000-0000-0000581A0000}"/>
    <cellStyle name="20 % - Markeringsfarve3 10 2 2 2 3" xfId="46612" xr:uid="{00000000-0005-0000-0000-0000591A0000}"/>
    <cellStyle name="20 % - Markeringsfarve3 10 2 2 3" xfId="24626" xr:uid="{00000000-0005-0000-0000-00005A1A0000}"/>
    <cellStyle name="20 % - Markeringsfarve3 10 2 2 4" xfId="39613" xr:uid="{00000000-0005-0000-0000-00005B1A0000}"/>
    <cellStyle name="20 % - Markeringsfarve3 10 2 3" xfId="10651" xr:uid="{00000000-0005-0000-0000-00005C1A0000}"/>
    <cellStyle name="20 % - Markeringsfarve3 10 2 3 2" xfId="26971" xr:uid="{00000000-0005-0000-0000-00005D1A0000}"/>
    <cellStyle name="20 % - Markeringsfarve3 10 2 3 3" xfId="41937" xr:uid="{00000000-0005-0000-0000-00005E1A0000}"/>
    <cellStyle name="20 % - Markeringsfarve3 10 2 4" xfId="19949" xr:uid="{00000000-0005-0000-0000-00005F1A0000}"/>
    <cellStyle name="20 % - Markeringsfarve3 10 2 5" xfId="34938" xr:uid="{00000000-0005-0000-0000-0000601A0000}"/>
    <cellStyle name="20 % - Markeringsfarve3 10 3" xfId="2092" xr:uid="{00000000-0005-0000-0000-0000611A0000}"/>
    <cellStyle name="20 % - Markeringsfarve3 10 3 2" xfId="8733" xr:uid="{00000000-0005-0000-0000-0000621A0000}"/>
    <cellStyle name="20 % - Markeringsfarve3 10 3 2 2" xfId="16610" xr:uid="{00000000-0005-0000-0000-0000631A0000}"/>
    <cellStyle name="20 % - Markeringsfarve3 10 3 2 2 2" xfId="32925" xr:uid="{00000000-0005-0000-0000-0000641A0000}"/>
    <cellStyle name="20 % - Markeringsfarve3 10 3 2 2 3" xfId="47889" xr:uid="{00000000-0005-0000-0000-0000651A0000}"/>
    <cellStyle name="20 % - Markeringsfarve3 10 3 2 3" xfId="25903" xr:uid="{00000000-0005-0000-0000-0000661A0000}"/>
    <cellStyle name="20 % - Markeringsfarve3 10 3 2 4" xfId="40890" xr:uid="{00000000-0005-0000-0000-0000671A0000}"/>
    <cellStyle name="20 % - Markeringsfarve3 10 3 3" xfId="10652" xr:uid="{00000000-0005-0000-0000-0000681A0000}"/>
    <cellStyle name="20 % - Markeringsfarve3 10 3 3 2" xfId="26972" xr:uid="{00000000-0005-0000-0000-0000691A0000}"/>
    <cellStyle name="20 % - Markeringsfarve3 10 3 3 3" xfId="41938" xr:uid="{00000000-0005-0000-0000-00006A1A0000}"/>
    <cellStyle name="20 % - Markeringsfarve3 10 3 4" xfId="19950" xr:uid="{00000000-0005-0000-0000-00006B1A0000}"/>
    <cellStyle name="20 % - Markeringsfarve3 10 3 5" xfId="34939" xr:uid="{00000000-0005-0000-0000-00006C1A0000}"/>
    <cellStyle name="20 % - Markeringsfarve3 10 4" xfId="5460" xr:uid="{00000000-0005-0000-0000-00006D1A0000}"/>
    <cellStyle name="20 % - Markeringsfarve3 10 4 2" xfId="13379" xr:uid="{00000000-0005-0000-0000-00006E1A0000}"/>
    <cellStyle name="20 % - Markeringsfarve3 10 4 2 2" xfId="29694" xr:uid="{00000000-0005-0000-0000-00006F1A0000}"/>
    <cellStyle name="20 % - Markeringsfarve3 10 4 2 3" xfId="44658" xr:uid="{00000000-0005-0000-0000-0000701A0000}"/>
    <cellStyle name="20 % - Markeringsfarve3 10 4 3" xfId="22672" xr:uid="{00000000-0005-0000-0000-0000711A0000}"/>
    <cellStyle name="20 % - Markeringsfarve3 10 4 4" xfId="37659" xr:uid="{00000000-0005-0000-0000-0000721A0000}"/>
    <cellStyle name="20 % - Markeringsfarve3 10 5" xfId="10650" xr:uid="{00000000-0005-0000-0000-0000731A0000}"/>
    <cellStyle name="20 % - Markeringsfarve3 10 5 2" xfId="26970" xr:uid="{00000000-0005-0000-0000-0000741A0000}"/>
    <cellStyle name="20 % - Markeringsfarve3 10 5 3" xfId="41936" xr:uid="{00000000-0005-0000-0000-0000751A0000}"/>
    <cellStyle name="20 % - Markeringsfarve3 10 6" xfId="19948" xr:uid="{00000000-0005-0000-0000-0000761A0000}"/>
    <cellStyle name="20 % - Markeringsfarve3 10 7" xfId="34937" xr:uid="{00000000-0005-0000-0000-0000771A0000}"/>
    <cellStyle name="20 % - Markeringsfarve3 11" xfId="2093" xr:uid="{00000000-0005-0000-0000-0000781A0000}"/>
    <cellStyle name="20 % - Markeringsfarve3 11 2" xfId="2094" xr:uid="{00000000-0005-0000-0000-0000791A0000}"/>
    <cellStyle name="20 % - Markeringsfarve3 11 2 2" xfId="8454" xr:uid="{00000000-0005-0000-0000-00007A1A0000}"/>
    <cellStyle name="20 % - Markeringsfarve3 11 2 2 2" xfId="16344" xr:uid="{00000000-0005-0000-0000-00007B1A0000}"/>
    <cellStyle name="20 % - Markeringsfarve3 11 2 2 2 2" xfId="32659" xr:uid="{00000000-0005-0000-0000-00007C1A0000}"/>
    <cellStyle name="20 % - Markeringsfarve3 11 2 2 2 3" xfId="47623" xr:uid="{00000000-0005-0000-0000-00007D1A0000}"/>
    <cellStyle name="20 % - Markeringsfarve3 11 2 2 3" xfId="25637" xr:uid="{00000000-0005-0000-0000-00007E1A0000}"/>
    <cellStyle name="20 % - Markeringsfarve3 11 2 2 4" xfId="40624" xr:uid="{00000000-0005-0000-0000-00007F1A0000}"/>
    <cellStyle name="20 % - Markeringsfarve3 11 2 3" xfId="10654" xr:uid="{00000000-0005-0000-0000-0000801A0000}"/>
    <cellStyle name="20 % - Markeringsfarve3 11 2 3 2" xfId="26974" xr:uid="{00000000-0005-0000-0000-0000811A0000}"/>
    <cellStyle name="20 % - Markeringsfarve3 11 2 3 3" xfId="41940" xr:uid="{00000000-0005-0000-0000-0000821A0000}"/>
    <cellStyle name="20 % - Markeringsfarve3 11 2 4" xfId="19952" xr:uid="{00000000-0005-0000-0000-0000831A0000}"/>
    <cellStyle name="20 % - Markeringsfarve3 11 2 5" xfId="34941" xr:uid="{00000000-0005-0000-0000-0000841A0000}"/>
    <cellStyle name="20 % - Markeringsfarve3 11 3" xfId="5461" xr:uid="{00000000-0005-0000-0000-0000851A0000}"/>
    <cellStyle name="20 % - Markeringsfarve3 11 3 2" xfId="13380" xr:uid="{00000000-0005-0000-0000-0000861A0000}"/>
    <cellStyle name="20 % - Markeringsfarve3 11 3 2 2" xfId="29695" xr:uid="{00000000-0005-0000-0000-0000871A0000}"/>
    <cellStyle name="20 % - Markeringsfarve3 11 3 2 3" xfId="44659" xr:uid="{00000000-0005-0000-0000-0000881A0000}"/>
    <cellStyle name="20 % - Markeringsfarve3 11 3 3" xfId="22673" xr:uid="{00000000-0005-0000-0000-0000891A0000}"/>
    <cellStyle name="20 % - Markeringsfarve3 11 3 4" xfId="37660" xr:uid="{00000000-0005-0000-0000-00008A1A0000}"/>
    <cellStyle name="20 % - Markeringsfarve3 11 4" xfId="10653" xr:uid="{00000000-0005-0000-0000-00008B1A0000}"/>
    <cellStyle name="20 % - Markeringsfarve3 11 4 2" xfId="26973" xr:uid="{00000000-0005-0000-0000-00008C1A0000}"/>
    <cellStyle name="20 % - Markeringsfarve3 11 4 3" xfId="41939" xr:uid="{00000000-0005-0000-0000-00008D1A0000}"/>
    <cellStyle name="20 % - Markeringsfarve3 11 5" xfId="19951" xr:uid="{00000000-0005-0000-0000-00008E1A0000}"/>
    <cellStyle name="20 % - Markeringsfarve3 11 6" xfId="34940" xr:uid="{00000000-0005-0000-0000-00008F1A0000}"/>
    <cellStyle name="20 % - Markeringsfarve3 12" xfId="2095" xr:uid="{00000000-0005-0000-0000-0000901A0000}"/>
    <cellStyle name="20 % - Markeringsfarve3 12 2" xfId="2096" xr:uid="{00000000-0005-0000-0000-0000911A0000}"/>
    <cellStyle name="20 % - Markeringsfarve3 12 2 2" xfId="8683" xr:uid="{00000000-0005-0000-0000-0000921A0000}"/>
    <cellStyle name="20 % - Markeringsfarve3 12 2 2 2" xfId="16563" xr:uid="{00000000-0005-0000-0000-0000931A0000}"/>
    <cellStyle name="20 % - Markeringsfarve3 12 2 2 2 2" xfId="32878" xr:uid="{00000000-0005-0000-0000-0000941A0000}"/>
    <cellStyle name="20 % - Markeringsfarve3 12 2 2 2 3" xfId="47842" xr:uid="{00000000-0005-0000-0000-0000951A0000}"/>
    <cellStyle name="20 % - Markeringsfarve3 12 2 2 3" xfId="25856" xr:uid="{00000000-0005-0000-0000-0000961A0000}"/>
    <cellStyle name="20 % - Markeringsfarve3 12 2 2 4" xfId="40843" xr:uid="{00000000-0005-0000-0000-0000971A0000}"/>
    <cellStyle name="20 % - Markeringsfarve3 12 2 3" xfId="10656" xr:uid="{00000000-0005-0000-0000-0000981A0000}"/>
    <cellStyle name="20 % - Markeringsfarve3 12 2 3 2" xfId="26976" xr:uid="{00000000-0005-0000-0000-0000991A0000}"/>
    <cellStyle name="20 % - Markeringsfarve3 12 2 3 3" xfId="41942" xr:uid="{00000000-0005-0000-0000-00009A1A0000}"/>
    <cellStyle name="20 % - Markeringsfarve3 12 2 4" xfId="19954" xr:uid="{00000000-0005-0000-0000-00009B1A0000}"/>
    <cellStyle name="20 % - Markeringsfarve3 12 2 5" xfId="34943" xr:uid="{00000000-0005-0000-0000-00009C1A0000}"/>
    <cellStyle name="20 % - Markeringsfarve3 12 3" xfId="5462" xr:uid="{00000000-0005-0000-0000-00009D1A0000}"/>
    <cellStyle name="20 % - Markeringsfarve3 12 3 2" xfId="13381" xr:uid="{00000000-0005-0000-0000-00009E1A0000}"/>
    <cellStyle name="20 % - Markeringsfarve3 12 3 2 2" xfId="29696" xr:uid="{00000000-0005-0000-0000-00009F1A0000}"/>
    <cellStyle name="20 % - Markeringsfarve3 12 3 2 3" xfId="44660" xr:uid="{00000000-0005-0000-0000-0000A01A0000}"/>
    <cellStyle name="20 % - Markeringsfarve3 12 3 3" xfId="22674" xr:uid="{00000000-0005-0000-0000-0000A11A0000}"/>
    <cellStyle name="20 % - Markeringsfarve3 12 3 4" xfId="37661" xr:uid="{00000000-0005-0000-0000-0000A21A0000}"/>
    <cellStyle name="20 % - Markeringsfarve3 12 4" xfId="10655" xr:uid="{00000000-0005-0000-0000-0000A31A0000}"/>
    <cellStyle name="20 % - Markeringsfarve3 12 4 2" xfId="26975" xr:uid="{00000000-0005-0000-0000-0000A41A0000}"/>
    <cellStyle name="20 % - Markeringsfarve3 12 4 3" xfId="41941" xr:uid="{00000000-0005-0000-0000-0000A51A0000}"/>
    <cellStyle name="20 % - Markeringsfarve3 12 5" xfId="19953" xr:uid="{00000000-0005-0000-0000-0000A61A0000}"/>
    <cellStyle name="20 % - Markeringsfarve3 12 6" xfId="34942" xr:uid="{00000000-0005-0000-0000-0000A71A0000}"/>
    <cellStyle name="20 % - Markeringsfarve3 13" xfId="2097" xr:uid="{00000000-0005-0000-0000-0000A81A0000}"/>
    <cellStyle name="20 % - Markeringsfarve3 13 2" xfId="2098" xr:uid="{00000000-0005-0000-0000-0000A91A0000}"/>
    <cellStyle name="20 % - Markeringsfarve3 13 2 2" xfId="8208" xr:uid="{00000000-0005-0000-0000-0000AA1A0000}"/>
    <cellStyle name="20 % - Markeringsfarve3 13 2 2 2" xfId="16104" xr:uid="{00000000-0005-0000-0000-0000AB1A0000}"/>
    <cellStyle name="20 % - Markeringsfarve3 13 2 2 2 2" xfId="32419" xr:uid="{00000000-0005-0000-0000-0000AC1A0000}"/>
    <cellStyle name="20 % - Markeringsfarve3 13 2 2 2 3" xfId="47383" xr:uid="{00000000-0005-0000-0000-0000AD1A0000}"/>
    <cellStyle name="20 % - Markeringsfarve3 13 2 2 3" xfId="25397" xr:uid="{00000000-0005-0000-0000-0000AE1A0000}"/>
    <cellStyle name="20 % - Markeringsfarve3 13 2 2 4" xfId="40384" xr:uid="{00000000-0005-0000-0000-0000AF1A0000}"/>
    <cellStyle name="20 % - Markeringsfarve3 13 2 3" xfId="10658" xr:uid="{00000000-0005-0000-0000-0000B01A0000}"/>
    <cellStyle name="20 % - Markeringsfarve3 13 2 3 2" xfId="26978" xr:uid="{00000000-0005-0000-0000-0000B11A0000}"/>
    <cellStyle name="20 % - Markeringsfarve3 13 2 3 3" xfId="41944" xr:uid="{00000000-0005-0000-0000-0000B21A0000}"/>
    <cellStyle name="20 % - Markeringsfarve3 13 2 4" xfId="19956" xr:uid="{00000000-0005-0000-0000-0000B31A0000}"/>
    <cellStyle name="20 % - Markeringsfarve3 13 2 5" xfId="34945" xr:uid="{00000000-0005-0000-0000-0000B41A0000}"/>
    <cellStyle name="20 % - Markeringsfarve3 13 3" xfId="5459" xr:uid="{00000000-0005-0000-0000-0000B51A0000}"/>
    <cellStyle name="20 % - Markeringsfarve3 13 3 2" xfId="13378" xr:uid="{00000000-0005-0000-0000-0000B61A0000}"/>
    <cellStyle name="20 % - Markeringsfarve3 13 3 2 2" xfId="29693" xr:uid="{00000000-0005-0000-0000-0000B71A0000}"/>
    <cellStyle name="20 % - Markeringsfarve3 13 3 2 3" xfId="44657" xr:uid="{00000000-0005-0000-0000-0000B81A0000}"/>
    <cellStyle name="20 % - Markeringsfarve3 13 3 3" xfId="22671" xr:uid="{00000000-0005-0000-0000-0000B91A0000}"/>
    <cellStyle name="20 % - Markeringsfarve3 13 3 4" xfId="37658" xr:uid="{00000000-0005-0000-0000-0000BA1A0000}"/>
    <cellStyle name="20 % - Markeringsfarve3 13 4" xfId="10657" xr:uid="{00000000-0005-0000-0000-0000BB1A0000}"/>
    <cellStyle name="20 % - Markeringsfarve3 13 4 2" xfId="26977" xr:uid="{00000000-0005-0000-0000-0000BC1A0000}"/>
    <cellStyle name="20 % - Markeringsfarve3 13 4 3" xfId="41943" xr:uid="{00000000-0005-0000-0000-0000BD1A0000}"/>
    <cellStyle name="20 % - Markeringsfarve3 13 5" xfId="19955" xr:uid="{00000000-0005-0000-0000-0000BE1A0000}"/>
    <cellStyle name="20 % - Markeringsfarve3 13 6" xfId="34944" xr:uid="{00000000-0005-0000-0000-0000BF1A0000}"/>
    <cellStyle name="20 % - Markeringsfarve3 14" xfId="2099" xr:uid="{00000000-0005-0000-0000-0000C01A0000}"/>
    <cellStyle name="20 % - Markeringsfarve3 14 2" xfId="6653" xr:uid="{00000000-0005-0000-0000-0000C11A0000}"/>
    <cellStyle name="20 % - Markeringsfarve3 14 2 2" xfId="14567" xr:uid="{00000000-0005-0000-0000-0000C21A0000}"/>
    <cellStyle name="20 % - Markeringsfarve3 14 2 2 2" xfId="30882" xr:uid="{00000000-0005-0000-0000-0000C31A0000}"/>
    <cellStyle name="20 % - Markeringsfarve3 14 2 2 3" xfId="45846" xr:uid="{00000000-0005-0000-0000-0000C41A0000}"/>
    <cellStyle name="20 % - Markeringsfarve3 14 2 3" xfId="23860" xr:uid="{00000000-0005-0000-0000-0000C51A0000}"/>
    <cellStyle name="20 % - Markeringsfarve3 14 2 4" xfId="38847" xr:uid="{00000000-0005-0000-0000-0000C61A0000}"/>
    <cellStyle name="20 % - Markeringsfarve3 14 3" xfId="10659" xr:uid="{00000000-0005-0000-0000-0000C71A0000}"/>
    <cellStyle name="20 % - Markeringsfarve3 14 3 2" xfId="26979" xr:uid="{00000000-0005-0000-0000-0000C81A0000}"/>
    <cellStyle name="20 % - Markeringsfarve3 14 3 3" xfId="41945" xr:uid="{00000000-0005-0000-0000-0000C91A0000}"/>
    <cellStyle name="20 % - Markeringsfarve3 14 4" xfId="19957" xr:uid="{00000000-0005-0000-0000-0000CA1A0000}"/>
    <cellStyle name="20 % - Markeringsfarve3 14 5" xfId="34946" xr:uid="{00000000-0005-0000-0000-0000CB1A0000}"/>
    <cellStyle name="20 % - Markeringsfarve3 15" xfId="2100" xr:uid="{00000000-0005-0000-0000-0000CC1A0000}"/>
    <cellStyle name="20 % - Markeringsfarve3 15 2" xfId="8631" xr:uid="{00000000-0005-0000-0000-0000CD1A0000}"/>
    <cellStyle name="20 % - Markeringsfarve3 15 2 2" xfId="16513" xr:uid="{00000000-0005-0000-0000-0000CE1A0000}"/>
    <cellStyle name="20 % - Markeringsfarve3 15 2 2 2" xfId="32828" xr:uid="{00000000-0005-0000-0000-0000CF1A0000}"/>
    <cellStyle name="20 % - Markeringsfarve3 15 2 2 3" xfId="47792" xr:uid="{00000000-0005-0000-0000-0000D01A0000}"/>
    <cellStyle name="20 % - Markeringsfarve3 15 2 3" xfId="25806" xr:uid="{00000000-0005-0000-0000-0000D11A0000}"/>
    <cellStyle name="20 % - Markeringsfarve3 15 2 4" xfId="40793" xr:uid="{00000000-0005-0000-0000-0000D21A0000}"/>
    <cellStyle name="20 % - Markeringsfarve3 15 3" xfId="10660" xr:uid="{00000000-0005-0000-0000-0000D31A0000}"/>
    <cellStyle name="20 % - Markeringsfarve3 15 3 2" xfId="26980" xr:uid="{00000000-0005-0000-0000-0000D41A0000}"/>
    <cellStyle name="20 % - Markeringsfarve3 15 3 3" xfId="41946" xr:uid="{00000000-0005-0000-0000-0000D51A0000}"/>
    <cellStyle name="20 % - Markeringsfarve3 15 4" xfId="19958" xr:uid="{00000000-0005-0000-0000-0000D61A0000}"/>
    <cellStyle name="20 % - Markeringsfarve3 15 5" xfId="34947" xr:uid="{00000000-0005-0000-0000-0000D71A0000}"/>
    <cellStyle name="20 % - Markeringsfarve3 16" xfId="2101" xr:uid="{00000000-0005-0000-0000-0000D81A0000}"/>
    <cellStyle name="20 % - Markeringsfarve3 16 2" xfId="8455" xr:uid="{00000000-0005-0000-0000-0000D91A0000}"/>
    <cellStyle name="20 % - Markeringsfarve3 16 2 2" xfId="16345" xr:uid="{00000000-0005-0000-0000-0000DA1A0000}"/>
    <cellStyle name="20 % - Markeringsfarve3 16 2 2 2" xfId="32660" xr:uid="{00000000-0005-0000-0000-0000DB1A0000}"/>
    <cellStyle name="20 % - Markeringsfarve3 16 2 2 3" xfId="47624" xr:uid="{00000000-0005-0000-0000-0000DC1A0000}"/>
    <cellStyle name="20 % - Markeringsfarve3 16 2 3" xfId="25638" xr:uid="{00000000-0005-0000-0000-0000DD1A0000}"/>
    <cellStyle name="20 % - Markeringsfarve3 16 2 4" xfId="40625" xr:uid="{00000000-0005-0000-0000-0000DE1A0000}"/>
    <cellStyle name="20 % - Markeringsfarve3 16 3" xfId="10661" xr:uid="{00000000-0005-0000-0000-0000DF1A0000}"/>
    <cellStyle name="20 % - Markeringsfarve3 16 3 2" xfId="26981" xr:uid="{00000000-0005-0000-0000-0000E01A0000}"/>
    <cellStyle name="20 % - Markeringsfarve3 16 3 3" xfId="41947" xr:uid="{00000000-0005-0000-0000-0000E11A0000}"/>
    <cellStyle name="20 % - Markeringsfarve3 16 4" xfId="19959" xr:uid="{00000000-0005-0000-0000-0000E21A0000}"/>
    <cellStyle name="20 % - Markeringsfarve3 16 5" xfId="34948" xr:uid="{00000000-0005-0000-0000-0000E31A0000}"/>
    <cellStyle name="20 % - Markeringsfarve3 17" xfId="5331" xr:uid="{00000000-0005-0000-0000-0000E41A0000}"/>
    <cellStyle name="20 % - Markeringsfarve3 17 2" xfId="13256" xr:uid="{00000000-0005-0000-0000-0000E51A0000}"/>
    <cellStyle name="20 % - Markeringsfarve3 17 2 2" xfId="29571" xr:uid="{00000000-0005-0000-0000-0000E61A0000}"/>
    <cellStyle name="20 % - Markeringsfarve3 17 2 3" xfId="44535" xr:uid="{00000000-0005-0000-0000-0000E71A0000}"/>
    <cellStyle name="20 % - Markeringsfarve3 17 3" xfId="22549" xr:uid="{00000000-0005-0000-0000-0000E81A0000}"/>
    <cellStyle name="20 % - Markeringsfarve3 17 4" xfId="37536" xr:uid="{00000000-0005-0000-0000-0000E91A0000}"/>
    <cellStyle name="20 % - Markeringsfarve3 18" xfId="2089" xr:uid="{00000000-0005-0000-0000-0000EA1A0000}"/>
    <cellStyle name="20 % - Markeringsfarve3 18 2" xfId="10649" xr:uid="{00000000-0005-0000-0000-0000EB1A0000}"/>
    <cellStyle name="20 % - Markeringsfarve3 18 2 2" xfId="26969" xr:uid="{00000000-0005-0000-0000-0000EC1A0000}"/>
    <cellStyle name="20 % - Markeringsfarve3 18 2 3" xfId="41935" xr:uid="{00000000-0005-0000-0000-0000ED1A0000}"/>
    <cellStyle name="20 % - Markeringsfarve3 18 3" xfId="19947" xr:uid="{00000000-0005-0000-0000-0000EE1A0000}"/>
    <cellStyle name="20 % - Markeringsfarve3 18 4" xfId="34936" xr:uid="{00000000-0005-0000-0000-0000EF1A0000}"/>
    <cellStyle name="20 % - Markeringsfarve3 2" xfId="2102" xr:uid="{00000000-0005-0000-0000-0000F01A0000}"/>
    <cellStyle name="20 % - Markeringsfarve3 2 10" xfId="2103" xr:uid="{00000000-0005-0000-0000-0000F11A0000}"/>
    <cellStyle name="20 % - Markeringsfarve3 2 10 2" xfId="6685" xr:uid="{00000000-0005-0000-0000-0000F21A0000}"/>
    <cellStyle name="20 % - Markeringsfarve3 2 10 2 2" xfId="14597" xr:uid="{00000000-0005-0000-0000-0000F31A0000}"/>
    <cellStyle name="20 % - Markeringsfarve3 2 10 2 2 2" xfId="30912" xr:uid="{00000000-0005-0000-0000-0000F41A0000}"/>
    <cellStyle name="20 % - Markeringsfarve3 2 10 2 2 3" xfId="45876" xr:uid="{00000000-0005-0000-0000-0000F51A0000}"/>
    <cellStyle name="20 % - Markeringsfarve3 2 10 2 3" xfId="23890" xr:uid="{00000000-0005-0000-0000-0000F61A0000}"/>
    <cellStyle name="20 % - Markeringsfarve3 2 10 2 4" xfId="38877" xr:uid="{00000000-0005-0000-0000-0000F71A0000}"/>
    <cellStyle name="20 % - Markeringsfarve3 2 10 3" xfId="10663" xr:uid="{00000000-0005-0000-0000-0000F81A0000}"/>
    <cellStyle name="20 % - Markeringsfarve3 2 10 3 2" xfId="26983" xr:uid="{00000000-0005-0000-0000-0000F91A0000}"/>
    <cellStyle name="20 % - Markeringsfarve3 2 10 3 3" xfId="41949" xr:uid="{00000000-0005-0000-0000-0000FA1A0000}"/>
    <cellStyle name="20 % - Markeringsfarve3 2 10 4" xfId="19961" xr:uid="{00000000-0005-0000-0000-0000FB1A0000}"/>
    <cellStyle name="20 % - Markeringsfarve3 2 10 5" xfId="34950" xr:uid="{00000000-0005-0000-0000-0000FC1A0000}"/>
    <cellStyle name="20 % - Markeringsfarve3 2 11" xfId="2104" xr:uid="{00000000-0005-0000-0000-0000FD1A0000}"/>
    <cellStyle name="20 % - Markeringsfarve3 2 11 2" xfId="8407" xr:uid="{00000000-0005-0000-0000-0000FE1A0000}"/>
    <cellStyle name="20 % - Markeringsfarve3 2 11 2 2" xfId="16299" xr:uid="{00000000-0005-0000-0000-0000FF1A0000}"/>
    <cellStyle name="20 % - Markeringsfarve3 2 11 2 2 2" xfId="32614" xr:uid="{00000000-0005-0000-0000-0000001B0000}"/>
    <cellStyle name="20 % - Markeringsfarve3 2 11 2 2 3" xfId="47578" xr:uid="{00000000-0005-0000-0000-0000011B0000}"/>
    <cellStyle name="20 % - Markeringsfarve3 2 11 2 3" xfId="25592" xr:uid="{00000000-0005-0000-0000-0000021B0000}"/>
    <cellStyle name="20 % - Markeringsfarve3 2 11 2 4" xfId="40579" xr:uid="{00000000-0005-0000-0000-0000031B0000}"/>
    <cellStyle name="20 % - Markeringsfarve3 2 11 3" xfId="10664" xr:uid="{00000000-0005-0000-0000-0000041B0000}"/>
    <cellStyle name="20 % - Markeringsfarve3 2 11 3 2" xfId="26984" xr:uid="{00000000-0005-0000-0000-0000051B0000}"/>
    <cellStyle name="20 % - Markeringsfarve3 2 11 3 3" xfId="41950" xr:uid="{00000000-0005-0000-0000-0000061B0000}"/>
    <cellStyle name="20 % - Markeringsfarve3 2 11 4" xfId="19962" xr:uid="{00000000-0005-0000-0000-0000071B0000}"/>
    <cellStyle name="20 % - Markeringsfarve3 2 11 5" xfId="34951" xr:uid="{00000000-0005-0000-0000-0000081B0000}"/>
    <cellStyle name="20 % - Markeringsfarve3 2 12" xfId="5463" xr:uid="{00000000-0005-0000-0000-0000091B0000}"/>
    <cellStyle name="20 % - Markeringsfarve3 2 12 2" xfId="13382" xr:uid="{00000000-0005-0000-0000-00000A1B0000}"/>
    <cellStyle name="20 % - Markeringsfarve3 2 12 2 2" xfId="29697" xr:uid="{00000000-0005-0000-0000-00000B1B0000}"/>
    <cellStyle name="20 % - Markeringsfarve3 2 12 2 3" xfId="44661" xr:uid="{00000000-0005-0000-0000-00000C1B0000}"/>
    <cellStyle name="20 % - Markeringsfarve3 2 12 3" xfId="22675" xr:uid="{00000000-0005-0000-0000-00000D1B0000}"/>
    <cellStyle name="20 % - Markeringsfarve3 2 12 4" xfId="37662" xr:uid="{00000000-0005-0000-0000-00000E1B0000}"/>
    <cellStyle name="20 % - Markeringsfarve3 2 13" xfId="10662" xr:uid="{00000000-0005-0000-0000-00000F1B0000}"/>
    <cellStyle name="20 % - Markeringsfarve3 2 13 2" xfId="26982" xr:uid="{00000000-0005-0000-0000-0000101B0000}"/>
    <cellStyle name="20 % - Markeringsfarve3 2 13 3" xfId="41948" xr:uid="{00000000-0005-0000-0000-0000111B0000}"/>
    <cellStyle name="20 % - Markeringsfarve3 2 14" xfId="19960" xr:uid="{00000000-0005-0000-0000-0000121B0000}"/>
    <cellStyle name="20 % - Markeringsfarve3 2 15" xfId="34949" xr:uid="{00000000-0005-0000-0000-0000131B0000}"/>
    <cellStyle name="20 % - Markeringsfarve3 2 16" xfId="53311" xr:uid="{00000000-0005-0000-0000-0000141B0000}"/>
    <cellStyle name="20 % - Markeringsfarve3 2 2" xfId="2105" xr:uid="{00000000-0005-0000-0000-0000151B0000}"/>
    <cellStyle name="20 % - Markeringsfarve3 2 2 10" xfId="5464" xr:uid="{00000000-0005-0000-0000-0000161B0000}"/>
    <cellStyle name="20 % - Markeringsfarve3 2 2 10 2" xfId="13383" xr:uid="{00000000-0005-0000-0000-0000171B0000}"/>
    <cellStyle name="20 % - Markeringsfarve3 2 2 10 2 2" xfId="29698" xr:uid="{00000000-0005-0000-0000-0000181B0000}"/>
    <cellStyle name="20 % - Markeringsfarve3 2 2 10 2 3" xfId="44662" xr:uid="{00000000-0005-0000-0000-0000191B0000}"/>
    <cellStyle name="20 % - Markeringsfarve3 2 2 10 3" xfId="22676" xr:uid="{00000000-0005-0000-0000-00001A1B0000}"/>
    <cellStyle name="20 % - Markeringsfarve3 2 2 10 4" xfId="37663" xr:uid="{00000000-0005-0000-0000-00001B1B0000}"/>
    <cellStyle name="20 % - Markeringsfarve3 2 2 11" xfId="10665" xr:uid="{00000000-0005-0000-0000-00001C1B0000}"/>
    <cellStyle name="20 % - Markeringsfarve3 2 2 11 2" xfId="26985" xr:uid="{00000000-0005-0000-0000-00001D1B0000}"/>
    <cellStyle name="20 % - Markeringsfarve3 2 2 11 3" xfId="41951" xr:uid="{00000000-0005-0000-0000-00001E1B0000}"/>
    <cellStyle name="20 % - Markeringsfarve3 2 2 12" xfId="19963" xr:uid="{00000000-0005-0000-0000-00001F1B0000}"/>
    <cellStyle name="20 % - Markeringsfarve3 2 2 13" xfId="34952" xr:uid="{00000000-0005-0000-0000-0000201B0000}"/>
    <cellStyle name="20 % - Markeringsfarve3 2 2 14" xfId="53310" xr:uid="{00000000-0005-0000-0000-0000211B0000}"/>
    <cellStyle name="20 % - Markeringsfarve3 2 2 2" xfId="2106" xr:uid="{00000000-0005-0000-0000-0000221B0000}"/>
    <cellStyle name="20 % - Markeringsfarve3 2 2 2 2" xfId="2107" xr:uid="{00000000-0005-0000-0000-0000231B0000}"/>
    <cellStyle name="20 % - Markeringsfarve3 2 2 2 2 2" xfId="2108" xr:uid="{00000000-0005-0000-0000-0000241B0000}"/>
    <cellStyle name="20 % - Markeringsfarve3 2 2 2 2 2 2" xfId="7616" xr:uid="{00000000-0005-0000-0000-0000251B0000}"/>
    <cellStyle name="20 % - Markeringsfarve3 2 2 2 2 2 2 2" xfId="15518" xr:uid="{00000000-0005-0000-0000-0000261B0000}"/>
    <cellStyle name="20 % - Markeringsfarve3 2 2 2 2 2 2 2 2" xfId="31833" xr:uid="{00000000-0005-0000-0000-0000271B0000}"/>
    <cellStyle name="20 % - Markeringsfarve3 2 2 2 2 2 2 2 3" xfId="46797" xr:uid="{00000000-0005-0000-0000-0000281B0000}"/>
    <cellStyle name="20 % - Markeringsfarve3 2 2 2 2 2 2 3" xfId="24811" xr:uid="{00000000-0005-0000-0000-0000291B0000}"/>
    <cellStyle name="20 % - Markeringsfarve3 2 2 2 2 2 2 4" xfId="39798" xr:uid="{00000000-0005-0000-0000-00002A1B0000}"/>
    <cellStyle name="20 % - Markeringsfarve3 2 2 2 2 2 3" xfId="10668" xr:uid="{00000000-0005-0000-0000-00002B1B0000}"/>
    <cellStyle name="20 % - Markeringsfarve3 2 2 2 2 2 3 2" xfId="26988" xr:uid="{00000000-0005-0000-0000-00002C1B0000}"/>
    <cellStyle name="20 % - Markeringsfarve3 2 2 2 2 2 3 3" xfId="41954" xr:uid="{00000000-0005-0000-0000-00002D1B0000}"/>
    <cellStyle name="20 % - Markeringsfarve3 2 2 2 2 2 4" xfId="19966" xr:uid="{00000000-0005-0000-0000-00002E1B0000}"/>
    <cellStyle name="20 % - Markeringsfarve3 2 2 2 2 2 5" xfId="34955" xr:uid="{00000000-0005-0000-0000-00002F1B0000}"/>
    <cellStyle name="20 % - Markeringsfarve3 2 2 2 2 3" xfId="6188" xr:uid="{00000000-0005-0000-0000-0000301B0000}"/>
    <cellStyle name="20 % - Markeringsfarve3 2 2 2 2 3 2" xfId="14106" xr:uid="{00000000-0005-0000-0000-0000311B0000}"/>
    <cellStyle name="20 % - Markeringsfarve3 2 2 2 2 3 2 2" xfId="30421" xr:uid="{00000000-0005-0000-0000-0000321B0000}"/>
    <cellStyle name="20 % - Markeringsfarve3 2 2 2 2 3 2 3" xfId="45385" xr:uid="{00000000-0005-0000-0000-0000331B0000}"/>
    <cellStyle name="20 % - Markeringsfarve3 2 2 2 2 3 3" xfId="23399" xr:uid="{00000000-0005-0000-0000-0000341B0000}"/>
    <cellStyle name="20 % - Markeringsfarve3 2 2 2 2 3 4" xfId="38386" xr:uid="{00000000-0005-0000-0000-0000351B0000}"/>
    <cellStyle name="20 % - Markeringsfarve3 2 2 2 2 4" xfId="10667" xr:uid="{00000000-0005-0000-0000-0000361B0000}"/>
    <cellStyle name="20 % - Markeringsfarve3 2 2 2 2 4 2" xfId="26987" xr:uid="{00000000-0005-0000-0000-0000371B0000}"/>
    <cellStyle name="20 % - Markeringsfarve3 2 2 2 2 4 3" xfId="41953" xr:uid="{00000000-0005-0000-0000-0000381B0000}"/>
    <cellStyle name="20 % - Markeringsfarve3 2 2 2 2 5" xfId="19965" xr:uid="{00000000-0005-0000-0000-0000391B0000}"/>
    <cellStyle name="20 % - Markeringsfarve3 2 2 2 2 6" xfId="34954" xr:uid="{00000000-0005-0000-0000-00003A1B0000}"/>
    <cellStyle name="20 % - Markeringsfarve3 2 2 2 2 7" xfId="57114" xr:uid="{00000000-0005-0000-0000-00003B1B0000}"/>
    <cellStyle name="20 % - Markeringsfarve3 2 2 2 3" xfId="2109" xr:uid="{00000000-0005-0000-0000-00003C1B0000}"/>
    <cellStyle name="20 % - Markeringsfarve3 2 2 2 3 2" xfId="6846" xr:uid="{00000000-0005-0000-0000-00003D1B0000}"/>
    <cellStyle name="20 % - Markeringsfarve3 2 2 2 3 2 2" xfId="14758" xr:uid="{00000000-0005-0000-0000-00003E1B0000}"/>
    <cellStyle name="20 % - Markeringsfarve3 2 2 2 3 2 2 2" xfId="31073" xr:uid="{00000000-0005-0000-0000-00003F1B0000}"/>
    <cellStyle name="20 % - Markeringsfarve3 2 2 2 3 2 2 3" xfId="46037" xr:uid="{00000000-0005-0000-0000-0000401B0000}"/>
    <cellStyle name="20 % - Markeringsfarve3 2 2 2 3 2 3" xfId="24051" xr:uid="{00000000-0005-0000-0000-0000411B0000}"/>
    <cellStyle name="20 % - Markeringsfarve3 2 2 2 3 2 4" xfId="39038" xr:uid="{00000000-0005-0000-0000-0000421B0000}"/>
    <cellStyle name="20 % - Markeringsfarve3 2 2 2 3 3" xfId="10669" xr:uid="{00000000-0005-0000-0000-0000431B0000}"/>
    <cellStyle name="20 % - Markeringsfarve3 2 2 2 3 3 2" xfId="26989" xr:uid="{00000000-0005-0000-0000-0000441B0000}"/>
    <cellStyle name="20 % - Markeringsfarve3 2 2 2 3 3 3" xfId="41955" xr:uid="{00000000-0005-0000-0000-0000451B0000}"/>
    <cellStyle name="20 % - Markeringsfarve3 2 2 2 3 4" xfId="19967" xr:uid="{00000000-0005-0000-0000-0000461B0000}"/>
    <cellStyle name="20 % - Markeringsfarve3 2 2 2 3 5" xfId="34956" xr:uid="{00000000-0005-0000-0000-0000471B0000}"/>
    <cellStyle name="20 % - Markeringsfarve3 2 2 2 4" xfId="2110" xr:uid="{00000000-0005-0000-0000-0000481B0000}"/>
    <cellStyle name="20 % - Markeringsfarve3 2 2 2 4 2" xfId="8203" xr:uid="{00000000-0005-0000-0000-0000491B0000}"/>
    <cellStyle name="20 % - Markeringsfarve3 2 2 2 4 2 2" xfId="16100" xr:uid="{00000000-0005-0000-0000-00004A1B0000}"/>
    <cellStyle name="20 % - Markeringsfarve3 2 2 2 4 2 2 2" xfId="32415" xr:uid="{00000000-0005-0000-0000-00004B1B0000}"/>
    <cellStyle name="20 % - Markeringsfarve3 2 2 2 4 2 2 3" xfId="47379" xr:uid="{00000000-0005-0000-0000-00004C1B0000}"/>
    <cellStyle name="20 % - Markeringsfarve3 2 2 2 4 2 3" xfId="25393" xr:uid="{00000000-0005-0000-0000-00004D1B0000}"/>
    <cellStyle name="20 % - Markeringsfarve3 2 2 2 4 2 4" xfId="40380" xr:uid="{00000000-0005-0000-0000-00004E1B0000}"/>
    <cellStyle name="20 % - Markeringsfarve3 2 2 2 4 3" xfId="10670" xr:uid="{00000000-0005-0000-0000-00004F1B0000}"/>
    <cellStyle name="20 % - Markeringsfarve3 2 2 2 4 3 2" xfId="26990" xr:uid="{00000000-0005-0000-0000-0000501B0000}"/>
    <cellStyle name="20 % - Markeringsfarve3 2 2 2 4 3 3" xfId="41956" xr:uid="{00000000-0005-0000-0000-0000511B0000}"/>
    <cellStyle name="20 % - Markeringsfarve3 2 2 2 4 4" xfId="19968" xr:uid="{00000000-0005-0000-0000-0000521B0000}"/>
    <cellStyle name="20 % - Markeringsfarve3 2 2 2 4 5" xfId="34957" xr:uid="{00000000-0005-0000-0000-0000531B0000}"/>
    <cellStyle name="20 % - Markeringsfarve3 2 2 2 5" xfId="5465" xr:uid="{00000000-0005-0000-0000-0000541B0000}"/>
    <cellStyle name="20 % - Markeringsfarve3 2 2 2 5 2" xfId="13384" xr:uid="{00000000-0005-0000-0000-0000551B0000}"/>
    <cellStyle name="20 % - Markeringsfarve3 2 2 2 5 2 2" xfId="29699" xr:uid="{00000000-0005-0000-0000-0000561B0000}"/>
    <cellStyle name="20 % - Markeringsfarve3 2 2 2 5 2 3" xfId="44663" xr:uid="{00000000-0005-0000-0000-0000571B0000}"/>
    <cellStyle name="20 % - Markeringsfarve3 2 2 2 5 3" xfId="22677" xr:uid="{00000000-0005-0000-0000-0000581B0000}"/>
    <cellStyle name="20 % - Markeringsfarve3 2 2 2 5 4" xfId="37664" xr:uid="{00000000-0005-0000-0000-0000591B0000}"/>
    <cellStyle name="20 % - Markeringsfarve3 2 2 2 6" xfId="10666" xr:uid="{00000000-0005-0000-0000-00005A1B0000}"/>
    <cellStyle name="20 % - Markeringsfarve3 2 2 2 6 2" xfId="26986" xr:uid="{00000000-0005-0000-0000-00005B1B0000}"/>
    <cellStyle name="20 % - Markeringsfarve3 2 2 2 6 3" xfId="41952" xr:uid="{00000000-0005-0000-0000-00005C1B0000}"/>
    <cellStyle name="20 % - Markeringsfarve3 2 2 2 7" xfId="19964" xr:uid="{00000000-0005-0000-0000-00005D1B0000}"/>
    <cellStyle name="20 % - Markeringsfarve3 2 2 2 8" xfId="34953" xr:uid="{00000000-0005-0000-0000-00005E1B0000}"/>
    <cellStyle name="20 % - Markeringsfarve3 2 2 2 9" xfId="53947" xr:uid="{00000000-0005-0000-0000-00005F1B0000}"/>
    <cellStyle name="20 % - Markeringsfarve3 2 2 3" xfId="2111" xr:uid="{00000000-0005-0000-0000-0000601B0000}"/>
    <cellStyle name="20 % - Markeringsfarve3 2 2 3 2" xfId="2112" xr:uid="{00000000-0005-0000-0000-0000611B0000}"/>
    <cellStyle name="20 % - Markeringsfarve3 2 2 3 2 2" xfId="2113" xr:uid="{00000000-0005-0000-0000-0000621B0000}"/>
    <cellStyle name="20 % - Markeringsfarve3 2 2 3 2 2 2" xfId="7684" xr:uid="{00000000-0005-0000-0000-0000631B0000}"/>
    <cellStyle name="20 % - Markeringsfarve3 2 2 3 2 2 2 2" xfId="15586" xr:uid="{00000000-0005-0000-0000-0000641B0000}"/>
    <cellStyle name="20 % - Markeringsfarve3 2 2 3 2 2 2 2 2" xfId="31901" xr:uid="{00000000-0005-0000-0000-0000651B0000}"/>
    <cellStyle name="20 % - Markeringsfarve3 2 2 3 2 2 2 2 3" xfId="46865" xr:uid="{00000000-0005-0000-0000-0000661B0000}"/>
    <cellStyle name="20 % - Markeringsfarve3 2 2 3 2 2 2 3" xfId="24879" xr:uid="{00000000-0005-0000-0000-0000671B0000}"/>
    <cellStyle name="20 % - Markeringsfarve3 2 2 3 2 2 2 4" xfId="39866" xr:uid="{00000000-0005-0000-0000-0000681B0000}"/>
    <cellStyle name="20 % - Markeringsfarve3 2 2 3 2 2 3" xfId="10673" xr:uid="{00000000-0005-0000-0000-0000691B0000}"/>
    <cellStyle name="20 % - Markeringsfarve3 2 2 3 2 2 3 2" xfId="26993" xr:uid="{00000000-0005-0000-0000-00006A1B0000}"/>
    <cellStyle name="20 % - Markeringsfarve3 2 2 3 2 2 3 3" xfId="41959" xr:uid="{00000000-0005-0000-0000-00006B1B0000}"/>
    <cellStyle name="20 % - Markeringsfarve3 2 2 3 2 2 4" xfId="19971" xr:uid="{00000000-0005-0000-0000-00006C1B0000}"/>
    <cellStyle name="20 % - Markeringsfarve3 2 2 3 2 2 5" xfId="34960" xr:uid="{00000000-0005-0000-0000-00006D1B0000}"/>
    <cellStyle name="20 % - Markeringsfarve3 2 2 3 2 3" xfId="6248" xr:uid="{00000000-0005-0000-0000-00006E1B0000}"/>
    <cellStyle name="20 % - Markeringsfarve3 2 2 3 2 3 2" xfId="14166" xr:uid="{00000000-0005-0000-0000-00006F1B0000}"/>
    <cellStyle name="20 % - Markeringsfarve3 2 2 3 2 3 2 2" xfId="30481" xr:uid="{00000000-0005-0000-0000-0000701B0000}"/>
    <cellStyle name="20 % - Markeringsfarve3 2 2 3 2 3 2 3" xfId="45445" xr:uid="{00000000-0005-0000-0000-0000711B0000}"/>
    <cellStyle name="20 % - Markeringsfarve3 2 2 3 2 3 3" xfId="23459" xr:uid="{00000000-0005-0000-0000-0000721B0000}"/>
    <cellStyle name="20 % - Markeringsfarve3 2 2 3 2 3 4" xfId="38446" xr:uid="{00000000-0005-0000-0000-0000731B0000}"/>
    <cellStyle name="20 % - Markeringsfarve3 2 2 3 2 4" xfId="10672" xr:uid="{00000000-0005-0000-0000-0000741B0000}"/>
    <cellStyle name="20 % - Markeringsfarve3 2 2 3 2 4 2" xfId="26992" xr:uid="{00000000-0005-0000-0000-0000751B0000}"/>
    <cellStyle name="20 % - Markeringsfarve3 2 2 3 2 4 3" xfId="41958" xr:uid="{00000000-0005-0000-0000-0000761B0000}"/>
    <cellStyle name="20 % - Markeringsfarve3 2 2 3 2 5" xfId="19970" xr:uid="{00000000-0005-0000-0000-0000771B0000}"/>
    <cellStyle name="20 % - Markeringsfarve3 2 2 3 2 6" xfId="34959" xr:uid="{00000000-0005-0000-0000-0000781B0000}"/>
    <cellStyle name="20 % - Markeringsfarve3 2 2 3 3" xfId="2114" xr:uid="{00000000-0005-0000-0000-0000791B0000}"/>
    <cellStyle name="20 % - Markeringsfarve3 2 2 3 3 2" xfId="6914" xr:uid="{00000000-0005-0000-0000-00007A1B0000}"/>
    <cellStyle name="20 % - Markeringsfarve3 2 2 3 3 2 2" xfId="14826" xr:uid="{00000000-0005-0000-0000-00007B1B0000}"/>
    <cellStyle name="20 % - Markeringsfarve3 2 2 3 3 2 2 2" xfId="31141" xr:uid="{00000000-0005-0000-0000-00007C1B0000}"/>
    <cellStyle name="20 % - Markeringsfarve3 2 2 3 3 2 2 3" xfId="46105" xr:uid="{00000000-0005-0000-0000-00007D1B0000}"/>
    <cellStyle name="20 % - Markeringsfarve3 2 2 3 3 2 3" xfId="24119" xr:uid="{00000000-0005-0000-0000-00007E1B0000}"/>
    <cellStyle name="20 % - Markeringsfarve3 2 2 3 3 2 4" xfId="39106" xr:uid="{00000000-0005-0000-0000-00007F1B0000}"/>
    <cellStyle name="20 % - Markeringsfarve3 2 2 3 3 3" xfId="10674" xr:uid="{00000000-0005-0000-0000-0000801B0000}"/>
    <cellStyle name="20 % - Markeringsfarve3 2 2 3 3 3 2" xfId="26994" xr:uid="{00000000-0005-0000-0000-0000811B0000}"/>
    <cellStyle name="20 % - Markeringsfarve3 2 2 3 3 3 3" xfId="41960" xr:uid="{00000000-0005-0000-0000-0000821B0000}"/>
    <cellStyle name="20 % - Markeringsfarve3 2 2 3 3 4" xfId="19972" xr:uid="{00000000-0005-0000-0000-0000831B0000}"/>
    <cellStyle name="20 % - Markeringsfarve3 2 2 3 3 5" xfId="34961" xr:uid="{00000000-0005-0000-0000-0000841B0000}"/>
    <cellStyle name="20 % - Markeringsfarve3 2 2 3 4" xfId="2115" xr:uid="{00000000-0005-0000-0000-0000851B0000}"/>
    <cellStyle name="20 % - Markeringsfarve3 2 2 3 4 2" xfId="8595" xr:uid="{00000000-0005-0000-0000-0000861B0000}"/>
    <cellStyle name="20 % - Markeringsfarve3 2 2 3 4 2 2" xfId="16479" xr:uid="{00000000-0005-0000-0000-0000871B0000}"/>
    <cellStyle name="20 % - Markeringsfarve3 2 2 3 4 2 2 2" xfId="32794" xr:uid="{00000000-0005-0000-0000-0000881B0000}"/>
    <cellStyle name="20 % - Markeringsfarve3 2 2 3 4 2 2 3" xfId="47758" xr:uid="{00000000-0005-0000-0000-0000891B0000}"/>
    <cellStyle name="20 % - Markeringsfarve3 2 2 3 4 2 3" xfId="25772" xr:uid="{00000000-0005-0000-0000-00008A1B0000}"/>
    <cellStyle name="20 % - Markeringsfarve3 2 2 3 4 2 4" xfId="40759" xr:uid="{00000000-0005-0000-0000-00008B1B0000}"/>
    <cellStyle name="20 % - Markeringsfarve3 2 2 3 4 3" xfId="10675" xr:uid="{00000000-0005-0000-0000-00008C1B0000}"/>
    <cellStyle name="20 % - Markeringsfarve3 2 2 3 4 3 2" xfId="26995" xr:uid="{00000000-0005-0000-0000-00008D1B0000}"/>
    <cellStyle name="20 % - Markeringsfarve3 2 2 3 4 3 3" xfId="41961" xr:uid="{00000000-0005-0000-0000-00008E1B0000}"/>
    <cellStyle name="20 % - Markeringsfarve3 2 2 3 4 4" xfId="19973" xr:uid="{00000000-0005-0000-0000-00008F1B0000}"/>
    <cellStyle name="20 % - Markeringsfarve3 2 2 3 4 5" xfId="34962" xr:uid="{00000000-0005-0000-0000-0000901B0000}"/>
    <cellStyle name="20 % - Markeringsfarve3 2 2 3 5" xfId="5466" xr:uid="{00000000-0005-0000-0000-0000911B0000}"/>
    <cellStyle name="20 % - Markeringsfarve3 2 2 3 5 2" xfId="13385" xr:uid="{00000000-0005-0000-0000-0000921B0000}"/>
    <cellStyle name="20 % - Markeringsfarve3 2 2 3 5 2 2" xfId="29700" xr:uid="{00000000-0005-0000-0000-0000931B0000}"/>
    <cellStyle name="20 % - Markeringsfarve3 2 2 3 5 2 3" xfId="44664" xr:uid="{00000000-0005-0000-0000-0000941B0000}"/>
    <cellStyle name="20 % - Markeringsfarve3 2 2 3 5 3" xfId="22678" xr:uid="{00000000-0005-0000-0000-0000951B0000}"/>
    <cellStyle name="20 % - Markeringsfarve3 2 2 3 5 4" xfId="37665" xr:uid="{00000000-0005-0000-0000-0000961B0000}"/>
    <cellStyle name="20 % - Markeringsfarve3 2 2 3 6" xfId="10671" xr:uid="{00000000-0005-0000-0000-0000971B0000}"/>
    <cellStyle name="20 % - Markeringsfarve3 2 2 3 6 2" xfId="26991" xr:uid="{00000000-0005-0000-0000-0000981B0000}"/>
    <cellStyle name="20 % - Markeringsfarve3 2 2 3 6 3" xfId="41957" xr:uid="{00000000-0005-0000-0000-0000991B0000}"/>
    <cellStyle name="20 % - Markeringsfarve3 2 2 3 7" xfId="19969" xr:uid="{00000000-0005-0000-0000-00009A1B0000}"/>
    <cellStyle name="20 % - Markeringsfarve3 2 2 3 8" xfId="34958" xr:uid="{00000000-0005-0000-0000-00009B1B0000}"/>
    <cellStyle name="20 % - Markeringsfarve3 2 2 3 9" xfId="56491" xr:uid="{00000000-0005-0000-0000-00009C1B0000}"/>
    <cellStyle name="20 % - Markeringsfarve3 2 2 4" xfId="2116" xr:uid="{00000000-0005-0000-0000-00009D1B0000}"/>
    <cellStyle name="20 % - Markeringsfarve3 2 2 4 2" xfId="2117" xr:uid="{00000000-0005-0000-0000-00009E1B0000}"/>
    <cellStyle name="20 % - Markeringsfarve3 2 2 4 2 2" xfId="2118" xr:uid="{00000000-0005-0000-0000-00009F1B0000}"/>
    <cellStyle name="20 % - Markeringsfarve3 2 2 4 2 2 2" xfId="7854" xr:uid="{00000000-0005-0000-0000-0000A01B0000}"/>
    <cellStyle name="20 % - Markeringsfarve3 2 2 4 2 2 2 2" xfId="15756" xr:uid="{00000000-0005-0000-0000-0000A11B0000}"/>
    <cellStyle name="20 % - Markeringsfarve3 2 2 4 2 2 2 2 2" xfId="32071" xr:uid="{00000000-0005-0000-0000-0000A21B0000}"/>
    <cellStyle name="20 % - Markeringsfarve3 2 2 4 2 2 2 2 3" xfId="47035" xr:uid="{00000000-0005-0000-0000-0000A31B0000}"/>
    <cellStyle name="20 % - Markeringsfarve3 2 2 4 2 2 2 3" xfId="25049" xr:uid="{00000000-0005-0000-0000-0000A41B0000}"/>
    <cellStyle name="20 % - Markeringsfarve3 2 2 4 2 2 2 4" xfId="40036" xr:uid="{00000000-0005-0000-0000-0000A51B0000}"/>
    <cellStyle name="20 % - Markeringsfarve3 2 2 4 2 2 3" xfId="10678" xr:uid="{00000000-0005-0000-0000-0000A61B0000}"/>
    <cellStyle name="20 % - Markeringsfarve3 2 2 4 2 2 3 2" xfId="26998" xr:uid="{00000000-0005-0000-0000-0000A71B0000}"/>
    <cellStyle name="20 % - Markeringsfarve3 2 2 4 2 2 3 3" xfId="41964" xr:uid="{00000000-0005-0000-0000-0000A81B0000}"/>
    <cellStyle name="20 % - Markeringsfarve3 2 2 4 2 2 4" xfId="19976" xr:uid="{00000000-0005-0000-0000-0000A91B0000}"/>
    <cellStyle name="20 % - Markeringsfarve3 2 2 4 2 2 5" xfId="34965" xr:uid="{00000000-0005-0000-0000-0000AA1B0000}"/>
    <cellStyle name="20 % - Markeringsfarve3 2 2 4 2 3" xfId="6390" xr:uid="{00000000-0005-0000-0000-0000AB1B0000}"/>
    <cellStyle name="20 % - Markeringsfarve3 2 2 4 2 3 2" xfId="14305" xr:uid="{00000000-0005-0000-0000-0000AC1B0000}"/>
    <cellStyle name="20 % - Markeringsfarve3 2 2 4 2 3 2 2" xfId="30620" xr:uid="{00000000-0005-0000-0000-0000AD1B0000}"/>
    <cellStyle name="20 % - Markeringsfarve3 2 2 4 2 3 2 3" xfId="45584" xr:uid="{00000000-0005-0000-0000-0000AE1B0000}"/>
    <cellStyle name="20 % - Markeringsfarve3 2 2 4 2 3 3" xfId="23598" xr:uid="{00000000-0005-0000-0000-0000AF1B0000}"/>
    <cellStyle name="20 % - Markeringsfarve3 2 2 4 2 3 4" xfId="38585" xr:uid="{00000000-0005-0000-0000-0000B01B0000}"/>
    <cellStyle name="20 % - Markeringsfarve3 2 2 4 2 4" xfId="10677" xr:uid="{00000000-0005-0000-0000-0000B11B0000}"/>
    <cellStyle name="20 % - Markeringsfarve3 2 2 4 2 4 2" xfId="26997" xr:uid="{00000000-0005-0000-0000-0000B21B0000}"/>
    <cellStyle name="20 % - Markeringsfarve3 2 2 4 2 4 3" xfId="41963" xr:uid="{00000000-0005-0000-0000-0000B31B0000}"/>
    <cellStyle name="20 % - Markeringsfarve3 2 2 4 2 5" xfId="19975" xr:uid="{00000000-0005-0000-0000-0000B41B0000}"/>
    <cellStyle name="20 % - Markeringsfarve3 2 2 4 2 6" xfId="34964" xr:uid="{00000000-0005-0000-0000-0000B51B0000}"/>
    <cellStyle name="20 % - Markeringsfarve3 2 2 4 3" xfId="2119" xr:uid="{00000000-0005-0000-0000-0000B61B0000}"/>
    <cellStyle name="20 % - Markeringsfarve3 2 2 4 3 2" xfId="7130" xr:uid="{00000000-0005-0000-0000-0000B71B0000}"/>
    <cellStyle name="20 % - Markeringsfarve3 2 2 4 3 2 2" xfId="15041" xr:uid="{00000000-0005-0000-0000-0000B81B0000}"/>
    <cellStyle name="20 % - Markeringsfarve3 2 2 4 3 2 2 2" xfId="31356" xr:uid="{00000000-0005-0000-0000-0000B91B0000}"/>
    <cellStyle name="20 % - Markeringsfarve3 2 2 4 3 2 2 3" xfId="46320" xr:uid="{00000000-0005-0000-0000-0000BA1B0000}"/>
    <cellStyle name="20 % - Markeringsfarve3 2 2 4 3 2 3" xfId="24334" xr:uid="{00000000-0005-0000-0000-0000BB1B0000}"/>
    <cellStyle name="20 % - Markeringsfarve3 2 2 4 3 2 4" xfId="39321" xr:uid="{00000000-0005-0000-0000-0000BC1B0000}"/>
    <cellStyle name="20 % - Markeringsfarve3 2 2 4 3 3" xfId="10679" xr:uid="{00000000-0005-0000-0000-0000BD1B0000}"/>
    <cellStyle name="20 % - Markeringsfarve3 2 2 4 3 3 2" xfId="26999" xr:uid="{00000000-0005-0000-0000-0000BE1B0000}"/>
    <cellStyle name="20 % - Markeringsfarve3 2 2 4 3 3 3" xfId="41965" xr:uid="{00000000-0005-0000-0000-0000BF1B0000}"/>
    <cellStyle name="20 % - Markeringsfarve3 2 2 4 3 4" xfId="19977" xr:uid="{00000000-0005-0000-0000-0000C01B0000}"/>
    <cellStyle name="20 % - Markeringsfarve3 2 2 4 3 5" xfId="34966" xr:uid="{00000000-0005-0000-0000-0000C11B0000}"/>
    <cellStyle name="20 % - Markeringsfarve3 2 2 4 4" xfId="2120" xr:uid="{00000000-0005-0000-0000-0000C21B0000}"/>
    <cellStyle name="20 % - Markeringsfarve3 2 2 4 4 2" xfId="8257" xr:uid="{00000000-0005-0000-0000-0000C31B0000}"/>
    <cellStyle name="20 % - Markeringsfarve3 2 2 4 4 2 2" xfId="16152" xr:uid="{00000000-0005-0000-0000-0000C41B0000}"/>
    <cellStyle name="20 % - Markeringsfarve3 2 2 4 4 2 2 2" xfId="32467" xr:uid="{00000000-0005-0000-0000-0000C51B0000}"/>
    <cellStyle name="20 % - Markeringsfarve3 2 2 4 4 2 2 3" xfId="47431" xr:uid="{00000000-0005-0000-0000-0000C61B0000}"/>
    <cellStyle name="20 % - Markeringsfarve3 2 2 4 4 2 3" xfId="25445" xr:uid="{00000000-0005-0000-0000-0000C71B0000}"/>
    <cellStyle name="20 % - Markeringsfarve3 2 2 4 4 2 4" xfId="40432" xr:uid="{00000000-0005-0000-0000-0000C81B0000}"/>
    <cellStyle name="20 % - Markeringsfarve3 2 2 4 4 3" xfId="10680" xr:uid="{00000000-0005-0000-0000-0000C91B0000}"/>
    <cellStyle name="20 % - Markeringsfarve3 2 2 4 4 3 2" xfId="27000" xr:uid="{00000000-0005-0000-0000-0000CA1B0000}"/>
    <cellStyle name="20 % - Markeringsfarve3 2 2 4 4 3 3" xfId="41966" xr:uid="{00000000-0005-0000-0000-0000CB1B0000}"/>
    <cellStyle name="20 % - Markeringsfarve3 2 2 4 4 4" xfId="19978" xr:uid="{00000000-0005-0000-0000-0000CC1B0000}"/>
    <cellStyle name="20 % - Markeringsfarve3 2 2 4 4 5" xfId="34967" xr:uid="{00000000-0005-0000-0000-0000CD1B0000}"/>
    <cellStyle name="20 % - Markeringsfarve3 2 2 4 5" xfId="5467" xr:uid="{00000000-0005-0000-0000-0000CE1B0000}"/>
    <cellStyle name="20 % - Markeringsfarve3 2 2 4 5 2" xfId="13386" xr:uid="{00000000-0005-0000-0000-0000CF1B0000}"/>
    <cellStyle name="20 % - Markeringsfarve3 2 2 4 5 2 2" xfId="29701" xr:uid="{00000000-0005-0000-0000-0000D01B0000}"/>
    <cellStyle name="20 % - Markeringsfarve3 2 2 4 5 2 3" xfId="44665" xr:uid="{00000000-0005-0000-0000-0000D11B0000}"/>
    <cellStyle name="20 % - Markeringsfarve3 2 2 4 5 3" xfId="22679" xr:uid="{00000000-0005-0000-0000-0000D21B0000}"/>
    <cellStyle name="20 % - Markeringsfarve3 2 2 4 5 4" xfId="37666" xr:uid="{00000000-0005-0000-0000-0000D31B0000}"/>
    <cellStyle name="20 % - Markeringsfarve3 2 2 4 6" xfId="10676" xr:uid="{00000000-0005-0000-0000-0000D41B0000}"/>
    <cellStyle name="20 % - Markeringsfarve3 2 2 4 6 2" xfId="26996" xr:uid="{00000000-0005-0000-0000-0000D51B0000}"/>
    <cellStyle name="20 % - Markeringsfarve3 2 2 4 6 3" xfId="41962" xr:uid="{00000000-0005-0000-0000-0000D61B0000}"/>
    <cellStyle name="20 % - Markeringsfarve3 2 2 4 7" xfId="19974" xr:uid="{00000000-0005-0000-0000-0000D71B0000}"/>
    <cellStyle name="20 % - Markeringsfarve3 2 2 4 8" xfId="34963" xr:uid="{00000000-0005-0000-0000-0000D81B0000}"/>
    <cellStyle name="20 % - Markeringsfarve3 2 2 5" xfId="2121" xr:uid="{00000000-0005-0000-0000-0000D91B0000}"/>
    <cellStyle name="20 % - Markeringsfarve3 2 2 5 2" xfId="2122" xr:uid="{00000000-0005-0000-0000-0000DA1B0000}"/>
    <cellStyle name="20 % - Markeringsfarve3 2 2 5 2 2" xfId="2123" xr:uid="{00000000-0005-0000-0000-0000DB1B0000}"/>
    <cellStyle name="20 % - Markeringsfarve3 2 2 5 2 2 2" xfId="7971" xr:uid="{00000000-0005-0000-0000-0000DC1B0000}"/>
    <cellStyle name="20 % - Markeringsfarve3 2 2 5 2 2 2 2" xfId="15873" xr:uid="{00000000-0005-0000-0000-0000DD1B0000}"/>
    <cellStyle name="20 % - Markeringsfarve3 2 2 5 2 2 2 2 2" xfId="32188" xr:uid="{00000000-0005-0000-0000-0000DE1B0000}"/>
    <cellStyle name="20 % - Markeringsfarve3 2 2 5 2 2 2 2 3" xfId="47152" xr:uid="{00000000-0005-0000-0000-0000DF1B0000}"/>
    <cellStyle name="20 % - Markeringsfarve3 2 2 5 2 2 2 3" xfId="25166" xr:uid="{00000000-0005-0000-0000-0000E01B0000}"/>
    <cellStyle name="20 % - Markeringsfarve3 2 2 5 2 2 2 4" xfId="40153" xr:uid="{00000000-0005-0000-0000-0000E11B0000}"/>
    <cellStyle name="20 % - Markeringsfarve3 2 2 5 2 2 3" xfId="10683" xr:uid="{00000000-0005-0000-0000-0000E21B0000}"/>
    <cellStyle name="20 % - Markeringsfarve3 2 2 5 2 2 3 2" xfId="27003" xr:uid="{00000000-0005-0000-0000-0000E31B0000}"/>
    <cellStyle name="20 % - Markeringsfarve3 2 2 5 2 2 3 3" xfId="41969" xr:uid="{00000000-0005-0000-0000-0000E41B0000}"/>
    <cellStyle name="20 % - Markeringsfarve3 2 2 5 2 2 4" xfId="19981" xr:uid="{00000000-0005-0000-0000-0000E51B0000}"/>
    <cellStyle name="20 % - Markeringsfarve3 2 2 5 2 2 5" xfId="34970" xr:uid="{00000000-0005-0000-0000-0000E61B0000}"/>
    <cellStyle name="20 % - Markeringsfarve3 2 2 5 2 3" xfId="6489" xr:uid="{00000000-0005-0000-0000-0000E71B0000}"/>
    <cellStyle name="20 % - Markeringsfarve3 2 2 5 2 3 2" xfId="14404" xr:uid="{00000000-0005-0000-0000-0000E81B0000}"/>
    <cellStyle name="20 % - Markeringsfarve3 2 2 5 2 3 2 2" xfId="30719" xr:uid="{00000000-0005-0000-0000-0000E91B0000}"/>
    <cellStyle name="20 % - Markeringsfarve3 2 2 5 2 3 2 3" xfId="45683" xr:uid="{00000000-0005-0000-0000-0000EA1B0000}"/>
    <cellStyle name="20 % - Markeringsfarve3 2 2 5 2 3 3" xfId="23697" xr:uid="{00000000-0005-0000-0000-0000EB1B0000}"/>
    <cellStyle name="20 % - Markeringsfarve3 2 2 5 2 3 4" xfId="38684" xr:uid="{00000000-0005-0000-0000-0000EC1B0000}"/>
    <cellStyle name="20 % - Markeringsfarve3 2 2 5 2 4" xfId="10682" xr:uid="{00000000-0005-0000-0000-0000ED1B0000}"/>
    <cellStyle name="20 % - Markeringsfarve3 2 2 5 2 4 2" xfId="27002" xr:uid="{00000000-0005-0000-0000-0000EE1B0000}"/>
    <cellStyle name="20 % - Markeringsfarve3 2 2 5 2 4 3" xfId="41968" xr:uid="{00000000-0005-0000-0000-0000EF1B0000}"/>
    <cellStyle name="20 % - Markeringsfarve3 2 2 5 2 5" xfId="19980" xr:uid="{00000000-0005-0000-0000-0000F01B0000}"/>
    <cellStyle name="20 % - Markeringsfarve3 2 2 5 2 6" xfId="34969" xr:uid="{00000000-0005-0000-0000-0000F11B0000}"/>
    <cellStyle name="20 % - Markeringsfarve3 2 2 5 3" xfId="2124" xr:uid="{00000000-0005-0000-0000-0000F21B0000}"/>
    <cellStyle name="20 % - Markeringsfarve3 2 2 5 3 2" xfId="7247" xr:uid="{00000000-0005-0000-0000-0000F31B0000}"/>
    <cellStyle name="20 % - Markeringsfarve3 2 2 5 3 2 2" xfId="15158" xr:uid="{00000000-0005-0000-0000-0000F41B0000}"/>
    <cellStyle name="20 % - Markeringsfarve3 2 2 5 3 2 2 2" xfId="31473" xr:uid="{00000000-0005-0000-0000-0000F51B0000}"/>
    <cellStyle name="20 % - Markeringsfarve3 2 2 5 3 2 2 3" xfId="46437" xr:uid="{00000000-0005-0000-0000-0000F61B0000}"/>
    <cellStyle name="20 % - Markeringsfarve3 2 2 5 3 2 3" xfId="24451" xr:uid="{00000000-0005-0000-0000-0000F71B0000}"/>
    <cellStyle name="20 % - Markeringsfarve3 2 2 5 3 2 4" xfId="39438" xr:uid="{00000000-0005-0000-0000-0000F81B0000}"/>
    <cellStyle name="20 % - Markeringsfarve3 2 2 5 3 3" xfId="10684" xr:uid="{00000000-0005-0000-0000-0000F91B0000}"/>
    <cellStyle name="20 % - Markeringsfarve3 2 2 5 3 3 2" xfId="27004" xr:uid="{00000000-0005-0000-0000-0000FA1B0000}"/>
    <cellStyle name="20 % - Markeringsfarve3 2 2 5 3 3 3" xfId="41970" xr:uid="{00000000-0005-0000-0000-0000FB1B0000}"/>
    <cellStyle name="20 % - Markeringsfarve3 2 2 5 3 4" xfId="19982" xr:uid="{00000000-0005-0000-0000-0000FC1B0000}"/>
    <cellStyle name="20 % - Markeringsfarve3 2 2 5 3 5" xfId="34971" xr:uid="{00000000-0005-0000-0000-0000FD1B0000}"/>
    <cellStyle name="20 % - Markeringsfarve3 2 2 5 4" xfId="2125" xr:uid="{00000000-0005-0000-0000-0000FE1B0000}"/>
    <cellStyle name="20 % - Markeringsfarve3 2 2 5 4 2" xfId="6634" xr:uid="{00000000-0005-0000-0000-0000FF1B0000}"/>
    <cellStyle name="20 % - Markeringsfarve3 2 2 5 4 2 2" xfId="14548" xr:uid="{00000000-0005-0000-0000-0000001C0000}"/>
    <cellStyle name="20 % - Markeringsfarve3 2 2 5 4 2 2 2" xfId="30863" xr:uid="{00000000-0005-0000-0000-0000011C0000}"/>
    <cellStyle name="20 % - Markeringsfarve3 2 2 5 4 2 2 3" xfId="45827" xr:uid="{00000000-0005-0000-0000-0000021C0000}"/>
    <cellStyle name="20 % - Markeringsfarve3 2 2 5 4 2 3" xfId="23841" xr:uid="{00000000-0005-0000-0000-0000031C0000}"/>
    <cellStyle name="20 % - Markeringsfarve3 2 2 5 4 2 4" xfId="38828" xr:uid="{00000000-0005-0000-0000-0000041C0000}"/>
    <cellStyle name="20 % - Markeringsfarve3 2 2 5 4 3" xfId="10685" xr:uid="{00000000-0005-0000-0000-0000051C0000}"/>
    <cellStyle name="20 % - Markeringsfarve3 2 2 5 4 3 2" xfId="27005" xr:uid="{00000000-0005-0000-0000-0000061C0000}"/>
    <cellStyle name="20 % - Markeringsfarve3 2 2 5 4 3 3" xfId="41971" xr:uid="{00000000-0005-0000-0000-0000071C0000}"/>
    <cellStyle name="20 % - Markeringsfarve3 2 2 5 4 4" xfId="19983" xr:uid="{00000000-0005-0000-0000-0000081C0000}"/>
    <cellStyle name="20 % - Markeringsfarve3 2 2 5 4 5" xfId="34972" xr:uid="{00000000-0005-0000-0000-0000091C0000}"/>
    <cellStyle name="20 % - Markeringsfarve3 2 2 5 5" xfId="5468" xr:uid="{00000000-0005-0000-0000-00000A1C0000}"/>
    <cellStyle name="20 % - Markeringsfarve3 2 2 5 5 2" xfId="13387" xr:uid="{00000000-0005-0000-0000-00000B1C0000}"/>
    <cellStyle name="20 % - Markeringsfarve3 2 2 5 5 2 2" xfId="29702" xr:uid="{00000000-0005-0000-0000-00000C1C0000}"/>
    <cellStyle name="20 % - Markeringsfarve3 2 2 5 5 2 3" xfId="44666" xr:uid="{00000000-0005-0000-0000-00000D1C0000}"/>
    <cellStyle name="20 % - Markeringsfarve3 2 2 5 5 3" xfId="22680" xr:uid="{00000000-0005-0000-0000-00000E1C0000}"/>
    <cellStyle name="20 % - Markeringsfarve3 2 2 5 5 4" xfId="37667" xr:uid="{00000000-0005-0000-0000-00000F1C0000}"/>
    <cellStyle name="20 % - Markeringsfarve3 2 2 5 6" xfId="10681" xr:uid="{00000000-0005-0000-0000-0000101C0000}"/>
    <cellStyle name="20 % - Markeringsfarve3 2 2 5 6 2" xfId="27001" xr:uid="{00000000-0005-0000-0000-0000111C0000}"/>
    <cellStyle name="20 % - Markeringsfarve3 2 2 5 6 3" xfId="41967" xr:uid="{00000000-0005-0000-0000-0000121C0000}"/>
    <cellStyle name="20 % - Markeringsfarve3 2 2 5 7" xfId="19979" xr:uid="{00000000-0005-0000-0000-0000131C0000}"/>
    <cellStyle name="20 % - Markeringsfarve3 2 2 5 8" xfId="34968" xr:uid="{00000000-0005-0000-0000-0000141C0000}"/>
    <cellStyle name="20 % - Markeringsfarve3 2 2 6" xfId="2126" xr:uid="{00000000-0005-0000-0000-0000151C0000}"/>
    <cellStyle name="20 % - Markeringsfarve3 2 2 6 2" xfId="2127" xr:uid="{00000000-0005-0000-0000-0000161C0000}"/>
    <cellStyle name="20 % - Markeringsfarve3 2 2 6 2 2" xfId="2128" xr:uid="{00000000-0005-0000-0000-0000171C0000}"/>
    <cellStyle name="20 % - Markeringsfarve3 2 2 6 2 2 2" xfId="8039" xr:uid="{00000000-0005-0000-0000-0000181C0000}"/>
    <cellStyle name="20 % - Markeringsfarve3 2 2 6 2 2 2 2" xfId="15941" xr:uid="{00000000-0005-0000-0000-0000191C0000}"/>
    <cellStyle name="20 % - Markeringsfarve3 2 2 6 2 2 2 2 2" xfId="32256" xr:uid="{00000000-0005-0000-0000-00001A1C0000}"/>
    <cellStyle name="20 % - Markeringsfarve3 2 2 6 2 2 2 2 3" xfId="47220" xr:uid="{00000000-0005-0000-0000-00001B1C0000}"/>
    <cellStyle name="20 % - Markeringsfarve3 2 2 6 2 2 2 3" xfId="25234" xr:uid="{00000000-0005-0000-0000-00001C1C0000}"/>
    <cellStyle name="20 % - Markeringsfarve3 2 2 6 2 2 2 4" xfId="40221" xr:uid="{00000000-0005-0000-0000-00001D1C0000}"/>
    <cellStyle name="20 % - Markeringsfarve3 2 2 6 2 2 3" xfId="10688" xr:uid="{00000000-0005-0000-0000-00001E1C0000}"/>
    <cellStyle name="20 % - Markeringsfarve3 2 2 6 2 2 3 2" xfId="27008" xr:uid="{00000000-0005-0000-0000-00001F1C0000}"/>
    <cellStyle name="20 % - Markeringsfarve3 2 2 6 2 2 3 3" xfId="41974" xr:uid="{00000000-0005-0000-0000-0000201C0000}"/>
    <cellStyle name="20 % - Markeringsfarve3 2 2 6 2 2 4" xfId="19986" xr:uid="{00000000-0005-0000-0000-0000211C0000}"/>
    <cellStyle name="20 % - Markeringsfarve3 2 2 6 2 2 5" xfId="34975" xr:uid="{00000000-0005-0000-0000-0000221C0000}"/>
    <cellStyle name="20 % - Markeringsfarve3 2 2 6 2 3" xfId="6550" xr:uid="{00000000-0005-0000-0000-0000231C0000}"/>
    <cellStyle name="20 % - Markeringsfarve3 2 2 6 2 3 2" xfId="14465" xr:uid="{00000000-0005-0000-0000-0000241C0000}"/>
    <cellStyle name="20 % - Markeringsfarve3 2 2 6 2 3 2 2" xfId="30780" xr:uid="{00000000-0005-0000-0000-0000251C0000}"/>
    <cellStyle name="20 % - Markeringsfarve3 2 2 6 2 3 2 3" xfId="45744" xr:uid="{00000000-0005-0000-0000-0000261C0000}"/>
    <cellStyle name="20 % - Markeringsfarve3 2 2 6 2 3 3" xfId="23758" xr:uid="{00000000-0005-0000-0000-0000271C0000}"/>
    <cellStyle name="20 % - Markeringsfarve3 2 2 6 2 3 4" xfId="38745" xr:uid="{00000000-0005-0000-0000-0000281C0000}"/>
    <cellStyle name="20 % - Markeringsfarve3 2 2 6 2 4" xfId="10687" xr:uid="{00000000-0005-0000-0000-0000291C0000}"/>
    <cellStyle name="20 % - Markeringsfarve3 2 2 6 2 4 2" xfId="27007" xr:uid="{00000000-0005-0000-0000-00002A1C0000}"/>
    <cellStyle name="20 % - Markeringsfarve3 2 2 6 2 4 3" xfId="41973" xr:uid="{00000000-0005-0000-0000-00002B1C0000}"/>
    <cellStyle name="20 % - Markeringsfarve3 2 2 6 2 5" xfId="19985" xr:uid="{00000000-0005-0000-0000-00002C1C0000}"/>
    <cellStyle name="20 % - Markeringsfarve3 2 2 6 2 6" xfId="34974" xr:uid="{00000000-0005-0000-0000-00002D1C0000}"/>
    <cellStyle name="20 % - Markeringsfarve3 2 2 6 3" xfId="2129" xr:uid="{00000000-0005-0000-0000-00002E1C0000}"/>
    <cellStyle name="20 % - Markeringsfarve3 2 2 6 3 2" xfId="7316" xr:uid="{00000000-0005-0000-0000-00002F1C0000}"/>
    <cellStyle name="20 % - Markeringsfarve3 2 2 6 3 2 2" xfId="15227" xr:uid="{00000000-0005-0000-0000-0000301C0000}"/>
    <cellStyle name="20 % - Markeringsfarve3 2 2 6 3 2 2 2" xfId="31542" xr:uid="{00000000-0005-0000-0000-0000311C0000}"/>
    <cellStyle name="20 % - Markeringsfarve3 2 2 6 3 2 2 3" xfId="46506" xr:uid="{00000000-0005-0000-0000-0000321C0000}"/>
    <cellStyle name="20 % - Markeringsfarve3 2 2 6 3 2 3" xfId="24520" xr:uid="{00000000-0005-0000-0000-0000331C0000}"/>
    <cellStyle name="20 % - Markeringsfarve3 2 2 6 3 2 4" xfId="39507" xr:uid="{00000000-0005-0000-0000-0000341C0000}"/>
    <cellStyle name="20 % - Markeringsfarve3 2 2 6 3 3" xfId="10689" xr:uid="{00000000-0005-0000-0000-0000351C0000}"/>
    <cellStyle name="20 % - Markeringsfarve3 2 2 6 3 3 2" xfId="27009" xr:uid="{00000000-0005-0000-0000-0000361C0000}"/>
    <cellStyle name="20 % - Markeringsfarve3 2 2 6 3 3 3" xfId="41975" xr:uid="{00000000-0005-0000-0000-0000371C0000}"/>
    <cellStyle name="20 % - Markeringsfarve3 2 2 6 3 4" xfId="19987" xr:uid="{00000000-0005-0000-0000-0000381C0000}"/>
    <cellStyle name="20 % - Markeringsfarve3 2 2 6 3 5" xfId="34976" xr:uid="{00000000-0005-0000-0000-0000391C0000}"/>
    <cellStyle name="20 % - Markeringsfarve3 2 2 6 4" xfId="2130" xr:uid="{00000000-0005-0000-0000-00003A1C0000}"/>
    <cellStyle name="20 % - Markeringsfarve3 2 2 6 4 2" xfId="7045" xr:uid="{00000000-0005-0000-0000-00003B1C0000}"/>
    <cellStyle name="20 % - Markeringsfarve3 2 2 6 4 2 2" xfId="14956" xr:uid="{00000000-0005-0000-0000-00003C1C0000}"/>
    <cellStyle name="20 % - Markeringsfarve3 2 2 6 4 2 2 2" xfId="31271" xr:uid="{00000000-0005-0000-0000-00003D1C0000}"/>
    <cellStyle name="20 % - Markeringsfarve3 2 2 6 4 2 2 3" xfId="46235" xr:uid="{00000000-0005-0000-0000-00003E1C0000}"/>
    <cellStyle name="20 % - Markeringsfarve3 2 2 6 4 2 3" xfId="24249" xr:uid="{00000000-0005-0000-0000-00003F1C0000}"/>
    <cellStyle name="20 % - Markeringsfarve3 2 2 6 4 2 4" xfId="39236" xr:uid="{00000000-0005-0000-0000-0000401C0000}"/>
    <cellStyle name="20 % - Markeringsfarve3 2 2 6 4 3" xfId="10690" xr:uid="{00000000-0005-0000-0000-0000411C0000}"/>
    <cellStyle name="20 % - Markeringsfarve3 2 2 6 4 3 2" xfId="27010" xr:uid="{00000000-0005-0000-0000-0000421C0000}"/>
    <cellStyle name="20 % - Markeringsfarve3 2 2 6 4 3 3" xfId="41976" xr:uid="{00000000-0005-0000-0000-0000431C0000}"/>
    <cellStyle name="20 % - Markeringsfarve3 2 2 6 4 4" xfId="19988" xr:uid="{00000000-0005-0000-0000-0000441C0000}"/>
    <cellStyle name="20 % - Markeringsfarve3 2 2 6 4 5" xfId="34977" xr:uid="{00000000-0005-0000-0000-0000451C0000}"/>
    <cellStyle name="20 % - Markeringsfarve3 2 2 6 5" xfId="5469" xr:uid="{00000000-0005-0000-0000-0000461C0000}"/>
    <cellStyle name="20 % - Markeringsfarve3 2 2 6 5 2" xfId="13388" xr:uid="{00000000-0005-0000-0000-0000471C0000}"/>
    <cellStyle name="20 % - Markeringsfarve3 2 2 6 5 2 2" xfId="29703" xr:uid="{00000000-0005-0000-0000-0000481C0000}"/>
    <cellStyle name="20 % - Markeringsfarve3 2 2 6 5 2 3" xfId="44667" xr:uid="{00000000-0005-0000-0000-0000491C0000}"/>
    <cellStyle name="20 % - Markeringsfarve3 2 2 6 5 3" xfId="22681" xr:uid="{00000000-0005-0000-0000-00004A1C0000}"/>
    <cellStyle name="20 % - Markeringsfarve3 2 2 6 5 4" xfId="37668" xr:uid="{00000000-0005-0000-0000-00004B1C0000}"/>
    <cellStyle name="20 % - Markeringsfarve3 2 2 6 6" xfId="10686" xr:uid="{00000000-0005-0000-0000-00004C1C0000}"/>
    <cellStyle name="20 % - Markeringsfarve3 2 2 6 6 2" xfId="27006" xr:uid="{00000000-0005-0000-0000-00004D1C0000}"/>
    <cellStyle name="20 % - Markeringsfarve3 2 2 6 6 3" xfId="41972" xr:uid="{00000000-0005-0000-0000-00004E1C0000}"/>
    <cellStyle name="20 % - Markeringsfarve3 2 2 6 7" xfId="19984" xr:uid="{00000000-0005-0000-0000-00004F1C0000}"/>
    <cellStyle name="20 % - Markeringsfarve3 2 2 6 8" xfId="34973" xr:uid="{00000000-0005-0000-0000-0000501C0000}"/>
    <cellStyle name="20 % - Markeringsfarve3 2 2 7" xfId="2131" xr:uid="{00000000-0005-0000-0000-0000511C0000}"/>
    <cellStyle name="20 % - Markeringsfarve3 2 2 7 2" xfId="2132" xr:uid="{00000000-0005-0000-0000-0000521C0000}"/>
    <cellStyle name="20 % - Markeringsfarve3 2 2 7 2 2" xfId="7497" xr:uid="{00000000-0005-0000-0000-0000531C0000}"/>
    <cellStyle name="20 % - Markeringsfarve3 2 2 7 2 2 2" xfId="15399" xr:uid="{00000000-0005-0000-0000-0000541C0000}"/>
    <cellStyle name="20 % - Markeringsfarve3 2 2 7 2 2 2 2" xfId="31714" xr:uid="{00000000-0005-0000-0000-0000551C0000}"/>
    <cellStyle name="20 % - Markeringsfarve3 2 2 7 2 2 2 3" xfId="46678" xr:uid="{00000000-0005-0000-0000-0000561C0000}"/>
    <cellStyle name="20 % - Markeringsfarve3 2 2 7 2 2 3" xfId="24692" xr:uid="{00000000-0005-0000-0000-0000571C0000}"/>
    <cellStyle name="20 % - Markeringsfarve3 2 2 7 2 2 4" xfId="39679" xr:uid="{00000000-0005-0000-0000-0000581C0000}"/>
    <cellStyle name="20 % - Markeringsfarve3 2 2 7 2 3" xfId="10692" xr:uid="{00000000-0005-0000-0000-0000591C0000}"/>
    <cellStyle name="20 % - Markeringsfarve3 2 2 7 2 3 2" xfId="27012" xr:uid="{00000000-0005-0000-0000-00005A1C0000}"/>
    <cellStyle name="20 % - Markeringsfarve3 2 2 7 2 3 3" xfId="41978" xr:uid="{00000000-0005-0000-0000-00005B1C0000}"/>
    <cellStyle name="20 % - Markeringsfarve3 2 2 7 2 4" xfId="19990" xr:uid="{00000000-0005-0000-0000-00005C1C0000}"/>
    <cellStyle name="20 % - Markeringsfarve3 2 2 7 2 5" xfId="34979" xr:uid="{00000000-0005-0000-0000-00005D1C0000}"/>
    <cellStyle name="20 % - Markeringsfarve3 2 2 7 3" xfId="6089" xr:uid="{00000000-0005-0000-0000-00005E1C0000}"/>
    <cellStyle name="20 % - Markeringsfarve3 2 2 7 3 2" xfId="14007" xr:uid="{00000000-0005-0000-0000-00005F1C0000}"/>
    <cellStyle name="20 % - Markeringsfarve3 2 2 7 3 2 2" xfId="30322" xr:uid="{00000000-0005-0000-0000-0000601C0000}"/>
    <cellStyle name="20 % - Markeringsfarve3 2 2 7 3 2 3" xfId="45286" xr:uid="{00000000-0005-0000-0000-0000611C0000}"/>
    <cellStyle name="20 % - Markeringsfarve3 2 2 7 3 3" xfId="23300" xr:uid="{00000000-0005-0000-0000-0000621C0000}"/>
    <cellStyle name="20 % - Markeringsfarve3 2 2 7 3 4" xfId="38287" xr:uid="{00000000-0005-0000-0000-0000631C0000}"/>
    <cellStyle name="20 % - Markeringsfarve3 2 2 7 4" xfId="10691" xr:uid="{00000000-0005-0000-0000-0000641C0000}"/>
    <cellStyle name="20 % - Markeringsfarve3 2 2 7 4 2" xfId="27011" xr:uid="{00000000-0005-0000-0000-0000651C0000}"/>
    <cellStyle name="20 % - Markeringsfarve3 2 2 7 4 3" xfId="41977" xr:uid="{00000000-0005-0000-0000-0000661C0000}"/>
    <cellStyle name="20 % - Markeringsfarve3 2 2 7 5" xfId="19989" xr:uid="{00000000-0005-0000-0000-0000671C0000}"/>
    <cellStyle name="20 % - Markeringsfarve3 2 2 7 6" xfId="34978" xr:uid="{00000000-0005-0000-0000-0000681C0000}"/>
    <cellStyle name="20 % - Markeringsfarve3 2 2 8" xfId="2133" xr:uid="{00000000-0005-0000-0000-0000691C0000}"/>
    <cellStyle name="20 % - Markeringsfarve3 2 2 8 2" xfId="6725" xr:uid="{00000000-0005-0000-0000-00006A1C0000}"/>
    <cellStyle name="20 % - Markeringsfarve3 2 2 8 2 2" xfId="14637" xr:uid="{00000000-0005-0000-0000-00006B1C0000}"/>
    <cellStyle name="20 % - Markeringsfarve3 2 2 8 2 2 2" xfId="30952" xr:uid="{00000000-0005-0000-0000-00006C1C0000}"/>
    <cellStyle name="20 % - Markeringsfarve3 2 2 8 2 2 3" xfId="45916" xr:uid="{00000000-0005-0000-0000-00006D1C0000}"/>
    <cellStyle name="20 % - Markeringsfarve3 2 2 8 2 3" xfId="23930" xr:uid="{00000000-0005-0000-0000-00006E1C0000}"/>
    <cellStyle name="20 % - Markeringsfarve3 2 2 8 2 4" xfId="38917" xr:uid="{00000000-0005-0000-0000-00006F1C0000}"/>
    <cellStyle name="20 % - Markeringsfarve3 2 2 8 3" xfId="10693" xr:uid="{00000000-0005-0000-0000-0000701C0000}"/>
    <cellStyle name="20 % - Markeringsfarve3 2 2 8 3 2" xfId="27013" xr:uid="{00000000-0005-0000-0000-0000711C0000}"/>
    <cellStyle name="20 % - Markeringsfarve3 2 2 8 3 3" xfId="41979" xr:uid="{00000000-0005-0000-0000-0000721C0000}"/>
    <cellStyle name="20 % - Markeringsfarve3 2 2 8 4" xfId="19991" xr:uid="{00000000-0005-0000-0000-0000731C0000}"/>
    <cellStyle name="20 % - Markeringsfarve3 2 2 8 5" xfId="34980" xr:uid="{00000000-0005-0000-0000-0000741C0000}"/>
    <cellStyle name="20 % - Markeringsfarve3 2 2 9" xfId="2134" xr:uid="{00000000-0005-0000-0000-0000751C0000}"/>
    <cellStyle name="20 % - Markeringsfarve3 2 2 9 2" xfId="8552" xr:uid="{00000000-0005-0000-0000-0000761C0000}"/>
    <cellStyle name="20 % - Markeringsfarve3 2 2 9 2 2" xfId="16439" xr:uid="{00000000-0005-0000-0000-0000771C0000}"/>
    <cellStyle name="20 % - Markeringsfarve3 2 2 9 2 2 2" xfId="32754" xr:uid="{00000000-0005-0000-0000-0000781C0000}"/>
    <cellStyle name="20 % - Markeringsfarve3 2 2 9 2 2 3" xfId="47718" xr:uid="{00000000-0005-0000-0000-0000791C0000}"/>
    <cellStyle name="20 % - Markeringsfarve3 2 2 9 2 3" xfId="25732" xr:uid="{00000000-0005-0000-0000-00007A1C0000}"/>
    <cellStyle name="20 % - Markeringsfarve3 2 2 9 2 4" xfId="40719" xr:uid="{00000000-0005-0000-0000-00007B1C0000}"/>
    <cellStyle name="20 % - Markeringsfarve3 2 2 9 3" xfId="10694" xr:uid="{00000000-0005-0000-0000-00007C1C0000}"/>
    <cellStyle name="20 % - Markeringsfarve3 2 2 9 3 2" xfId="27014" xr:uid="{00000000-0005-0000-0000-00007D1C0000}"/>
    <cellStyle name="20 % - Markeringsfarve3 2 2 9 3 3" xfId="41980" xr:uid="{00000000-0005-0000-0000-00007E1C0000}"/>
    <cellStyle name="20 % - Markeringsfarve3 2 2 9 4" xfId="19992" xr:uid="{00000000-0005-0000-0000-00007F1C0000}"/>
    <cellStyle name="20 % - Markeringsfarve3 2 2 9 5" xfId="34981" xr:uid="{00000000-0005-0000-0000-0000801C0000}"/>
    <cellStyle name="20 % - Markeringsfarve3 2 3" xfId="2135" xr:uid="{00000000-0005-0000-0000-0000811C0000}"/>
    <cellStyle name="20 % - Markeringsfarve3 2 3 10" xfId="5470" xr:uid="{00000000-0005-0000-0000-0000821C0000}"/>
    <cellStyle name="20 % - Markeringsfarve3 2 3 10 2" xfId="13389" xr:uid="{00000000-0005-0000-0000-0000831C0000}"/>
    <cellStyle name="20 % - Markeringsfarve3 2 3 10 2 2" xfId="29704" xr:uid="{00000000-0005-0000-0000-0000841C0000}"/>
    <cellStyle name="20 % - Markeringsfarve3 2 3 10 2 3" xfId="44668" xr:uid="{00000000-0005-0000-0000-0000851C0000}"/>
    <cellStyle name="20 % - Markeringsfarve3 2 3 10 3" xfId="22682" xr:uid="{00000000-0005-0000-0000-0000861C0000}"/>
    <cellStyle name="20 % - Markeringsfarve3 2 3 10 4" xfId="37669" xr:uid="{00000000-0005-0000-0000-0000871C0000}"/>
    <cellStyle name="20 % - Markeringsfarve3 2 3 11" xfId="10695" xr:uid="{00000000-0005-0000-0000-0000881C0000}"/>
    <cellStyle name="20 % - Markeringsfarve3 2 3 11 2" xfId="27015" xr:uid="{00000000-0005-0000-0000-0000891C0000}"/>
    <cellStyle name="20 % - Markeringsfarve3 2 3 11 3" xfId="41981" xr:uid="{00000000-0005-0000-0000-00008A1C0000}"/>
    <cellStyle name="20 % - Markeringsfarve3 2 3 12" xfId="19993" xr:uid="{00000000-0005-0000-0000-00008B1C0000}"/>
    <cellStyle name="20 % - Markeringsfarve3 2 3 13" xfId="34982" xr:uid="{00000000-0005-0000-0000-00008C1C0000}"/>
    <cellStyle name="20 % - Markeringsfarve3 2 3 14" xfId="53309" xr:uid="{00000000-0005-0000-0000-00008D1C0000}"/>
    <cellStyle name="20 % - Markeringsfarve3 2 3 2" xfId="2136" xr:uid="{00000000-0005-0000-0000-00008E1C0000}"/>
    <cellStyle name="20 % - Markeringsfarve3 2 3 2 2" xfId="2137" xr:uid="{00000000-0005-0000-0000-00008F1C0000}"/>
    <cellStyle name="20 % - Markeringsfarve3 2 3 2 2 2" xfId="2138" xr:uid="{00000000-0005-0000-0000-0000901C0000}"/>
    <cellStyle name="20 % - Markeringsfarve3 2 3 2 2 2 2" xfId="7655" xr:uid="{00000000-0005-0000-0000-0000911C0000}"/>
    <cellStyle name="20 % - Markeringsfarve3 2 3 2 2 2 2 2" xfId="15557" xr:uid="{00000000-0005-0000-0000-0000921C0000}"/>
    <cellStyle name="20 % - Markeringsfarve3 2 3 2 2 2 2 2 2" xfId="31872" xr:uid="{00000000-0005-0000-0000-0000931C0000}"/>
    <cellStyle name="20 % - Markeringsfarve3 2 3 2 2 2 2 2 3" xfId="46836" xr:uid="{00000000-0005-0000-0000-0000941C0000}"/>
    <cellStyle name="20 % - Markeringsfarve3 2 3 2 2 2 2 3" xfId="24850" xr:uid="{00000000-0005-0000-0000-0000951C0000}"/>
    <cellStyle name="20 % - Markeringsfarve3 2 3 2 2 2 2 4" xfId="39837" xr:uid="{00000000-0005-0000-0000-0000961C0000}"/>
    <cellStyle name="20 % - Markeringsfarve3 2 3 2 2 2 3" xfId="10698" xr:uid="{00000000-0005-0000-0000-0000971C0000}"/>
    <cellStyle name="20 % - Markeringsfarve3 2 3 2 2 2 3 2" xfId="27018" xr:uid="{00000000-0005-0000-0000-0000981C0000}"/>
    <cellStyle name="20 % - Markeringsfarve3 2 3 2 2 2 3 3" xfId="41984" xr:uid="{00000000-0005-0000-0000-0000991C0000}"/>
    <cellStyle name="20 % - Markeringsfarve3 2 3 2 2 2 4" xfId="19996" xr:uid="{00000000-0005-0000-0000-00009A1C0000}"/>
    <cellStyle name="20 % - Markeringsfarve3 2 3 2 2 2 5" xfId="34985" xr:uid="{00000000-0005-0000-0000-00009B1C0000}"/>
    <cellStyle name="20 % - Markeringsfarve3 2 3 2 2 3" xfId="6221" xr:uid="{00000000-0005-0000-0000-00009C1C0000}"/>
    <cellStyle name="20 % - Markeringsfarve3 2 3 2 2 3 2" xfId="14139" xr:uid="{00000000-0005-0000-0000-00009D1C0000}"/>
    <cellStyle name="20 % - Markeringsfarve3 2 3 2 2 3 2 2" xfId="30454" xr:uid="{00000000-0005-0000-0000-00009E1C0000}"/>
    <cellStyle name="20 % - Markeringsfarve3 2 3 2 2 3 2 3" xfId="45418" xr:uid="{00000000-0005-0000-0000-00009F1C0000}"/>
    <cellStyle name="20 % - Markeringsfarve3 2 3 2 2 3 3" xfId="23432" xr:uid="{00000000-0005-0000-0000-0000A01C0000}"/>
    <cellStyle name="20 % - Markeringsfarve3 2 3 2 2 3 4" xfId="38419" xr:uid="{00000000-0005-0000-0000-0000A11C0000}"/>
    <cellStyle name="20 % - Markeringsfarve3 2 3 2 2 4" xfId="10697" xr:uid="{00000000-0005-0000-0000-0000A21C0000}"/>
    <cellStyle name="20 % - Markeringsfarve3 2 3 2 2 4 2" xfId="27017" xr:uid="{00000000-0005-0000-0000-0000A31C0000}"/>
    <cellStyle name="20 % - Markeringsfarve3 2 3 2 2 4 3" xfId="41983" xr:uid="{00000000-0005-0000-0000-0000A41C0000}"/>
    <cellStyle name="20 % - Markeringsfarve3 2 3 2 2 5" xfId="19995" xr:uid="{00000000-0005-0000-0000-0000A51C0000}"/>
    <cellStyle name="20 % - Markeringsfarve3 2 3 2 2 6" xfId="34984" xr:uid="{00000000-0005-0000-0000-0000A61C0000}"/>
    <cellStyle name="20 % - Markeringsfarve3 2 3 2 2 7" xfId="57113" xr:uid="{00000000-0005-0000-0000-0000A71C0000}"/>
    <cellStyle name="20 % - Markeringsfarve3 2 3 2 3" xfId="2139" xr:uid="{00000000-0005-0000-0000-0000A81C0000}"/>
    <cellStyle name="20 % - Markeringsfarve3 2 3 2 3 2" xfId="6885" xr:uid="{00000000-0005-0000-0000-0000A91C0000}"/>
    <cellStyle name="20 % - Markeringsfarve3 2 3 2 3 2 2" xfId="14797" xr:uid="{00000000-0005-0000-0000-0000AA1C0000}"/>
    <cellStyle name="20 % - Markeringsfarve3 2 3 2 3 2 2 2" xfId="31112" xr:uid="{00000000-0005-0000-0000-0000AB1C0000}"/>
    <cellStyle name="20 % - Markeringsfarve3 2 3 2 3 2 2 3" xfId="46076" xr:uid="{00000000-0005-0000-0000-0000AC1C0000}"/>
    <cellStyle name="20 % - Markeringsfarve3 2 3 2 3 2 3" xfId="24090" xr:uid="{00000000-0005-0000-0000-0000AD1C0000}"/>
    <cellStyle name="20 % - Markeringsfarve3 2 3 2 3 2 4" xfId="39077" xr:uid="{00000000-0005-0000-0000-0000AE1C0000}"/>
    <cellStyle name="20 % - Markeringsfarve3 2 3 2 3 3" xfId="10699" xr:uid="{00000000-0005-0000-0000-0000AF1C0000}"/>
    <cellStyle name="20 % - Markeringsfarve3 2 3 2 3 3 2" xfId="27019" xr:uid="{00000000-0005-0000-0000-0000B01C0000}"/>
    <cellStyle name="20 % - Markeringsfarve3 2 3 2 3 3 3" xfId="41985" xr:uid="{00000000-0005-0000-0000-0000B11C0000}"/>
    <cellStyle name="20 % - Markeringsfarve3 2 3 2 3 4" xfId="19997" xr:uid="{00000000-0005-0000-0000-0000B21C0000}"/>
    <cellStyle name="20 % - Markeringsfarve3 2 3 2 3 5" xfId="34986" xr:uid="{00000000-0005-0000-0000-0000B31C0000}"/>
    <cellStyle name="20 % - Markeringsfarve3 2 3 2 4" xfId="2140" xr:uid="{00000000-0005-0000-0000-0000B41C0000}"/>
    <cellStyle name="20 % - Markeringsfarve3 2 3 2 4 2" xfId="7030" xr:uid="{00000000-0005-0000-0000-0000B51C0000}"/>
    <cellStyle name="20 % - Markeringsfarve3 2 3 2 4 2 2" xfId="14941" xr:uid="{00000000-0005-0000-0000-0000B61C0000}"/>
    <cellStyle name="20 % - Markeringsfarve3 2 3 2 4 2 2 2" xfId="31256" xr:uid="{00000000-0005-0000-0000-0000B71C0000}"/>
    <cellStyle name="20 % - Markeringsfarve3 2 3 2 4 2 2 3" xfId="46220" xr:uid="{00000000-0005-0000-0000-0000B81C0000}"/>
    <cellStyle name="20 % - Markeringsfarve3 2 3 2 4 2 3" xfId="24234" xr:uid="{00000000-0005-0000-0000-0000B91C0000}"/>
    <cellStyle name="20 % - Markeringsfarve3 2 3 2 4 2 4" xfId="39221" xr:uid="{00000000-0005-0000-0000-0000BA1C0000}"/>
    <cellStyle name="20 % - Markeringsfarve3 2 3 2 4 3" xfId="10700" xr:uid="{00000000-0005-0000-0000-0000BB1C0000}"/>
    <cellStyle name="20 % - Markeringsfarve3 2 3 2 4 3 2" xfId="27020" xr:uid="{00000000-0005-0000-0000-0000BC1C0000}"/>
    <cellStyle name="20 % - Markeringsfarve3 2 3 2 4 3 3" xfId="41986" xr:uid="{00000000-0005-0000-0000-0000BD1C0000}"/>
    <cellStyle name="20 % - Markeringsfarve3 2 3 2 4 4" xfId="19998" xr:uid="{00000000-0005-0000-0000-0000BE1C0000}"/>
    <cellStyle name="20 % - Markeringsfarve3 2 3 2 4 5" xfId="34987" xr:uid="{00000000-0005-0000-0000-0000BF1C0000}"/>
    <cellStyle name="20 % - Markeringsfarve3 2 3 2 5" xfId="5471" xr:uid="{00000000-0005-0000-0000-0000C01C0000}"/>
    <cellStyle name="20 % - Markeringsfarve3 2 3 2 5 2" xfId="13390" xr:uid="{00000000-0005-0000-0000-0000C11C0000}"/>
    <cellStyle name="20 % - Markeringsfarve3 2 3 2 5 2 2" xfId="29705" xr:uid="{00000000-0005-0000-0000-0000C21C0000}"/>
    <cellStyle name="20 % - Markeringsfarve3 2 3 2 5 2 3" xfId="44669" xr:uid="{00000000-0005-0000-0000-0000C31C0000}"/>
    <cellStyle name="20 % - Markeringsfarve3 2 3 2 5 3" xfId="22683" xr:uid="{00000000-0005-0000-0000-0000C41C0000}"/>
    <cellStyle name="20 % - Markeringsfarve3 2 3 2 5 4" xfId="37670" xr:uid="{00000000-0005-0000-0000-0000C51C0000}"/>
    <cellStyle name="20 % - Markeringsfarve3 2 3 2 6" xfId="10696" xr:uid="{00000000-0005-0000-0000-0000C61C0000}"/>
    <cellStyle name="20 % - Markeringsfarve3 2 3 2 6 2" xfId="27016" xr:uid="{00000000-0005-0000-0000-0000C71C0000}"/>
    <cellStyle name="20 % - Markeringsfarve3 2 3 2 6 3" xfId="41982" xr:uid="{00000000-0005-0000-0000-0000C81C0000}"/>
    <cellStyle name="20 % - Markeringsfarve3 2 3 2 7" xfId="19994" xr:uid="{00000000-0005-0000-0000-0000C91C0000}"/>
    <cellStyle name="20 % - Markeringsfarve3 2 3 2 8" xfId="34983" xr:uid="{00000000-0005-0000-0000-0000CA1C0000}"/>
    <cellStyle name="20 % - Markeringsfarve3 2 3 2 9" xfId="53946" xr:uid="{00000000-0005-0000-0000-0000CB1C0000}"/>
    <cellStyle name="20 % - Markeringsfarve3 2 3 3" xfId="2141" xr:uid="{00000000-0005-0000-0000-0000CC1C0000}"/>
    <cellStyle name="20 % - Markeringsfarve3 2 3 3 2" xfId="2142" xr:uid="{00000000-0005-0000-0000-0000CD1C0000}"/>
    <cellStyle name="20 % - Markeringsfarve3 2 3 3 2 2" xfId="2143" xr:uid="{00000000-0005-0000-0000-0000CE1C0000}"/>
    <cellStyle name="20 % - Markeringsfarve3 2 3 3 2 2 2" xfId="7685" xr:uid="{00000000-0005-0000-0000-0000CF1C0000}"/>
    <cellStyle name="20 % - Markeringsfarve3 2 3 3 2 2 2 2" xfId="15587" xr:uid="{00000000-0005-0000-0000-0000D01C0000}"/>
    <cellStyle name="20 % - Markeringsfarve3 2 3 3 2 2 2 2 2" xfId="31902" xr:uid="{00000000-0005-0000-0000-0000D11C0000}"/>
    <cellStyle name="20 % - Markeringsfarve3 2 3 3 2 2 2 2 3" xfId="46866" xr:uid="{00000000-0005-0000-0000-0000D21C0000}"/>
    <cellStyle name="20 % - Markeringsfarve3 2 3 3 2 2 2 3" xfId="24880" xr:uid="{00000000-0005-0000-0000-0000D31C0000}"/>
    <cellStyle name="20 % - Markeringsfarve3 2 3 3 2 2 2 4" xfId="39867" xr:uid="{00000000-0005-0000-0000-0000D41C0000}"/>
    <cellStyle name="20 % - Markeringsfarve3 2 3 3 2 2 3" xfId="10703" xr:uid="{00000000-0005-0000-0000-0000D51C0000}"/>
    <cellStyle name="20 % - Markeringsfarve3 2 3 3 2 2 3 2" xfId="27023" xr:uid="{00000000-0005-0000-0000-0000D61C0000}"/>
    <cellStyle name="20 % - Markeringsfarve3 2 3 3 2 2 3 3" xfId="41989" xr:uid="{00000000-0005-0000-0000-0000D71C0000}"/>
    <cellStyle name="20 % - Markeringsfarve3 2 3 3 2 2 4" xfId="20001" xr:uid="{00000000-0005-0000-0000-0000D81C0000}"/>
    <cellStyle name="20 % - Markeringsfarve3 2 3 3 2 2 5" xfId="34990" xr:uid="{00000000-0005-0000-0000-0000D91C0000}"/>
    <cellStyle name="20 % - Markeringsfarve3 2 3 3 2 3" xfId="6249" xr:uid="{00000000-0005-0000-0000-0000DA1C0000}"/>
    <cellStyle name="20 % - Markeringsfarve3 2 3 3 2 3 2" xfId="14167" xr:uid="{00000000-0005-0000-0000-0000DB1C0000}"/>
    <cellStyle name="20 % - Markeringsfarve3 2 3 3 2 3 2 2" xfId="30482" xr:uid="{00000000-0005-0000-0000-0000DC1C0000}"/>
    <cellStyle name="20 % - Markeringsfarve3 2 3 3 2 3 2 3" xfId="45446" xr:uid="{00000000-0005-0000-0000-0000DD1C0000}"/>
    <cellStyle name="20 % - Markeringsfarve3 2 3 3 2 3 3" xfId="23460" xr:uid="{00000000-0005-0000-0000-0000DE1C0000}"/>
    <cellStyle name="20 % - Markeringsfarve3 2 3 3 2 3 4" xfId="38447" xr:uid="{00000000-0005-0000-0000-0000DF1C0000}"/>
    <cellStyle name="20 % - Markeringsfarve3 2 3 3 2 4" xfId="10702" xr:uid="{00000000-0005-0000-0000-0000E01C0000}"/>
    <cellStyle name="20 % - Markeringsfarve3 2 3 3 2 4 2" xfId="27022" xr:uid="{00000000-0005-0000-0000-0000E11C0000}"/>
    <cellStyle name="20 % - Markeringsfarve3 2 3 3 2 4 3" xfId="41988" xr:uid="{00000000-0005-0000-0000-0000E21C0000}"/>
    <cellStyle name="20 % - Markeringsfarve3 2 3 3 2 5" xfId="20000" xr:uid="{00000000-0005-0000-0000-0000E31C0000}"/>
    <cellStyle name="20 % - Markeringsfarve3 2 3 3 2 6" xfId="34989" xr:uid="{00000000-0005-0000-0000-0000E41C0000}"/>
    <cellStyle name="20 % - Markeringsfarve3 2 3 3 3" xfId="2144" xr:uid="{00000000-0005-0000-0000-0000E51C0000}"/>
    <cellStyle name="20 % - Markeringsfarve3 2 3 3 3 2" xfId="6915" xr:uid="{00000000-0005-0000-0000-0000E61C0000}"/>
    <cellStyle name="20 % - Markeringsfarve3 2 3 3 3 2 2" xfId="14827" xr:uid="{00000000-0005-0000-0000-0000E71C0000}"/>
    <cellStyle name="20 % - Markeringsfarve3 2 3 3 3 2 2 2" xfId="31142" xr:uid="{00000000-0005-0000-0000-0000E81C0000}"/>
    <cellStyle name="20 % - Markeringsfarve3 2 3 3 3 2 2 3" xfId="46106" xr:uid="{00000000-0005-0000-0000-0000E91C0000}"/>
    <cellStyle name="20 % - Markeringsfarve3 2 3 3 3 2 3" xfId="24120" xr:uid="{00000000-0005-0000-0000-0000EA1C0000}"/>
    <cellStyle name="20 % - Markeringsfarve3 2 3 3 3 2 4" xfId="39107" xr:uid="{00000000-0005-0000-0000-0000EB1C0000}"/>
    <cellStyle name="20 % - Markeringsfarve3 2 3 3 3 3" xfId="10704" xr:uid="{00000000-0005-0000-0000-0000EC1C0000}"/>
    <cellStyle name="20 % - Markeringsfarve3 2 3 3 3 3 2" xfId="27024" xr:uid="{00000000-0005-0000-0000-0000ED1C0000}"/>
    <cellStyle name="20 % - Markeringsfarve3 2 3 3 3 3 3" xfId="41990" xr:uid="{00000000-0005-0000-0000-0000EE1C0000}"/>
    <cellStyle name="20 % - Markeringsfarve3 2 3 3 3 4" xfId="20002" xr:uid="{00000000-0005-0000-0000-0000EF1C0000}"/>
    <cellStyle name="20 % - Markeringsfarve3 2 3 3 3 5" xfId="34991" xr:uid="{00000000-0005-0000-0000-0000F01C0000}"/>
    <cellStyle name="20 % - Markeringsfarve3 2 3 3 4" xfId="2145" xr:uid="{00000000-0005-0000-0000-0000F11C0000}"/>
    <cellStyle name="20 % - Markeringsfarve3 2 3 3 4 2" xfId="7032" xr:uid="{00000000-0005-0000-0000-0000F21C0000}"/>
    <cellStyle name="20 % - Markeringsfarve3 2 3 3 4 2 2" xfId="14943" xr:uid="{00000000-0005-0000-0000-0000F31C0000}"/>
    <cellStyle name="20 % - Markeringsfarve3 2 3 3 4 2 2 2" xfId="31258" xr:uid="{00000000-0005-0000-0000-0000F41C0000}"/>
    <cellStyle name="20 % - Markeringsfarve3 2 3 3 4 2 2 3" xfId="46222" xr:uid="{00000000-0005-0000-0000-0000F51C0000}"/>
    <cellStyle name="20 % - Markeringsfarve3 2 3 3 4 2 3" xfId="24236" xr:uid="{00000000-0005-0000-0000-0000F61C0000}"/>
    <cellStyle name="20 % - Markeringsfarve3 2 3 3 4 2 4" xfId="39223" xr:uid="{00000000-0005-0000-0000-0000F71C0000}"/>
    <cellStyle name="20 % - Markeringsfarve3 2 3 3 4 3" xfId="10705" xr:uid="{00000000-0005-0000-0000-0000F81C0000}"/>
    <cellStyle name="20 % - Markeringsfarve3 2 3 3 4 3 2" xfId="27025" xr:uid="{00000000-0005-0000-0000-0000F91C0000}"/>
    <cellStyle name="20 % - Markeringsfarve3 2 3 3 4 3 3" xfId="41991" xr:uid="{00000000-0005-0000-0000-0000FA1C0000}"/>
    <cellStyle name="20 % - Markeringsfarve3 2 3 3 4 4" xfId="20003" xr:uid="{00000000-0005-0000-0000-0000FB1C0000}"/>
    <cellStyle name="20 % - Markeringsfarve3 2 3 3 4 5" xfId="34992" xr:uid="{00000000-0005-0000-0000-0000FC1C0000}"/>
    <cellStyle name="20 % - Markeringsfarve3 2 3 3 5" xfId="5472" xr:uid="{00000000-0005-0000-0000-0000FD1C0000}"/>
    <cellStyle name="20 % - Markeringsfarve3 2 3 3 5 2" xfId="13391" xr:uid="{00000000-0005-0000-0000-0000FE1C0000}"/>
    <cellStyle name="20 % - Markeringsfarve3 2 3 3 5 2 2" xfId="29706" xr:uid="{00000000-0005-0000-0000-0000FF1C0000}"/>
    <cellStyle name="20 % - Markeringsfarve3 2 3 3 5 2 3" xfId="44670" xr:uid="{00000000-0005-0000-0000-0000001D0000}"/>
    <cellStyle name="20 % - Markeringsfarve3 2 3 3 5 3" xfId="22684" xr:uid="{00000000-0005-0000-0000-0000011D0000}"/>
    <cellStyle name="20 % - Markeringsfarve3 2 3 3 5 4" xfId="37671" xr:uid="{00000000-0005-0000-0000-0000021D0000}"/>
    <cellStyle name="20 % - Markeringsfarve3 2 3 3 6" xfId="10701" xr:uid="{00000000-0005-0000-0000-0000031D0000}"/>
    <cellStyle name="20 % - Markeringsfarve3 2 3 3 6 2" xfId="27021" xr:uid="{00000000-0005-0000-0000-0000041D0000}"/>
    <cellStyle name="20 % - Markeringsfarve3 2 3 3 6 3" xfId="41987" xr:uid="{00000000-0005-0000-0000-0000051D0000}"/>
    <cellStyle name="20 % - Markeringsfarve3 2 3 3 7" xfId="19999" xr:uid="{00000000-0005-0000-0000-0000061D0000}"/>
    <cellStyle name="20 % - Markeringsfarve3 2 3 3 8" xfId="34988" xr:uid="{00000000-0005-0000-0000-0000071D0000}"/>
    <cellStyle name="20 % - Markeringsfarve3 2 3 3 9" xfId="56490" xr:uid="{00000000-0005-0000-0000-0000081D0000}"/>
    <cellStyle name="20 % - Markeringsfarve3 2 3 4" xfId="2146" xr:uid="{00000000-0005-0000-0000-0000091D0000}"/>
    <cellStyle name="20 % - Markeringsfarve3 2 3 4 2" xfId="2147" xr:uid="{00000000-0005-0000-0000-00000A1D0000}"/>
    <cellStyle name="20 % - Markeringsfarve3 2 3 4 2 2" xfId="2148" xr:uid="{00000000-0005-0000-0000-00000B1D0000}"/>
    <cellStyle name="20 % - Markeringsfarve3 2 3 4 2 2 2" xfId="7893" xr:uid="{00000000-0005-0000-0000-00000C1D0000}"/>
    <cellStyle name="20 % - Markeringsfarve3 2 3 4 2 2 2 2" xfId="15795" xr:uid="{00000000-0005-0000-0000-00000D1D0000}"/>
    <cellStyle name="20 % - Markeringsfarve3 2 3 4 2 2 2 2 2" xfId="32110" xr:uid="{00000000-0005-0000-0000-00000E1D0000}"/>
    <cellStyle name="20 % - Markeringsfarve3 2 3 4 2 2 2 2 3" xfId="47074" xr:uid="{00000000-0005-0000-0000-00000F1D0000}"/>
    <cellStyle name="20 % - Markeringsfarve3 2 3 4 2 2 2 3" xfId="25088" xr:uid="{00000000-0005-0000-0000-0000101D0000}"/>
    <cellStyle name="20 % - Markeringsfarve3 2 3 4 2 2 2 4" xfId="40075" xr:uid="{00000000-0005-0000-0000-0000111D0000}"/>
    <cellStyle name="20 % - Markeringsfarve3 2 3 4 2 2 3" xfId="10708" xr:uid="{00000000-0005-0000-0000-0000121D0000}"/>
    <cellStyle name="20 % - Markeringsfarve3 2 3 4 2 2 3 2" xfId="27028" xr:uid="{00000000-0005-0000-0000-0000131D0000}"/>
    <cellStyle name="20 % - Markeringsfarve3 2 3 4 2 2 3 3" xfId="41994" xr:uid="{00000000-0005-0000-0000-0000141D0000}"/>
    <cellStyle name="20 % - Markeringsfarve3 2 3 4 2 2 4" xfId="20006" xr:uid="{00000000-0005-0000-0000-0000151D0000}"/>
    <cellStyle name="20 % - Markeringsfarve3 2 3 4 2 2 5" xfId="34995" xr:uid="{00000000-0005-0000-0000-0000161D0000}"/>
    <cellStyle name="20 % - Markeringsfarve3 2 3 4 2 3" xfId="6423" xr:uid="{00000000-0005-0000-0000-0000171D0000}"/>
    <cellStyle name="20 % - Markeringsfarve3 2 3 4 2 3 2" xfId="14338" xr:uid="{00000000-0005-0000-0000-0000181D0000}"/>
    <cellStyle name="20 % - Markeringsfarve3 2 3 4 2 3 2 2" xfId="30653" xr:uid="{00000000-0005-0000-0000-0000191D0000}"/>
    <cellStyle name="20 % - Markeringsfarve3 2 3 4 2 3 2 3" xfId="45617" xr:uid="{00000000-0005-0000-0000-00001A1D0000}"/>
    <cellStyle name="20 % - Markeringsfarve3 2 3 4 2 3 3" xfId="23631" xr:uid="{00000000-0005-0000-0000-00001B1D0000}"/>
    <cellStyle name="20 % - Markeringsfarve3 2 3 4 2 3 4" xfId="38618" xr:uid="{00000000-0005-0000-0000-00001C1D0000}"/>
    <cellStyle name="20 % - Markeringsfarve3 2 3 4 2 4" xfId="10707" xr:uid="{00000000-0005-0000-0000-00001D1D0000}"/>
    <cellStyle name="20 % - Markeringsfarve3 2 3 4 2 4 2" xfId="27027" xr:uid="{00000000-0005-0000-0000-00001E1D0000}"/>
    <cellStyle name="20 % - Markeringsfarve3 2 3 4 2 4 3" xfId="41993" xr:uid="{00000000-0005-0000-0000-00001F1D0000}"/>
    <cellStyle name="20 % - Markeringsfarve3 2 3 4 2 5" xfId="20005" xr:uid="{00000000-0005-0000-0000-0000201D0000}"/>
    <cellStyle name="20 % - Markeringsfarve3 2 3 4 2 6" xfId="34994" xr:uid="{00000000-0005-0000-0000-0000211D0000}"/>
    <cellStyle name="20 % - Markeringsfarve3 2 3 4 3" xfId="2149" xr:uid="{00000000-0005-0000-0000-0000221D0000}"/>
    <cellStyle name="20 % - Markeringsfarve3 2 3 4 3 2" xfId="7169" xr:uid="{00000000-0005-0000-0000-0000231D0000}"/>
    <cellStyle name="20 % - Markeringsfarve3 2 3 4 3 2 2" xfId="15080" xr:uid="{00000000-0005-0000-0000-0000241D0000}"/>
    <cellStyle name="20 % - Markeringsfarve3 2 3 4 3 2 2 2" xfId="31395" xr:uid="{00000000-0005-0000-0000-0000251D0000}"/>
    <cellStyle name="20 % - Markeringsfarve3 2 3 4 3 2 2 3" xfId="46359" xr:uid="{00000000-0005-0000-0000-0000261D0000}"/>
    <cellStyle name="20 % - Markeringsfarve3 2 3 4 3 2 3" xfId="24373" xr:uid="{00000000-0005-0000-0000-0000271D0000}"/>
    <cellStyle name="20 % - Markeringsfarve3 2 3 4 3 2 4" xfId="39360" xr:uid="{00000000-0005-0000-0000-0000281D0000}"/>
    <cellStyle name="20 % - Markeringsfarve3 2 3 4 3 3" xfId="10709" xr:uid="{00000000-0005-0000-0000-0000291D0000}"/>
    <cellStyle name="20 % - Markeringsfarve3 2 3 4 3 3 2" xfId="27029" xr:uid="{00000000-0005-0000-0000-00002A1D0000}"/>
    <cellStyle name="20 % - Markeringsfarve3 2 3 4 3 3 3" xfId="41995" xr:uid="{00000000-0005-0000-0000-00002B1D0000}"/>
    <cellStyle name="20 % - Markeringsfarve3 2 3 4 3 4" xfId="20007" xr:uid="{00000000-0005-0000-0000-00002C1D0000}"/>
    <cellStyle name="20 % - Markeringsfarve3 2 3 4 3 5" xfId="34996" xr:uid="{00000000-0005-0000-0000-00002D1D0000}"/>
    <cellStyle name="20 % - Markeringsfarve3 2 3 4 4" xfId="2150" xr:uid="{00000000-0005-0000-0000-00002E1D0000}"/>
    <cellStyle name="20 % - Markeringsfarve3 2 3 4 4 2" xfId="7033" xr:uid="{00000000-0005-0000-0000-00002F1D0000}"/>
    <cellStyle name="20 % - Markeringsfarve3 2 3 4 4 2 2" xfId="14944" xr:uid="{00000000-0005-0000-0000-0000301D0000}"/>
    <cellStyle name="20 % - Markeringsfarve3 2 3 4 4 2 2 2" xfId="31259" xr:uid="{00000000-0005-0000-0000-0000311D0000}"/>
    <cellStyle name="20 % - Markeringsfarve3 2 3 4 4 2 2 3" xfId="46223" xr:uid="{00000000-0005-0000-0000-0000321D0000}"/>
    <cellStyle name="20 % - Markeringsfarve3 2 3 4 4 2 3" xfId="24237" xr:uid="{00000000-0005-0000-0000-0000331D0000}"/>
    <cellStyle name="20 % - Markeringsfarve3 2 3 4 4 2 4" xfId="39224" xr:uid="{00000000-0005-0000-0000-0000341D0000}"/>
    <cellStyle name="20 % - Markeringsfarve3 2 3 4 4 3" xfId="10710" xr:uid="{00000000-0005-0000-0000-0000351D0000}"/>
    <cellStyle name="20 % - Markeringsfarve3 2 3 4 4 3 2" xfId="27030" xr:uid="{00000000-0005-0000-0000-0000361D0000}"/>
    <cellStyle name="20 % - Markeringsfarve3 2 3 4 4 3 3" xfId="41996" xr:uid="{00000000-0005-0000-0000-0000371D0000}"/>
    <cellStyle name="20 % - Markeringsfarve3 2 3 4 4 4" xfId="20008" xr:uid="{00000000-0005-0000-0000-0000381D0000}"/>
    <cellStyle name="20 % - Markeringsfarve3 2 3 4 4 5" xfId="34997" xr:uid="{00000000-0005-0000-0000-0000391D0000}"/>
    <cellStyle name="20 % - Markeringsfarve3 2 3 4 5" xfId="5473" xr:uid="{00000000-0005-0000-0000-00003A1D0000}"/>
    <cellStyle name="20 % - Markeringsfarve3 2 3 4 5 2" xfId="13392" xr:uid="{00000000-0005-0000-0000-00003B1D0000}"/>
    <cellStyle name="20 % - Markeringsfarve3 2 3 4 5 2 2" xfId="29707" xr:uid="{00000000-0005-0000-0000-00003C1D0000}"/>
    <cellStyle name="20 % - Markeringsfarve3 2 3 4 5 2 3" xfId="44671" xr:uid="{00000000-0005-0000-0000-00003D1D0000}"/>
    <cellStyle name="20 % - Markeringsfarve3 2 3 4 5 3" xfId="22685" xr:uid="{00000000-0005-0000-0000-00003E1D0000}"/>
    <cellStyle name="20 % - Markeringsfarve3 2 3 4 5 4" xfId="37672" xr:uid="{00000000-0005-0000-0000-00003F1D0000}"/>
    <cellStyle name="20 % - Markeringsfarve3 2 3 4 6" xfId="10706" xr:uid="{00000000-0005-0000-0000-0000401D0000}"/>
    <cellStyle name="20 % - Markeringsfarve3 2 3 4 6 2" xfId="27026" xr:uid="{00000000-0005-0000-0000-0000411D0000}"/>
    <cellStyle name="20 % - Markeringsfarve3 2 3 4 6 3" xfId="41992" xr:uid="{00000000-0005-0000-0000-0000421D0000}"/>
    <cellStyle name="20 % - Markeringsfarve3 2 3 4 7" xfId="20004" xr:uid="{00000000-0005-0000-0000-0000431D0000}"/>
    <cellStyle name="20 % - Markeringsfarve3 2 3 4 8" xfId="34993" xr:uid="{00000000-0005-0000-0000-0000441D0000}"/>
    <cellStyle name="20 % - Markeringsfarve3 2 3 5" xfId="2151" xr:uid="{00000000-0005-0000-0000-0000451D0000}"/>
    <cellStyle name="20 % - Markeringsfarve3 2 3 5 2" xfId="2152" xr:uid="{00000000-0005-0000-0000-0000461D0000}"/>
    <cellStyle name="20 % - Markeringsfarve3 2 3 5 2 2" xfId="2153" xr:uid="{00000000-0005-0000-0000-0000471D0000}"/>
    <cellStyle name="20 % - Markeringsfarve3 2 3 5 2 2 2" xfId="8010" xr:uid="{00000000-0005-0000-0000-0000481D0000}"/>
    <cellStyle name="20 % - Markeringsfarve3 2 3 5 2 2 2 2" xfId="15912" xr:uid="{00000000-0005-0000-0000-0000491D0000}"/>
    <cellStyle name="20 % - Markeringsfarve3 2 3 5 2 2 2 2 2" xfId="32227" xr:uid="{00000000-0005-0000-0000-00004A1D0000}"/>
    <cellStyle name="20 % - Markeringsfarve3 2 3 5 2 2 2 2 3" xfId="47191" xr:uid="{00000000-0005-0000-0000-00004B1D0000}"/>
    <cellStyle name="20 % - Markeringsfarve3 2 3 5 2 2 2 3" xfId="25205" xr:uid="{00000000-0005-0000-0000-00004C1D0000}"/>
    <cellStyle name="20 % - Markeringsfarve3 2 3 5 2 2 2 4" xfId="40192" xr:uid="{00000000-0005-0000-0000-00004D1D0000}"/>
    <cellStyle name="20 % - Markeringsfarve3 2 3 5 2 2 3" xfId="10713" xr:uid="{00000000-0005-0000-0000-00004E1D0000}"/>
    <cellStyle name="20 % - Markeringsfarve3 2 3 5 2 2 3 2" xfId="27033" xr:uid="{00000000-0005-0000-0000-00004F1D0000}"/>
    <cellStyle name="20 % - Markeringsfarve3 2 3 5 2 2 3 3" xfId="41999" xr:uid="{00000000-0005-0000-0000-0000501D0000}"/>
    <cellStyle name="20 % - Markeringsfarve3 2 3 5 2 2 4" xfId="20011" xr:uid="{00000000-0005-0000-0000-0000511D0000}"/>
    <cellStyle name="20 % - Markeringsfarve3 2 3 5 2 2 5" xfId="35000" xr:uid="{00000000-0005-0000-0000-0000521D0000}"/>
    <cellStyle name="20 % - Markeringsfarve3 2 3 5 2 3" xfId="6522" xr:uid="{00000000-0005-0000-0000-0000531D0000}"/>
    <cellStyle name="20 % - Markeringsfarve3 2 3 5 2 3 2" xfId="14437" xr:uid="{00000000-0005-0000-0000-0000541D0000}"/>
    <cellStyle name="20 % - Markeringsfarve3 2 3 5 2 3 2 2" xfId="30752" xr:uid="{00000000-0005-0000-0000-0000551D0000}"/>
    <cellStyle name="20 % - Markeringsfarve3 2 3 5 2 3 2 3" xfId="45716" xr:uid="{00000000-0005-0000-0000-0000561D0000}"/>
    <cellStyle name="20 % - Markeringsfarve3 2 3 5 2 3 3" xfId="23730" xr:uid="{00000000-0005-0000-0000-0000571D0000}"/>
    <cellStyle name="20 % - Markeringsfarve3 2 3 5 2 3 4" xfId="38717" xr:uid="{00000000-0005-0000-0000-0000581D0000}"/>
    <cellStyle name="20 % - Markeringsfarve3 2 3 5 2 4" xfId="10712" xr:uid="{00000000-0005-0000-0000-0000591D0000}"/>
    <cellStyle name="20 % - Markeringsfarve3 2 3 5 2 4 2" xfId="27032" xr:uid="{00000000-0005-0000-0000-00005A1D0000}"/>
    <cellStyle name="20 % - Markeringsfarve3 2 3 5 2 4 3" xfId="41998" xr:uid="{00000000-0005-0000-0000-00005B1D0000}"/>
    <cellStyle name="20 % - Markeringsfarve3 2 3 5 2 5" xfId="20010" xr:uid="{00000000-0005-0000-0000-00005C1D0000}"/>
    <cellStyle name="20 % - Markeringsfarve3 2 3 5 2 6" xfId="34999" xr:uid="{00000000-0005-0000-0000-00005D1D0000}"/>
    <cellStyle name="20 % - Markeringsfarve3 2 3 5 3" xfId="2154" xr:uid="{00000000-0005-0000-0000-00005E1D0000}"/>
    <cellStyle name="20 % - Markeringsfarve3 2 3 5 3 2" xfId="7286" xr:uid="{00000000-0005-0000-0000-00005F1D0000}"/>
    <cellStyle name="20 % - Markeringsfarve3 2 3 5 3 2 2" xfId="15197" xr:uid="{00000000-0005-0000-0000-0000601D0000}"/>
    <cellStyle name="20 % - Markeringsfarve3 2 3 5 3 2 2 2" xfId="31512" xr:uid="{00000000-0005-0000-0000-0000611D0000}"/>
    <cellStyle name="20 % - Markeringsfarve3 2 3 5 3 2 2 3" xfId="46476" xr:uid="{00000000-0005-0000-0000-0000621D0000}"/>
    <cellStyle name="20 % - Markeringsfarve3 2 3 5 3 2 3" xfId="24490" xr:uid="{00000000-0005-0000-0000-0000631D0000}"/>
    <cellStyle name="20 % - Markeringsfarve3 2 3 5 3 2 4" xfId="39477" xr:uid="{00000000-0005-0000-0000-0000641D0000}"/>
    <cellStyle name="20 % - Markeringsfarve3 2 3 5 3 3" xfId="10714" xr:uid="{00000000-0005-0000-0000-0000651D0000}"/>
    <cellStyle name="20 % - Markeringsfarve3 2 3 5 3 3 2" xfId="27034" xr:uid="{00000000-0005-0000-0000-0000661D0000}"/>
    <cellStyle name="20 % - Markeringsfarve3 2 3 5 3 3 3" xfId="42000" xr:uid="{00000000-0005-0000-0000-0000671D0000}"/>
    <cellStyle name="20 % - Markeringsfarve3 2 3 5 3 4" xfId="20012" xr:uid="{00000000-0005-0000-0000-0000681D0000}"/>
    <cellStyle name="20 % - Markeringsfarve3 2 3 5 3 5" xfId="35001" xr:uid="{00000000-0005-0000-0000-0000691D0000}"/>
    <cellStyle name="20 % - Markeringsfarve3 2 3 5 4" xfId="2155" xr:uid="{00000000-0005-0000-0000-00006A1D0000}"/>
    <cellStyle name="20 % - Markeringsfarve3 2 3 5 4 2" xfId="7035" xr:uid="{00000000-0005-0000-0000-00006B1D0000}"/>
    <cellStyle name="20 % - Markeringsfarve3 2 3 5 4 2 2" xfId="14946" xr:uid="{00000000-0005-0000-0000-00006C1D0000}"/>
    <cellStyle name="20 % - Markeringsfarve3 2 3 5 4 2 2 2" xfId="31261" xr:uid="{00000000-0005-0000-0000-00006D1D0000}"/>
    <cellStyle name="20 % - Markeringsfarve3 2 3 5 4 2 2 3" xfId="46225" xr:uid="{00000000-0005-0000-0000-00006E1D0000}"/>
    <cellStyle name="20 % - Markeringsfarve3 2 3 5 4 2 3" xfId="24239" xr:uid="{00000000-0005-0000-0000-00006F1D0000}"/>
    <cellStyle name="20 % - Markeringsfarve3 2 3 5 4 2 4" xfId="39226" xr:uid="{00000000-0005-0000-0000-0000701D0000}"/>
    <cellStyle name="20 % - Markeringsfarve3 2 3 5 4 3" xfId="10715" xr:uid="{00000000-0005-0000-0000-0000711D0000}"/>
    <cellStyle name="20 % - Markeringsfarve3 2 3 5 4 3 2" xfId="27035" xr:uid="{00000000-0005-0000-0000-0000721D0000}"/>
    <cellStyle name="20 % - Markeringsfarve3 2 3 5 4 3 3" xfId="42001" xr:uid="{00000000-0005-0000-0000-0000731D0000}"/>
    <cellStyle name="20 % - Markeringsfarve3 2 3 5 4 4" xfId="20013" xr:uid="{00000000-0005-0000-0000-0000741D0000}"/>
    <cellStyle name="20 % - Markeringsfarve3 2 3 5 4 5" xfId="35002" xr:uid="{00000000-0005-0000-0000-0000751D0000}"/>
    <cellStyle name="20 % - Markeringsfarve3 2 3 5 5" xfId="5474" xr:uid="{00000000-0005-0000-0000-0000761D0000}"/>
    <cellStyle name="20 % - Markeringsfarve3 2 3 5 5 2" xfId="13393" xr:uid="{00000000-0005-0000-0000-0000771D0000}"/>
    <cellStyle name="20 % - Markeringsfarve3 2 3 5 5 2 2" xfId="29708" xr:uid="{00000000-0005-0000-0000-0000781D0000}"/>
    <cellStyle name="20 % - Markeringsfarve3 2 3 5 5 2 3" xfId="44672" xr:uid="{00000000-0005-0000-0000-0000791D0000}"/>
    <cellStyle name="20 % - Markeringsfarve3 2 3 5 5 3" xfId="22686" xr:uid="{00000000-0005-0000-0000-00007A1D0000}"/>
    <cellStyle name="20 % - Markeringsfarve3 2 3 5 5 4" xfId="37673" xr:uid="{00000000-0005-0000-0000-00007B1D0000}"/>
    <cellStyle name="20 % - Markeringsfarve3 2 3 5 6" xfId="10711" xr:uid="{00000000-0005-0000-0000-00007C1D0000}"/>
    <cellStyle name="20 % - Markeringsfarve3 2 3 5 6 2" xfId="27031" xr:uid="{00000000-0005-0000-0000-00007D1D0000}"/>
    <cellStyle name="20 % - Markeringsfarve3 2 3 5 6 3" xfId="41997" xr:uid="{00000000-0005-0000-0000-00007E1D0000}"/>
    <cellStyle name="20 % - Markeringsfarve3 2 3 5 7" xfId="20009" xr:uid="{00000000-0005-0000-0000-00007F1D0000}"/>
    <cellStyle name="20 % - Markeringsfarve3 2 3 5 8" xfId="34998" xr:uid="{00000000-0005-0000-0000-0000801D0000}"/>
    <cellStyle name="20 % - Markeringsfarve3 2 3 6" xfId="2156" xr:uid="{00000000-0005-0000-0000-0000811D0000}"/>
    <cellStyle name="20 % - Markeringsfarve3 2 3 6 2" xfId="2157" xr:uid="{00000000-0005-0000-0000-0000821D0000}"/>
    <cellStyle name="20 % - Markeringsfarve3 2 3 6 2 2" xfId="2158" xr:uid="{00000000-0005-0000-0000-0000831D0000}"/>
    <cellStyle name="20 % - Markeringsfarve3 2 3 6 2 2 2" xfId="8040" xr:uid="{00000000-0005-0000-0000-0000841D0000}"/>
    <cellStyle name="20 % - Markeringsfarve3 2 3 6 2 2 2 2" xfId="15942" xr:uid="{00000000-0005-0000-0000-0000851D0000}"/>
    <cellStyle name="20 % - Markeringsfarve3 2 3 6 2 2 2 2 2" xfId="32257" xr:uid="{00000000-0005-0000-0000-0000861D0000}"/>
    <cellStyle name="20 % - Markeringsfarve3 2 3 6 2 2 2 2 3" xfId="47221" xr:uid="{00000000-0005-0000-0000-0000871D0000}"/>
    <cellStyle name="20 % - Markeringsfarve3 2 3 6 2 2 2 3" xfId="25235" xr:uid="{00000000-0005-0000-0000-0000881D0000}"/>
    <cellStyle name="20 % - Markeringsfarve3 2 3 6 2 2 2 4" xfId="40222" xr:uid="{00000000-0005-0000-0000-0000891D0000}"/>
    <cellStyle name="20 % - Markeringsfarve3 2 3 6 2 2 3" xfId="10718" xr:uid="{00000000-0005-0000-0000-00008A1D0000}"/>
    <cellStyle name="20 % - Markeringsfarve3 2 3 6 2 2 3 2" xfId="27038" xr:uid="{00000000-0005-0000-0000-00008B1D0000}"/>
    <cellStyle name="20 % - Markeringsfarve3 2 3 6 2 2 3 3" xfId="42004" xr:uid="{00000000-0005-0000-0000-00008C1D0000}"/>
    <cellStyle name="20 % - Markeringsfarve3 2 3 6 2 2 4" xfId="20016" xr:uid="{00000000-0005-0000-0000-00008D1D0000}"/>
    <cellStyle name="20 % - Markeringsfarve3 2 3 6 2 2 5" xfId="35005" xr:uid="{00000000-0005-0000-0000-00008E1D0000}"/>
    <cellStyle name="20 % - Markeringsfarve3 2 3 6 2 3" xfId="6551" xr:uid="{00000000-0005-0000-0000-00008F1D0000}"/>
    <cellStyle name="20 % - Markeringsfarve3 2 3 6 2 3 2" xfId="14466" xr:uid="{00000000-0005-0000-0000-0000901D0000}"/>
    <cellStyle name="20 % - Markeringsfarve3 2 3 6 2 3 2 2" xfId="30781" xr:uid="{00000000-0005-0000-0000-0000911D0000}"/>
    <cellStyle name="20 % - Markeringsfarve3 2 3 6 2 3 2 3" xfId="45745" xr:uid="{00000000-0005-0000-0000-0000921D0000}"/>
    <cellStyle name="20 % - Markeringsfarve3 2 3 6 2 3 3" xfId="23759" xr:uid="{00000000-0005-0000-0000-0000931D0000}"/>
    <cellStyle name="20 % - Markeringsfarve3 2 3 6 2 3 4" xfId="38746" xr:uid="{00000000-0005-0000-0000-0000941D0000}"/>
    <cellStyle name="20 % - Markeringsfarve3 2 3 6 2 4" xfId="10717" xr:uid="{00000000-0005-0000-0000-0000951D0000}"/>
    <cellStyle name="20 % - Markeringsfarve3 2 3 6 2 4 2" xfId="27037" xr:uid="{00000000-0005-0000-0000-0000961D0000}"/>
    <cellStyle name="20 % - Markeringsfarve3 2 3 6 2 4 3" xfId="42003" xr:uid="{00000000-0005-0000-0000-0000971D0000}"/>
    <cellStyle name="20 % - Markeringsfarve3 2 3 6 2 5" xfId="20015" xr:uid="{00000000-0005-0000-0000-0000981D0000}"/>
    <cellStyle name="20 % - Markeringsfarve3 2 3 6 2 6" xfId="35004" xr:uid="{00000000-0005-0000-0000-0000991D0000}"/>
    <cellStyle name="20 % - Markeringsfarve3 2 3 6 3" xfId="2159" xr:uid="{00000000-0005-0000-0000-00009A1D0000}"/>
    <cellStyle name="20 % - Markeringsfarve3 2 3 6 3 2" xfId="7317" xr:uid="{00000000-0005-0000-0000-00009B1D0000}"/>
    <cellStyle name="20 % - Markeringsfarve3 2 3 6 3 2 2" xfId="15228" xr:uid="{00000000-0005-0000-0000-00009C1D0000}"/>
    <cellStyle name="20 % - Markeringsfarve3 2 3 6 3 2 2 2" xfId="31543" xr:uid="{00000000-0005-0000-0000-00009D1D0000}"/>
    <cellStyle name="20 % - Markeringsfarve3 2 3 6 3 2 2 3" xfId="46507" xr:uid="{00000000-0005-0000-0000-00009E1D0000}"/>
    <cellStyle name="20 % - Markeringsfarve3 2 3 6 3 2 3" xfId="24521" xr:uid="{00000000-0005-0000-0000-00009F1D0000}"/>
    <cellStyle name="20 % - Markeringsfarve3 2 3 6 3 2 4" xfId="39508" xr:uid="{00000000-0005-0000-0000-0000A01D0000}"/>
    <cellStyle name="20 % - Markeringsfarve3 2 3 6 3 3" xfId="10719" xr:uid="{00000000-0005-0000-0000-0000A11D0000}"/>
    <cellStyle name="20 % - Markeringsfarve3 2 3 6 3 3 2" xfId="27039" xr:uid="{00000000-0005-0000-0000-0000A21D0000}"/>
    <cellStyle name="20 % - Markeringsfarve3 2 3 6 3 3 3" xfId="42005" xr:uid="{00000000-0005-0000-0000-0000A31D0000}"/>
    <cellStyle name="20 % - Markeringsfarve3 2 3 6 3 4" xfId="20017" xr:uid="{00000000-0005-0000-0000-0000A41D0000}"/>
    <cellStyle name="20 % - Markeringsfarve3 2 3 6 3 5" xfId="35006" xr:uid="{00000000-0005-0000-0000-0000A51D0000}"/>
    <cellStyle name="20 % - Markeringsfarve3 2 3 6 4" xfId="2160" xr:uid="{00000000-0005-0000-0000-0000A61D0000}"/>
    <cellStyle name="20 % - Markeringsfarve3 2 3 6 4 2" xfId="7037" xr:uid="{00000000-0005-0000-0000-0000A71D0000}"/>
    <cellStyle name="20 % - Markeringsfarve3 2 3 6 4 2 2" xfId="14948" xr:uid="{00000000-0005-0000-0000-0000A81D0000}"/>
    <cellStyle name="20 % - Markeringsfarve3 2 3 6 4 2 2 2" xfId="31263" xr:uid="{00000000-0005-0000-0000-0000A91D0000}"/>
    <cellStyle name="20 % - Markeringsfarve3 2 3 6 4 2 2 3" xfId="46227" xr:uid="{00000000-0005-0000-0000-0000AA1D0000}"/>
    <cellStyle name="20 % - Markeringsfarve3 2 3 6 4 2 3" xfId="24241" xr:uid="{00000000-0005-0000-0000-0000AB1D0000}"/>
    <cellStyle name="20 % - Markeringsfarve3 2 3 6 4 2 4" xfId="39228" xr:uid="{00000000-0005-0000-0000-0000AC1D0000}"/>
    <cellStyle name="20 % - Markeringsfarve3 2 3 6 4 3" xfId="10720" xr:uid="{00000000-0005-0000-0000-0000AD1D0000}"/>
    <cellStyle name="20 % - Markeringsfarve3 2 3 6 4 3 2" xfId="27040" xr:uid="{00000000-0005-0000-0000-0000AE1D0000}"/>
    <cellStyle name="20 % - Markeringsfarve3 2 3 6 4 3 3" xfId="42006" xr:uid="{00000000-0005-0000-0000-0000AF1D0000}"/>
    <cellStyle name="20 % - Markeringsfarve3 2 3 6 4 4" xfId="20018" xr:uid="{00000000-0005-0000-0000-0000B01D0000}"/>
    <cellStyle name="20 % - Markeringsfarve3 2 3 6 4 5" xfId="35007" xr:uid="{00000000-0005-0000-0000-0000B11D0000}"/>
    <cellStyle name="20 % - Markeringsfarve3 2 3 6 5" xfId="5475" xr:uid="{00000000-0005-0000-0000-0000B21D0000}"/>
    <cellStyle name="20 % - Markeringsfarve3 2 3 6 5 2" xfId="13394" xr:uid="{00000000-0005-0000-0000-0000B31D0000}"/>
    <cellStyle name="20 % - Markeringsfarve3 2 3 6 5 2 2" xfId="29709" xr:uid="{00000000-0005-0000-0000-0000B41D0000}"/>
    <cellStyle name="20 % - Markeringsfarve3 2 3 6 5 2 3" xfId="44673" xr:uid="{00000000-0005-0000-0000-0000B51D0000}"/>
    <cellStyle name="20 % - Markeringsfarve3 2 3 6 5 3" xfId="22687" xr:uid="{00000000-0005-0000-0000-0000B61D0000}"/>
    <cellStyle name="20 % - Markeringsfarve3 2 3 6 5 4" xfId="37674" xr:uid="{00000000-0005-0000-0000-0000B71D0000}"/>
    <cellStyle name="20 % - Markeringsfarve3 2 3 6 6" xfId="10716" xr:uid="{00000000-0005-0000-0000-0000B81D0000}"/>
    <cellStyle name="20 % - Markeringsfarve3 2 3 6 6 2" xfId="27036" xr:uid="{00000000-0005-0000-0000-0000B91D0000}"/>
    <cellStyle name="20 % - Markeringsfarve3 2 3 6 6 3" xfId="42002" xr:uid="{00000000-0005-0000-0000-0000BA1D0000}"/>
    <cellStyle name="20 % - Markeringsfarve3 2 3 6 7" xfId="20014" xr:uid="{00000000-0005-0000-0000-0000BB1D0000}"/>
    <cellStyle name="20 % - Markeringsfarve3 2 3 6 8" xfId="35003" xr:uid="{00000000-0005-0000-0000-0000BC1D0000}"/>
    <cellStyle name="20 % - Markeringsfarve3 2 3 7" xfId="2161" xr:uid="{00000000-0005-0000-0000-0000BD1D0000}"/>
    <cellStyle name="20 % - Markeringsfarve3 2 3 7 2" xfId="2162" xr:uid="{00000000-0005-0000-0000-0000BE1D0000}"/>
    <cellStyle name="20 % - Markeringsfarve3 2 3 7 2 2" xfId="7536" xr:uid="{00000000-0005-0000-0000-0000BF1D0000}"/>
    <cellStyle name="20 % - Markeringsfarve3 2 3 7 2 2 2" xfId="15438" xr:uid="{00000000-0005-0000-0000-0000C01D0000}"/>
    <cellStyle name="20 % - Markeringsfarve3 2 3 7 2 2 2 2" xfId="31753" xr:uid="{00000000-0005-0000-0000-0000C11D0000}"/>
    <cellStyle name="20 % - Markeringsfarve3 2 3 7 2 2 2 3" xfId="46717" xr:uid="{00000000-0005-0000-0000-0000C21D0000}"/>
    <cellStyle name="20 % - Markeringsfarve3 2 3 7 2 2 3" xfId="24731" xr:uid="{00000000-0005-0000-0000-0000C31D0000}"/>
    <cellStyle name="20 % - Markeringsfarve3 2 3 7 2 2 4" xfId="39718" xr:uid="{00000000-0005-0000-0000-0000C41D0000}"/>
    <cellStyle name="20 % - Markeringsfarve3 2 3 7 2 3" xfId="10722" xr:uid="{00000000-0005-0000-0000-0000C51D0000}"/>
    <cellStyle name="20 % - Markeringsfarve3 2 3 7 2 3 2" xfId="27042" xr:uid="{00000000-0005-0000-0000-0000C61D0000}"/>
    <cellStyle name="20 % - Markeringsfarve3 2 3 7 2 3 3" xfId="42008" xr:uid="{00000000-0005-0000-0000-0000C71D0000}"/>
    <cellStyle name="20 % - Markeringsfarve3 2 3 7 2 4" xfId="20020" xr:uid="{00000000-0005-0000-0000-0000C81D0000}"/>
    <cellStyle name="20 % - Markeringsfarve3 2 3 7 2 5" xfId="35009" xr:uid="{00000000-0005-0000-0000-0000C91D0000}"/>
    <cellStyle name="20 % - Markeringsfarve3 2 3 7 3" xfId="6122" xr:uid="{00000000-0005-0000-0000-0000CA1D0000}"/>
    <cellStyle name="20 % - Markeringsfarve3 2 3 7 3 2" xfId="14040" xr:uid="{00000000-0005-0000-0000-0000CB1D0000}"/>
    <cellStyle name="20 % - Markeringsfarve3 2 3 7 3 2 2" xfId="30355" xr:uid="{00000000-0005-0000-0000-0000CC1D0000}"/>
    <cellStyle name="20 % - Markeringsfarve3 2 3 7 3 2 3" xfId="45319" xr:uid="{00000000-0005-0000-0000-0000CD1D0000}"/>
    <cellStyle name="20 % - Markeringsfarve3 2 3 7 3 3" xfId="23333" xr:uid="{00000000-0005-0000-0000-0000CE1D0000}"/>
    <cellStyle name="20 % - Markeringsfarve3 2 3 7 3 4" xfId="38320" xr:uid="{00000000-0005-0000-0000-0000CF1D0000}"/>
    <cellStyle name="20 % - Markeringsfarve3 2 3 7 4" xfId="10721" xr:uid="{00000000-0005-0000-0000-0000D01D0000}"/>
    <cellStyle name="20 % - Markeringsfarve3 2 3 7 4 2" xfId="27041" xr:uid="{00000000-0005-0000-0000-0000D11D0000}"/>
    <cellStyle name="20 % - Markeringsfarve3 2 3 7 4 3" xfId="42007" xr:uid="{00000000-0005-0000-0000-0000D21D0000}"/>
    <cellStyle name="20 % - Markeringsfarve3 2 3 7 5" xfId="20019" xr:uid="{00000000-0005-0000-0000-0000D31D0000}"/>
    <cellStyle name="20 % - Markeringsfarve3 2 3 7 6" xfId="35008" xr:uid="{00000000-0005-0000-0000-0000D41D0000}"/>
    <cellStyle name="20 % - Markeringsfarve3 2 3 8" xfId="2163" xr:uid="{00000000-0005-0000-0000-0000D51D0000}"/>
    <cellStyle name="20 % - Markeringsfarve3 2 3 8 2" xfId="6764" xr:uid="{00000000-0005-0000-0000-0000D61D0000}"/>
    <cellStyle name="20 % - Markeringsfarve3 2 3 8 2 2" xfId="14676" xr:uid="{00000000-0005-0000-0000-0000D71D0000}"/>
    <cellStyle name="20 % - Markeringsfarve3 2 3 8 2 2 2" xfId="30991" xr:uid="{00000000-0005-0000-0000-0000D81D0000}"/>
    <cellStyle name="20 % - Markeringsfarve3 2 3 8 2 2 3" xfId="45955" xr:uid="{00000000-0005-0000-0000-0000D91D0000}"/>
    <cellStyle name="20 % - Markeringsfarve3 2 3 8 2 3" xfId="23969" xr:uid="{00000000-0005-0000-0000-0000DA1D0000}"/>
    <cellStyle name="20 % - Markeringsfarve3 2 3 8 2 4" xfId="38956" xr:uid="{00000000-0005-0000-0000-0000DB1D0000}"/>
    <cellStyle name="20 % - Markeringsfarve3 2 3 8 3" xfId="10723" xr:uid="{00000000-0005-0000-0000-0000DC1D0000}"/>
    <cellStyle name="20 % - Markeringsfarve3 2 3 8 3 2" xfId="27043" xr:uid="{00000000-0005-0000-0000-0000DD1D0000}"/>
    <cellStyle name="20 % - Markeringsfarve3 2 3 8 3 3" xfId="42009" xr:uid="{00000000-0005-0000-0000-0000DE1D0000}"/>
    <cellStyle name="20 % - Markeringsfarve3 2 3 8 4" xfId="20021" xr:uid="{00000000-0005-0000-0000-0000DF1D0000}"/>
    <cellStyle name="20 % - Markeringsfarve3 2 3 8 5" xfId="35010" xr:uid="{00000000-0005-0000-0000-0000E01D0000}"/>
    <cellStyle name="20 % - Markeringsfarve3 2 3 9" xfId="2164" xr:uid="{00000000-0005-0000-0000-0000E11D0000}"/>
    <cellStyle name="20 % - Markeringsfarve3 2 3 9 2" xfId="7028" xr:uid="{00000000-0005-0000-0000-0000E21D0000}"/>
    <cellStyle name="20 % - Markeringsfarve3 2 3 9 2 2" xfId="14939" xr:uid="{00000000-0005-0000-0000-0000E31D0000}"/>
    <cellStyle name="20 % - Markeringsfarve3 2 3 9 2 2 2" xfId="31254" xr:uid="{00000000-0005-0000-0000-0000E41D0000}"/>
    <cellStyle name="20 % - Markeringsfarve3 2 3 9 2 2 3" xfId="46218" xr:uid="{00000000-0005-0000-0000-0000E51D0000}"/>
    <cellStyle name="20 % - Markeringsfarve3 2 3 9 2 3" xfId="24232" xr:uid="{00000000-0005-0000-0000-0000E61D0000}"/>
    <cellStyle name="20 % - Markeringsfarve3 2 3 9 2 4" xfId="39219" xr:uid="{00000000-0005-0000-0000-0000E71D0000}"/>
    <cellStyle name="20 % - Markeringsfarve3 2 3 9 3" xfId="10724" xr:uid="{00000000-0005-0000-0000-0000E81D0000}"/>
    <cellStyle name="20 % - Markeringsfarve3 2 3 9 3 2" xfId="27044" xr:uid="{00000000-0005-0000-0000-0000E91D0000}"/>
    <cellStyle name="20 % - Markeringsfarve3 2 3 9 3 3" xfId="42010" xr:uid="{00000000-0005-0000-0000-0000EA1D0000}"/>
    <cellStyle name="20 % - Markeringsfarve3 2 3 9 4" xfId="20022" xr:uid="{00000000-0005-0000-0000-0000EB1D0000}"/>
    <cellStyle name="20 % - Markeringsfarve3 2 3 9 5" xfId="35011" xr:uid="{00000000-0005-0000-0000-0000EC1D0000}"/>
    <cellStyle name="20 % - Markeringsfarve3 2 4" xfId="2165" xr:uid="{00000000-0005-0000-0000-0000ED1D0000}"/>
    <cellStyle name="20 % - Markeringsfarve3 2 4 2" xfId="2166" xr:uid="{00000000-0005-0000-0000-0000EE1D0000}"/>
    <cellStyle name="20 % - Markeringsfarve3 2 4 2 2" xfId="2167" xr:uid="{00000000-0005-0000-0000-0000EF1D0000}"/>
    <cellStyle name="20 % - Markeringsfarve3 2 4 2 2 2" xfId="7577" xr:uid="{00000000-0005-0000-0000-0000F01D0000}"/>
    <cellStyle name="20 % - Markeringsfarve3 2 4 2 2 2 2" xfId="15479" xr:uid="{00000000-0005-0000-0000-0000F11D0000}"/>
    <cellStyle name="20 % - Markeringsfarve3 2 4 2 2 2 2 2" xfId="31794" xr:uid="{00000000-0005-0000-0000-0000F21D0000}"/>
    <cellStyle name="20 % - Markeringsfarve3 2 4 2 2 2 2 3" xfId="46758" xr:uid="{00000000-0005-0000-0000-0000F31D0000}"/>
    <cellStyle name="20 % - Markeringsfarve3 2 4 2 2 2 3" xfId="24772" xr:uid="{00000000-0005-0000-0000-0000F41D0000}"/>
    <cellStyle name="20 % - Markeringsfarve3 2 4 2 2 2 4" xfId="39759" xr:uid="{00000000-0005-0000-0000-0000F51D0000}"/>
    <cellStyle name="20 % - Markeringsfarve3 2 4 2 2 3" xfId="10727" xr:uid="{00000000-0005-0000-0000-0000F61D0000}"/>
    <cellStyle name="20 % - Markeringsfarve3 2 4 2 2 3 2" xfId="27047" xr:uid="{00000000-0005-0000-0000-0000F71D0000}"/>
    <cellStyle name="20 % - Markeringsfarve3 2 4 2 2 3 3" xfId="42013" xr:uid="{00000000-0005-0000-0000-0000F81D0000}"/>
    <cellStyle name="20 % - Markeringsfarve3 2 4 2 2 4" xfId="20025" xr:uid="{00000000-0005-0000-0000-0000F91D0000}"/>
    <cellStyle name="20 % - Markeringsfarve3 2 4 2 2 5" xfId="35014" xr:uid="{00000000-0005-0000-0000-0000FA1D0000}"/>
    <cellStyle name="20 % - Markeringsfarve3 2 4 2 2 6" xfId="57112" xr:uid="{00000000-0005-0000-0000-0000FB1D0000}"/>
    <cellStyle name="20 % - Markeringsfarve3 2 4 2 3" xfId="6155" xr:uid="{00000000-0005-0000-0000-0000FC1D0000}"/>
    <cellStyle name="20 % - Markeringsfarve3 2 4 2 3 2" xfId="14073" xr:uid="{00000000-0005-0000-0000-0000FD1D0000}"/>
    <cellStyle name="20 % - Markeringsfarve3 2 4 2 3 2 2" xfId="30388" xr:uid="{00000000-0005-0000-0000-0000FE1D0000}"/>
    <cellStyle name="20 % - Markeringsfarve3 2 4 2 3 2 3" xfId="45352" xr:uid="{00000000-0005-0000-0000-0000FF1D0000}"/>
    <cellStyle name="20 % - Markeringsfarve3 2 4 2 3 3" xfId="23366" xr:uid="{00000000-0005-0000-0000-0000001E0000}"/>
    <cellStyle name="20 % - Markeringsfarve3 2 4 2 3 4" xfId="38353" xr:uid="{00000000-0005-0000-0000-0000011E0000}"/>
    <cellStyle name="20 % - Markeringsfarve3 2 4 2 4" xfId="10726" xr:uid="{00000000-0005-0000-0000-0000021E0000}"/>
    <cellStyle name="20 % - Markeringsfarve3 2 4 2 4 2" xfId="27046" xr:uid="{00000000-0005-0000-0000-0000031E0000}"/>
    <cellStyle name="20 % - Markeringsfarve3 2 4 2 4 3" xfId="42012" xr:uid="{00000000-0005-0000-0000-0000041E0000}"/>
    <cellStyle name="20 % - Markeringsfarve3 2 4 2 5" xfId="20024" xr:uid="{00000000-0005-0000-0000-0000051E0000}"/>
    <cellStyle name="20 % - Markeringsfarve3 2 4 2 6" xfId="35013" xr:uid="{00000000-0005-0000-0000-0000061E0000}"/>
    <cellStyle name="20 % - Markeringsfarve3 2 4 2 7" xfId="53945" xr:uid="{00000000-0005-0000-0000-0000071E0000}"/>
    <cellStyle name="20 % - Markeringsfarve3 2 4 3" xfId="2168" xr:uid="{00000000-0005-0000-0000-0000081E0000}"/>
    <cellStyle name="20 % - Markeringsfarve3 2 4 3 2" xfId="6807" xr:uid="{00000000-0005-0000-0000-0000091E0000}"/>
    <cellStyle name="20 % - Markeringsfarve3 2 4 3 2 2" xfId="14719" xr:uid="{00000000-0005-0000-0000-00000A1E0000}"/>
    <cellStyle name="20 % - Markeringsfarve3 2 4 3 2 2 2" xfId="31034" xr:uid="{00000000-0005-0000-0000-00000B1E0000}"/>
    <cellStyle name="20 % - Markeringsfarve3 2 4 3 2 2 3" xfId="45998" xr:uid="{00000000-0005-0000-0000-00000C1E0000}"/>
    <cellStyle name="20 % - Markeringsfarve3 2 4 3 2 3" xfId="24012" xr:uid="{00000000-0005-0000-0000-00000D1E0000}"/>
    <cellStyle name="20 % - Markeringsfarve3 2 4 3 2 4" xfId="38999" xr:uid="{00000000-0005-0000-0000-00000E1E0000}"/>
    <cellStyle name="20 % - Markeringsfarve3 2 4 3 3" xfId="10728" xr:uid="{00000000-0005-0000-0000-00000F1E0000}"/>
    <cellStyle name="20 % - Markeringsfarve3 2 4 3 3 2" xfId="27048" xr:uid="{00000000-0005-0000-0000-0000101E0000}"/>
    <cellStyle name="20 % - Markeringsfarve3 2 4 3 3 3" xfId="42014" xr:uid="{00000000-0005-0000-0000-0000111E0000}"/>
    <cellStyle name="20 % - Markeringsfarve3 2 4 3 4" xfId="20026" xr:uid="{00000000-0005-0000-0000-0000121E0000}"/>
    <cellStyle name="20 % - Markeringsfarve3 2 4 3 5" xfId="35015" xr:uid="{00000000-0005-0000-0000-0000131E0000}"/>
    <cellStyle name="20 % - Markeringsfarve3 2 4 3 6" xfId="56489" xr:uid="{00000000-0005-0000-0000-0000141E0000}"/>
    <cellStyle name="20 % - Markeringsfarve3 2 4 4" xfId="2169" xr:uid="{00000000-0005-0000-0000-0000151E0000}"/>
    <cellStyle name="20 % - Markeringsfarve3 2 4 4 2" xfId="8256" xr:uid="{00000000-0005-0000-0000-0000161E0000}"/>
    <cellStyle name="20 % - Markeringsfarve3 2 4 4 2 2" xfId="16151" xr:uid="{00000000-0005-0000-0000-0000171E0000}"/>
    <cellStyle name="20 % - Markeringsfarve3 2 4 4 2 2 2" xfId="32466" xr:uid="{00000000-0005-0000-0000-0000181E0000}"/>
    <cellStyle name="20 % - Markeringsfarve3 2 4 4 2 2 3" xfId="47430" xr:uid="{00000000-0005-0000-0000-0000191E0000}"/>
    <cellStyle name="20 % - Markeringsfarve3 2 4 4 2 3" xfId="25444" xr:uid="{00000000-0005-0000-0000-00001A1E0000}"/>
    <cellStyle name="20 % - Markeringsfarve3 2 4 4 2 4" xfId="40431" xr:uid="{00000000-0005-0000-0000-00001B1E0000}"/>
    <cellStyle name="20 % - Markeringsfarve3 2 4 4 3" xfId="10729" xr:uid="{00000000-0005-0000-0000-00001C1E0000}"/>
    <cellStyle name="20 % - Markeringsfarve3 2 4 4 3 2" xfId="27049" xr:uid="{00000000-0005-0000-0000-00001D1E0000}"/>
    <cellStyle name="20 % - Markeringsfarve3 2 4 4 3 3" xfId="42015" xr:uid="{00000000-0005-0000-0000-00001E1E0000}"/>
    <cellStyle name="20 % - Markeringsfarve3 2 4 4 4" xfId="20027" xr:uid="{00000000-0005-0000-0000-00001F1E0000}"/>
    <cellStyle name="20 % - Markeringsfarve3 2 4 4 5" xfId="35016" xr:uid="{00000000-0005-0000-0000-0000201E0000}"/>
    <cellStyle name="20 % - Markeringsfarve3 2 4 5" xfId="5476" xr:uid="{00000000-0005-0000-0000-0000211E0000}"/>
    <cellStyle name="20 % - Markeringsfarve3 2 4 5 2" xfId="13395" xr:uid="{00000000-0005-0000-0000-0000221E0000}"/>
    <cellStyle name="20 % - Markeringsfarve3 2 4 5 2 2" xfId="29710" xr:uid="{00000000-0005-0000-0000-0000231E0000}"/>
    <cellStyle name="20 % - Markeringsfarve3 2 4 5 2 3" xfId="44674" xr:uid="{00000000-0005-0000-0000-0000241E0000}"/>
    <cellStyle name="20 % - Markeringsfarve3 2 4 5 3" xfId="22688" xr:uid="{00000000-0005-0000-0000-0000251E0000}"/>
    <cellStyle name="20 % - Markeringsfarve3 2 4 5 4" xfId="37675" xr:uid="{00000000-0005-0000-0000-0000261E0000}"/>
    <cellStyle name="20 % - Markeringsfarve3 2 4 6" xfId="10725" xr:uid="{00000000-0005-0000-0000-0000271E0000}"/>
    <cellStyle name="20 % - Markeringsfarve3 2 4 6 2" xfId="27045" xr:uid="{00000000-0005-0000-0000-0000281E0000}"/>
    <cellStyle name="20 % - Markeringsfarve3 2 4 6 3" xfId="42011" xr:uid="{00000000-0005-0000-0000-0000291E0000}"/>
    <cellStyle name="20 % - Markeringsfarve3 2 4 7" xfId="20023" xr:uid="{00000000-0005-0000-0000-00002A1E0000}"/>
    <cellStyle name="20 % - Markeringsfarve3 2 4 8" xfId="35012" xr:uid="{00000000-0005-0000-0000-00002B1E0000}"/>
    <cellStyle name="20 % - Markeringsfarve3 2 4 9" xfId="53308" xr:uid="{00000000-0005-0000-0000-00002C1E0000}"/>
    <cellStyle name="20 % - Markeringsfarve3 2 5" xfId="2170" xr:uid="{00000000-0005-0000-0000-00002D1E0000}"/>
    <cellStyle name="20 % - Markeringsfarve3 2 5 2" xfId="2171" xr:uid="{00000000-0005-0000-0000-00002E1E0000}"/>
    <cellStyle name="20 % - Markeringsfarve3 2 5 2 2" xfId="2172" xr:uid="{00000000-0005-0000-0000-00002F1E0000}"/>
    <cellStyle name="20 % - Markeringsfarve3 2 5 2 2 2" xfId="7683" xr:uid="{00000000-0005-0000-0000-0000301E0000}"/>
    <cellStyle name="20 % - Markeringsfarve3 2 5 2 2 2 2" xfId="15585" xr:uid="{00000000-0005-0000-0000-0000311E0000}"/>
    <cellStyle name="20 % - Markeringsfarve3 2 5 2 2 2 2 2" xfId="31900" xr:uid="{00000000-0005-0000-0000-0000321E0000}"/>
    <cellStyle name="20 % - Markeringsfarve3 2 5 2 2 2 2 3" xfId="46864" xr:uid="{00000000-0005-0000-0000-0000331E0000}"/>
    <cellStyle name="20 % - Markeringsfarve3 2 5 2 2 2 3" xfId="24878" xr:uid="{00000000-0005-0000-0000-0000341E0000}"/>
    <cellStyle name="20 % - Markeringsfarve3 2 5 2 2 2 4" xfId="39865" xr:uid="{00000000-0005-0000-0000-0000351E0000}"/>
    <cellStyle name="20 % - Markeringsfarve3 2 5 2 2 3" xfId="10732" xr:uid="{00000000-0005-0000-0000-0000361E0000}"/>
    <cellStyle name="20 % - Markeringsfarve3 2 5 2 2 3 2" xfId="27052" xr:uid="{00000000-0005-0000-0000-0000371E0000}"/>
    <cellStyle name="20 % - Markeringsfarve3 2 5 2 2 3 3" xfId="42018" xr:uid="{00000000-0005-0000-0000-0000381E0000}"/>
    <cellStyle name="20 % - Markeringsfarve3 2 5 2 2 4" xfId="20030" xr:uid="{00000000-0005-0000-0000-0000391E0000}"/>
    <cellStyle name="20 % - Markeringsfarve3 2 5 2 2 5" xfId="35019" xr:uid="{00000000-0005-0000-0000-00003A1E0000}"/>
    <cellStyle name="20 % - Markeringsfarve3 2 5 2 3" xfId="6247" xr:uid="{00000000-0005-0000-0000-00003B1E0000}"/>
    <cellStyle name="20 % - Markeringsfarve3 2 5 2 3 2" xfId="14165" xr:uid="{00000000-0005-0000-0000-00003C1E0000}"/>
    <cellStyle name="20 % - Markeringsfarve3 2 5 2 3 2 2" xfId="30480" xr:uid="{00000000-0005-0000-0000-00003D1E0000}"/>
    <cellStyle name="20 % - Markeringsfarve3 2 5 2 3 2 3" xfId="45444" xr:uid="{00000000-0005-0000-0000-00003E1E0000}"/>
    <cellStyle name="20 % - Markeringsfarve3 2 5 2 3 3" xfId="23458" xr:uid="{00000000-0005-0000-0000-00003F1E0000}"/>
    <cellStyle name="20 % - Markeringsfarve3 2 5 2 3 4" xfId="38445" xr:uid="{00000000-0005-0000-0000-0000401E0000}"/>
    <cellStyle name="20 % - Markeringsfarve3 2 5 2 4" xfId="10731" xr:uid="{00000000-0005-0000-0000-0000411E0000}"/>
    <cellStyle name="20 % - Markeringsfarve3 2 5 2 4 2" xfId="27051" xr:uid="{00000000-0005-0000-0000-0000421E0000}"/>
    <cellStyle name="20 % - Markeringsfarve3 2 5 2 4 3" xfId="42017" xr:uid="{00000000-0005-0000-0000-0000431E0000}"/>
    <cellStyle name="20 % - Markeringsfarve3 2 5 2 5" xfId="20029" xr:uid="{00000000-0005-0000-0000-0000441E0000}"/>
    <cellStyle name="20 % - Markeringsfarve3 2 5 2 6" xfId="35018" xr:uid="{00000000-0005-0000-0000-0000451E0000}"/>
    <cellStyle name="20 % - Markeringsfarve3 2 5 2 7" xfId="57115" xr:uid="{00000000-0005-0000-0000-0000461E0000}"/>
    <cellStyle name="20 % - Markeringsfarve3 2 5 3" xfId="2173" xr:uid="{00000000-0005-0000-0000-0000471E0000}"/>
    <cellStyle name="20 % - Markeringsfarve3 2 5 3 2" xfId="6913" xr:uid="{00000000-0005-0000-0000-0000481E0000}"/>
    <cellStyle name="20 % - Markeringsfarve3 2 5 3 2 2" xfId="14825" xr:uid="{00000000-0005-0000-0000-0000491E0000}"/>
    <cellStyle name="20 % - Markeringsfarve3 2 5 3 2 2 2" xfId="31140" xr:uid="{00000000-0005-0000-0000-00004A1E0000}"/>
    <cellStyle name="20 % - Markeringsfarve3 2 5 3 2 2 3" xfId="46104" xr:uid="{00000000-0005-0000-0000-00004B1E0000}"/>
    <cellStyle name="20 % - Markeringsfarve3 2 5 3 2 3" xfId="24118" xr:uid="{00000000-0005-0000-0000-00004C1E0000}"/>
    <cellStyle name="20 % - Markeringsfarve3 2 5 3 2 4" xfId="39105" xr:uid="{00000000-0005-0000-0000-00004D1E0000}"/>
    <cellStyle name="20 % - Markeringsfarve3 2 5 3 3" xfId="10733" xr:uid="{00000000-0005-0000-0000-00004E1E0000}"/>
    <cellStyle name="20 % - Markeringsfarve3 2 5 3 3 2" xfId="27053" xr:uid="{00000000-0005-0000-0000-00004F1E0000}"/>
    <cellStyle name="20 % - Markeringsfarve3 2 5 3 3 3" xfId="42019" xr:uid="{00000000-0005-0000-0000-0000501E0000}"/>
    <cellStyle name="20 % - Markeringsfarve3 2 5 3 4" xfId="20031" xr:uid="{00000000-0005-0000-0000-0000511E0000}"/>
    <cellStyle name="20 % - Markeringsfarve3 2 5 3 5" xfId="35020" xr:uid="{00000000-0005-0000-0000-0000521E0000}"/>
    <cellStyle name="20 % - Markeringsfarve3 2 5 4" xfId="2174" xr:uid="{00000000-0005-0000-0000-0000531E0000}"/>
    <cellStyle name="20 % - Markeringsfarve3 2 5 4 2" xfId="6894" xr:uid="{00000000-0005-0000-0000-0000541E0000}"/>
    <cellStyle name="20 % - Markeringsfarve3 2 5 4 2 2" xfId="14806" xr:uid="{00000000-0005-0000-0000-0000551E0000}"/>
    <cellStyle name="20 % - Markeringsfarve3 2 5 4 2 2 2" xfId="31121" xr:uid="{00000000-0005-0000-0000-0000561E0000}"/>
    <cellStyle name="20 % - Markeringsfarve3 2 5 4 2 2 3" xfId="46085" xr:uid="{00000000-0005-0000-0000-0000571E0000}"/>
    <cellStyle name="20 % - Markeringsfarve3 2 5 4 2 3" xfId="24099" xr:uid="{00000000-0005-0000-0000-0000581E0000}"/>
    <cellStyle name="20 % - Markeringsfarve3 2 5 4 2 4" xfId="39086" xr:uid="{00000000-0005-0000-0000-0000591E0000}"/>
    <cellStyle name="20 % - Markeringsfarve3 2 5 4 3" xfId="10734" xr:uid="{00000000-0005-0000-0000-00005A1E0000}"/>
    <cellStyle name="20 % - Markeringsfarve3 2 5 4 3 2" xfId="27054" xr:uid="{00000000-0005-0000-0000-00005B1E0000}"/>
    <cellStyle name="20 % - Markeringsfarve3 2 5 4 3 3" xfId="42020" xr:uid="{00000000-0005-0000-0000-00005C1E0000}"/>
    <cellStyle name="20 % - Markeringsfarve3 2 5 4 4" xfId="20032" xr:uid="{00000000-0005-0000-0000-00005D1E0000}"/>
    <cellStyle name="20 % - Markeringsfarve3 2 5 4 5" xfId="35021" xr:uid="{00000000-0005-0000-0000-00005E1E0000}"/>
    <cellStyle name="20 % - Markeringsfarve3 2 5 5" xfId="5477" xr:uid="{00000000-0005-0000-0000-00005F1E0000}"/>
    <cellStyle name="20 % - Markeringsfarve3 2 5 5 2" xfId="13396" xr:uid="{00000000-0005-0000-0000-0000601E0000}"/>
    <cellStyle name="20 % - Markeringsfarve3 2 5 5 2 2" xfId="29711" xr:uid="{00000000-0005-0000-0000-0000611E0000}"/>
    <cellStyle name="20 % - Markeringsfarve3 2 5 5 2 3" xfId="44675" xr:uid="{00000000-0005-0000-0000-0000621E0000}"/>
    <cellStyle name="20 % - Markeringsfarve3 2 5 5 3" xfId="22689" xr:uid="{00000000-0005-0000-0000-0000631E0000}"/>
    <cellStyle name="20 % - Markeringsfarve3 2 5 5 4" xfId="37676" xr:uid="{00000000-0005-0000-0000-0000641E0000}"/>
    <cellStyle name="20 % - Markeringsfarve3 2 5 6" xfId="10730" xr:uid="{00000000-0005-0000-0000-0000651E0000}"/>
    <cellStyle name="20 % - Markeringsfarve3 2 5 6 2" xfId="27050" xr:uid="{00000000-0005-0000-0000-0000661E0000}"/>
    <cellStyle name="20 % - Markeringsfarve3 2 5 6 3" xfId="42016" xr:uid="{00000000-0005-0000-0000-0000671E0000}"/>
    <cellStyle name="20 % - Markeringsfarve3 2 5 7" xfId="20028" xr:uid="{00000000-0005-0000-0000-0000681E0000}"/>
    <cellStyle name="20 % - Markeringsfarve3 2 5 8" xfId="35017" xr:uid="{00000000-0005-0000-0000-0000691E0000}"/>
    <cellStyle name="20 % - Markeringsfarve3 2 5 9" xfId="53948" xr:uid="{00000000-0005-0000-0000-00006A1E0000}"/>
    <cellStyle name="20 % - Markeringsfarve3 2 6" xfId="2175" xr:uid="{00000000-0005-0000-0000-00006B1E0000}"/>
    <cellStyle name="20 % - Markeringsfarve3 2 6 2" xfId="2176" xr:uid="{00000000-0005-0000-0000-00006C1E0000}"/>
    <cellStyle name="20 % - Markeringsfarve3 2 6 2 2" xfId="2177" xr:uid="{00000000-0005-0000-0000-00006D1E0000}"/>
    <cellStyle name="20 % - Markeringsfarve3 2 6 2 2 2" xfId="7815" xr:uid="{00000000-0005-0000-0000-00006E1E0000}"/>
    <cellStyle name="20 % - Markeringsfarve3 2 6 2 2 2 2" xfId="15717" xr:uid="{00000000-0005-0000-0000-00006F1E0000}"/>
    <cellStyle name="20 % - Markeringsfarve3 2 6 2 2 2 2 2" xfId="32032" xr:uid="{00000000-0005-0000-0000-0000701E0000}"/>
    <cellStyle name="20 % - Markeringsfarve3 2 6 2 2 2 2 3" xfId="46996" xr:uid="{00000000-0005-0000-0000-0000711E0000}"/>
    <cellStyle name="20 % - Markeringsfarve3 2 6 2 2 2 3" xfId="25010" xr:uid="{00000000-0005-0000-0000-0000721E0000}"/>
    <cellStyle name="20 % - Markeringsfarve3 2 6 2 2 2 4" xfId="39997" xr:uid="{00000000-0005-0000-0000-0000731E0000}"/>
    <cellStyle name="20 % - Markeringsfarve3 2 6 2 2 3" xfId="10737" xr:uid="{00000000-0005-0000-0000-0000741E0000}"/>
    <cellStyle name="20 % - Markeringsfarve3 2 6 2 2 3 2" xfId="27057" xr:uid="{00000000-0005-0000-0000-0000751E0000}"/>
    <cellStyle name="20 % - Markeringsfarve3 2 6 2 2 3 3" xfId="42023" xr:uid="{00000000-0005-0000-0000-0000761E0000}"/>
    <cellStyle name="20 % - Markeringsfarve3 2 6 2 2 4" xfId="20035" xr:uid="{00000000-0005-0000-0000-0000771E0000}"/>
    <cellStyle name="20 % - Markeringsfarve3 2 6 2 2 5" xfId="35024" xr:uid="{00000000-0005-0000-0000-0000781E0000}"/>
    <cellStyle name="20 % - Markeringsfarve3 2 6 2 3" xfId="6357" xr:uid="{00000000-0005-0000-0000-0000791E0000}"/>
    <cellStyle name="20 % - Markeringsfarve3 2 6 2 3 2" xfId="14272" xr:uid="{00000000-0005-0000-0000-00007A1E0000}"/>
    <cellStyle name="20 % - Markeringsfarve3 2 6 2 3 2 2" xfId="30587" xr:uid="{00000000-0005-0000-0000-00007B1E0000}"/>
    <cellStyle name="20 % - Markeringsfarve3 2 6 2 3 2 3" xfId="45551" xr:uid="{00000000-0005-0000-0000-00007C1E0000}"/>
    <cellStyle name="20 % - Markeringsfarve3 2 6 2 3 3" xfId="23565" xr:uid="{00000000-0005-0000-0000-00007D1E0000}"/>
    <cellStyle name="20 % - Markeringsfarve3 2 6 2 3 4" xfId="38552" xr:uid="{00000000-0005-0000-0000-00007E1E0000}"/>
    <cellStyle name="20 % - Markeringsfarve3 2 6 2 4" xfId="10736" xr:uid="{00000000-0005-0000-0000-00007F1E0000}"/>
    <cellStyle name="20 % - Markeringsfarve3 2 6 2 4 2" xfId="27056" xr:uid="{00000000-0005-0000-0000-0000801E0000}"/>
    <cellStyle name="20 % - Markeringsfarve3 2 6 2 4 3" xfId="42022" xr:uid="{00000000-0005-0000-0000-0000811E0000}"/>
    <cellStyle name="20 % - Markeringsfarve3 2 6 2 5" xfId="20034" xr:uid="{00000000-0005-0000-0000-0000821E0000}"/>
    <cellStyle name="20 % - Markeringsfarve3 2 6 2 6" xfId="35023" xr:uid="{00000000-0005-0000-0000-0000831E0000}"/>
    <cellStyle name="20 % - Markeringsfarve3 2 6 3" xfId="2178" xr:uid="{00000000-0005-0000-0000-0000841E0000}"/>
    <cellStyle name="20 % - Markeringsfarve3 2 6 3 2" xfId="7091" xr:uid="{00000000-0005-0000-0000-0000851E0000}"/>
    <cellStyle name="20 % - Markeringsfarve3 2 6 3 2 2" xfId="15002" xr:uid="{00000000-0005-0000-0000-0000861E0000}"/>
    <cellStyle name="20 % - Markeringsfarve3 2 6 3 2 2 2" xfId="31317" xr:uid="{00000000-0005-0000-0000-0000871E0000}"/>
    <cellStyle name="20 % - Markeringsfarve3 2 6 3 2 2 3" xfId="46281" xr:uid="{00000000-0005-0000-0000-0000881E0000}"/>
    <cellStyle name="20 % - Markeringsfarve3 2 6 3 2 3" xfId="24295" xr:uid="{00000000-0005-0000-0000-0000891E0000}"/>
    <cellStyle name="20 % - Markeringsfarve3 2 6 3 2 4" xfId="39282" xr:uid="{00000000-0005-0000-0000-00008A1E0000}"/>
    <cellStyle name="20 % - Markeringsfarve3 2 6 3 3" xfId="10738" xr:uid="{00000000-0005-0000-0000-00008B1E0000}"/>
    <cellStyle name="20 % - Markeringsfarve3 2 6 3 3 2" xfId="27058" xr:uid="{00000000-0005-0000-0000-00008C1E0000}"/>
    <cellStyle name="20 % - Markeringsfarve3 2 6 3 3 3" xfId="42024" xr:uid="{00000000-0005-0000-0000-00008D1E0000}"/>
    <cellStyle name="20 % - Markeringsfarve3 2 6 3 4" xfId="20036" xr:uid="{00000000-0005-0000-0000-00008E1E0000}"/>
    <cellStyle name="20 % - Markeringsfarve3 2 6 3 5" xfId="35025" xr:uid="{00000000-0005-0000-0000-00008F1E0000}"/>
    <cellStyle name="20 % - Markeringsfarve3 2 6 4" xfId="2179" xr:uid="{00000000-0005-0000-0000-0000901E0000}"/>
    <cellStyle name="20 % - Markeringsfarve3 2 6 4 2" xfId="7295" xr:uid="{00000000-0005-0000-0000-0000911E0000}"/>
    <cellStyle name="20 % - Markeringsfarve3 2 6 4 2 2" xfId="15206" xr:uid="{00000000-0005-0000-0000-0000921E0000}"/>
    <cellStyle name="20 % - Markeringsfarve3 2 6 4 2 2 2" xfId="31521" xr:uid="{00000000-0005-0000-0000-0000931E0000}"/>
    <cellStyle name="20 % - Markeringsfarve3 2 6 4 2 2 3" xfId="46485" xr:uid="{00000000-0005-0000-0000-0000941E0000}"/>
    <cellStyle name="20 % - Markeringsfarve3 2 6 4 2 3" xfId="24499" xr:uid="{00000000-0005-0000-0000-0000951E0000}"/>
    <cellStyle name="20 % - Markeringsfarve3 2 6 4 2 4" xfId="39486" xr:uid="{00000000-0005-0000-0000-0000961E0000}"/>
    <cellStyle name="20 % - Markeringsfarve3 2 6 4 3" xfId="10739" xr:uid="{00000000-0005-0000-0000-0000971E0000}"/>
    <cellStyle name="20 % - Markeringsfarve3 2 6 4 3 2" xfId="27059" xr:uid="{00000000-0005-0000-0000-0000981E0000}"/>
    <cellStyle name="20 % - Markeringsfarve3 2 6 4 3 3" xfId="42025" xr:uid="{00000000-0005-0000-0000-0000991E0000}"/>
    <cellStyle name="20 % - Markeringsfarve3 2 6 4 4" xfId="20037" xr:uid="{00000000-0005-0000-0000-00009A1E0000}"/>
    <cellStyle name="20 % - Markeringsfarve3 2 6 4 5" xfId="35026" xr:uid="{00000000-0005-0000-0000-00009B1E0000}"/>
    <cellStyle name="20 % - Markeringsfarve3 2 6 5" xfId="5478" xr:uid="{00000000-0005-0000-0000-00009C1E0000}"/>
    <cellStyle name="20 % - Markeringsfarve3 2 6 5 2" xfId="13397" xr:uid="{00000000-0005-0000-0000-00009D1E0000}"/>
    <cellStyle name="20 % - Markeringsfarve3 2 6 5 2 2" xfId="29712" xr:uid="{00000000-0005-0000-0000-00009E1E0000}"/>
    <cellStyle name="20 % - Markeringsfarve3 2 6 5 2 3" xfId="44676" xr:uid="{00000000-0005-0000-0000-00009F1E0000}"/>
    <cellStyle name="20 % - Markeringsfarve3 2 6 5 3" xfId="22690" xr:uid="{00000000-0005-0000-0000-0000A01E0000}"/>
    <cellStyle name="20 % - Markeringsfarve3 2 6 5 4" xfId="37677" xr:uid="{00000000-0005-0000-0000-0000A11E0000}"/>
    <cellStyle name="20 % - Markeringsfarve3 2 6 6" xfId="10735" xr:uid="{00000000-0005-0000-0000-0000A21E0000}"/>
    <cellStyle name="20 % - Markeringsfarve3 2 6 6 2" xfId="27055" xr:uid="{00000000-0005-0000-0000-0000A31E0000}"/>
    <cellStyle name="20 % - Markeringsfarve3 2 6 6 3" xfId="42021" xr:uid="{00000000-0005-0000-0000-0000A41E0000}"/>
    <cellStyle name="20 % - Markeringsfarve3 2 6 7" xfId="20033" xr:uid="{00000000-0005-0000-0000-0000A51E0000}"/>
    <cellStyle name="20 % - Markeringsfarve3 2 6 8" xfId="35022" xr:uid="{00000000-0005-0000-0000-0000A61E0000}"/>
    <cellStyle name="20 % - Markeringsfarve3 2 6 9" xfId="56492" xr:uid="{00000000-0005-0000-0000-0000A71E0000}"/>
    <cellStyle name="20 % - Markeringsfarve3 2 7" xfId="2180" xr:uid="{00000000-0005-0000-0000-0000A81E0000}"/>
    <cellStyle name="20 % - Markeringsfarve3 2 7 2" xfId="2181" xr:uid="{00000000-0005-0000-0000-0000A91E0000}"/>
    <cellStyle name="20 % - Markeringsfarve3 2 7 2 2" xfId="2182" xr:uid="{00000000-0005-0000-0000-0000AA1E0000}"/>
    <cellStyle name="20 % - Markeringsfarve3 2 7 2 2 2" xfId="7932" xr:uid="{00000000-0005-0000-0000-0000AB1E0000}"/>
    <cellStyle name="20 % - Markeringsfarve3 2 7 2 2 2 2" xfId="15834" xr:uid="{00000000-0005-0000-0000-0000AC1E0000}"/>
    <cellStyle name="20 % - Markeringsfarve3 2 7 2 2 2 2 2" xfId="32149" xr:uid="{00000000-0005-0000-0000-0000AD1E0000}"/>
    <cellStyle name="20 % - Markeringsfarve3 2 7 2 2 2 2 3" xfId="47113" xr:uid="{00000000-0005-0000-0000-0000AE1E0000}"/>
    <cellStyle name="20 % - Markeringsfarve3 2 7 2 2 2 3" xfId="25127" xr:uid="{00000000-0005-0000-0000-0000AF1E0000}"/>
    <cellStyle name="20 % - Markeringsfarve3 2 7 2 2 2 4" xfId="40114" xr:uid="{00000000-0005-0000-0000-0000B01E0000}"/>
    <cellStyle name="20 % - Markeringsfarve3 2 7 2 2 3" xfId="10742" xr:uid="{00000000-0005-0000-0000-0000B11E0000}"/>
    <cellStyle name="20 % - Markeringsfarve3 2 7 2 2 3 2" xfId="27062" xr:uid="{00000000-0005-0000-0000-0000B21E0000}"/>
    <cellStyle name="20 % - Markeringsfarve3 2 7 2 2 3 3" xfId="42028" xr:uid="{00000000-0005-0000-0000-0000B31E0000}"/>
    <cellStyle name="20 % - Markeringsfarve3 2 7 2 2 4" xfId="20040" xr:uid="{00000000-0005-0000-0000-0000B41E0000}"/>
    <cellStyle name="20 % - Markeringsfarve3 2 7 2 2 5" xfId="35029" xr:uid="{00000000-0005-0000-0000-0000B51E0000}"/>
    <cellStyle name="20 % - Markeringsfarve3 2 7 2 3" xfId="6456" xr:uid="{00000000-0005-0000-0000-0000B61E0000}"/>
    <cellStyle name="20 % - Markeringsfarve3 2 7 2 3 2" xfId="14371" xr:uid="{00000000-0005-0000-0000-0000B71E0000}"/>
    <cellStyle name="20 % - Markeringsfarve3 2 7 2 3 2 2" xfId="30686" xr:uid="{00000000-0005-0000-0000-0000B81E0000}"/>
    <cellStyle name="20 % - Markeringsfarve3 2 7 2 3 2 3" xfId="45650" xr:uid="{00000000-0005-0000-0000-0000B91E0000}"/>
    <cellStyle name="20 % - Markeringsfarve3 2 7 2 3 3" xfId="23664" xr:uid="{00000000-0005-0000-0000-0000BA1E0000}"/>
    <cellStyle name="20 % - Markeringsfarve3 2 7 2 3 4" xfId="38651" xr:uid="{00000000-0005-0000-0000-0000BB1E0000}"/>
    <cellStyle name="20 % - Markeringsfarve3 2 7 2 4" xfId="10741" xr:uid="{00000000-0005-0000-0000-0000BC1E0000}"/>
    <cellStyle name="20 % - Markeringsfarve3 2 7 2 4 2" xfId="27061" xr:uid="{00000000-0005-0000-0000-0000BD1E0000}"/>
    <cellStyle name="20 % - Markeringsfarve3 2 7 2 4 3" xfId="42027" xr:uid="{00000000-0005-0000-0000-0000BE1E0000}"/>
    <cellStyle name="20 % - Markeringsfarve3 2 7 2 5" xfId="20039" xr:uid="{00000000-0005-0000-0000-0000BF1E0000}"/>
    <cellStyle name="20 % - Markeringsfarve3 2 7 2 6" xfId="35028" xr:uid="{00000000-0005-0000-0000-0000C01E0000}"/>
    <cellStyle name="20 % - Markeringsfarve3 2 7 3" xfId="2183" xr:uid="{00000000-0005-0000-0000-0000C11E0000}"/>
    <cellStyle name="20 % - Markeringsfarve3 2 7 3 2" xfId="7208" xr:uid="{00000000-0005-0000-0000-0000C21E0000}"/>
    <cellStyle name="20 % - Markeringsfarve3 2 7 3 2 2" xfId="15119" xr:uid="{00000000-0005-0000-0000-0000C31E0000}"/>
    <cellStyle name="20 % - Markeringsfarve3 2 7 3 2 2 2" xfId="31434" xr:uid="{00000000-0005-0000-0000-0000C41E0000}"/>
    <cellStyle name="20 % - Markeringsfarve3 2 7 3 2 2 3" xfId="46398" xr:uid="{00000000-0005-0000-0000-0000C51E0000}"/>
    <cellStyle name="20 % - Markeringsfarve3 2 7 3 2 3" xfId="24412" xr:uid="{00000000-0005-0000-0000-0000C61E0000}"/>
    <cellStyle name="20 % - Markeringsfarve3 2 7 3 2 4" xfId="39399" xr:uid="{00000000-0005-0000-0000-0000C71E0000}"/>
    <cellStyle name="20 % - Markeringsfarve3 2 7 3 3" xfId="10743" xr:uid="{00000000-0005-0000-0000-0000C81E0000}"/>
    <cellStyle name="20 % - Markeringsfarve3 2 7 3 3 2" xfId="27063" xr:uid="{00000000-0005-0000-0000-0000C91E0000}"/>
    <cellStyle name="20 % - Markeringsfarve3 2 7 3 3 3" xfId="42029" xr:uid="{00000000-0005-0000-0000-0000CA1E0000}"/>
    <cellStyle name="20 % - Markeringsfarve3 2 7 3 4" xfId="20041" xr:uid="{00000000-0005-0000-0000-0000CB1E0000}"/>
    <cellStyle name="20 % - Markeringsfarve3 2 7 3 5" xfId="35030" xr:uid="{00000000-0005-0000-0000-0000CC1E0000}"/>
    <cellStyle name="20 % - Markeringsfarve3 2 7 4" xfId="2184" xr:uid="{00000000-0005-0000-0000-0000CD1E0000}"/>
    <cellStyle name="20 % - Markeringsfarve3 2 7 4 2" xfId="7040" xr:uid="{00000000-0005-0000-0000-0000CE1E0000}"/>
    <cellStyle name="20 % - Markeringsfarve3 2 7 4 2 2" xfId="14951" xr:uid="{00000000-0005-0000-0000-0000CF1E0000}"/>
    <cellStyle name="20 % - Markeringsfarve3 2 7 4 2 2 2" xfId="31266" xr:uid="{00000000-0005-0000-0000-0000D01E0000}"/>
    <cellStyle name="20 % - Markeringsfarve3 2 7 4 2 2 3" xfId="46230" xr:uid="{00000000-0005-0000-0000-0000D11E0000}"/>
    <cellStyle name="20 % - Markeringsfarve3 2 7 4 2 3" xfId="24244" xr:uid="{00000000-0005-0000-0000-0000D21E0000}"/>
    <cellStyle name="20 % - Markeringsfarve3 2 7 4 2 4" xfId="39231" xr:uid="{00000000-0005-0000-0000-0000D31E0000}"/>
    <cellStyle name="20 % - Markeringsfarve3 2 7 4 3" xfId="10744" xr:uid="{00000000-0005-0000-0000-0000D41E0000}"/>
    <cellStyle name="20 % - Markeringsfarve3 2 7 4 3 2" xfId="27064" xr:uid="{00000000-0005-0000-0000-0000D51E0000}"/>
    <cellStyle name="20 % - Markeringsfarve3 2 7 4 3 3" xfId="42030" xr:uid="{00000000-0005-0000-0000-0000D61E0000}"/>
    <cellStyle name="20 % - Markeringsfarve3 2 7 4 4" xfId="20042" xr:uid="{00000000-0005-0000-0000-0000D71E0000}"/>
    <cellStyle name="20 % - Markeringsfarve3 2 7 4 5" xfId="35031" xr:uid="{00000000-0005-0000-0000-0000D81E0000}"/>
    <cellStyle name="20 % - Markeringsfarve3 2 7 5" xfId="5479" xr:uid="{00000000-0005-0000-0000-0000D91E0000}"/>
    <cellStyle name="20 % - Markeringsfarve3 2 7 5 2" xfId="13398" xr:uid="{00000000-0005-0000-0000-0000DA1E0000}"/>
    <cellStyle name="20 % - Markeringsfarve3 2 7 5 2 2" xfId="29713" xr:uid="{00000000-0005-0000-0000-0000DB1E0000}"/>
    <cellStyle name="20 % - Markeringsfarve3 2 7 5 2 3" xfId="44677" xr:uid="{00000000-0005-0000-0000-0000DC1E0000}"/>
    <cellStyle name="20 % - Markeringsfarve3 2 7 5 3" xfId="22691" xr:uid="{00000000-0005-0000-0000-0000DD1E0000}"/>
    <cellStyle name="20 % - Markeringsfarve3 2 7 5 4" xfId="37678" xr:uid="{00000000-0005-0000-0000-0000DE1E0000}"/>
    <cellStyle name="20 % - Markeringsfarve3 2 7 6" xfId="10740" xr:uid="{00000000-0005-0000-0000-0000DF1E0000}"/>
    <cellStyle name="20 % - Markeringsfarve3 2 7 6 2" xfId="27060" xr:uid="{00000000-0005-0000-0000-0000E01E0000}"/>
    <cellStyle name="20 % - Markeringsfarve3 2 7 6 3" xfId="42026" xr:uid="{00000000-0005-0000-0000-0000E11E0000}"/>
    <cellStyle name="20 % - Markeringsfarve3 2 7 7" xfId="20038" xr:uid="{00000000-0005-0000-0000-0000E21E0000}"/>
    <cellStyle name="20 % - Markeringsfarve3 2 7 8" xfId="35027" xr:uid="{00000000-0005-0000-0000-0000E31E0000}"/>
    <cellStyle name="20 % - Markeringsfarve3 2 8" xfId="2185" xr:uid="{00000000-0005-0000-0000-0000E41E0000}"/>
    <cellStyle name="20 % - Markeringsfarve3 2 8 2" xfId="2186" xr:uid="{00000000-0005-0000-0000-0000E51E0000}"/>
    <cellStyle name="20 % - Markeringsfarve3 2 8 2 2" xfId="2187" xr:uid="{00000000-0005-0000-0000-0000E61E0000}"/>
    <cellStyle name="20 % - Markeringsfarve3 2 8 2 2 2" xfId="8038" xr:uid="{00000000-0005-0000-0000-0000E71E0000}"/>
    <cellStyle name="20 % - Markeringsfarve3 2 8 2 2 2 2" xfId="15940" xr:uid="{00000000-0005-0000-0000-0000E81E0000}"/>
    <cellStyle name="20 % - Markeringsfarve3 2 8 2 2 2 2 2" xfId="32255" xr:uid="{00000000-0005-0000-0000-0000E91E0000}"/>
    <cellStyle name="20 % - Markeringsfarve3 2 8 2 2 2 2 3" xfId="47219" xr:uid="{00000000-0005-0000-0000-0000EA1E0000}"/>
    <cellStyle name="20 % - Markeringsfarve3 2 8 2 2 2 3" xfId="25233" xr:uid="{00000000-0005-0000-0000-0000EB1E0000}"/>
    <cellStyle name="20 % - Markeringsfarve3 2 8 2 2 2 4" xfId="40220" xr:uid="{00000000-0005-0000-0000-0000EC1E0000}"/>
    <cellStyle name="20 % - Markeringsfarve3 2 8 2 2 3" xfId="10747" xr:uid="{00000000-0005-0000-0000-0000ED1E0000}"/>
    <cellStyle name="20 % - Markeringsfarve3 2 8 2 2 3 2" xfId="27067" xr:uid="{00000000-0005-0000-0000-0000EE1E0000}"/>
    <cellStyle name="20 % - Markeringsfarve3 2 8 2 2 3 3" xfId="42033" xr:uid="{00000000-0005-0000-0000-0000EF1E0000}"/>
    <cellStyle name="20 % - Markeringsfarve3 2 8 2 2 4" xfId="20045" xr:uid="{00000000-0005-0000-0000-0000F01E0000}"/>
    <cellStyle name="20 % - Markeringsfarve3 2 8 2 2 5" xfId="35034" xr:uid="{00000000-0005-0000-0000-0000F11E0000}"/>
    <cellStyle name="20 % - Markeringsfarve3 2 8 2 3" xfId="6549" xr:uid="{00000000-0005-0000-0000-0000F21E0000}"/>
    <cellStyle name="20 % - Markeringsfarve3 2 8 2 3 2" xfId="14464" xr:uid="{00000000-0005-0000-0000-0000F31E0000}"/>
    <cellStyle name="20 % - Markeringsfarve3 2 8 2 3 2 2" xfId="30779" xr:uid="{00000000-0005-0000-0000-0000F41E0000}"/>
    <cellStyle name="20 % - Markeringsfarve3 2 8 2 3 2 3" xfId="45743" xr:uid="{00000000-0005-0000-0000-0000F51E0000}"/>
    <cellStyle name="20 % - Markeringsfarve3 2 8 2 3 3" xfId="23757" xr:uid="{00000000-0005-0000-0000-0000F61E0000}"/>
    <cellStyle name="20 % - Markeringsfarve3 2 8 2 3 4" xfId="38744" xr:uid="{00000000-0005-0000-0000-0000F71E0000}"/>
    <cellStyle name="20 % - Markeringsfarve3 2 8 2 4" xfId="10746" xr:uid="{00000000-0005-0000-0000-0000F81E0000}"/>
    <cellStyle name="20 % - Markeringsfarve3 2 8 2 4 2" xfId="27066" xr:uid="{00000000-0005-0000-0000-0000F91E0000}"/>
    <cellStyle name="20 % - Markeringsfarve3 2 8 2 4 3" xfId="42032" xr:uid="{00000000-0005-0000-0000-0000FA1E0000}"/>
    <cellStyle name="20 % - Markeringsfarve3 2 8 2 5" xfId="20044" xr:uid="{00000000-0005-0000-0000-0000FB1E0000}"/>
    <cellStyle name="20 % - Markeringsfarve3 2 8 2 6" xfId="35033" xr:uid="{00000000-0005-0000-0000-0000FC1E0000}"/>
    <cellStyle name="20 % - Markeringsfarve3 2 8 3" xfId="2188" xr:uid="{00000000-0005-0000-0000-0000FD1E0000}"/>
    <cellStyle name="20 % - Markeringsfarve3 2 8 3 2" xfId="7315" xr:uid="{00000000-0005-0000-0000-0000FE1E0000}"/>
    <cellStyle name="20 % - Markeringsfarve3 2 8 3 2 2" xfId="15226" xr:uid="{00000000-0005-0000-0000-0000FF1E0000}"/>
    <cellStyle name="20 % - Markeringsfarve3 2 8 3 2 2 2" xfId="31541" xr:uid="{00000000-0005-0000-0000-0000001F0000}"/>
    <cellStyle name="20 % - Markeringsfarve3 2 8 3 2 2 3" xfId="46505" xr:uid="{00000000-0005-0000-0000-0000011F0000}"/>
    <cellStyle name="20 % - Markeringsfarve3 2 8 3 2 3" xfId="24519" xr:uid="{00000000-0005-0000-0000-0000021F0000}"/>
    <cellStyle name="20 % - Markeringsfarve3 2 8 3 2 4" xfId="39506" xr:uid="{00000000-0005-0000-0000-0000031F0000}"/>
    <cellStyle name="20 % - Markeringsfarve3 2 8 3 3" xfId="10748" xr:uid="{00000000-0005-0000-0000-0000041F0000}"/>
    <cellStyle name="20 % - Markeringsfarve3 2 8 3 3 2" xfId="27068" xr:uid="{00000000-0005-0000-0000-0000051F0000}"/>
    <cellStyle name="20 % - Markeringsfarve3 2 8 3 3 3" xfId="42034" xr:uid="{00000000-0005-0000-0000-0000061F0000}"/>
    <cellStyle name="20 % - Markeringsfarve3 2 8 3 4" xfId="20046" xr:uid="{00000000-0005-0000-0000-0000071F0000}"/>
    <cellStyle name="20 % - Markeringsfarve3 2 8 3 5" xfId="35035" xr:uid="{00000000-0005-0000-0000-0000081F0000}"/>
    <cellStyle name="20 % - Markeringsfarve3 2 8 4" xfId="2189" xr:uid="{00000000-0005-0000-0000-0000091F0000}"/>
    <cellStyle name="20 % - Markeringsfarve3 2 8 4 2" xfId="8472" xr:uid="{00000000-0005-0000-0000-00000A1F0000}"/>
    <cellStyle name="20 % - Markeringsfarve3 2 8 4 2 2" xfId="16361" xr:uid="{00000000-0005-0000-0000-00000B1F0000}"/>
    <cellStyle name="20 % - Markeringsfarve3 2 8 4 2 2 2" xfId="32676" xr:uid="{00000000-0005-0000-0000-00000C1F0000}"/>
    <cellStyle name="20 % - Markeringsfarve3 2 8 4 2 2 3" xfId="47640" xr:uid="{00000000-0005-0000-0000-00000D1F0000}"/>
    <cellStyle name="20 % - Markeringsfarve3 2 8 4 2 3" xfId="25654" xr:uid="{00000000-0005-0000-0000-00000E1F0000}"/>
    <cellStyle name="20 % - Markeringsfarve3 2 8 4 2 4" xfId="40641" xr:uid="{00000000-0005-0000-0000-00000F1F0000}"/>
    <cellStyle name="20 % - Markeringsfarve3 2 8 4 3" xfId="10749" xr:uid="{00000000-0005-0000-0000-0000101F0000}"/>
    <cellStyle name="20 % - Markeringsfarve3 2 8 4 3 2" xfId="27069" xr:uid="{00000000-0005-0000-0000-0000111F0000}"/>
    <cellStyle name="20 % - Markeringsfarve3 2 8 4 3 3" xfId="42035" xr:uid="{00000000-0005-0000-0000-0000121F0000}"/>
    <cellStyle name="20 % - Markeringsfarve3 2 8 4 4" xfId="20047" xr:uid="{00000000-0005-0000-0000-0000131F0000}"/>
    <cellStyle name="20 % - Markeringsfarve3 2 8 4 5" xfId="35036" xr:uid="{00000000-0005-0000-0000-0000141F0000}"/>
    <cellStyle name="20 % - Markeringsfarve3 2 8 5" xfId="5480" xr:uid="{00000000-0005-0000-0000-0000151F0000}"/>
    <cellStyle name="20 % - Markeringsfarve3 2 8 5 2" xfId="13399" xr:uid="{00000000-0005-0000-0000-0000161F0000}"/>
    <cellStyle name="20 % - Markeringsfarve3 2 8 5 2 2" xfId="29714" xr:uid="{00000000-0005-0000-0000-0000171F0000}"/>
    <cellStyle name="20 % - Markeringsfarve3 2 8 5 2 3" xfId="44678" xr:uid="{00000000-0005-0000-0000-0000181F0000}"/>
    <cellStyle name="20 % - Markeringsfarve3 2 8 5 3" xfId="22692" xr:uid="{00000000-0005-0000-0000-0000191F0000}"/>
    <cellStyle name="20 % - Markeringsfarve3 2 8 5 4" xfId="37679" xr:uid="{00000000-0005-0000-0000-00001A1F0000}"/>
    <cellStyle name="20 % - Markeringsfarve3 2 8 6" xfId="10745" xr:uid="{00000000-0005-0000-0000-00001B1F0000}"/>
    <cellStyle name="20 % - Markeringsfarve3 2 8 6 2" xfId="27065" xr:uid="{00000000-0005-0000-0000-00001C1F0000}"/>
    <cellStyle name="20 % - Markeringsfarve3 2 8 6 3" xfId="42031" xr:uid="{00000000-0005-0000-0000-00001D1F0000}"/>
    <cellStyle name="20 % - Markeringsfarve3 2 8 7" xfId="20043" xr:uid="{00000000-0005-0000-0000-00001E1F0000}"/>
    <cellStyle name="20 % - Markeringsfarve3 2 8 8" xfId="35032" xr:uid="{00000000-0005-0000-0000-00001F1F0000}"/>
    <cellStyle name="20 % - Markeringsfarve3 2 9" xfId="2190" xr:uid="{00000000-0005-0000-0000-0000201F0000}"/>
    <cellStyle name="20 % - Markeringsfarve3 2 9 2" xfId="2191" xr:uid="{00000000-0005-0000-0000-0000211F0000}"/>
    <cellStyle name="20 % - Markeringsfarve3 2 9 2 2" xfId="7458" xr:uid="{00000000-0005-0000-0000-0000221F0000}"/>
    <cellStyle name="20 % - Markeringsfarve3 2 9 2 2 2" xfId="15360" xr:uid="{00000000-0005-0000-0000-0000231F0000}"/>
    <cellStyle name="20 % - Markeringsfarve3 2 9 2 2 2 2" xfId="31675" xr:uid="{00000000-0005-0000-0000-0000241F0000}"/>
    <cellStyle name="20 % - Markeringsfarve3 2 9 2 2 2 3" xfId="46639" xr:uid="{00000000-0005-0000-0000-0000251F0000}"/>
    <cellStyle name="20 % - Markeringsfarve3 2 9 2 2 3" xfId="24653" xr:uid="{00000000-0005-0000-0000-0000261F0000}"/>
    <cellStyle name="20 % - Markeringsfarve3 2 9 2 2 4" xfId="39640" xr:uid="{00000000-0005-0000-0000-0000271F0000}"/>
    <cellStyle name="20 % - Markeringsfarve3 2 9 2 3" xfId="10751" xr:uid="{00000000-0005-0000-0000-0000281F0000}"/>
    <cellStyle name="20 % - Markeringsfarve3 2 9 2 3 2" xfId="27071" xr:uid="{00000000-0005-0000-0000-0000291F0000}"/>
    <cellStyle name="20 % - Markeringsfarve3 2 9 2 3 3" xfId="42037" xr:uid="{00000000-0005-0000-0000-00002A1F0000}"/>
    <cellStyle name="20 % - Markeringsfarve3 2 9 2 4" xfId="20049" xr:uid="{00000000-0005-0000-0000-00002B1F0000}"/>
    <cellStyle name="20 % - Markeringsfarve3 2 9 2 5" xfId="35038" xr:uid="{00000000-0005-0000-0000-00002C1F0000}"/>
    <cellStyle name="20 % - Markeringsfarve3 2 9 3" xfId="6056" xr:uid="{00000000-0005-0000-0000-00002D1F0000}"/>
    <cellStyle name="20 % - Markeringsfarve3 2 9 3 2" xfId="13974" xr:uid="{00000000-0005-0000-0000-00002E1F0000}"/>
    <cellStyle name="20 % - Markeringsfarve3 2 9 3 2 2" xfId="30289" xr:uid="{00000000-0005-0000-0000-00002F1F0000}"/>
    <cellStyle name="20 % - Markeringsfarve3 2 9 3 2 3" xfId="45253" xr:uid="{00000000-0005-0000-0000-0000301F0000}"/>
    <cellStyle name="20 % - Markeringsfarve3 2 9 3 3" xfId="23267" xr:uid="{00000000-0005-0000-0000-0000311F0000}"/>
    <cellStyle name="20 % - Markeringsfarve3 2 9 3 4" xfId="38254" xr:uid="{00000000-0005-0000-0000-0000321F0000}"/>
    <cellStyle name="20 % - Markeringsfarve3 2 9 4" xfId="10750" xr:uid="{00000000-0005-0000-0000-0000331F0000}"/>
    <cellStyle name="20 % - Markeringsfarve3 2 9 4 2" xfId="27070" xr:uid="{00000000-0005-0000-0000-0000341F0000}"/>
    <cellStyle name="20 % - Markeringsfarve3 2 9 4 3" xfId="42036" xr:uid="{00000000-0005-0000-0000-0000351F0000}"/>
    <cellStyle name="20 % - Markeringsfarve3 2 9 5" xfId="20048" xr:uid="{00000000-0005-0000-0000-0000361F0000}"/>
    <cellStyle name="20 % - Markeringsfarve3 2 9 6" xfId="35037" xr:uid="{00000000-0005-0000-0000-0000371F0000}"/>
    <cellStyle name="20 % - Markeringsfarve3 3" xfId="2192" xr:uid="{00000000-0005-0000-0000-0000381F0000}"/>
    <cellStyle name="20 % - Markeringsfarve3 3 10" xfId="2193" xr:uid="{00000000-0005-0000-0000-0000391F0000}"/>
    <cellStyle name="20 % - Markeringsfarve3 3 10 2" xfId="6671" xr:uid="{00000000-0005-0000-0000-00003A1F0000}"/>
    <cellStyle name="20 % - Markeringsfarve3 3 10 2 2" xfId="14584" xr:uid="{00000000-0005-0000-0000-00003B1F0000}"/>
    <cellStyle name="20 % - Markeringsfarve3 3 10 2 2 2" xfId="30899" xr:uid="{00000000-0005-0000-0000-00003C1F0000}"/>
    <cellStyle name="20 % - Markeringsfarve3 3 10 2 2 3" xfId="45863" xr:uid="{00000000-0005-0000-0000-00003D1F0000}"/>
    <cellStyle name="20 % - Markeringsfarve3 3 10 2 3" xfId="23877" xr:uid="{00000000-0005-0000-0000-00003E1F0000}"/>
    <cellStyle name="20 % - Markeringsfarve3 3 10 2 4" xfId="38864" xr:uid="{00000000-0005-0000-0000-00003F1F0000}"/>
    <cellStyle name="20 % - Markeringsfarve3 3 10 3" xfId="10753" xr:uid="{00000000-0005-0000-0000-0000401F0000}"/>
    <cellStyle name="20 % - Markeringsfarve3 3 10 3 2" xfId="27073" xr:uid="{00000000-0005-0000-0000-0000411F0000}"/>
    <cellStyle name="20 % - Markeringsfarve3 3 10 3 3" xfId="42039" xr:uid="{00000000-0005-0000-0000-0000421F0000}"/>
    <cellStyle name="20 % - Markeringsfarve3 3 10 4" xfId="20051" xr:uid="{00000000-0005-0000-0000-0000431F0000}"/>
    <cellStyle name="20 % - Markeringsfarve3 3 10 5" xfId="35040" xr:uid="{00000000-0005-0000-0000-0000441F0000}"/>
    <cellStyle name="20 % - Markeringsfarve3 3 11" xfId="2194" xr:uid="{00000000-0005-0000-0000-0000451F0000}"/>
    <cellStyle name="20 % - Markeringsfarve3 3 11 2" xfId="8453" xr:uid="{00000000-0005-0000-0000-0000461F0000}"/>
    <cellStyle name="20 % - Markeringsfarve3 3 11 2 2" xfId="16343" xr:uid="{00000000-0005-0000-0000-0000471F0000}"/>
    <cellStyle name="20 % - Markeringsfarve3 3 11 2 2 2" xfId="32658" xr:uid="{00000000-0005-0000-0000-0000481F0000}"/>
    <cellStyle name="20 % - Markeringsfarve3 3 11 2 2 3" xfId="47622" xr:uid="{00000000-0005-0000-0000-0000491F0000}"/>
    <cellStyle name="20 % - Markeringsfarve3 3 11 2 3" xfId="25636" xr:uid="{00000000-0005-0000-0000-00004A1F0000}"/>
    <cellStyle name="20 % - Markeringsfarve3 3 11 2 4" xfId="40623" xr:uid="{00000000-0005-0000-0000-00004B1F0000}"/>
    <cellStyle name="20 % - Markeringsfarve3 3 11 3" xfId="10754" xr:uid="{00000000-0005-0000-0000-00004C1F0000}"/>
    <cellStyle name="20 % - Markeringsfarve3 3 11 3 2" xfId="27074" xr:uid="{00000000-0005-0000-0000-00004D1F0000}"/>
    <cellStyle name="20 % - Markeringsfarve3 3 11 3 3" xfId="42040" xr:uid="{00000000-0005-0000-0000-00004E1F0000}"/>
    <cellStyle name="20 % - Markeringsfarve3 3 11 4" xfId="20052" xr:uid="{00000000-0005-0000-0000-00004F1F0000}"/>
    <cellStyle name="20 % - Markeringsfarve3 3 11 5" xfId="35041" xr:uid="{00000000-0005-0000-0000-0000501F0000}"/>
    <cellStyle name="20 % - Markeringsfarve3 3 12" xfId="5481" xr:uid="{00000000-0005-0000-0000-0000511F0000}"/>
    <cellStyle name="20 % - Markeringsfarve3 3 12 2" xfId="13400" xr:uid="{00000000-0005-0000-0000-0000521F0000}"/>
    <cellStyle name="20 % - Markeringsfarve3 3 12 2 2" xfId="29715" xr:uid="{00000000-0005-0000-0000-0000531F0000}"/>
    <cellStyle name="20 % - Markeringsfarve3 3 12 2 3" xfId="44679" xr:uid="{00000000-0005-0000-0000-0000541F0000}"/>
    <cellStyle name="20 % - Markeringsfarve3 3 12 3" xfId="22693" xr:uid="{00000000-0005-0000-0000-0000551F0000}"/>
    <cellStyle name="20 % - Markeringsfarve3 3 12 4" xfId="37680" xr:uid="{00000000-0005-0000-0000-0000561F0000}"/>
    <cellStyle name="20 % - Markeringsfarve3 3 13" xfId="10752" xr:uid="{00000000-0005-0000-0000-0000571F0000}"/>
    <cellStyle name="20 % - Markeringsfarve3 3 13 2" xfId="27072" xr:uid="{00000000-0005-0000-0000-0000581F0000}"/>
    <cellStyle name="20 % - Markeringsfarve3 3 13 3" xfId="42038" xr:uid="{00000000-0005-0000-0000-0000591F0000}"/>
    <cellStyle name="20 % - Markeringsfarve3 3 14" xfId="20050" xr:uid="{00000000-0005-0000-0000-00005A1F0000}"/>
    <cellStyle name="20 % - Markeringsfarve3 3 15" xfId="35039" xr:uid="{00000000-0005-0000-0000-00005B1F0000}"/>
    <cellStyle name="20 % - Markeringsfarve3 3 16" xfId="53307" xr:uid="{00000000-0005-0000-0000-00005C1F0000}"/>
    <cellStyle name="20 % - Markeringsfarve3 3 2" xfId="2195" xr:uid="{00000000-0005-0000-0000-00005D1F0000}"/>
    <cellStyle name="20 % - Markeringsfarve3 3 2 10" xfId="5482" xr:uid="{00000000-0005-0000-0000-00005E1F0000}"/>
    <cellStyle name="20 % - Markeringsfarve3 3 2 10 2" xfId="13401" xr:uid="{00000000-0005-0000-0000-00005F1F0000}"/>
    <cellStyle name="20 % - Markeringsfarve3 3 2 10 2 2" xfId="29716" xr:uid="{00000000-0005-0000-0000-0000601F0000}"/>
    <cellStyle name="20 % - Markeringsfarve3 3 2 10 2 3" xfId="44680" xr:uid="{00000000-0005-0000-0000-0000611F0000}"/>
    <cellStyle name="20 % - Markeringsfarve3 3 2 10 3" xfId="22694" xr:uid="{00000000-0005-0000-0000-0000621F0000}"/>
    <cellStyle name="20 % - Markeringsfarve3 3 2 10 4" xfId="37681" xr:uid="{00000000-0005-0000-0000-0000631F0000}"/>
    <cellStyle name="20 % - Markeringsfarve3 3 2 11" xfId="10755" xr:uid="{00000000-0005-0000-0000-0000641F0000}"/>
    <cellStyle name="20 % - Markeringsfarve3 3 2 11 2" xfId="27075" xr:uid="{00000000-0005-0000-0000-0000651F0000}"/>
    <cellStyle name="20 % - Markeringsfarve3 3 2 11 3" xfId="42041" xr:uid="{00000000-0005-0000-0000-0000661F0000}"/>
    <cellStyle name="20 % - Markeringsfarve3 3 2 12" xfId="20053" xr:uid="{00000000-0005-0000-0000-0000671F0000}"/>
    <cellStyle name="20 % - Markeringsfarve3 3 2 13" xfId="35042" xr:uid="{00000000-0005-0000-0000-0000681F0000}"/>
    <cellStyle name="20 % - Markeringsfarve3 3 2 14" xfId="53944" xr:uid="{00000000-0005-0000-0000-0000691F0000}"/>
    <cellStyle name="20 % - Markeringsfarve3 3 2 2" xfId="2196" xr:uid="{00000000-0005-0000-0000-00006A1F0000}"/>
    <cellStyle name="20 % - Markeringsfarve3 3 2 2 2" xfId="2197" xr:uid="{00000000-0005-0000-0000-00006B1F0000}"/>
    <cellStyle name="20 % - Markeringsfarve3 3 2 2 2 2" xfId="2198" xr:uid="{00000000-0005-0000-0000-00006C1F0000}"/>
    <cellStyle name="20 % - Markeringsfarve3 3 2 2 2 2 2" xfId="7604" xr:uid="{00000000-0005-0000-0000-00006D1F0000}"/>
    <cellStyle name="20 % - Markeringsfarve3 3 2 2 2 2 2 2" xfId="15506" xr:uid="{00000000-0005-0000-0000-00006E1F0000}"/>
    <cellStyle name="20 % - Markeringsfarve3 3 2 2 2 2 2 2 2" xfId="31821" xr:uid="{00000000-0005-0000-0000-00006F1F0000}"/>
    <cellStyle name="20 % - Markeringsfarve3 3 2 2 2 2 2 2 3" xfId="46785" xr:uid="{00000000-0005-0000-0000-0000701F0000}"/>
    <cellStyle name="20 % - Markeringsfarve3 3 2 2 2 2 2 3" xfId="24799" xr:uid="{00000000-0005-0000-0000-0000711F0000}"/>
    <cellStyle name="20 % - Markeringsfarve3 3 2 2 2 2 2 4" xfId="39786" xr:uid="{00000000-0005-0000-0000-0000721F0000}"/>
    <cellStyle name="20 % - Markeringsfarve3 3 2 2 2 2 3" xfId="10758" xr:uid="{00000000-0005-0000-0000-0000731F0000}"/>
    <cellStyle name="20 % - Markeringsfarve3 3 2 2 2 2 3 2" xfId="27078" xr:uid="{00000000-0005-0000-0000-0000741F0000}"/>
    <cellStyle name="20 % - Markeringsfarve3 3 2 2 2 2 3 3" xfId="42044" xr:uid="{00000000-0005-0000-0000-0000751F0000}"/>
    <cellStyle name="20 % - Markeringsfarve3 3 2 2 2 2 4" xfId="20056" xr:uid="{00000000-0005-0000-0000-0000761F0000}"/>
    <cellStyle name="20 % - Markeringsfarve3 3 2 2 2 2 5" xfId="35045" xr:uid="{00000000-0005-0000-0000-0000771F0000}"/>
    <cellStyle name="20 % - Markeringsfarve3 3 2 2 2 3" xfId="6178" xr:uid="{00000000-0005-0000-0000-0000781F0000}"/>
    <cellStyle name="20 % - Markeringsfarve3 3 2 2 2 3 2" xfId="14096" xr:uid="{00000000-0005-0000-0000-0000791F0000}"/>
    <cellStyle name="20 % - Markeringsfarve3 3 2 2 2 3 2 2" xfId="30411" xr:uid="{00000000-0005-0000-0000-00007A1F0000}"/>
    <cellStyle name="20 % - Markeringsfarve3 3 2 2 2 3 2 3" xfId="45375" xr:uid="{00000000-0005-0000-0000-00007B1F0000}"/>
    <cellStyle name="20 % - Markeringsfarve3 3 2 2 2 3 3" xfId="23389" xr:uid="{00000000-0005-0000-0000-00007C1F0000}"/>
    <cellStyle name="20 % - Markeringsfarve3 3 2 2 2 3 4" xfId="38376" xr:uid="{00000000-0005-0000-0000-00007D1F0000}"/>
    <cellStyle name="20 % - Markeringsfarve3 3 2 2 2 4" xfId="10757" xr:uid="{00000000-0005-0000-0000-00007E1F0000}"/>
    <cellStyle name="20 % - Markeringsfarve3 3 2 2 2 4 2" xfId="27077" xr:uid="{00000000-0005-0000-0000-00007F1F0000}"/>
    <cellStyle name="20 % - Markeringsfarve3 3 2 2 2 4 3" xfId="42043" xr:uid="{00000000-0005-0000-0000-0000801F0000}"/>
    <cellStyle name="20 % - Markeringsfarve3 3 2 2 2 5" xfId="20055" xr:uid="{00000000-0005-0000-0000-0000811F0000}"/>
    <cellStyle name="20 % - Markeringsfarve3 3 2 2 2 6" xfId="35044" xr:uid="{00000000-0005-0000-0000-0000821F0000}"/>
    <cellStyle name="20 % - Markeringsfarve3 3 2 2 3" xfId="2199" xr:uid="{00000000-0005-0000-0000-0000831F0000}"/>
    <cellStyle name="20 % - Markeringsfarve3 3 2 2 3 2" xfId="6834" xr:uid="{00000000-0005-0000-0000-0000841F0000}"/>
    <cellStyle name="20 % - Markeringsfarve3 3 2 2 3 2 2" xfId="14746" xr:uid="{00000000-0005-0000-0000-0000851F0000}"/>
    <cellStyle name="20 % - Markeringsfarve3 3 2 2 3 2 2 2" xfId="31061" xr:uid="{00000000-0005-0000-0000-0000861F0000}"/>
    <cellStyle name="20 % - Markeringsfarve3 3 2 2 3 2 2 3" xfId="46025" xr:uid="{00000000-0005-0000-0000-0000871F0000}"/>
    <cellStyle name="20 % - Markeringsfarve3 3 2 2 3 2 3" xfId="24039" xr:uid="{00000000-0005-0000-0000-0000881F0000}"/>
    <cellStyle name="20 % - Markeringsfarve3 3 2 2 3 2 4" xfId="39026" xr:uid="{00000000-0005-0000-0000-0000891F0000}"/>
    <cellStyle name="20 % - Markeringsfarve3 3 2 2 3 3" xfId="10759" xr:uid="{00000000-0005-0000-0000-00008A1F0000}"/>
    <cellStyle name="20 % - Markeringsfarve3 3 2 2 3 3 2" xfId="27079" xr:uid="{00000000-0005-0000-0000-00008B1F0000}"/>
    <cellStyle name="20 % - Markeringsfarve3 3 2 2 3 3 3" xfId="42045" xr:uid="{00000000-0005-0000-0000-00008C1F0000}"/>
    <cellStyle name="20 % - Markeringsfarve3 3 2 2 3 4" xfId="20057" xr:uid="{00000000-0005-0000-0000-00008D1F0000}"/>
    <cellStyle name="20 % - Markeringsfarve3 3 2 2 3 5" xfId="35046" xr:uid="{00000000-0005-0000-0000-00008E1F0000}"/>
    <cellStyle name="20 % - Markeringsfarve3 3 2 2 4" xfId="2200" xr:uid="{00000000-0005-0000-0000-00008F1F0000}"/>
    <cellStyle name="20 % - Markeringsfarve3 3 2 2 4 2" xfId="8449" xr:uid="{00000000-0005-0000-0000-0000901F0000}"/>
    <cellStyle name="20 % - Markeringsfarve3 3 2 2 4 2 2" xfId="16339" xr:uid="{00000000-0005-0000-0000-0000911F0000}"/>
    <cellStyle name="20 % - Markeringsfarve3 3 2 2 4 2 2 2" xfId="32654" xr:uid="{00000000-0005-0000-0000-0000921F0000}"/>
    <cellStyle name="20 % - Markeringsfarve3 3 2 2 4 2 2 3" xfId="47618" xr:uid="{00000000-0005-0000-0000-0000931F0000}"/>
    <cellStyle name="20 % - Markeringsfarve3 3 2 2 4 2 3" xfId="25632" xr:uid="{00000000-0005-0000-0000-0000941F0000}"/>
    <cellStyle name="20 % - Markeringsfarve3 3 2 2 4 2 4" xfId="40619" xr:uid="{00000000-0005-0000-0000-0000951F0000}"/>
    <cellStyle name="20 % - Markeringsfarve3 3 2 2 4 3" xfId="10760" xr:uid="{00000000-0005-0000-0000-0000961F0000}"/>
    <cellStyle name="20 % - Markeringsfarve3 3 2 2 4 3 2" xfId="27080" xr:uid="{00000000-0005-0000-0000-0000971F0000}"/>
    <cellStyle name="20 % - Markeringsfarve3 3 2 2 4 3 3" xfId="42046" xr:uid="{00000000-0005-0000-0000-0000981F0000}"/>
    <cellStyle name="20 % - Markeringsfarve3 3 2 2 4 4" xfId="20058" xr:uid="{00000000-0005-0000-0000-0000991F0000}"/>
    <cellStyle name="20 % - Markeringsfarve3 3 2 2 4 5" xfId="35047" xr:uid="{00000000-0005-0000-0000-00009A1F0000}"/>
    <cellStyle name="20 % - Markeringsfarve3 3 2 2 5" xfId="5483" xr:uid="{00000000-0005-0000-0000-00009B1F0000}"/>
    <cellStyle name="20 % - Markeringsfarve3 3 2 2 5 2" xfId="13402" xr:uid="{00000000-0005-0000-0000-00009C1F0000}"/>
    <cellStyle name="20 % - Markeringsfarve3 3 2 2 5 2 2" xfId="29717" xr:uid="{00000000-0005-0000-0000-00009D1F0000}"/>
    <cellStyle name="20 % - Markeringsfarve3 3 2 2 5 2 3" xfId="44681" xr:uid="{00000000-0005-0000-0000-00009E1F0000}"/>
    <cellStyle name="20 % - Markeringsfarve3 3 2 2 5 3" xfId="22695" xr:uid="{00000000-0005-0000-0000-00009F1F0000}"/>
    <cellStyle name="20 % - Markeringsfarve3 3 2 2 5 4" xfId="37682" xr:uid="{00000000-0005-0000-0000-0000A01F0000}"/>
    <cellStyle name="20 % - Markeringsfarve3 3 2 2 6" xfId="10756" xr:uid="{00000000-0005-0000-0000-0000A11F0000}"/>
    <cellStyle name="20 % - Markeringsfarve3 3 2 2 6 2" xfId="27076" xr:uid="{00000000-0005-0000-0000-0000A21F0000}"/>
    <cellStyle name="20 % - Markeringsfarve3 3 2 2 6 3" xfId="42042" xr:uid="{00000000-0005-0000-0000-0000A31F0000}"/>
    <cellStyle name="20 % - Markeringsfarve3 3 2 2 7" xfId="20054" xr:uid="{00000000-0005-0000-0000-0000A41F0000}"/>
    <cellStyle name="20 % - Markeringsfarve3 3 2 2 8" xfId="35043" xr:uid="{00000000-0005-0000-0000-0000A51F0000}"/>
    <cellStyle name="20 % - Markeringsfarve3 3 2 2 9" xfId="57111" xr:uid="{00000000-0005-0000-0000-0000A61F0000}"/>
    <cellStyle name="20 % - Markeringsfarve3 3 2 3" xfId="2201" xr:uid="{00000000-0005-0000-0000-0000A71F0000}"/>
    <cellStyle name="20 % - Markeringsfarve3 3 2 3 2" xfId="2202" xr:uid="{00000000-0005-0000-0000-0000A81F0000}"/>
    <cellStyle name="20 % - Markeringsfarve3 3 2 3 2 2" xfId="2203" xr:uid="{00000000-0005-0000-0000-0000A91F0000}"/>
    <cellStyle name="20 % - Markeringsfarve3 3 2 3 2 2 2" xfId="7687" xr:uid="{00000000-0005-0000-0000-0000AA1F0000}"/>
    <cellStyle name="20 % - Markeringsfarve3 3 2 3 2 2 2 2" xfId="15589" xr:uid="{00000000-0005-0000-0000-0000AB1F0000}"/>
    <cellStyle name="20 % - Markeringsfarve3 3 2 3 2 2 2 2 2" xfId="31904" xr:uid="{00000000-0005-0000-0000-0000AC1F0000}"/>
    <cellStyle name="20 % - Markeringsfarve3 3 2 3 2 2 2 2 3" xfId="46868" xr:uid="{00000000-0005-0000-0000-0000AD1F0000}"/>
    <cellStyle name="20 % - Markeringsfarve3 3 2 3 2 2 2 3" xfId="24882" xr:uid="{00000000-0005-0000-0000-0000AE1F0000}"/>
    <cellStyle name="20 % - Markeringsfarve3 3 2 3 2 2 2 4" xfId="39869" xr:uid="{00000000-0005-0000-0000-0000AF1F0000}"/>
    <cellStyle name="20 % - Markeringsfarve3 3 2 3 2 2 3" xfId="10763" xr:uid="{00000000-0005-0000-0000-0000B01F0000}"/>
    <cellStyle name="20 % - Markeringsfarve3 3 2 3 2 2 3 2" xfId="27083" xr:uid="{00000000-0005-0000-0000-0000B11F0000}"/>
    <cellStyle name="20 % - Markeringsfarve3 3 2 3 2 2 3 3" xfId="42049" xr:uid="{00000000-0005-0000-0000-0000B21F0000}"/>
    <cellStyle name="20 % - Markeringsfarve3 3 2 3 2 2 4" xfId="20061" xr:uid="{00000000-0005-0000-0000-0000B31F0000}"/>
    <cellStyle name="20 % - Markeringsfarve3 3 2 3 2 2 5" xfId="35050" xr:uid="{00000000-0005-0000-0000-0000B41F0000}"/>
    <cellStyle name="20 % - Markeringsfarve3 3 2 3 2 3" xfId="6251" xr:uid="{00000000-0005-0000-0000-0000B51F0000}"/>
    <cellStyle name="20 % - Markeringsfarve3 3 2 3 2 3 2" xfId="14169" xr:uid="{00000000-0005-0000-0000-0000B61F0000}"/>
    <cellStyle name="20 % - Markeringsfarve3 3 2 3 2 3 2 2" xfId="30484" xr:uid="{00000000-0005-0000-0000-0000B71F0000}"/>
    <cellStyle name="20 % - Markeringsfarve3 3 2 3 2 3 2 3" xfId="45448" xr:uid="{00000000-0005-0000-0000-0000B81F0000}"/>
    <cellStyle name="20 % - Markeringsfarve3 3 2 3 2 3 3" xfId="23462" xr:uid="{00000000-0005-0000-0000-0000B91F0000}"/>
    <cellStyle name="20 % - Markeringsfarve3 3 2 3 2 3 4" xfId="38449" xr:uid="{00000000-0005-0000-0000-0000BA1F0000}"/>
    <cellStyle name="20 % - Markeringsfarve3 3 2 3 2 4" xfId="10762" xr:uid="{00000000-0005-0000-0000-0000BB1F0000}"/>
    <cellStyle name="20 % - Markeringsfarve3 3 2 3 2 4 2" xfId="27082" xr:uid="{00000000-0005-0000-0000-0000BC1F0000}"/>
    <cellStyle name="20 % - Markeringsfarve3 3 2 3 2 4 3" xfId="42048" xr:uid="{00000000-0005-0000-0000-0000BD1F0000}"/>
    <cellStyle name="20 % - Markeringsfarve3 3 2 3 2 5" xfId="20060" xr:uid="{00000000-0005-0000-0000-0000BE1F0000}"/>
    <cellStyle name="20 % - Markeringsfarve3 3 2 3 2 6" xfId="35049" xr:uid="{00000000-0005-0000-0000-0000BF1F0000}"/>
    <cellStyle name="20 % - Markeringsfarve3 3 2 3 3" xfId="2204" xr:uid="{00000000-0005-0000-0000-0000C01F0000}"/>
    <cellStyle name="20 % - Markeringsfarve3 3 2 3 3 2" xfId="6917" xr:uid="{00000000-0005-0000-0000-0000C11F0000}"/>
    <cellStyle name="20 % - Markeringsfarve3 3 2 3 3 2 2" xfId="14829" xr:uid="{00000000-0005-0000-0000-0000C21F0000}"/>
    <cellStyle name="20 % - Markeringsfarve3 3 2 3 3 2 2 2" xfId="31144" xr:uid="{00000000-0005-0000-0000-0000C31F0000}"/>
    <cellStyle name="20 % - Markeringsfarve3 3 2 3 3 2 2 3" xfId="46108" xr:uid="{00000000-0005-0000-0000-0000C41F0000}"/>
    <cellStyle name="20 % - Markeringsfarve3 3 2 3 3 2 3" xfId="24122" xr:uid="{00000000-0005-0000-0000-0000C51F0000}"/>
    <cellStyle name="20 % - Markeringsfarve3 3 2 3 3 2 4" xfId="39109" xr:uid="{00000000-0005-0000-0000-0000C61F0000}"/>
    <cellStyle name="20 % - Markeringsfarve3 3 2 3 3 3" xfId="10764" xr:uid="{00000000-0005-0000-0000-0000C71F0000}"/>
    <cellStyle name="20 % - Markeringsfarve3 3 2 3 3 3 2" xfId="27084" xr:uid="{00000000-0005-0000-0000-0000C81F0000}"/>
    <cellStyle name="20 % - Markeringsfarve3 3 2 3 3 3 3" xfId="42050" xr:uid="{00000000-0005-0000-0000-0000C91F0000}"/>
    <cellStyle name="20 % - Markeringsfarve3 3 2 3 3 4" xfId="20062" xr:uid="{00000000-0005-0000-0000-0000CA1F0000}"/>
    <cellStyle name="20 % - Markeringsfarve3 3 2 3 3 5" xfId="35051" xr:uid="{00000000-0005-0000-0000-0000CB1F0000}"/>
    <cellStyle name="20 % - Markeringsfarve3 3 2 3 4" xfId="2205" xr:uid="{00000000-0005-0000-0000-0000CC1F0000}"/>
    <cellStyle name="20 % - Markeringsfarve3 3 2 3 4 2" xfId="8255" xr:uid="{00000000-0005-0000-0000-0000CD1F0000}"/>
    <cellStyle name="20 % - Markeringsfarve3 3 2 3 4 2 2" xfId="16150" xr:uid="{00000000-0005-0000-0000-0000CE1F0000}"/>
    <cellStyle name="20 % - Markeringsfarve3 3 2 3 4 2 2 2" xfId="32465" xr:uid="{00000000-0005-0000-0000-0000CF1F0000}"/>
    <cellStyle name="20 % - Markeringsfarve3 3 2 3 4 2 2 3" xfId="47429" xr:uid="{00000000-0005-0000-0000-0000D01F0000}"/>
    <cellStyle name="20 % - Markeringsfarve3 3 2 3 4 2 3" xfId="25443" xr:uid="{00000000-0005-0000-0000-0000D11F0000}"/>
    <cellStyle name="20 % - Markeringsfarve3 3 2 3 4 2 4" xfId="40430" xr:uid="{00000000-0005-0000-0000-0000D21F0000}"/>
    <cellStyle name="20 % - Markeringsfarve3 3 2 3 4 3" xfId="10765" xr:uid="{00000000-0005-0000-0000-0000D31F0000}"/>
    <cellStyle name="20 % - Markeringsfarve3 3 2 3 4 3 2" xfId="27085" xr:uid="{00000000-0005-0000-0000-0000D41F0000}"/>
    <cellStyle name="20 % - Markeringsfarve3 3 2 3 4 3 3" xfId="42051" xr:uid="{00000000-0005-0000-0000-0000D51F0000}"/>
    <cellStyle name="20 % - Markeringsfarve3 3 2 3 4 4" xfId="20063" xr:uid="{00000000-0005-0000-0000-0000D61F0000}"/>
    <cellStyle name="20 % - Markeringsfarve3 3 2 3 4 5" xfId="35052" xr:uid="{00000000-0005-0000-0000-0000D71F0000}"/>
    <cellStyle name="20 % - Markeringsfarve3 3 2 3 5" xfId="5484" xr:uid="{00000000-0005-0000-0000-0000D81F0000}"/>
    <cellStyle name="20 % - Markeringsfarve3 3 2 3 5 2" xfId="13403" xr:uid="{00000000-0005-0000-0000-0000D91F0000}"/>
    <cellStyle name="20 % - Markeringsfarve3 3 2 3 5 2 2" xfId="29718" xr:uid="{00000000-0005-0000-0000-0000DA1F0000}"/>
    <cellStyle name="20 % - Markeringsfarve3 3 2 3 5 2 3" xfId="44682" xr:uid="{00000000-0005-0000-0000-0000DB1F0000}"/>
    <cellStyle name="20 % - Markeringsfarve3 3 2 3 5 3" xfId="22696" xr:uid="{00000000-0005-0000-0000-0000DC1F0000}"/>
    <cellStyle name="20 % - Markeringsfarve3 3 2 3 5 4" xfId="37683" xr:uid="{00000000-0005-0000-0000-0000DD1F0000}"/>
    <cellStyle name="20 % - Markeringsfarve3 3 2 3 6" xfId="10761" xr:uid="{00000000-0005-0000-0000-0000DE1F0000}"/>
    <cellStyle name="20 % - Markeringsfarve3 3 2 3 6 2" xfId="27081" xr:uid="{00000000-0005-0000-0000-0000DF1F0000}"/>
    <cellStyle name="20 % - Markeringsfarve3 3 2 3 6 3" xfId="42047" xr:uid="{00000000-0005-0000-0000-0000E01F0000}"/>
    <cellStyle name="20 % - Markeringsfarve3 3 2 3 7" xfId="20059" xr:uid="{00000000-0005-0000-0000-0000E11F0000}"/>
    <cellStyle name="20 % - Markeringsfarve3 3 2 3 8" xfId="35048" xr:uid="{00000000-0005-0000-0000-0000E21F0000}"/>
    <cellStyle name="20 % - Markeringsfarve3 3 2 4" xfId="2206" xr:uid="{00000000-0005-0000-0000-0000E31F0000}"/>
    <cellStyle name="20 % - Markeringsfarve3 3 2 4 2" xfId="2207" xr:uid="{00000000-0005-0000-0000-0000E41F0000}"/>
    <cellStyle name="20 % - Markeringsfarve3 3 2 4 2 2" xfId="2208" xr:uid="{00000000-0005-0000-0000-0000E51F0000}"/>
    <cellStyle name="20 % - Markeringsfarve3 3 2 4 2 2 2" xfId="7842" xr:uid="{00000000-0005-0000-0000-0000E61F0000}"/>
    <cellStyle name="20 % - Markeringsfarve3 3 2 4 2 2 2 2" xfId="15744" xr:uid="{00000000-0005-0000-0000-0000E71F0000}"/>
    <cellStyle name="20 % - Markeringsfarve3 3 2 4 2 2 2 2 2" xfId="32059" xr:uid="{00000000-0005-0000-0000-0000E81F0000}"/>
    <cellStyle name="20 % - Markeringsfarve3 3 2 4 2 2 2 2 3" xfId="47023" xr:uid="{00000000-0005-0000-0000-0000E91F0000}"/>
    <cellStyle name="20 % - Markeringsfarve3 3 2 4 2 2 2 3" xfId="25037" xr:uid="{00000000-0005-0000-0000-0000EA1F0000}"/>
    <cellStyle name="20 % - Markeringsfarve3 3 2 4 2 2 2 4" xfId="40024" xr:uid="{00000000-0005-0000-0000-0000EB1F0000}"/>
    <cellStyle name="20 % - Markeringsfarve3 3 2 4 2 2 3" xfId="10768" xr:uid="{00000000-0005-0000-0000-0000EC1F0000}"/>
    <cellStyle name="20 % - Markeringsfarve3 3 2 4 2 2 3 2" xfId="27088" xr:uid="{00000000-0005-0000-0000-0000ED1F0000}"/>
    <cellStyle name="20 % - Markeringsfarve3 3 2 4 2 2 3 3" xfId="42054" xr:uid="{00000000-0005-0000-0000-0000EE1F0000}"/>
    <cellStyle name="20 % - Markeringsfarve3 3 2 4 2 2 4" xfId="20066" xr:uid="{00000000-0005-0000-0000-0000EF1F0000}"/>
    <cellStyle name="20 % - Markeringsfarve3 3 2 4 2 2 5" xfId="35055" xr:uid="{00000000-0005-0000-0000-0000F01F0000}"/>
    <cellStyle name="20 % - Markeringsfarve3 3 2 4 2 3" xfId="6380" xr:uid="{00000000-0005-0000-0000-0000F11F0000}"/>
    <cellStyle name="20 % - Markeringsfarve3 3 2 4 2 3 2" xfId="14295" xr:uid="{00000000-0005-0000-0000-0000F21F0000}"/>
    <cellStyle name="20 % - Markeringsfarve3 3 2 4 2 3 2 2" xfId="30610" xr:uid="{00000000-0005-0000-0000-0000F31F0000}"/>
    <cellStyle name="20 % - Markeringsfarve3 3 2 4 2 3 2 3" xfId="45574" xr:uid="{00000000-0005-0000-0000-0000F41F0000}"/>
    <cellStyle name="20 % - Markeringsfarve3 3 2 4 2 3 3" xfId="23588" xr:uid="{00000000-0005-0000-0000-0000F51F0000}"/>
    <cellStyle name="20 % - Markeringsfarve3 3 2 4 2 3 4" xfId="38575" xr:uid="{00000000-0005-0000-0000-0000F61F0000}"/>
    <cellStyle name="20 % - Markeringsfarve3 3 2 4 2 4" xfId="10767" xr:uid="{00000000-0005-0000-0000-0000F71F0000}"/>
    <cellStyle name="20 % - Markeringsfarve3 3 2 4 2 4 2" xfId="27087" xr:uid="{00000000-0005-0000-0000-0000F81F0000}"/>
    <cellStyle name="20 % - Markeringsfarve3 3 2 4 2 4 3" xfId="42053" xr:uid="{00000000-0005-0000-0000-0000F91F0000}"/>
    <cellStyle name="20 % - Markeringsfarve3 3 2 4 2 5" xfId="20065" xr:uid="{00000000-0005-0000-0000-0000FA1F0000}"/>
    <cellStyle name="20 % - Markeringsfarve3 3 2 4 2 6" xfId="35054" xr:uid="{00000000-0005-0000-0000-0000FB1F0000}"/>
    <cellStyle name="20 % - Markeringsfarve3 3 2 4 3" xfId="2209" xr:uid="{00000000-0005-0000-0000-0000FC1F0000}"/>
    <cellStyle name="20 % - Markeringsfarve3 3 2 4 3 2" xfId="7118" xr:uid="{00000000-0005-0000-0000-0000FD1F0000}"/>
    <cellStyle name="20 % - Markeringsfarve3 3 2 4 3 2 2" xfId="15029" xr:uid="{00000000-0005-0000-0000-0000FE1F0000}"/>
    <cellStyle name="20 % - Markeringsfarve3 3 2 4 3 2 2 2" xfId="31344" xr:uid="{00000000-0005-0000-0000-0000FF1F0000}"/>
    <cellStyle name="20 % - Markeringsfarve3 3 2 4 3 2 2 3" xfId="46308" xr:uid="{00000000-0005-0000-0000-000000200000}"/>
    <cellStyle name="20 % - Markeringsfarve3 3 2 4 3 2 3" xfId="24322" xr:uid="{00000000-0005-0000-0000-000001200000}"/>
    <cellStyle name="20 % - Markeringsfarve3 3 2 4 3 2 4" xfId="39309" xr:uid="{00000000-0005-0000-0000-000002200000}"/>
    <cellStyle name="20 % - Markeringsfarve3 3 2 4 3 3" xfId="10769" xr:uid="{00000000-0005-0000-0000-000003200000}"/>
    <cellStyle name="20 % - Markeringsfarve3 3 2 4 3 3 2" xfId="27089" xr:uid="{00000000-0005-0000-0000-000004200000}"/>
    <cellStyle name="20 % - Markeringsfarve3 3 2 4 3 3 3" xfId="42055" xr:uid="{00000000-0005-0000-0000-000005200000}"/>
    <cellStyle name="20 % - Markeringsfarve3 3 2 4 3 4" xfId="20067" xr:uid="{00000000-0005-0000-0000-000006200000}"/>
    <cellStyle name="20 % - Markeringsfarve3 3 2 4 3 5" xfId="35056" xr:uid="{00000000-0005-0000-0000-000007200000}"/>
    <cellStyle name="20 % - Markeringsfarve3 3 2 4 4" xfId="2210" xr:uid="{00000000-0005-0000-0000-000008200000}"/>
    <cellStyle name="20 % - Markeringsfarve3 3 2 4 4 2" xfId="8254" xr:uid="{00000000-0005-0000-0000-000009200000}"/>
    <cellStyle name="20 % - Markeringsfarve3 3 2 4 4 2 2" xfId="16149" xr:uid="{00000000-0005-0000-0000-00000A200000}"/>
    <cellStyle name="20 % - Markeringsfarve3 3 2 4 4 2 2 2" xfId="32464" xr:uid="{00000000-0005-0000-0000-00000B200000}"/>
    <cellStyle name="20 % - Markeringsfarve3 3 2 4 4 2 2 3" xfId="47428" xr:uid="{00000000-0005-0000-0000-00000C200000}"/>
    <cellStyle name="20 % - Markeringsfarve3 3 2 4 4 2 3" xfId="25442" xr:uid="{00000000-0005-0000-0000-00000D200000}"/>
    <cellStyle name="20 % - Markeringsfarve3 3 2 4 4 2 4" xfId="40429" xr:uid="{00000000-0005-0000-0000-00000E200000}"/>
    <cellStyle name="20 % - Markeringsfarve3 3 2 4 4 3" xfId="10770" xr:uid="{00000000-0005-0000-0000-00000F200000}"/>
    <cellStyle name="20 % - Markeringsfarve3 3 2 4 4 3 2" xfId="27090" xr:uid="{00000000-0005-0000-0000-000010200000}"/>
    <cellStyle name="20 % - Markeringsfarve3 3 2 4 4 3 3" xfId="42056" xr:uid="{00000000-0005-0000-0000-000011200000}"/>
    <cellStyle name="20 % - Markeringsfarve3 3 2 4 4 4" xfId="20068" xr:uid="{00000000-0005-0000-0000-000012200000}"/>
    <cellStyle name="20 % - Markeringsfarve3 3 2 4 4 5" xfId="35057" xr:uid="{00000000-0005-0000-0000-000013200000}"/>
    <cellStyle name="20 % - Markeringsfarve3 3 2 4 5" xfId="5485" xr:uid="{00000000-0005-0000-0000-000014200000}"/>
    <cellStyle name="20 % - Markeringsfarve3 3 2 4 5 2" xfId="13404" xr:uid="{00000000-0005-0000-0000-000015200000}"/>
    <cellStyle name="20 % - Markeringsfarve3 3 2 4 5 2 2" xfId="29719" xr:uid="{00000000-0005-0000-0000-000016200000}"/>
    <cellStyle name="20 % - Markeringsfarve3 3 2 4 5 2 3" xfId="44683" xr:uid="{00000000-0005-0000-0000-000017200000}"/>
    <cellStyle name="20 % - Markeringsfarve3 3 2 4 5 3" xfId="22697" xr:uid="{00000000-0005-0000-0000-000018200000}"/>
    <cellStyle name="20 % - Markeringsfarve3 3 2 4 5 4" xfId="37684" xr:uid="{00000000-0005-0000-0000-000019200000}"/>
    <cellStyle name="20 % - Markeringsfarve3 3 2 4 6" xfId="10766" xr:uid="{00000000-0005-0000-0000-00001A200000}"/>
    <cellStyle name="20 % - Markeringsfarve3 3 2 4 6 2" xfId="27086" xr:uid="{00000000-0005-0000-0000-00001B200000}"/>
    <cellStyle name="20 % - Markeringsfarve3 3 2 4 6 3" xfId="42052" xr:uid="{00000000-0005-0000-0000-00001C200000}"/>
    <cellStyle name="20 % - Markeringsfarve3 3 2 4 7" xfId="20064" xr:uid="{00000000-0005-0000-0000-00001D200000}"/>
    <cellStyle name="20 % - Markeringsfarve3 3 2 4 8" xfId="35053" xr:uid="{00000000-0005-0000-0000-00001E200000}"/>
    <cellStyle name="20 % - Markeringsfarve3 3 2 5" xfId="2211" xr:uid="{00000000-0005-0000-0000-00001F200000}"/>
    <cellStyle name="20 % - Markeringsfarve3 3 2 5 2" xfId="2212" xr:uid="{00000000-0005-0000-0000-000020200000}"/>
    <cellStyle name="20 % - Markeringsfarve3 3 2 5 2 2" xfId="2213" xr:uid="{00000000-0005-0000-0000-000021200000}"/>
    <cellStyle name="20 % - Markeringsfarve3 3 2 5 2 2 2" xfId="7959" xr:uid="{00000000-0005-0000-0000-000022200000}"/>
    <cellStyle name="20 % - Markeringsfarve3 3 2 5 2 2 2 2" xfId="15861" xr:uid="{00000000-0005-0000-0000-000023200000}"/>
    <cellStyle name="20 % - Markeringsfarve3 3 2 5 2 2 2 2 2" xfId="32176" xr:uid="{00000000-0005-0000-0000-000024200000}"/>
    <cellStyle name="20 % - Markeringsfarve3 3 2 5 2 2 2 2 3" xfId="47140" xr:uid="{00000000-0005-0000-0000-000025200000}"/>
    <cellStyle name="20 % - Markeringsfarve3 3 2 5 2 2 2 3" xfId="25154" xr:uid="{00000000-0005-0000-0000-000026200000}"/>
    <cellStyle name="20 % - Markeringsfarve3 3 2 5 2 2 2 4" xfId="40141" xr:uid="{00000000-0005-0000-0000-000027200000}"/>
    <cellStyle name="20 % - Markeringsfarve3 3 2 5 2 2 3" xfId="10773" xr:uid="{00000000-0005-0000-0000-000028200000}"/>
    <cellStyle name="20 % - Markeringsfarve3 3 2 5 2 2 3 2" xfId="27093" xr:uid="{00000000-0005-0000-0000-000029200000}"/>
    <cellStyle name="20 % - Markeringsfarve3 3 2 5 2 2 3 3" xfId="42059" xr:uid="{00000000-0005-0000-0000-00002A200000}"/>
    <cellStyle name="20 % - Markeringsfarve3 3 2 5 2 2 4" xfId="20071" xr:uid="{00000000-0005-0000-0000-00002B200000}"/>
    <cellStyle name="20 % - Markeringsfarve3 3 2 5 2 2 5" xfId="35060" xr:uid="{00000000-0005-0000-0000-00002C200000}"/>
    <cellStyle name="20 % - Markeringsfarve3 3 2 5 2 3" xfId="6479" xr:uid="{00000000-0005-0000-0000-00002D200000}"/>
    <cellStyle name="20 % - Markeringsfarve3 3 2 5 2 3 2" xfId="14394" xr:uid="{00000000-0005-0000-0000-00002E200000}"/>
    <cellStyle name="20 % - Markeringsfarve3 3 2 5 2 3 2 2" xfId="30709" xr:uid="{00000000-0005-0000-0000-00002F200000}"/>
    <cellStyle name="20 % - Markeringsfarve3 3 2 5 2 3 2 3" xfId="45673" xr:uid="{00000000-0005-0000-0000-000030200000}"/>
    <cellStyle name="20 % - Markeringsfarve3 3 2 5 2 3 3" xfId="23687" xr:uid="{00000000-0005-0000-0000-000031200000}"/>
    <cellStyle name="20 % - Markeringsfarve3 3 2 5 2 3 4" xfId="38674" xr:uid="{00000000-0005-0000-0000-000032200000}"/>
    <cellStyle name="20 % - Markeringsfarve3 3 2 5 2 4" xfId="10772" xr:uid="{00000000-0005-0000-0000-000033200000}"/>
    <cellStyle name="20 % - Markeringsfarve3 3 2 5 2 4 2" xfId="27092" xr:uid="{00000000-0005-0000-0000-000034200000}"/>
    <cellStyle name="20 % - Markeringsfarve3 3 2 5 2 4 3" xfId="42058" xr:uid="{00000000-0005-0000-0000-000035200000}"/>
    <cellStyle name="20 % - Markeringsfarve3 3 2 5 2 5" xfId="20070" xr:uid="{00000000-0005-0000-0000-000036200000}"/>
    <cellStyle name="20 % - Markeringsfarve3 3 2 5 2 6" xfId="35059" xr:uid="{00000000-0005-0000-0000-000037200000}"/>
    <cellStyle name="20 % - Markeringsfarve3 3 2 5 3" xfId="2214" xr:uid="{00000000-0005-0000-0000-000038200000}"/>
    <cellStyle name="20 % - Markeringsfarve3 3 2 5 3 2" xfId="7235" xr:uid="{00000000-0005-0000-0000-000039200000}"/>
    <cellStyle name="20 % - Markeringsfarve3 3 2 5 3 2 2" xfId="15146" xr:uid="{00000000-0005-0000-0000-00003A200000}"/>
    <cellStyle name="20 % - Markeringsfarve3 3 2 5 3 2 2 2" xfId="31461" xr:uid="{00000000-0005-0000-0000-00003B200000}"/>
    <cellStyle name="20 % - Markeringsfarve3 3 2 5 3 2 2 3" xfId="46425" xr:uid="{00000000-0005-0000-0000-00003C200000}"/>
    <cellStyle name="20 % - Markeringsfarve3 3 2 5 3 2 3" xfId="24439" xr:uid="{00000000-0005-0000-0000-00003D200000}"/>
    <cellStyle name="20 % - Markeringsfarve3 3 2 5 3 2 4" xfId="39426" xr:uid="{00000000-0005-0000-0000-00003E200000}"/>
    <cellStyle name="20 % - Markeringsfarve3 3 2 5 3 3" xfId="10774" xr:uid="{00000000-0005-0000-0000-00003F200000}"/>
    <cellStyle name="20 % - Markeringsfarve3 3 2 5 3 3 2" xfId="27094" xr:uid="{00000000-0005-0000-0000-000040200000}"/>
    <cellStyle name="20 % - Markeringsfarve3 3 2 5 3 3 3" xfId="42060" xr:uid="{00000000-0005-0000-0000-000041200000}"/>
    <cellStyle name="20 % - Markeringsfarve3 3 2 5 3 4" xfId="20072" xr:uid="{00000000-0005-0000-0000-000042200000}"/>
    <cellStyle name="20 % - Markeringsfarve3 3 2 5 3 5" xfId="35061" xr:uid="{00000000-0005-0000-0000-000043200000}"/>
    <cellStyle name="20 % - Markeringsfarve3 3 2 5 4" xfId="2215" xr:uid="{00000000-0005-0000-0000-000044200000}"/>
    <cellStyle name="20 % - Markeringsfarve3 3 2 5 4 2" xfId="8732" xr:uid="{00000000-0005-0000-0000-000045200000}"/>
    <cellStyle name="20 % - Markeringsfarve3 3 2 5 4 2 2" xfId="16609" xr:uid="{00000000-0005-0000-0000-000046200000}"/>
    <cellStyle name="20 % - Markeringsfarve3 3 2 5 4 2 2 2" xfId="32924" xr:uid="{00000000-0005-0000-0000-000047200000}"/>
    <cellStyle name="20 % - Markeringsfarve3 3 2 5 4 2 2 3" xfId="47888" xr:uid="{00000000-0005-0000-0000-000048200000}"/>
    <cellStyle name="20 % - Markeringsfarve3 3 2 5 4 2 3" xfId="25902" xr:uid="{00000000-0005-0000-0000-000049200000}"/>
    <cellStyle name="20 % - Markeringsfarve3 3 2 5 4 2 4" xfId="40889" xr:uid="{00000000-0005-0000-0000-00004A200000}"/>
    <cellStyle name="20 % - Markeringsfarve3 3 2 5 4 3" xfId="10775" xr:uid="{00000000-0005-0000-0000-00004B200000}"/>
    <cellStyle name="20 % - Markeringsfarve3 3 2 5 4 3 2" xfId="27095" xr:uid="{00000000-0005-0000-0000-00004C200000}"/>
    <cellStyle name="20 % - Markeringsfarve3 3 2 5 4 3 3" xfId="42061" xr:uid="{00000000-0005-0000-0000-00004D200000}"/>
    <cellStyle name="20 % - Markeringsfarve3 3 2 5 4 4" xfId="20073" xr:uid="{00000000-0005-0000-0000-00004E200000}"/>
    <cellStyle name="20 % - Markeringsfarve3 3 2 5 4 5" xfId="35062" xr:uid="{00000000-0005-0000-0000-00004F200000}"/>
    <cellStyle name="20 % - Markeringsfarve3 3 2 5 5" xfId="5486" xr:uid="{00000000-0005-0000-0000-000050200000}"/>
    <cellStyle name="20 % - Markeringsfarve3 3 2 5 5 2" xfId="13405" xr:uid="{00000000-0005-0000-0000-000051200000}"/>
    <cellStyle name="20 % - Markeringsfarve3 3 2 5 5 2 2" xfId="29720" xr:uid="{00000000-0005-0000-0000-000052200000}"/>
    <cellStyle name="20 % - Markeringsfarve3 3 2 5 5 2 3" xfId="44684" xr:uid="{00000000-0005-0000-0000-000053200000}"/>
    <cellStyle name="20 % - Markeringsfarve3 3 2 5 5 3" xfId="22698" xr:uid="{00000000-0005-0000-0000-000054200000}"/>
    <cellStyle name="20 % - Markeringsfarve3 3 2 5 5 4" xfId="37685" xr:uid="{00000000-0005-0000-0000-000055200000}"/>
    <cellStyle name="20 % - Markeringsfarve3 3 2 5 6" xfId="10771" xr:uid="{00000000-0005-0000-0000-000056200000}"/>
    <cellStyle name="20 % - Markeringsfarve3 3 2 5 6 2" xfId="27091" xr:uid="{00000000-0005-0000-0000-000057200000}"/>
    <cellStyle name="20 % - Markeringsfarve3 3 2 5 6 3" xfId="42057" xr:uid="{00000000-0005-0000-0000-000058200000}"/>
    <cellStyle name="20 % - Markeringsfarve3 3 2 5 7" xfId="20069" xr:uid="{00000000-0005-0000-0000-000059200000}"/>
    <cellStyle name="20 % - Markeringsfarve3 3 2 5 8" xfId="35058" xr:uid="{00000000-0005-0000-0000-00005A200000}"/>
    <cellStyle name="20 % - Markeringsfarve3 3 2 6" xfId="2216" xr:uid="{00000000-0005-0000-0000-00005B200000}"/>
    <cellStyle name="20 % - Markeringsfarve3 3 2 6 2" xfId="2217" xr:uid="{00000000-0005-0000-0000-00005C200000}"/>
    <cellStyle name="20 % - Markeringsfarve3 3 2 6 2 2" xfId="2218" xr:uid="{00000000-0005-0000-0000-00005D200000}"/>
    <cellStyle name="20 % - Markeringsfarve3 3 2 6 2 2 2" xfId="8042" xr:uid="{00000000-0005-0000-0000-00005E200000}"/>
    <cellStyle name="20 % - Markeringsfarve3 3 2 6 2 2 2 2" xfId="15944" xr:uid="{00000000-0005-0000-0000-00005F200000}"/>
    <cellStyle name="20 % - Markeringsfarve3 3 2 6 2 2 2 2 2" xfId="32259" xr:uid="{00000000-0005-0000-0000-000060200000}"/>
    <cellStyle name="20 % - Markeringsfarve3 3 2 6 2 2 2 2 3" xfId="47223" xr:uid="{00000000-0005-0000-0000-000061200000}"/>
    <cellStyle name="20 % - Markeringsfarve3 3 2 6 2 2 2 3" xfId="25237" xr:uid="{00000000-0005-0000-0000-000062200000}"/>
    <cellStyle name="20 % - Markeringsfarve3 3 2 6 2 2 2 4" xfId="40224" xr:uid="{00000000-0005-0000-0000-000063200000}"/>
    <cellStyle name="20 % - Markeringsfarve3 3 2 6 2 2 3" xfId="10778" xr:uid="{00000000-0005-0000-0000-000064200000}"/>
    <cellStyle name="20 % - Markeringsfarve3 3 2 6 2 2 3 2" xfId="27098" xr:uid="{00000000-0005-0000-0000-000065200000}"/>
    <cellStyle name="20 % - Markeringsfarve3 3 2 6 2 2 3 3" xfId="42064" xr:uid="{00000000-0005-0000-0000-000066200000}"/>
    <cellStyle name="20 % - Markeringsfarve3 3 2 6 2 2 4" xfId="20076" xr:uid="{00000000-0005-0000-0000-000067200000}"/>
    <cellStyle name="20 % - Markeringsfarve3 3 2 6 2 2 5" xfId="35065" xr:uid="{00000000-0005-0000-0000-000068200000}"/>
    <cellStyle name="20 % - Markeringsfarve3 3 2 6 2 3" xfId="6553" xr:uid="{00000000-0005-0000-0000-000069200000}"/>
    <cellStyle name="20 % - Markeringsfarve3 3 2 6 2 3 2" xfId="14468" xr:uid="{00000000-0005-0000-0000-00006A200000}"/>
    <cellStyle name="20 % - Markeringsfarve3 3 2 6 2 3 2 2" xfId="30783" xr:uid="{00000000-0005-0000-0000-00006B200000}"/>
    <cellStyle name="20 % - Markeringsfarve3 3 2 6 2 3 2 3" xfId="45747" xr:uid="{00000000-0005-0000-0000-00006C200000}"/>
    <cellStyle name="20 % - Markeringsfarve3 3 2 6 2 3 3" xfId="23761" xr:uid="{00000000-0005-0000-0000-00006D200000}"/>
    <cellStyle name="20 % - Markeringsfarve3 3 2 6 2 3 4" xfId="38748" xr:uid="{00000000-0005-0000-0000-00006E200000}"/>
    <cellStyle name="20 % - Markeringsfarve3 3 2 6 2 4" xfId="10777" xr:uid="{00000000-0005-0000-0000-00006F200000}"/>
    <cellStyle name="20 % - Markeringsfarve3 3 2 6 2 4 2" xfId="27097" xr:uid="{00000000-0005-0000-0000-000070200000}"/>
    <cellStyle name="20 % - Markeringsfarve3 3 2 6 2 4 3" xfId="42063" xr:uid="{00000000-0005-0000-0000-000071200000}"/>
    <cellStyle name="20 % - Markeringsfarve3 3 2 6 2 5" xfId="20075" xr:uid="{00000000-0005-0000-0000-000072200000}"/>
    <cellStyle name="20 % - Markeringsfarve3 3 2 6 2 6" xfId="35064" xr:uid="{00000000-0005-0000-0000-000073200000}"/>
    <cellStyle name="20 % - Markeringsfarve3 3 2 6 3" xfId="2219" xr:uid="{00000000-0005-0000-0000-000074200000}"/>
    <cellStyle name="20 % - Markeringsfarve3 3 2 6 3 2" xfId="7319" xr:uid="{00000000-0005-0000-0000-000075200000}"/>
    <cellStyle name="20 % - Markeringsfarve3 3 2 6 3 2 2" xfId="15230" xr:uid="{00000000-0005-0000-0000-000076200000}"/>
    <cellStyle name="20 % - Markeringsfarve3 3 2 6 3 2 2 2" xfId="31545" xr:uid="{00000000-0005-0000-0000-000077200000}"/>
    <cellStyle name="20 % - Markeringsfarve3 3 2 6 3 2 2 3" xfId="46509" xr:uid="{00000000-0005-0000-0000-000078200000}"/>
    <cellStyle name="20 % - Markeringsfarve3 3 2 6 3 2 3" xfId="24523" xr:uid="{00000000-0005-0000-0000-000079200000}"/>
    <cellStyle name="20 % - Markeringsfarve3 3 2 6 3 2 4" xfId="39510" xr:uid="{00000000-0005-0000-0000-00007A200000}"/>
    <cellStyle name="20 % - Markeringsfarve3 3 2 6 3 3" xfId="10779" xr:uid="{00000000-0005-0000-0000-00007B200000}"/>
    <cellStyle name="20 % - Markeringsfarve3 3 2 6 3 3 2" xfId="27099" xr:uid="{00000000-0005-0000-0000-00007C200000}"/>
    <cellStyle name="20 % - Markeringsfarve3 3 2 6 3 3 3" xfId="42065" xr:uid="{00000000-0005-0000-0000-00007D200000}"/>
    <cellStyle name="20 % - Markeringsfarve3 3 2 6 3 4" xfId="20077" xr:uid="{00000000-0005-0000-0000-00007E200000}"/>
    <cellStyle name="20 % - Markeringsfarve3 3 2 6 3 5" xfId="35066" xr:uid="{00000000-0005-0000-0000-00007F200000}"/>
    <cellStyle name="20 % - Markeringsfarve3 3 2 6 4" xfId="2220" xr:uid="{00000000-0005-0000-0000-000080200000}"/>
    <cellStyle name="20 % - Markeringsfarve3 3 2 6 4 2" xfId="8452" xr:uid="{00000000-0005-0000-0000-000081200000}"/>
    <cellStyle name="20 % - Markeringsfarve3 3 2 6 4 2 2" xfId="16342" xr:uid="{00000000-0005-0000-0000-000082200000}"/>
    <cellStyle name="20 % - Markeringsfarve3 3 2 6 4 2 2 2" xfId="32657" xr:uid="{00000000-0005-0000-0000-000083200000}"/>
    <cellStyle name="20 % - Markeringsfarve3 3 2 6 4 2 2 3" xfId="47621" xr:uid="{00000000-0005-0000-0000-000084200000}"/>
    <cellStyle name="20 % - Markeringsfarve3 3 2 6 4 2 3" xfId="25635" xr:uid="{00000000-0005-0000-0000-000085200000}"/>
    <cellStyle name="20 % - Markeringsfarve3 3 2 6 4 2 4" xfId="40622" xr:uid="{00000000-0005-0000-0000-000086200000}"/>
    <cellStyle name="20 % - Markeringsfarve3 3 2 6 4 3" xfId="10780" xr:uid="{00000000-0005-0000-0000-000087200000}"/>
    <cellStyle name="20 % - Markeringsfarve3 3 2 6 4 3 2" xfId="27100" xr:uid="{00000000-0005-0000-0000-000088200000}"/>
    <cellStyle name="20 % - Markeringsfarve3 3 2 6 4 3 3" xfId="42066" xr:uid="{00000000-0005-0000-0000-000089200000}"/>
    <cellStyle name="20 % - Markeringsfarve3 3 2 6 4 4" xfId="20078" xr:uid="{00000000-0005-0000-0000-00008A200000}"/>
    <cellStyle name="20 % - Markeringsfarve3 3 2 6 4 5" xfId="35067" xr:uid="{00000000-0005-0000-0000-00008B200000}"/>
    <cellStyle name="20 % - Markeringsfarve3 3 2 6 5" xfId="5487" xr:uid="{00000000-0005-0000-0000-00008C200000}"/>
    <cellStyle name="20 % - Markeringsfarve3 3 2 6 5 2" xfId="13406" xr:uid="{00000000-0005-0000-0000-00008D200000}"/>
    <cellStyle name="20 % - Markeringsfarve3 3 2 6 5 2 2" xfId="29721" xr:uid="{00000000-0005-0000-0000-00008E200000}"/>
    <cellStyle name="20 % - Markeringsfarve3 3 2 6 5 2 3" xfId="44685" xr:uid="{00000000-0005-0000-0000-00008F200000}"/>
    <cellStyle name="20 % - Markeringsfarve3 3 2 6 5 3" xfId="22699" xr:uid="{00000000-0005-0000-0000-000090200000}"/>
    <cellStyle name="20 % - Markeringsfarve3 3 2 6 5 4" xfId="37686" xr:uid="{00000000-0005-0000-0000-000091200000}"/>
    <cellStyle name="20 % - Markeringsfarve3 3 2 6 6" xfId="10776" xr:uid="{00000000-0005-0000-0000-000092200000}"/>
    <cellStyle name="20 % - Markeringsfarve3 3 2 6 6 2" xfId="27096" xr:uid="{00000000-0005-0000-0000-000093200000}"/>
    <cellStyle name="20 % - Markeringsfarve3 3 2 6 6 3" xfId="42062" xr:uid="{00000000-0005-0000-0000-000094200000}"/>
    <cellStyle name="20 % - Markeringsfarve3 3 2 6 7" xfId="20074" xr:uid="{00000000-0005-0000-0000-000095200000}"/>
    <cellStyle name="20 % - Markeringsfarve3 3 2 6 8" xfId="35063" xr:uid="{00000000-0005-0000-0000-000096200000}"/>
    <cellStyle name="20 % - Markeringsfarve3 3 2 7" xfId="2221" xr:uid="{00000000-0005-0000-0000-000097200000}"/>
    <cellStyle name="20 % - Markeringsfarve3 3 2 7 2" xfId="2222" xr:uid="{00000000-0005-0000-0000-000098200000}"/>
    <cellStyle name="20 % - Markeringsfarve3 3 2 7 2 2" xfId="7485" xr:uid="{00000000-0005-0000-0000-000099200000}"/>
    <cellStyle name="20 % - Markeringsfarve3 3 2 7 2 2 2" xfId="15387" xr:uid="{00000000-0005-0000-0000-00009A200000}"/>
    <cellStyle name="20 % - Markeringsfarve3 3 2 7 2 2 2 2" xfId="31702" xr:uid="{00000000-0005-0000-0000-00009B200000}"/>
    <cellStyle name="20 % - Markeringsfarve3 3 2 7 2 2 2 3" xfId="46666" xr:uid="{00000000-0005-0000-0000-00009C200000}"/>
    <cellStyle name="20 % - Markeringsfarve3 3 2 7 2 2 3" xfId="24680" xr:uid="{00000000-0005-0000-0000-00009D200000}"/>
    <cellStyle name="20 % - Markeringsfarve3 3 2 7 2 2 4" xfId="39667" xr:uid="{00000000-0005-0000-0000-00009E200000}"/>
    <cellStyle name="20 % - Markeringsfarve3 3 2 7 2 3" xfId="10782" xr:uid="{00000000-0005-0000-0000-00009F200000}"/>
    <cellStyle name="20 % - Markeringsfarve3 3 2 7 2 3 2" xfId="27102" xr:uid="{00000000-0005-0000-0000-0000A0200000}"/>
    <cellStyle name="20 % - Markeringsfarve3 3 2 7 2 3 3" xfId="42068" xr:uid="{00000000-0005-0000-0000-0000A1200000}"/>
    <cellStyle name="20 % - Markeringsfarve3 3 2 7 2 4" xfId="20080" xr:uid="{00000000-0005-0000-0000-0000A2200000}"/>
    <cellStyle name="20 % - Markeringsfarve3 3 2 7 2 5" xfId="35069" xr:uid="{00000000-0005-0000-0000-0000A3200000}"/>
    <cellStyle name="20 % - Markeringsfarve3 3 2 7 3" xfId="6079" xr:uid="{00000000-0005-0000-0000-0000A4200000}"/>
    <cellStyle name="20 % - Markeringsfarve3 3 2 7 3 2" xfId="13997" xr:uid="{00000000-0005-0000-0000-0000A5200000}"/>
    <cellStyle name="20 % - Markeringsfarve3 3 2 7 3 2 2" xfId="30312" xr:uid="{00000000-0005-0000-0000-0000A6200000}"/>
    <cellStyle name="20 % - Markeringsfarve3 3 2 7 3 2 3" xfId="45276" xr:uid="{00000000-0005-0000-0000-0000A7200000}"/>
    <cellStyle name="20 % - Markeringsfarve3 3 2 7 3 3" xfId="23290" xr:uid="{00000000-0005-0000-0000-0000A8200000}"/>
    <cellStyle name="20 % - Markeringsfarve3 3 2 7 3 4" xfId="38277" xr:uid="{00000000-0005-0000-0000-0000A9200000}"/>
    <cellStyle name="20 % - Markeringsfarve3 3 2 7 4" xfId="10781" xr:uid="{00000000-0005-0000-0000-0000AA200000}"/>
    <cellStyle name="20 % - Markeringsfarve3 3 2 7 4 2" xfId="27101" xr:uid="{00000000-0005-0000-0000-0000AB200000}"/>
    <cellStyle name="20 % - Markeringsfarve3 3 2 7 4 3" xfId="42067" xr:uid="{00000000-0005-0000-0000-0000AC200000}"/>
    <cellStyle name="20 % - Markeringsfarve3 3 2 7 5" xfId="20079" xr:uid="{00000000-0005-0000-0000-0000AD200000}"/>
    <cellStyle name="20 % - Markeringsfarve3 3 2 7 6" xfId="35068" xr:uid="{00000000-0005-0000-0000-0000AE200000}"/>
    <cellStyle name="20 % - Markeringsfarve3 3 2 8" xfId="2223" xr:uid="{00000000-0005-0000-0000-0000AF200000}"/>
    <cellStyle name="20 % - Markeringsfarve3 3 2 8 2" xfId="6713" xr:uid="{00000000-0005-0000-0000-0000B0200000}"/>
    <cellStyle name="20 % - Markeringsfarve3 3 2 8 2 2" xfId="14625" xr:uid="{00000000-0005-0000-0000-0000B1200000}"/>
    <cellStyle name="20 % - Markeringsfarve3 3 2 8 2 2 2" xfId="30940" xr:uid="{00000000-0005-0000-0000-0000B2200000}"/>
    <cellStyle name="20 % - Markeringsfarve3 3 2 8 2 2 3" xfId="45904" xr:uid="{00000000-0005-0000-0000-0000B3200000}"/>
    <cellStyle name="20 % - Markeringsfarve3 3 2 8 2 3" xfId="23918" xr:uid="{00000000-0005-0000-0000-0000B4200000}"/>
    <cellStyle name="20 % - Markeringsfarve3 3 2 8 2 4" xfId="38905" xr:uid="{00000000-0005-0000-0000-0000B5200000}"/>
    <cellStyle name="20 % - Markeringsfarve3 3 2 8 3" xfId="10783" xr:uid="{00000000-0005-0000-0000-0000B6200000}"/>
    <cellStyle name="20 % - Markeringsfarve3 3 2 8 3 2" xfId="27103" xr:uid="{00000000-0005-0000-0000-0000B7200000}"/>
    <cellStyle name="20 % - Markeringsfarve3 3 2 8 3 3" xfId="42069" xr:uid="{00000000-0005-0000-0000-0000B8200000}"/>
    <cellStyle name="20 % - Markeringsfarve3 3 2 8 4" xfId="20081" xr:uid="{00000000-0005-0000-0000-0000B9200000}"/>
    <cellStyle name="20 % - Markeringsfarve3 3 2 8 5" xfId="35070" xr:uid="{00000000-0005-0000-0000-0000BA200000}"/>
    <cellStyle name="20 % - Markeringsfarve3 3 2 9" xfId="2224" xr:uid="{00000000-0005-0000-0000-0000BB200000}"/>
    <cellStyle name="20 % - Markeringsfarve3 3 2 9 2" xfId="8729" xr:uid="{00000000-0005-0000-0000-0000BC200000}"/>
    <cellStyle name="20 % - Markeringsfarve3 3 2 9 2 2" xfId="16606" xr:uid="{00000000-0005-0000-0000-0000BD200000}"/>
    <cellStyle name="20 % - Markeringsfarve3 3 2 9 2 2 2" xfId="32921" xr:uid="{00000000-0005-0000-0000-0000BE200000}"/>
    <cellStyle name="20 % - Markeringsfarve3 3 2 9 2 2 3" xfId="47885" xr:uid="{00000000-0005-0000-0000-0000BF200000}"/>
    <cellStyle name="20 % - Markeringsfarve3 3 2 9 2 3" xfId="25899" xr:uid="{00000000-0005-0000-0000-0000C0200000}"/>
    <cellStyle name="20 % - Markeringsfarve3 3 2 9 2 4" xfId="40886" xr:uid="{00000000-0005-0000-0000-0000C1200000}"/>
    <cellStyle name="20 % - Markeringsfarve3 3 2 9 3" xfId="10784" xr:uid="{00000000-0005-0000-0000-0000C2200000}"/>
    <cellStyle name="20 % - Markeringsfarve3 3 2 9 3 2" xfId="27104" xr:uid="{00000000-0005-0000-0000-0000C3200000}"/>
    <cellStyle name="20 % - Markeringsfarve3 3 2 9 3 3" xfId="42070" xr:uid="{00000000-0005-0000-0000-0000C4200000}"/>
    <cellStyle name="20 % - Markeringsfarve3 3 2 9 4" xfId="20082" xr:uid="{00000000-0005-0000-0000-0000C5200000}"/>
    <cellStyle name="20 % - Markeringsfarve3 3 2 9 5" xfId="35071" xr:uid="{00000000-0005-0000-0000-0000C6200000}"/>
    <cellStyle name="20 % - Markeringsfarve3 3 3" xfId="2225" xr:uid="{00000000-0005-0000-0000-0000C7200000}"/>
    <cellStyle name="20 % - Markeringsfarve3 3 3 10" xfId="5488" xr:uid="{00000000-0005-0000-0000-0000C8200000}"/>
    <cellStyle name="20 % - Markeringsfarve3 3 3 10 2" xfId="13407" xr:uid="{00000000-0005-0000-0000-0000C9200000}"/>
    <cellStyle name="20 % - Markeringsfarve3 3 3 10 2 2" xfId="29722" xr:uid="{00000000-0005-0000-0000-0000CA200000}"/>
    <cellStyle name="20 % - Markeringsfarve3 3 3 10 2 3" xfId="44686" xr:uid="{00000000-0005-0000-0000-0000CB200000}"/>
    <cellStyle name="20 % - Markeringsfarve3 3 3 10 3" xfId="22700" xr:uid="{00000000-0005-0000-0000-0000CC200000}"/>
    <cellStyle name="20 % - Markeringsfarve3 3 3 10 4" xfId="37687" xr:uid="{00000000-0005-0000-0000-0000CD200000}"/>
    <cellStyle name="20 % - Markeringsfarve3 3 3 11" xfId="10785" xr:uid="{00000000-0005-0000-0000-0000CE200000}"/>
    <cellStyle name="20 % - Markeringsfarve3 3 3 11 2" xfId="27105" xr:uid="{00000000-0005-0000-0000-0000CF200000}"/>
    <cellStyle name="20 % - Markeringsfarve3 3 3 11 3" xfId="42071" xr:uid="{00000000-0005-0000-0000-0000D0200000}"/>
    <cellStyle name="20 % - Markeringsfarve3 3 3 12" xfId="20083" xr:uid="{00000000-0005-0000-0000-0000D1200000}"/>
    <cellStyle name="20 % - Markeringsfarve3 3 3 13" xfId="35072" xr:uid="{00000000-0005-0000-0000-0000D2200000}"/>
    <cellStyle name="20 % - Markeringsfarve3 3 3 14" xfId="56488" xr:uid="{00000000-0005-0000-0000-0000D3200000}"/>
    <cellStyle name="20 % - Markeringsfarve3 3 3 2" xfId="2226" xr:uid="{00000000-0005-0000-0000-0000D4200000}"/>
    <cellStyle name="20 % - Markeringsfarve3 3 3 2 2" xfId="2227" xr:uid="{00000000-0005-0000-0000-0000D5200000}"/>
    <cellStyle name="20 % - Markeringsfarve3 3 3 2 2 2" xfId="2228" xr:uid="{00000000-0005-0000-0000-0000D6200000}"/>
    <cellStyle name="20 % - Markeringsfarve3 3 3 2 2 2 2" xfId="7643" xr:uid="{00000000-0005-0000-0000-0000D7200000}"/>
    <cellStyle name="20 % - Markeringsfarve3 3 3 2 2 2 2 2" xfId="15545" xr:uid="{00000000-0005-0000-0000-0000D8200000}"/>
    <cellStyle name="20 % - Markeringsfarve3 3 3 2 2 2 2 2 2" xfId="31860" xr:uid="{00000000-0005-0000-0000-0000D9200000}"/>
    <cellStyle name="20 % - Markeringsfarve3 3 3 2 2 2 2 2 3" xfId="46824" xr:uid="{00000000-0005-0000-0000-0000DA200000}"/>
    <cellStyle name="20 % - Markeringsfarve3 3 3 2 2 2 2 3" xfId="24838" xr:uid="{00000000-0005-0000-0000-0000DB200000}"/>
    <cellStyle name="20 % - Markeringsfarve3 3 3 2 2 2 2 4" xfId="39825" xr:uid="{00000000-0005-0000-0000-0000DC200000}"/>
    <cellStyle name="20 % - Markeringsfarve3 3 3 2 2 2 3" xfId="10788" xr:uid="{00000000-0005-0000-0000-0000DD200000}"/>
    <cellStyle name="20 % - Markeringsfarve3 3 3 2 2 2 3 2" xfId="27108" xr:uid="{00000000-0005-0000-0000-0000DE200000}"/>
    <cellStyle name="20 % - Markeringsfarve3 3 3 2 2 2 3 3" xfId="42074" xr:uid="{00000000-0005-0000-0000-0000DF200000}"/>
    <cellStyle name="20 % - Markeringsfarve3 3 3 2 2 2 4" xfId="20086" xr:uid="{00000000-0005-0000-0000-0000E0200000}"/>
    <cellStyle name="20 % - Markeringsfarve3 3 3 2 2 2 5" xfId="35075" xr:uid="{00000000-0005-0000-0000-0000E1200000}"/>
    <cellStyle name="20 % - Markeringsfarve3 3 3 2 2 3" xfId="6211" xr:uid="{00000000-0005-0000-0000-0000E2200000}"/>
    <cellStyle name="20 % - Markeringsfarve3 3 3 2 2 3 2" xfId="14129" xr:uid="{00000000-0005-0000-0000-0000E3200000}"/>
    <cellStyle name="20 % - Markeringsfarve3 3 3 2 2 3 2 2" xfId="30444" xr:uid="{00000000-0005-0000-0000-0000E4200000}"/>
    <cellStyle name="20 % - Markeringsfarve3 3 3 2 2 3 2 3" xfId="45408" xr:uid="{00000000-0005-0000-0000-0000E5200000}"/>
    <cellStyle name="20 % - Markeringsfarve3 3 3 2 2 3 3" xfId="23422" xr:uid="{00000000-0005-0000-0000-0000E6200000}"/>
    <cellStyle name="20 % - Markeringsfarve3 3 3 2 2 3 4" xfId="38409" xr:uid="{00000000-0005-0000-0000-0000E7200000}"/>
    <cellStyle name="20 % - Markeringsfarve3 3 3 2 2 4" xfId="10787" xr:uid="{00000000-0005-0000-0000-0000E8200000}"/>
    <cellStyle name="20 % - Markeringsfarve3 3 3 2 2 4 2" xfId="27107" xr:uid="{00000000-0005-0000-0000-0000E9200000}"/>
    <cellStyle name="20 % - Markeringsfarve3 3 3 2 2 4 3" xfId="42073" xr:uid="{00000000-0005-0000-0000-0000EA200000}"/>
    <cellStyle name="20 % - Markeringsfarve3 3 3 2 2 5" xfId="20085" xr:uid="{00000000-0005-0000-0000-0000EB200000}"/>
    <cellStyle name="20 % - Markeringsfarve3 3 3 2 2 6" xfId="35074" xr:uid="{00000000-0005-0000-0000-0000EC200000}"/>
    <cellStyle name="20 % - Markeringsfarve3 3 3 2 3" xfId="2229" xr:uid="{00000000-0005-0000-0000-0000ED200000}"/>
    <cellStyle name="20 % - Markeringsfarve3 3 3 2 3 2" xfId="6873" xr:uid="{00000000-0005-0000-0000-0000EE200000}"/>
    <cellStyle name="20 % - Markeringsfarve3 3 3 2 3 2 2" xfId="14785" xr:uid="{00000000-0005-0000-0000-0000EF200000}"/>
    <cellStyle name="20 % - Markeringsfarve3 3 3 2 3 2 2 2" xfId="31100" xr:uid="{00000000-0005-0000-0000-0000F0200000}"/>
    <cellStyle name="20 % - Markeringsfarve3 3 3 2 3 2 2 3" xfId="46064" xr:uid="{00000000-0005-0000-0000-0000F1200000}"/>
    <cellStyle name="20 % - Markeringsfarve3 3 3 2 3 2 3" xfId="24078" xr:uid="{00000000-0005-0000-0000-0000F2200000}"/>
    <cellStyle name="20 % - Markeringsfarve3 3 3 2 3 2 4" xfId="39065" xr:uid="{00000000-0005-0000-0000-0000F3200000}"/>
    <cellStyle name="20 % - Markeringsfarve3 3 3 2 3 3" xfId="10789" xr:uid="{00000000-0005-0000-0000-0000F4200000}"/>
    <cellStyle name="20 % - Markeringsfarve3 3 3 2 3 3 2" xfId="27109" xr:uid="{00000000-0005-0000-0000-0000F5200000}"/>
    <cellStyle name="20 % - Markeringsfarve3 3 3 2 3 3 3" xfId="42075" xr:uid="{00000000-0005-0000-0000-0000F6200000}"/>
    <cellStyle name="20 % - Markeringsfarve3 3 3 2 3 4" xfId="20087" xr:uid="{00000000-0005-0000-0000-0000F7200000}"/>
    <cellStyle name="20 % - Markeringsfarve3 3 3 2 3 5" xfId="35076" xr:uid="{00000000-0005-0000-0000-0000F8200000}"/>
    <cellStyle name="20 % - Markeringsfarve3 3 3 2 4" xfId="2230" xr:uid="{00000000-0005-0000-0000-0000F9200000}"/>
    <cellStyle name="20 % - Markeringsfarve3 3 3 2 4 2" xfId="8252" xr:uid="{00000000-0005-0000-0000-0000FA200000}"/>
    <cellStyle name="20 % - Markeringsfarve3 3 3 2 4 2 2" xfId="16147" xr:uid="{00000000-0005-0000-0000-0000FB200000}"/>
    <cellStyle name="20 % - Markeringsfarve3 3 3 2 4 2 2 2" xfId="32462" xr:uid="{00000000-0005-0000-0000-0000FC200000}"/>
    <cellStyle name="20 % - Markeringsfarve3 3 3 2 4 2 2 3" xfId="47426" xr:uid="{00000000-0005-0000-0000-0000FD200000}"/>
    <cellStyle name="20 % - Markeringsfarve3 3 3 2 4 2 3" xfId="25440" xr:uid="{00000000-0005-0000-0000-0000FE200000}"/>
    <cellStyle name="20 % - Markeringsfarve3 3 3 2 4 2 4" xfId="40427" xr:uid="{00000000-0005-0000-0000-0000FF200000}"/>
    <cellStyle name="20 % - Markeringsfarve3 3 3 2 4 3" xfId="10790" xr:uid="{00000000-0005-0000-0000-000000210000}"/>
    <cellStyle name="20 % - Markeringsfarve3 3 3 2 4 3 2" xfId="27110" xr:uid="{00000000-0005-0000-0000-000001210000}"/>
    <cellStyle name="20 % - Markeringsfarve3 3 3 2 4 3 3" xfId="42076" xr:uid="{00000000-0005-0000-0000-000002210000}"/>
    <cellStyle name="20 % - Markeringsfarve3 3 3 2 4 4" xfId="20088" xr:uid="{00000000-0005-0000-0000-000003210000}"/>
    <cellStyle name="20 % - Markeringsfarve3 3 3 2 4 5" xfId="35077" xr:uid="{00000000-0005-0000-0000-000004210000}"/>
    <cellStyle name="20 % - Markeringsfarve3 3 3 2 5" xfId="5489" xr:uid="{00000000-0005-0000-0000-000005210000}"/>
    <cellStyle name="20 % - Markeringsfarve3 3 3 2 5 2" xfId="13408" xr:uid="{00000000-0005-0000-0000-000006210000}"/>
    <cellStyle name="20 % - Markeringsfarve3 3 3 2 5 2 2" xfId="29723" xr:uid="{00000000-0005-0000-0000-000007210000}"/>
    <cellStyle name="20 % - Markeringsfarve3 3 3 2 5 2 3" xfId="44687" xr:uid="{00000000-0005-0000-0000-000008210000}"/>
    <cellStyle name="20 % - Markeringsfarve3 3 3 2 5 3" xfId="22701" xr:uid="{00000000-0005-0000-0000-000009210000}"/>
    <cellStyle name="20 % - Markeringsfarve3 3 3 2 5 4" xfId="37688" xr:uid="{00000000-0005-0000-0000-00000A210000}"/>
    <cellStyle name="20 % - Markeringsfarve3 3 3 2 6" xfId="10786" xr:uid="{00000000-0005-0000-0000-00000B210000}"/>
    <cellStyle name="20 % - Markeringsfarve3 3 3 2 6 2" xfId="27106" xr:uid="{00000000-0005-0000-0000-00000C210000}"/>
    <cellStyle name="20 % - Markeringsfarve3 3 3 2 6 3" xfId="42072" xr:uid="{00000000-0005-0000-0000-00000D210000}"/>
    <cellStyle name="20 % - Markeringsfarve3 3 3 2 7" xfId="20084" xr:uid="{00000000-0005-0000-0000-00000E210000}"/>
    <cellStyle name="20 % - Markeringsfarve3 3 3 2 8" xfId="35073" xr:uid="{00000000-0005-0000-0000-00000F210000}"/>
    <cellStyle name="20 % - Markeringsfarve3 3 3 3" xfId="2231" xr:uid="{00000000-0005-0000-0000-000010210000}"/>
    <cellStyle name="20 % - Markeringsfarve3 3 3 3 2" xfId="2232" xr:uid="{00000000-0005-0000-0000-000011210000}"/>
    <cellStyle name="20 % - Markeringsfarve3 3 3 3 2 2" xfId="2233" xr:uid="{00000000-0005-0000-0000-000012210000}"/>
    <cellStyle name="20 % - Markeringsfarve3 3 3 3 2 2 2" xfId="7688" xr:uid="{00000000-0005-0000-0000-000013210000}"/>
    <cellStyle name="20 % - Markeringsfarve3 3 3 3 2 2 2 2" xfId="15590" xr:uid="{00000000-0005-0000-0000-000014210000}"/>
    <cellStyle name="20 % - Markeringsfarve3 3 3 3 2 2 2 2 2" xfId="31905" xr:uid="{00000000-0005-0000-0000-000015210000}"/>
    <cellStyle name="20 % - Markeringsfarve3 3 3 3 2 2 2 2 3" xfId="46869" xr:uid="{00000000-0005-0000-0000-000016210000}"/>
    <cellStyle name="20 % - Markeringsfarve3 3 3 3 2 2 2 3" xfId="24883" xr:uid="{00000000-0005-0000-0000-000017210000}"/>
    <cellStyle name="20 % - Markeringsfarve3 3 3 3 2 2 2 4" xfId="39870" xr:uid="{00000000-0005-0000-0000-000018210000}"/>
    <cellStyle name="20 % - Markeringsfarve3 3 3 3 2 2 3" xfId="10793" xr:uid="{00000000-0005-0000-0000-000019210000}"/>
    <cellStyle name="20 % - Markeringsfarve3 3 3 3 2 2 3 2" xfId="27113" xr:uid="{00000000-0005-0000-0000-00001A210000}"/>
    <cellStyle name="20 % - Markeringsfarve3 3 3 3 2 2 3 3" xfId="42079" xr:uid="{00000000-0005-0000-0000-00001B210000}"/>
    <cellStyle name="20 % - Markeringsfarve3 3 3 3 2 2 4" xfId="20091" xr:uid="{00000000-0005-0000-0000-00001C210000}"/>
    <cellStyle name="20 % - Markeringsfarve3 3 3 3 2 2 5" xfId="35080" xr:uid="{00000000-0005-0000-0000-00001D210000}"/>
    <cellStyle name="20 % - Markeringsfarve3 3 3 3 2 3" xfId="6252" xr:uid="{00000000-0005-0000-0000-00001E210000}"/>
    <cellStyle name="20 % - Markeringsfarve3 3 3 3 2 3 2" xfId="14170" xr:uid="{00000000-0005-0000-0000-00001F210000}"/>
    <cellStyle name="20 % - Markeringsfarve3 3 3 3 2 3 2 2" xfId="30485" xr:uid="{00000000-0005-0000-0000-000020210000}"/>
    <cellStyle name="20 % - Markeringsfarve3 3 3 3 2 3 2 3" xfId="45449" xr:uid="{00000000-0005-0000-0000-000021210000}"/>
    <cellStyle name="20 % - Markeringsfarve3 3 3 3 2 3 3" xfId="23463" xr:uid="{00000000-0005-0000-0000-000022210000}"/>
    <cellStyle name="20 % - Markeringsfarve3 3 3 3 2 3 4" xfId="38450" xr:uid="{00000000-0005-0000-0000-000023210000}"/>
    <cellStyle name="20 % - Markeringsfarve3 3 3 3 2 4" xfId="10792" xr:uid="{00000000-0005-0000-0000-000024210000}"/>
    <cellStyle name="20 % - Markeringsfarve3 3 3 3 2 4 2" xfId="27112" xr:uid="{00000000-0005-0000-0000-000025210000}"/>
    <cellStyle name="20 % - Markeringsfarve3 3 3 3 2 4 3" xfId="42078" xr:uid="{00000000-0005-0000-0000-000026210000}"/>
    <cellStyle name="20 % - Markeringsfarve3 3 3 3 2 5" xfId="20090" xr:uid="{00000000-0005-0000-0000-000027210000}"/>
    <cellStyle name="20 % - Markeringsfarve3 3 3 3 2 6" xfId="35079" xr:uid="{00000000-0005-0000-0000-000028210000}"/>
    <cellStyle name="20 % - Markeringsfarve3 3 3 3 3" xfId="2234" xr:uid="{00000000-0005-0000-0000-000029210000}"/>
    <cellStyle name="20 % - Markeringsfarve3 3 3 3 3 2" xfId="6918" xr:uid="{00000000-0005-0000-0000-00002A210000}"/>
    <cellStyle name="20 % - Markeringsfarve3 3 3 3 3 2 2" xfId="14830" xr:uid="{00000000-0005-0000-0000-00002B210000}"/>
    <cellStyle name="20 % - Markeringsfarve3 3 3 3 3 2 2 2" xfId="31145" xr:uid="{00000000-0005-0000-0000-00002C210000}"/>
    <cellStyle name="20 % - Markeringsfarve3 3 3 3 3 2 2 3" xfId="46109" xr:uid="{00000000-0005-0000-0000-00002D210000}"/>
    <cellStyle name="20 % - Markeringsfarve3 3 3 3 3 2 3" xfId="24123" xr:uid="{00000000-0005-0000-0000-00002E210000}"/>
    <cellStyle name="20 % - Markeringsfarve3 3 3 3 3 2 4" xfId="39110" xr:uid="{00000000-0005-0000-0000-00002F210000}"/>
    <cellStyle name="20 % - Markeringsfarve3 3 3 3 3 3" xfId="10794" xr:uid="{00000000-0005-0000-0000-000030210000}"/>
    <cellStyle name="20 % - Markeringsfarve3 3 3 3 3 3 2" xfId="27114" xr:uid="{00000000-0005-0000-0000-000031210000}"/>
    <cellStyle name="20 % - Markeringsfarve3 3 3 3 3 3 3" xfId="42080" xr:uid="{00000000-0005-0000-0000-000032210000}"/>
    <cellStyle name="20 % - Markeringsfarve3 3 3 3 3 4" xfId="20092" xr:uid="{00000000-0005-0000-0000-000033210000}"/>
    <cellStyle name="20 % - Markeringsfarve3 3 3 3 3 5" xfId="35081" xr:uid="{00000000-0005-0000-0000-000034210000}"/>
    <cellStyle name="20 % - Markeringsfarve3 3 3 3 4" xfId="2235" xr:uid="{00000000-0005-0000-0000-000035210000}"/>
    <cellStyle name="20 % - Markeringsfarve3 3 3 3 4 2" xfId="8251" xr:uid="{00000000-0005-0000-0000-000036210000}"/>
    <cellStyle name="20 % - Markeringsfarve3 3 3 3 4 2 2" xfId="16146" xr:uid="{00000000-0005-0000-0000-000037210000}"/>
    <cellStyle name="20 % - Markeringsfarve3 3 3 3 4 2 2 2" xfId="32461" xr:uid="{00000000-0005-0000-0000-000038210000}"/>
    <cellStyle name="20 % - Markeringsfarve3 3 3 3 4 2 2 3" xfId="47425" xr:uid="{00000000-0005-0000-0000-000039210000}"/>
    <cellStyle name="20 % - Markeringsfarve3 3 3 3 4 2 3" xfId="25439" xr:uid="{00000000-0005-0000-0000-00003A210000}"/>
    <cellStyle name="20 % - Markeringsfarve3 3 3 3 4 2 4" xfId="40426" xr:uid="{00000000-0005-0000-0000-00003B210000}"/>
    <cellStyle name="20 % - Markeringsfarve3 3 3 3 4 3" xfId="10795" xr:uid="{00000000-0005-0000-0000-00003C210000}"/>
    <cellStyle name="20 % - Markeringsfarve3 3 3 3 4 3 2" xfId="27115" xr:uid="{00000000-0005-0000-0000-00003D210000}"/>
    <cellStyle name="20 % - Markeringsfarve3 3 3 3 4 3 3" xfId="42081" xr:uid="{00000000-0005-0000-0000-00003E210000}"/>
    <cellStyle name="20 % - Markeringsfarve3 3 3 3 4 4" xfId="20093" xr:uid="{00000000-0005-0000-0000-00003F210000}"/>
    <cellStyle name="20 % - Markeringsfarve3 3 3 3 4 5" xfId="35082" xr:uid="{00000000-0005-0000-0000-000040210000}"/>
    <cellStyle name="20 % - Markeringsfarve3 3 3 3 5" xfId="5490" xr:uid="{00000000-0005-0000-0000-000041210000}"/>
    <cellStyle name="20 % - Markeringsfarve3 3 3 3 5 2" xfId="13409" xr:uid="{00000000-0005-0000-0000-000042210000}"/>
    <cellStyle name="20 % - Markeringsfarve3 3 3 3 5 2 2" xfId="29724" xr:uid="{00000000-0005-0000-0000-000043210000}"/>
    <cellStyle name="20 % - Markeringsfarve3 3 3 3 5 2 3" xfId="44688" xr:uid="{00000000-0005-0000-0000-000044210000}"/>
    <cellStyle name="20 % - Markeringsfarve3 3 3 3 5 3" xfId="22702" xr:uid="{00000000-0005-0000-0000-000045210000}"/>
    <cellStyle name="20 % - Markeringsfarve3 3 3 3 5 4" xfId="37689" xr:uid="{00000000-0005-0000-0000-000046210000}"/>
    <cellStyle name="20 % - Markeringsfarve3 3 3 3 6" xfId="10791" xr:uid="{00000000-0005-0000-0000-000047210000}"/>
    <cellStyle name="20 % - Markeringsfarve3 3 3 3 6 2" xfId="27111" xr:uid="{00000000-0005-0000-0000-000048210000}"/>
    <cellStyle name="20 % - Markeringsfarve3 3 3 3 6 3" xfId="42077" xr:uid="{00000000-0005-0000-0000-000049210000}"/>
    <cellStyle name="20 % - Markeringsfarve3 3 3 3 7" xfId="20089" xr:uid="{00000000-0005-0000-0000-00004A210000}"/>
    <cellStyle name="20 % - Markeringsfarve3 3 3 3 8" xfId="35078" xr:uid="{00000000-0005-0000-0000-00004B210000}"/>
    <cellStyle name="20 % - Markeringsfarve3 3 3 4" xfId="2236" xr:uid="{00000000-0005-0000-0000-00004C210000}"/>
    <cellStyle name="20 % - Markeringsfarve3 3 3 4 2" xfId="2237" xr:uid="{00000000-0005-0000-0000-00004D210000}"/>
    <cellStyle name="20 % - Markeringsfarve3 3 3 4 2 2" xfId="2238" xr:uid="{00000000-0005-0000-0000-00004E210000}"/>
    <cellStyle name="20 % - Markeringsfarve3 3 3 4 2 2 2" xfId="7881" xr:uid="{00000000-0005-0000-0000-00004F210000}"/>
    <cellStyle name="20 % - Markeringsfarve3 3 3 4 2 2 2 2" xfId="15783" xr:uid="{00000000-0005-0000-0000-000050210000}"/>
    <cellStyle name="20 % - Markeringsfarve3 3 3 4 2 2 2 2 2" xfId="32098" xr:uid="{00000000-0005-0000-0000-000051210000}"/>
    <cellStyle name="20 % - Markeringsfarve3 3 3 4 2 2 2 2 3" xfId="47062" xr:uid="{00000000-0005-0000-0000-000052210000}"/>
    <cellStyle name="20 % - Markeringsfarve3 3 3 4 2 2 2 3" xfId="25076" xr:uid="{00000000-0005-0000-0000-000053210000}"/>
    <cellStyle name="20 % - Markeringsfarve3 3 3 4 2 2 2 4" xfId="40063" xr:uid="{00000000-0005-0000-0000-000054210000}"/>
    <cellStyle name="20 % - Markeringsfarve3 3 3 4 2 2 3" xfId="10798" xr:uid="{00000000-0005-0000-0000-000055210000}"/>
    <cellStyle name="20 % - Markeringsfarve3 3 3 4 2 2 3 2" xfId="27118" xr:uid="{00000000-0005-0000-0000-000056210000}"/>
    <cellStyle name="20 % - Markeringsfarve3 3 3 4 2 2 3 3" xfId="42084" xr:uid="{00000000-0005-0000-0000-000057210000}"/>
    <cellStyle name="20 % - Markeringsfarve3 3 3 4 2 2 4" xfId="20096" xr:uid="{00000000-0005-0000-0000-000058210000}"/>
    <cellStyle name="20 % - Markeringsfarve3 3 3 4 2 2 5" xfId="35085" xr:uid="{00000000-0005-0000-0000-000059210000}"/>
    <cellStyle name="20 % - Markeringsfarve3 3 3 4 2 3" xfId="6413" xr:uid="{00000000-0005-0000-0000-00005A210000}"/>
    <cellStyle name="20 % - Markeringsfarve3 3 3 4 2 3 2" xfId="14328" xr:uid="{00000000-0005-0000-0000-00005B210000}"/>
    <cellStyle name="20 % - Markeringsfarve3 3 3 4 2 3 2 2" xfId="30643" xr:uid="{00000000-0005-0000-0000-00005C210000}"/>
    <cellStyle name="20 % - Markeringsfarve3 3 3 4 2 3 2 3" xfId="45607" xr:uid="{00000000-0005-0000-0000-00005D210000}"/>
    <cellStyle name="20 % - Markeringsfarve3 3 3 4 2 3 3" xfId="23621" xr:uid="{00000000-0005-0000-0000-00005E210000}"/>
    <cellStyle name="20 % - Markeringsfarve3 3 3 4 2 3 4" xfId="38608" xr:uid="{00000000-0005-0000-0000-00005F210000}"/>
    <cellStyle name="20 % - Markeringsfarve3 3 3 4 2 4" xfId="10797" xr:uid="{00000000-0005-0000-0000-000060210000}"/>
    <cellStyle name="20 % - Markeringsfarve3 3 3 4 2 4 2" xfId="27117" xr:uid="{00000000-0005-0000-0000-000061210000}"/>
    <cellStyle name="20 % - Markeringsfarve3 3 3 4 2 4 3" xfId="42083" xr:uid="{00000000-0005-0000-0000-000062210000}"/>
    <cellStyle name="20 % - Markeringsfarve3 3 3 4 2 5" xfId="20095" xr:uid="{00000000-0005-0000-0000-000063210000}"/>
    <cellStyle name="20 % - Markeringsfarve3 3 3 4 2 6" xfId="35084" xr:uid="{00000000-0005-0000-0000-000064210000}"/>
    <cellStyle name="20 % - Markeringsfarve3 3 3 4 3" xfId="2239" xr:uid="{00000000-0005-0000-0000-000065210000}"/>
    <cellStyle name="20 % - Markeringsfarve3 3 3 4 3 2" xfId="7157" xr:uid="{00000000-0005-0000-0000-000066210000}"/>
    <cellStyle name="20 % - Markeringsfarve3 3 3 4 3 2 2" xfId="15068" xr:uid="{00000000-0005-0000-0000-000067210000}"/>
    <cellStyle name="20 % - Markeringsfarve3 3 3 4 3 2 2 2" xfId="31383" xr:uid="{00000000-0005-0000-0000-000068210000}"/>
    <cellStyle name="20 % - Markeringsfarve3 3 3 4 3 2 2 3" xfId="46347" xr:uid="{00000000-0005-0000-0000-000069210000}"/>
    <cellStyle name="20 % - Markeringsfarve3 3 3 4 3 2 3" xfId="24361" xr:uid="{00000000-0005-0000-0000-00006A210000}"/>
    <cellStyle name="20 % - Markeringsfarve3 3 3 4 3 2 4" xfId="39348" xr:uid="{00000000-0005-0000-0000-00006B210000}"/>
    <cellStyle name="20 % - Markeringsfarve3 3 3 4 3 3" xfId="10799" xr:uid="{00000000-0005-0000-0000-00006C210000}"/>
    <cellStyle name="20 % - Markeringsfarve3 3 3 4 3 3 2" xfId="27119" xr:uid="{00000000-0005-0000-0000-00006D210000}"/>
    <cellStyle name="20 % - Markeringsfarve3 3 3 4 3 3 3" xfId="42085" xr:uid="{00000000-0005-0000-0000-00006E210000}"/>
    <cellStyle name="20 % - Markeringsfarve3 3 3 4 3 4" xfId="20097" xr:uid="{00000000-0005-0000-0000-00006F210000}"/>
    <cellStyle name="20 % - Markeringsfarve3 3 3 4 3 5" xfId="35086" xr:uid="{00000000-0005-0000-0000-000070210000}"/>
    <cellStyle name="20 % - Markeringsfarve3 3 3 4 4" xfId="2240" xr:uid="{00000000-0005-0000-0000-000071210000}"/>
    <cellStyle name="20 % - Markeringsfarve3 3 3 4 4 2" xfId="6774" xr:uid="{00000000-0005-0000-0000-000072210000}"/>
    <cellStyle name="20 % - Markeringsfarve3 3 3 4 4 2 2" xfId="14686" xr:uid="{00000000-0005-0000-0000-000073210000}"/>
    <cellStyle name="20 % - Markeringsfarve3 3 3 4 4 2 2 2" xfId="31001" xr:uid="{00000000-0005-0000-0000-000074210000}"/>
    <cellStyle name="20 % - Markeringsfarve3 3 3 4 4 2 2 3" xfId="45965" xr:uid="{00000000-0005-0000-0000-000075210000}"/>
    <cellStyle name="20 % - Markeringsfarve3 3 3 4 4 2 3" xfId="23979" xr:uid="{00000000-0005-0000-0000-000076210000}"/>
    <cellStyle name="20 % - Markeringsfarve3 3 3 4 4 2 4" xfId="38966" xr:uid="{00000000-0005-0000-0000-000077210000}"/>
    <cellStyle name="20 % - Markeringsfarve3 3 3 4 4 3" xfId="10800" xr:uid="{00000000-0005-0000-0000-000078210000}"/>
    <cellStyle name="20 % - Markeringsfarve3 3 3 4 4 3 2" xfId="27120" xr:uid="{00000000-0005-0000-0000-000079210000}"/>
    <cellStyle name="20 % - Markeringsfarve3 3 3 4 4 3 3" xfId="42086" xr:uid="{00000000-0005-0000-0000-00007A210000}"/>
    <cellStyle name="20 % - Markeringsfarve3 3 3 4 4 4" xfId="20098" xr:uid="{00000000-0005-0000-0000-00007B210000}"/>
    <cellStyle name="20 % - Markeringsfarve3 3 3 4 4 5" xfId="35087" xr:uid="{00000000-0005-0000-0000-00007C210000}"/>
    <cellStyle name="20 % - Markeringsfarve3 3 3 4 5" xfId="5491" xr:uid="{00000000-0005-0000-0000-00007D210000}"/>
    <cellStyle name="20 % - Markeringsfarve3 3 3 4 5 2" xfId="13410" xr:uid="{00000000-0005-0000-0000-00007E210000}"/>
    <cellStyle name="20 % - Markeringsfarve3 3 3 4 5 2 2" xfId="29725" xr:uid="{00000000-0005-0000-0000-00007F210000}"/>
    <cellStyle name="20 % - Markeringsfarve3 3 3 4 5 2 3" xfId="44689" xr:uid="{00000000-0005-0000-0000-000080210000}"/>
    <cellStyle name="20 % - Markeringsfarve3 3 3 4 5 3" xfId="22703" xr:uid="{00000000-0005-0000-0000-000081210000}"/>
    <cellStyle name="20 % - Markeringsfarve3 3 3 4 5 4" xfId="37690" xr:uid="{00000000-0005-0000-0000-000082210000}"/>
    <cellStyle name="20 % - Markeringsfarve3 3 3 4 6" xfId="10796" xr:uid="{00000000-0005-0000-0000-000083210000}"/>
    <cellStyle name="20 % - Markeringsfarve3 3 3 4 6 2" xfId="27116" xr:uid="{00000000-0005-0000-0000-000084210000}"/>
    <cellStyle name="20 % - Markeringsfarve3 3 3 4 6 3" xfId="42082" xr:uid="{00000000-0005-0000-0000-000085210000}"/>
    <cellStyle name="20 % - Markeringsfarve3 3 3 4 7" xfId="20094" xr:uid="{00000000-0005-0000-0000-000086210000}"/>
    <cellStyle name="20 % - Markeringsfarve3 3 3 4 8" xfId="35083" xr:uid="{00000000-0005-0000-0000-000087210000}"/>
    <cellStyle name="20 % - Markeringsfarve3 3 3 5" xfId="2241" xr:uid="{00000000-0005-0000-0000-000088210000}"/>
    <cellStyle name="20 % - Markeringsfarve3 3 3 5 2" xfId="2242" xr:uid="{00000000-0005-0000-0000-000089210000}"/>
    <cellStyle name="20 % - Markeringsfarve3 3 3 5 2 2" xfId="2243" xr:uid="{00000000-0005-0000-0000-00008A210000}"/>
    <cellStyle name="20 % - Markeringsfarve3 3 3 5 2 2 2" xfId="7998" xr:uid="{00000000-0005-0000-0000-00008B210000}"/>
    <cellStyle name="20 % - Markeringsfarve3 3 3 5 2 2 2 2" xfId="15900" xr:uid="{00000000-0005-0000-0000-00008C210000}"/>
    <cellStyle name="20 % - Markeringsfarve3 3 3 5 2 2 2 2 2" xfId="32215" xr:uid="{00000000-0005-0000-0000-00008D210000}"/>
    <cellStyle name="20 % - Markeringsfarve3 3 3 5 2 2 2 2 3" xfId="47179" xr:uid="{00000000-0005-0000-0000-00008E210000}"/>
    <cellStyle name="20 % - Markeringsfarve3 3 3 5 2 2 2 3" xfId="25193" xr:uid="{00000000-0005-0000-0000-00008F210000}"/>
    <cellStyle name="20 % - Markeringsfarve3 3 3 5 2 2 2 4" xfId="40180" xr:uid="{00000000-0005-0000-0000-000090210000}"/>
    <cellStyle name="20 % - Markeringsfarve3 3 3 5 2 2 3" xfId="10803" xr:uid="{00000000-0005-0000-0000-000091210000}"/>
    <cellStyle name="20 % - Markeringsfarve3 3 3 5 2 2 3 2" xfId="27123" xr:uid="{00000000-0005-0000-0000-000092210000}"/>
    <cellStyle name="20 % - Markeringsfarve3 3 3 5 2 2 3 3" xfId="42089" xr:uid="{00000000-0005-0000-0000-000093210000}"/>
    <cellStyle name="20 % - Markeringsfarve3 3 3 5 2 2 4" xfId="20101" xr:uid="{00000000-0005-0000-0000-000094210000}"/>
    <cellStyle name="20 % - Markeringsfarve3 3 3 5 2 2 5" xfId="35090" xr:uid="{00000000-0005-0000-0000-000095210000}"/>
    <cellStyle name="20 % - Markeringsfarve3 3 3 5 2 3" xfId="6512" xr:uid="{00000000-0005-0000-0000-000096210000}"/>
    <cellStyle name="20 % - Markeringsfarve3 3 3 5 2 3 2" xfId="14427" xr:uid="{00000000-0005-0000-0000-000097210000}"/>
    <cellStyle name="20 % - Markeringsfarve3 3 3 5 2 3 2 2" xfId="30742" xr:uid="{00000000-0005-0000-0000-000098210000}"/>
    <cellStyle name="20 % - Markeringsfarve3 3 3 5 2 3 2 3" xfId="45706" xr:uid="{00000000-0005-0000-0000-000099210000}"/>
    <cellStyle name="20 % - Markeringsfarve3 3 3 5 2 3 3" xfId="23720" xr:uid="{00000000-0005-0000-0000-00009A210000}"/>
    <cellStyle name="20 % - Markeringsfarve3 3 3 5 2 3 4" xfId="38707" xr:uid="{00000000-0005-0000-0000-00009B210000}"/>
    <cellStyle name="20 % - Markeringsfarve3 3 3 5 2 4" xfId="10802" xr:uid="{00000000-0005-0000-0000-00009C210000}"/>
    <cellStyle name="20 % - Markeringsfarve3 3 3 5 2 4 2" xfId="27122" xr:uid="{00000000-0005-0000-0000-00009D210000}"/>
    <cellStyle name="20 % - Markeringsfarve3 3 3 5 2 4 3" xfId="42088" xr:uid="{00000000-0005-0000-0000-00009E210000}"/>
    <cellStyle name="20 % - Markeringsfarve3 3 3 5 2 5" xfId="20100" xr:uid="{00000000-0005-0000-0000-00009F210000}"/>
    <cellStyle name="20 % - Markeringsfarve3 3 3 5 2 6" xfId="35089" xr:uid="{00000000-0005-0000-0000-0000A0210000}"/>
    <cellStyle name="20 % - Markeringsfarve3 3 3 5 3" xfId="2244" xr:uid="{00000000-0005-0000-0000-0000A1210000}"/>
    <cellStyle name="20 % - Markeringsfarve3 3 3 5 3 2" xfId="7274" xr:uid="{00000000-0005-0000-0000-0000A2210000}"/>
    <cellStyle name="20 % - Markeringsfarve3 3 3 5 3 2 2" xfId="15185" xr:uid="{00000000-0005-0000-0000-0000A3210000}"/>
    <cellStyle name="20 % - Markeringsfarve3 3 3 5 3 2 2 2" xfId="31500" xr:uid="{00000000-0005-0000-0000-0000A4210000}"/>
    <cellStyle name="20 % - Markeringsfarve3 3 3 5 3 2 2 3" xfId="46464" xr:uid="{00000000-0005-0000-0000-0000A5210000}"/>
    <cellStyle name="20 % - Markeringsfarve3 3 3 5 3 2 3" xfId="24478" xr:uid="{00000000-0005-0000-0000-0000A6210000}"/>
    <cellStyle name="20 % - Markeringsfarve3 3 3 5 3 2 4" xfId="39465" xr:uid="{00000000-0005-0000-0000-0000A7210000}"/>
    <cellStyle name="20 % - Markeringsfarve3 3 3 5 3 3" xfId="10804" xr:uid="{00000000-0005-0000-0000-0000A8210000}"/>
    <cellStyle name="20 % - Markeringsfarve3 3 3 5 3 3 2" xfId="27124" xr:uid="{00000000-0005-0000-0000-0000A9210000}"/>
    <cellStyle name="20 % - Markeringsfarve3 3 3 5 3 3 3" xfId="42090" xr:uid="{00000000-0005-0000-0000-0000AA210000}"/>
    <cellStyle name="20 % - Markeringsfarve3 3 3 5 3 4" xfId="20102" xr:uid="{00000000-0005-0000-0000-0000AB210000}"/>
    <cellStyle name="20 % - Markeringsfarve3 3 3 5 3 5" xfId="35091" xr:uid="{00000000-0005-0000-0000-0000AC210000}"/>
    <cellStyle name="20 % - Markeringsfarve3 3 3 5 4" xfId="2245" xr:uid="{00000000-0005-0000-0000-0000AD210000}"/>
    <cellStyle name="20 % - Markeringsfarve3 3 3 5 4 2" xfId="7053" xr:uid="{00000000-0005-0000-0000-0000AE210000}"/>
    <cellStyle name="20 % - Markeringsfarve3 3 3 5 4 2 2" xfId="14964" xr:uid="{00000000-0005-0000-0000-0000AF210000}"/>
    <cellStyle name="20 % - Markeringsfarve3 3 3 5 4 2 2 2" xfId="31279" xr:uid="{00000000-0005-0000-0000-0000B0210000}"/>
    <cellStyle name="20 % - Markeringsfarve3 3 3 5 4 2 2 3" xfId="46243" xr:uid="{00000000-0005-0000-0000-0000B1210000}"/>
    <cellStyle name="20 % - Markeringsfarve3 3 3 5 4 2 3" xfId="24257" xr:uid="{00000000-0005-0000-0000-0000B2210000}"/>
    <cellStyle name="20 % - Markeringsfarve3 3 3 5 4 2 4" xfId="39244" xr:uid="{00000000-0005-0000-0000-0000B3210000}"/>
    <cellStyle name="20 % - Markeringsfarve3 3 3 5 4 3" xfId="10805" xr:uid="{00000000-0005-0000-0000-0000B4210000}"/>
    <cellStyle name="20 % - Markeringsfarve3 3 3 5 4 3 2" xfId="27125" xr:uid="{00000000-0005-0000-0000-0000B5210000}"/>
    <cellStyle name="20 % - Markeringsfarve3 3 3 5 4 3 3" xfId="42091" xr:uid="{00000000-0005-0000-0000-0000B6210000}"/>
    <cellStyle name="20 % - Markeringsfarve3 3 3 5 4 4" xfId="20103" xr:uid="{00000000-0005-0000-0000-0000B7210000}"/>
    <cellStyle name="20 % - Markeringsfarve3 3 3 5 4 5" xfId="35092" xr:uid="{00000000-0005-0000-0000-0000B8210000}"/>
    <cellStyle name="20 % - Markeringsfarve3 3 3 5 5" xfId="5492" xr:uid="{00000000-0005-0000-0000-0000B9210000}"/>
    <cellStyle name="20 % - Markeringsfarve3 3 3 5 5 2" xfId="13411" xr:uid="{00000000-0005-0000-0000-0000BA210000}"/>
    <cellStyle name="20 % - Markeringsfarve3 3 3 5 5 2 2" xfId="29726" xr:uid="{00000000-0005-0000-0000-0000BB210000}"/>
    <cellStyle name="20 % - Markeringsfarve3 3 3 5 5 2 3" xfId="44690" xr:uid="{00000000-0005-0000-0000-0000BC210000}"/>
    <cellStyle name="20 % - Markeringsfarve3 3 3 5 5 3" xfId="22704" xr:uid="{00000000-0005-0000-0000-0000BD210000}"/>
    <cellStyle name="20 % - Markeringsfarve3 3 3 5 5 4" xfId="37691" xr:uid="{00000000-0005-0000-0000-0000BE210000}"/>
    <cellStyle name="20 % - Markeringsfarve3 3 3 5 6" xfId="10801" xr:uid="{00000000-0005-0000-0000-0000BF210000}"/>
    <cellStyle name="20 % - Markeringsfarve3 3 3 5 6 2" xfId="27121" xr:uid="{00000000-0005-0000-0000-0000C0210000}"/>
    <cellStyle name="20 % - Markeringsfarve3 3 3 5 6 3" xfId="42087" xr:uid="{00000000-0005-0000-0000-0000C1210000}"/>
    <cellStyle name="20 % - Markeringsfarve3 3 3 5 7" xfId="20099" xr:uid="{00000000-0005-0000-0000-0000C2210000}"/>
    <cellStyle name="20 % - Markeringsfarve3 3 3 5 8" xfId="35088" xr:uid="{00000000-0005-0000-0000-0000C3210000}"/>
    <cellStyle name="20 % - Markeringsfarve3 3 3 6" xfId="2246" xr:uid="{00000000-0005-0000-0000-0000C4210000}"/>
    <cellStyle name="20 % - Markeringsfarve3 3 3 6 2" xfId="2247" xr:uid="{00000000-0005-0000-0000-0000C5210000}"/>
    <cellStyle name="20 % - Markeringsfarve3 3 3 6 2 2" xfId="2248" xr:uid="{00000000-0005-0000-0000-0000C6210000}"/>
    <cellStyle name="20 % - Markeringsfarve3 3 3 6 2 2 2" xfId="8043" xr:uid="{00000000-0005-0000-0000-0000C7210000}"/>
    <cellStyle name="20 % - Markeringsfarve3 3 3 6 2 2 2 2" xfId="15945" xr:uid="{00000000-0005-0000-0000-0000C8210000}"/>
    <cellStyle name="20 % - Markeringsfarve3 3 3 6 2 2 2 2 2" xfId="32260" xr:uid="{00000000-0005-0000-0000-0000C9210000}"/>
    <cellStyle name="20 % - Markeringsfarve3 3 3 6 2 2 2 2 3" xfId="47224" xr:uid="{00000000-0005-0000-0000-0000CA210000}"/>
    <cellStyle name="20 % - Markeringsfarve3 3 3 6 2 2 2 3" xfId="25238" xr:uid="{00000000-0005-0000-0000-0000CB210000}"/>
    <cellStyle name="20 % - Markeringsfarve3 3 3 6 2 2 2 4" xfId="40225" xr:uid="{00000000-0005-0000-0000-0000CC210000}"/>
    <cellStyle name="20 % - Markeringsfarve3 3 3 6 2 2 3" xfId="10808" xr:uid="{00000000-0005-0000-0000-0000CD210000}"/>
    <cellStyle name="20 % - Markeringsfarve3 3 3 6 2 2 3 2" xfId="27128" xr:uid="{00000000-0005-0000-0000-0000CE210000}"/>
    <cellStyle name="20 % - Markeringsfarve3 3 3 6 2 2 3 3" xfId="42094" xr:uid="{00000000-0005-0000-0000-0000CF210000}"/>
    <cellStyle name="20 % - Markeringsfarve3 3 3 6 2 2 4" xfId="20106" xr:uid="{00000000-0005-0000-0000-0000D0210000}"/>
    <cellStyle name="20 % - Markeringsfarve3 3 3 6 2 2 5" xfId="35095" xr:uid="{00000000-0005-0000-0000-0000D1210000}"/>
    <cellStyle name="20 % - Markeringsfarve3 3 3 6 2 3" xfId="6554" xr:uid="{00000000-0005-0000-0000-0000D2210000}"/>
    <cellStyle name="20 % - Markeringsfarve3 3 3 6 2 3 2" xfId="14469" xr:uid="{00000000-0005-0000-0000-0000D3210000}"/>
    <cellStyle name="20 % - Markeringsfarve3 3 3 6 2 3 2 2" xfId="30784" xr:uid="{00000000-0005-0000-0000-0000D4210000}"/>
    <cellStyle name="20 % - Markeringsfarve3 3 3 6 2 3 2 3" xfId="45748" xr:uid="{00000000-0005-0000-0000-0000D5210000}"/>
    <cellStyle name="20 % - Markeringsfarve3 3 3 6 2 3 3" xfId="23762" xr:uid="{00000000-0005-0000-0000-0000D6210000}"/>
    <cellStyle name="20 % - Markeringsfarve3 3 3 6 2 3 4" xfId="38749" xr:uid="{00000000-0005-0000-0000-0000D7210000}"/>
    <cellStyle name="20 % - Markeringsfarve3 3 3 6 2 4" xfId="10807" xr:uid="{00000000-0005-0000-0000-0000D8210000}"/>
    <cellStyle name="20 % - Markeringsfarve3 3 3 6 2 4 2" xfId="27127" xr:uid="{00000000-0005-0000-0000-0000D9210000}"/>
    <cellStyle name="20 % - Markeringsfarve3 3 3 6 2 4 3" xfId="42093" xr:uid="{00000000-0005-0000-0000-0000DA210000}"/>
    <cellStyle name="20 % - Markeringsfarve3 3 3 6 2 5" xfId="20105" xr:uid="{00000000-0005-0000-0000-0000DB210000}"/>
    <cellStyle name="20 % - Markeringsfarve3 3 3 6 2 6" xfId="35094" xr:uid="{00000000-0005-0000-0000-0000DC210000}"/>
    <cellStyle name="20 % - Markeringsfarve3 3 3 6 3" xfId="2249" xr:uid="{00000000-0005-0000-0000-0000DD210000}"/>
    <cellStyle name="20 % - Markeringsfarve3 3 3 6 3 2" xfId="7320" xr:uid="{00000000-0005-0000-0000-0000DE210000}"/>
    <cellStyle name="20 % - Markeringsfarve3 3 3 6 3 2 2" xfId="15231" xr:uid="{00000000-0005-0000-0000-0000DF210000}"/>
    <cellStyle name="20 % - Markeringsfarve3 3 3 6 3 2 2 2" xfId="31546" xr:uid="{00000000-0005-0000-0000-0000E0210000}"/>
    <cellStyle name="20 % - Markeringsfarve3 3 3 6 3 2 2 3" xfId="46510" xr:uid="{00000000-0005-0000-0000-0000E1210000}"/>
    <cellStyle name="20 % - Markeringsfarve3 3 3 6 3 2 3" xfId="24524" xr:uid="{00000000-0005-0000-0000-0000E2210000}"/>
    <cellStyle name="20 % - Markeringsfarve3 3 3 6 3 2 4" xfId="39511" xr:uid="{00000000-0005-0000-0000-0000E3210000}"/>
    <cellStyle name="20 % - Markeringsfarve3 3 3 6 3 3" xfId="10809" xr:uid="{00000000-0005-0000-0000-0000E4210000}"/>
    <cellStyle name="20 % - Markeringsfarve3 3 3 6 3 3 2" xfId="27129" xr:uid="{00000000-0005-0000-0000-0000E5210000}"/>
    <cellStyle name="20 % - Markeringsfarve3 3 3 6 3 3 3" xfId="42095" xr:uid="{00000000-0005-0000-0000-0000E6210000}"/>
    <cellStyle name="20 % - Markeringsfarve3 3 3 6 3 4" xfId="20107" xr:uid="{00000000-0005-0000-0000-0000E7210000}"/>
    <cellStyle name="20 % - Markeringsfarve3 3 3 6 3 5" xfId="35096" xr:uid="{00000000-0005-0000-0000-0000E8210000}"/>
    <cellStyle name="20 % - Markeringsfarve3 3 3 6 4" xfId="2250" xr:uid="{00000000-0005-0000-0000-0000E9210000}"/>
    <cellStyle name="20 % - Markeringsfarve3 3 3 6 4 2" xfId="7044" xr:uid="{00000000-0005-0000-0000-0000EA210000}"/>
    <cellStyle name="20 % - Markeringsfarve3 3 3 6 4 2 2" xfId="14955" xr:uid="{00000000-0005-0000-0000-0000EB210000}"/>
    <cellStyle name="20 % - Markeringsfarve3 3 3 6 4 2 2 2" xfId="31270" xr:uid="{00000000-0005-0000-0000-0000EC210000}"/>
    <cellStyle name="20 % - Markeringsfarve3 3 3 6 4 2 2 3" xfId="46234" xr:uid="{00000000-0005-0000-0000-0000ED210000}"/>
    <cellStyle name="20 % - Markeringsfarve3 3 3 6 4 2 3" xfId="24248" xr:uid="{00000000-0005-0000-0000-0000EE210000}"/>
    <cellStyle name="20 % - Markeringsfarve3 3 3 6 4 2 4" xfId="39235" xr:uid="{00000000-0005-0000-0000-0000EF210000}"/>
    <cellStyle name="20 % - Markeringsfarve3 3 3 6 4 3" xfId="10810" xr:uid="{00000000-0005-0000-0000-0000F0210000}"/>
    <cellStyle name="20 % - Markeringsfarve3 3 3 6 4 3 2" xfId="27130" xr:uid="{00000000-0005-0000-0000-0000F1210000}"/>
    <cellStyle name="20 % - Markeringsfarve3 3 3 6 4 3 3" xfId="42096" xr:uid="{00000000-0005-0000-0000-0000F2210000}"/>
    <cellStyle name="20 % - Markeringsfarve3 3 3 6 4 4" xfId="20108" xr:uid="{00000000-0005-0000-0000-0000F3210000}"/>
    <cellStyle name="20 % - Markeringsfarve3 3 3 6 4 5" xfId="35097" xr:uid="{00000000-0005-0000-0000-0000F4210000}"/>
    <cellStyle name="20 % - Markeringsfarve3 3 3 6 5" xfId="5493" xr:uid="{00000000-0005-0000-0000-0000F5210000}"/>
    <cellStyle name="20 % - Markeringsfarve3 3 3 6 5 2" xfId="13412" xr:uid="{00000000-0005-0000-0000-0000F6210000}"/>
    <cellStyle name="20 % - Markeringsfarve3 3 3 6 5 2 2" xfId="29727" xr:uid="{00000000-0005-0000-0000-0000F7210000}"/>
    <cellStyle name="20 % - Markeringsfarve3 3 3 6 5 2 3" xfId="44691" xr:uid="{00000000-0005-0000-0000-0000F8210000}"/>
    <cellStyle name="20 % - Markeringsfarve3 3 3 6 5 3" xfId="22705" xr:uid="{00000000-0005-0000-0000-0000F9210000}"/>
    <cellStyle name="20 % - Markeringsfarve3 3 3 6 5 4" xfId="37692" xr:uid="{00000000-0005-0000-0000-0000FA210000}"/>
    <cellStyle name="20 % - Markeringsfarve3 3 3 6 6" xfId="10806" xr:uid="{00000000-0005-0000-0000-0000FB210000}"/>
    <cellStyle name="20 % - Markeringsfarve3 3 3 6 6 2" xfId="27126" xr:uid="{00000000-0005-0000-0000-0000FC210000}"/>
    <cellStyle name="20 % - Markeringsfarve3 3 3 6 6 3" xfId="42092" xr:uid="{00000000-0005-0000-0000-0000FD210000}"/>
    <cellStyle name="20 % - Markeringsfarve3 3 3 6 7" xfId="20104" xr:uid="{00000000-0005-0000-0000-0000FE210000}"/>
    <cellStyle name="20 % - Markeringsfarve3 3 3 6 8" xfId="35093" xr:uid="{00000000-0005-0000-0000-0000FF210000}"/>
    <cellStyle name="20 % - Markeringsfarve3 3 3 7" xfId="2251" xr:uid="{00000000-0005-0000-0000-000000220000}"/>
    <cellStyle name="20 % - Markeringsfarve3 3 3 7 2" xfId="2252" xr:uid="{00000000-0005-0000-0000-000001220000}"/>
    <cellStyle name="20 % - Markeringsfarve3 3 3 7 2 2" xfId="7524" xr:uid="{00000000-0005-0000-0000-000002220000}"/>
    <cellStyle name="20 % - Markeringsfarve3 3 3 7 2 2 2" xfId="15426" xr:uid="{00000000-0005-0000-0000-000003220000}"/>
    <cellStyle name="20 % - Markeringsfarve3 3 3 7 2 2 2 2" xfId="31741" xr:uid="{00000000-0005-0000-0000-000004220000}"/>
    <cellStyle name="20 % - Markeringsfarve3 3 3 7 2 2 2 3" xfId="46705" xr:uid="{00000000-0005-0000-0000-000005220000}"/>
    <cellStyle name="20 % - Markeringsfarve3 3 3 7 2 2 3" xfId="24719" xr:uid="{00000000-0005-0000-0000-000006220000}"/>
    <cellStyle name="20 % - Markeringsfarve3 3 3 7 2 2 4" xfId="39706" xr:uid="{00000000-0005-0000-0000-000007220000}"/>
    <cellStyle name="20 % - Markeringsfarve3 3 3 7 2 3" xfId="10812" xr:uid="{00000000-0005-0000-0000-000008220000}"/>
    <cellStyle name="20 % - Markeringsfarve3 3 3 7 2 3 2" xfId="27132" xr:uid="{00000000-0005-0000-0000-000009220000}"/>
    <cellStyle name="20 % - Markeringsfarve3 3 3 7 2 3 3" xfId="42098" xr:uid="{00000000-0005-0000-0000-00000A220000}"/>
    <cellStyle name="20 % - Markeringsfarve3 3 3 7 2 4" xfId="20110" xr:uid="{00000000-0005-0000-0000-00000B220000}"/>
    <cellStyle name="20 % - Markeringsfarve3 3 3 7 2 5" xfId="35099" xr:uid="{00000000-0005-0000-0000-00000C220000}"/>
    <cellStyle name="20 % - Markeringsfarve3 3 3 7 3" xfId="6112" xr:uid="{00000000-0005-0000-0000-00000D220000}"/>
    <cellStyle name="20 % - Markeringsfarve3 3 3 7 3 2" xfId="14030" xr:uid="{00000000-0005-0000-0000-00000E220000}"/>
    <cellStyle name="20 % - Markeringsfarve3 3 3 7 3 2 2" xfId="30345" xr:uid="{00000000-0005-0000-0000-00000F220000}"/>
    <cellStyle name="20 % - Markeringsfarve3 3 3 7 3 2 3" xfId="45309" xr:uid="{00000000-0005-0000-0000-000010220000}"/>
    <cellStyle name="20 % - Markeringsfarve3 3 3 7 3 3" xfId="23323" xr:uid="{00000000-0005-0000-0000-000011220000}"/>
    <cellStyle name="20 % - Markeringsfarve3 3 3 7 3 4" xfId="38310" xr:uid="{00000000-0005-0000-0000-000012220000}"/>
    <cellStyle name="20 % - Markeringsfarve3 3 3 7 4" xfId="10811" xr:uid="{00000000-0005-0000-0000-000013220000}"/>
    <cellStyle name="20 % - Markeringsfarve3 3 3 7 4 2" xfId="27131" xr:uid="{00000000-0005-0000-0000-000014220000}"/>
    <cellStyle name="20 % - Markeringsfarve3 3 3 7 4 3" xfId="42097" xr:uid="{00000000-0005-0000-0000-000015220000}"/>
    <cellStyle name="20 % - Markeringsfarve3 3 3 7 5" xfId="20109" xr:uid="{00000000-0005-0000-0000-000016220000}"/>
    <cellStyle name="20 % - Markeringsfarve3 3 3 7 6" xfId="35098" xr:uid="{00000000-0005-0000-0000-000017220000}"/>
    <cellStyle name="20 % - Markeringsfarve3 3 3 8" xfId="2253" xr:uid="{00000000-0005-0000-0000-000018220000}"/>
    <cellStyle name="20 % - Markeringsfarve3 3 3 8 2" xfId="6752" xr:uid="{00000000-0005-0000-0000-000019220000}"/>
    <cellStyle name="20 % - Markeringsfarve3 3 3 8 2 2" xfId="14664" xr:uid="{00000000-0005-0000-0000-00001A220000}"/>
    <cellStyle name="20 % - Markeringsfarve3 3 3 8 2 2 2" xfId="30979" xr:uid="{00000000-0005-0000-0000-00001B220000}"/>
    <cellStyle name="20 % - Markeringsfarve3 3 3 8 2 2 3" xfId="45943" xr:uid="{00000000-0005-0000-0000-00001C220000}"/>
    <cellStyle name="20 % - Markeringsfarve3 3 3 8 2 3" xfId="23957" xr:uid="{00000000-0005-0000-0000-00001D220000}"/>
    <cellStyle name="20 % - Markeringsfarve3 3 3 8 2 4" xfId="38944" xr:uid="{00000000-0005-0000-0000-00001E220000}"/>
    <cellStyle name="20 % - Markeringsfarve3 3 3 8 3" xfId="10813" xr:uid="{00000000-0005-0000-0000-00001F220000}"/>
    <cellStyle name="20 % - Markeringsfarve3 3 3 8 3 2" xfId="27133" xr:uid="{00000000-0005-0000-0000-000020220000}"/>
    <cellStyle name="20 % - Markeringsfarve3 3 3 8 3 3" xfId="42099" xr:uid="{00000000-0005-0000-0000-000021220000}"/>
    <cellStyle name="20 % - Markeringsfarve3 3 3 8 4" xfId="20111" xr:uid="{00000000-0005-0000-0000-000022220000}"/>
    <cellStyle name="20 % - Markeringsfarve3 3 3 8 5" xfId="35100" xr:uid="{00000000-0005-0000-0000-000023220000}"/>
    <cellStyle name="20 % - Markeringsfarve3 3 3 9" xfId="2254" xr:uid="{00000000-0005-0000-0000-000024220000}"/>
    <cellStyle name="20 % - Markeringsfarve3 3 3 9 2" xfId="8253" xr:uid="{00000000-0005-0000-0000-000025220000}"/>
    <cellStyle name="20 % - Markeringsfarve3 3 3 9 2 2" xfId="16148" xr:uid="{00000000-0005-0000-0000-000026220000}"/>
    <cellStyle name="20 % - Markeringsfarve3 3 3 9 2 2 2" xfId="32463" xr:uid="{00000000-0005-0000-0000-000027220000}"/>
    <cellStyle name="20 % - Markeringsfarve3 3 3 9 2 2 3" xfId="47427" xr:uid="{00000000-0005-0000-0000-000028220000}"/>
    <cellStyle name="20 % - Markeringsfarve3 3 3 9 2 3" xfId="25441" xr:uid="{00000000-0005-0000-0000-000029220000}"/>
    <cellStyle name="20 % - Markeringsfarve3 3 3 9 2 4" xfId="40428" xr:uid="{00000000-0005-0000-0000-00002A220000}"/>
    <cellStyle name="20 % - Markeringsfarve3 3 3 9 3" xfId="10814" xr:uid="{00000000-0005-0000-0000-00002B220000}"/>
    <cellStyle name="20 % - Markeringsfarve3 3 3 9 3 2" xfId="27134" xr:uid="{00000000-0005-0000-0000-00002C220000}"/>
    <cellStyle name="20 % - Markeringsfarve3 3 3 9 3 3" xfId="42100" xr:uid="{00000000-0005-0000-0000-00002D220000}"/>
    <cellStyle name="20 % - Markeringsfarve3 3 3 9 4" xfId="20112" xr:uid="{00000000-0005-0000-0000-00002E220000}"/>
    <cellStyle name="20 % - Markeringsfarve3 3 3 9 5" xfId="35101" xr:uid="{00000000-0005-0000-0000-00002F220000}"/>
    <cellStyle name="20 % - Markeringsfarve3 3 4" xfId="2255" xr:uid="{00000000-0005-0000-0000-000030220000}"/>
    <cellStyle name="20 % - Markeringsfarve3 3 4 2" xfId="2256" xr:uid="{00000000-0005-0000-0000-000031220000}"/>
    <cellStyle name="20 % - Markeringsfarve3 3 4 2 2" xfId="2257" xr:uid="{00000000-0005-0000-0000-000032220000}"/>
    <cellStyle name="20 % - Markeringsfarve3 3 4 2 2 2" xfId="7565" xr:uid="{00000000-0005-0000-0000-000033220000}"/>
    <cellStyle name="20 % - Markeringsfarve3 3 4 2 2 2 2" xfId="15467" xr:uid="{00000000-0005-0000-0000-000034220000}"/>
    <cellStyle name="20 % - Markeringsfarve3 3 4 2 2 2 2 2" xfId="31782" xr:uid="{00000000-0005-0000-0000-000035220000}"/>
    <cellStyle name="20 % - Markeringsfarve3 3 4 2 2 2 2 3" xfId="46746" xr:uid="{00000000-0005-0000-0000-000036220000}"/>
    <cellStyle name="20 % - Markeringsfarve3 3 4 2 2 2 3" xfId="24760" xr:uid="{00000000-0005-0000-0000-000037220000}"/>
    <cellStyle name="20 % - Markeringsfarve3 3 4 2 2 2 4" xfId="39747" xr:uid="{00000000-0005-0000-0000-000038220000}"/>
    <cellStyle name="20 % - Markeringsfarve3 3 4 2 2 3" xfId="10817" xr:uid="{00000000-0005-0000-0000-000039220000}"/>
    <cellStyle name="20 % - Markeringsfarve3 3 4 2 2 3 2" xfId="27137" xr:uid="{00000000-0005-0000-0000-00003A220000}"/>
    <cellStyle name="20 % - Markeringsfarve3 3 4 2 2 3 3" xfId="42103" xr:uid="{00000000-0005-0000-0000-00003B220000}"/>
    <cellStyle name="20 % - Markeringsfarve3 3 4 2 2 4" xfId="20115" xr:uid="{00000000-0005-0000-0000-00003C220000}"/>
    <cellStyle name="20 % - Markeringsfarve3 3 4 2 2 5" xfId="35104" xr:uid="{00000000-0005-0000-0000-00003D220000}"/>
    <cellStyle name="20 % - Markeringsfarve3 3 4 2 3" xfId="6145" xr:uid="{00000000-0005-0000-0000-00003E220000}"/>
    <cellStyle name="20 % - Markeringsfarve3 3 4 2 3 2" xfId="14063" xr:uid="{00000000-0005-0000-0000-00003F220000}"/>
    <cellStyle name="20 % - Markeringsfarve3 3 4 2 3 2 2" xfId="30378" xr:uid="{00000000-0005-0000-0000-000040220000}"/>
    <cellStyle name="20 % - Markeringsfarve3 3 4 2 3 2 3" xfId="45342" xr:uid="{00000000-0005-0000-0000-000041220000}"/>
    <cellStyle name="20 % - Markeringsfarve3 3 4 2 3 3" xfId="23356" xr:uid="{00000000-0005-0000-0000-000042220000}"/>
    <cellStyle name="20 % - Markeringsfarve3 3 4 2 3 4" xfId="38343" xr:uid="{00000000-0005-0000-0000-000043220000}"/>
    <cellStyle name="20 % - Markeringsfarve3 3 4 2 4" xfId="10816" xr:uid="{00000000-0005-0000-0000-000044220000}"/>
    <cellStyle name="20 % - Markeringsfarve3 3 4 2 4 2" xfId="27136" xr:uid="{00000000-0005-0000-0000-000045220000}"/>
    <cellStyle name="20 % - Markeringsfarve3 3 4 2 4 3" xfId="42102" xr:uid="{00000000-0005-0000-0000-000046220000}"/>
    <cellStyle name="20 % - Markeringsfarve3 3 4 2 5" xfId="20114" xr:uid="{00000000-0005-0000-0000-000047220000}"/>
    <cellStyle name="20 % - Markeringsfarve3 3 4 2 6" xfId="35103" xr:uid="{00000000-0005-0000-0000-000048220000}"/>
    <cellStyle name="20 % - Markeringsfarve3 3 4 3" xfId="2258" xr:uid="{00000000-0005-0000-0000-000049220000}"/>
    <cellStyle name="20 % - Markeringsfarve3 3 4 3 2" xfId="6795" xr:uid="{00000000-0005-0000-0000-00004A220000}"/>
    <cellStyle name="20 % - Markeringsfarve3 3 4 3 2 2" xfId="14707" xr:uid="{00000000-0005-0000-0000-00004B220000}"/>
    <cellStyle name="20 % - Markeringsfarve3 3 4 3 2 2 2" xfId="31022" xr:uid="{00000000-0005-0000-0000-00004C220000}"/>
    <cellStyle name="20 % - Markeringsfarve3 3 4 3 2 2 3" xfId="45986" xr:uid="{00000000-0005-0000-0000-00004D220000}"/>
    <cellStyle name="20 % - Markeringsfarve3 3 4 3 2 3" xfId="24000" xr:uid="{00000000-0005-0000-0000-00004E220000}"/>
    <cellStyle name="20 % - Markeringsfarve3 3 4 3 2 4" xfId="38987" xr:uid="{00000000-0005-0000-0000-00004F220000}"/>
    <cellStyle name="20 % - Markeringsfarve3 3 4 3 3" xfId="10818" xr:uid="{00000000-0005-0000-0000-000050220000}"/>
    <cellStyle name="20 % - Markeringsfarve3 3 4 3 3 2" xfId="27138" xr:uid="{00000000-0005-0000-0000-000051220000}"/>
    <cellStyle name="20 % - Markeringsfarve3 3 4 3 3 3" xfId="42104" xr:uid="{00000000-0005-0000-0000-000052220000}"/>
    <cellStyle name="20 % - Markeringsfarve3 3 4 3 4" xfId="20116" xr:uid="{00000000-0005-0000-0000-000053220000}"/>
    <cellStyle name="20 % - Markeringsfarve3 3 4 3 5" xfId="35105" xr:uid="{00000000-0005-0000-0000-000054220000}"/>
    <cellStyle name="20 % - Markeringsfarve3 3 4 4" xfId="2259" xr:uid="{00000000-0005-0000-0000-000055220000}"/>
    <cellStyle name="20 % - Markeringsfarve3 3 4 4 2" xfId="8737" xr:uid="{00000000-0005-0000-0000-000056220000}"/>
    <cellStyle name="20 % - Markeringsfarve3 3 4 4 2 2" xfId="16614" xr:uid="{00000000-0005-0000-0000-000057220000}"/>
    <cellStyle name="20 % - Markeringsfarve3 3 4 4 2 2 2" xfId="32929" xr:uid="{00000000-0005-0000-0000-000058220000}"/>
    <cellStyle name="20 % - Markeringsfarve3 3 4 4 2 2 3" xfId="47893" xr:uid="{00000000-0005-0000-0000-000059220000}"/>
    <cellStyle name="20 % - Markeringsfarve3 3 4 4 2 3" xfId="25907" xr:uid="{00000000-0005-0000-0000-00005A220000}"/>
    <cellStyle name="20 % - Markeringsfarve3 3 4 4 2 4" xfId="40894" xr:uid="{00000000-0005-0000-0000-00005B220000}"/>
    <cellStyle name="20 % - Markeringsfarve3 3 4 4 3" xfId="10819" xr:uid="{00000000-0005-0000-0000-00005C220000}"/>
    <cellStyle name="20 % - Markeringsfarve3 3 4 4 3 2" xfId="27139" xr:uid="{00000000-0005-0000-0000-00005D220000}"/>
    <cellStyle name="20 % - Markeringsfarve3 3 4 4 3 3" xfId="42105" xr:uid="{00000000-0005-0000-0000-00005E220000}"/>
    <cellStyle name="20 % - Markeringsfarve3 3 4 4 4" xfId="20117" xr:uid="{00000000-0005-0000-0000-00005F220000}"/>
    <cellStyle name="20 % - Markeringsfarve3 3 4 4 5" xfId="35106" xr:uid="{00000000-0005-0000-0000-000060220000}"/>
    <cellStyle name="20 % - Markeringsfarve3 3 4 5" xfId="5494" xr:uid="{00000000-0005-0000-0000-000061220000}"/>
    <cellStyle name="20 % - Markeringsfarve3 3 4 5 2" xfId="13413" xr:uid="{00000000-0005-0000-0000-000062220000}"/>
    <cellStyle name="20 % - Markeringsfarve3 3 4 5 2 2" xfId="29728" xr:uid="{00000000-0005-0000-0000-000063220000}"/>
    <cellStyle name="20 % - Markeringsfarve3 3 4 5 2 3" xfId="44692" xr:uid="{00000000-0005-0000-0000-000064220000}"/>
    <cellStyle name="20 % - Markeringsfarve3 3 4 5 3" xfId="22706" xr:uid="{00000000-0005-0000-0000-000065220000}"/>
    <cellStyle name="20 % - Markeringsfarve3 3 4 5 4" xfId="37693" xr:uid="{00000000-0005-0000-0000-000066220000}"/>
    <cellStyle name="20 % - Markeringsfarve3 3 4 6" xfId="10815" xr:uid="{00000000-0005-0000-0000-000067220000}"/>
    <cellStyle name="20 % - Markeringsfarve3 3 4 6 2" xfId="27135" xr:uid="{00000000-0005-0000-0000-000068220000}"/>
    <cellStyle name="20 % - Markeringsfarve3 3 4 6 3" xfId="42101" xr:uid="{00000000-0005-0000-0000-000069220000}"/>
    <cellStyle name="20 % - Markeringsfarve3 3 4 7" xfId="20113" xr:uid="{00000000-0005-0000-0000-00006A220000}"/>
    <cellStyle name="20 % - Markeringsfarve3 3 4 8" xfId="35102" xr:uid="{00000000-0005-0000-0000-00006B220000}"/>
    <cellStyle name="20 % - Markeringsfarve3 3 5" xfId="2260" xr:uid="{00000000-0005-0000-0000-00006C220000}"/>
    <cellStyle name="20 % - Markeringsfarve3 3 5 2" xfId="2261" xr:uid="{00000000-0005-0000-0000-00006D220000}"/>
    <cellStyle name="20 % - Markeringsfarve3 3 5 2 2" xfId="2262" xr:uid="{00000000-0005-0000-0000-00006E220000}"/>
    <cellStyle name="20 % - Markeringsfarve3 3 5 2 2 2" xfId="7686" xr:uid="{00000000-0005-0000-0000-00006F220000}"/>
    <cellStyle name="20 % - Markeringsfarve3 3 5 2 2 2 2" xfId="15588" xr:uid="{00000000-0005-0000-0000-000070220000}"/>
    <cellStyle name="20 % - Markeringsfarve3 3 5 2 2 2 2 2" xfId="31903" xr:uid="{00000000-0005-0000-0000-000071220000}"/>
    <cellStyle name="20 % - Markeringsfarve3 3 5 2 2 2 2 3" xfId="46867" xr:uid="{00000000-0005-0000-0000-000072220000}"/>
    <cellStyle name="20 % - Markeringsfarve3 3 5 2 2 2 3" xfId="24881" xr:uid="{00000000-0005-0000-0000-000073220000}"/>
    <cellStyle name="20 % - Markeringsfarve3 3 5 2 2 2 4" xfId="39868" xr:uid="{00000000-0005-0000-0000-000074220000}"/>
    <cellStyle name="20 % - Markeringsfarve3 3 5 2 2 3" xfId="10822" xr:uid="{00000000-0005-0000-0000-000075220000}"/>
    <cellStyle name="20 % - Markeringsfarve3 3 5 2 2 3 2" xfId="27142" xr:uid="{00000000-0005-0000-0000-000076220000}"/>
    <cellStyle name="20 % - Markeringsfarve3 3 5 2 2 3 3" xfId="42108" xr:uid="{00000000-0005-0000-0000-000077220000}"/>
    <cellStyle name="20 % - Markeringsfarve3 3 5 2 2 4" xfId="20120" xr:uid="{00000000-0005-0000-0000-000078220000}"/>
    <cellStyle name="20 % - Markeringsfarve3 3 5 2 2 5" xfId="35109" xr:uid="{00000000-0005-0000-0000-000079220000}"/>
    <cellStyle name="20 % - Markeringsfarve3 3 5 2 3" xfId="6250" xr:uid="{00000000-0005-0000-0000-00007A220000}"/>
    <cellStyle name="20 % - Markeringsfarve3 3 5 2 3 2" xfId="14168" xr:uid="{00000000-0005-0000-0000-00007B220000}"/>
    <cellStyle name="20 % - Markeringsfarve3 3 5 2 3 2 2" xfId="30483" xr:uid="{00000000-0005-0000-0000-00007C220000}"/>
    <cellStyle name="20 % - Markeringsfarve3 3 5 2 3 2 3" xfId="45447" xr:uid="{00000000-0005-0000-0000-00007D220000}"/>
    <cellStyle name="20 % - Markeringsfarve3 3 5 2 3 3" xfId="23461" xr:uid="{00000000-0005-0000-0000-00007E220000}"/>
    <cellStyle name="20 % - Markeringsfarve3 3 5 2 3 4" xfId="38448" xr:uid="{00000000-0005-0000-0000-00007F220000}"/>
    <cellStyle name="20 % - Markeringsfarve3 3 5 2 4" xfId="10821" xr:uid="{00000000-0005-0000-0000-000080220000}"/>
    <cellStyle name="20 % - Markeringsfarve3 3 5 2 4 2" xfId="27141" xr:uid="{00000000-0005-0000-0000-000081220000}"/>
    <cellStyle name="20 % - Markeringsfarve3 3 5 2 4 3" xfId="42107" xr:uid="{00000000-0005-0000-0000-000082220000}"/>
    <cellStyle name="20 % - Markeringsfarve3 3 5 2 5" xfId="20119" xr:uid="{00000000-0005-0000-0000-000083220000}"/>
    <cellStyle name="20 % - Markeringsfarve3 3 5 2 6" xfId="35108" xr:uid="{00000000-0005-0000-0000-000084220000}"/>
    <cellStyle name="20 % - Markeringsfarve3 3 5 3" xfId="2263" xr:uid="{00000000-0005-0000-0000-000085220000}"/>
    <cellStyle name="20 % - Markeringsfarve3 3 5 3 2" xfId="6916" xr:uid="{00000000-0005-0000-0000-000086220000}"/>
    <cellStyle name="20 % - Markeringsfarve3 3 5 3 2 2" xfId="14828" xr:uid="{00000000-0005-0000-0000-000087220000}"/>
    <cellStyle name="20 % - Markeringsfarve3 3 5 3 2 2 2" xfId="31143" xr:uid="{00000000-0005-0000-0000-000088220000}"/>
    <cellStyle name="20 % - Markeringsfarve3 3 5 3 2 2 3" xfId="46107" xr:uid="{00000000-0005-0000-0000-000089220000}"/>
    <cellStyle name="20 % - Markeringsfarve3 3 5 3 2 3" xfId="24121" xr:uid="{00000000-0005-0000-0000-00008A220000}"/>
    <cellStyle name="20 % - Markeringsfarve3 3 5 3 2 4" xfId="39108" xr:uid="{00000000-0005-0000-0000-00008B220000}"/>
    <cellStyle name="20 % - Markeringsfarve3 3 5 3 3" xfId="10823" xr:uid="{00000000-0005-0000-0000-00008C220000}"/>
    <cellStyle name="20 % - Markeringsfarve3 3 5 3 3 2" xfId="27143" xr:uid="{00000000-0005-0000-0000-00008D220000}"/>
    <cellStyle name="20 % - Markeringsfarve3 3 5 3 3 3" xfId="42109" xr:uid="{00000000-0005-0000-0000-00008E220000}"/>
    <cellStyle name="20 % - Markeringsfarve3 3 5 3 4" xfId="20121" xr:uid="{00000000-0005-0000-0000-00008F220000}"/>
    <cellStyle name="20 % - Markeringsfarve3 3 5 3 5" xfId="35110" xr:uid="{00000000-0005-0000-0000-000090220000}"/>
    <cellStyle name="20 % - Markeringsfarve3 3 5 4" xfId="2264" xr:uid="{00000000-0005-0000-0000-000091220000}"/>
    <cellStyle name="20 % - Markeringsfarve3 3 5 4 2" xfId="8462" xr:uid="{00000000-0005-0000-0000-000092220000}"/>
    <cellStyle name="20 % - Markeringsfarve3 3 5 4 2 2" xfId="16352" xr:uid="{00000000-0005-0000-0000-000093220000}"/>
    <cellStyle name="20 % - Markeringsfarve3 3 5 4 2 2 2" xfId="32667" xr:uid="{00000000-0005-0000-0000-000094220000}"/>
    <cellStyle name="20 % - Markeringsfarve3 3 5 4 2 2 3" xfId="47631" xr:uid="{00000000-0005-0000-0000-000095220000}"/>
    <cellStyle name="20 % - Markeringsfarve3 3 5 4 2 3" xfId="25645" xr:uid="{00000000-0005-0000-0000-000096220000}"/>
    <cellStyle name="20 % - Markeringsfarve3 3 5 4 2 4" xfId="40632" xr:uid="{00000000-0005-0000-0000-000097220000}"/>
    <cellStyle name="20 % - Markeringsfarve3 3 5 4 3" xfId="10824" xr:uid="{00000000-0005-0000-0000-000098220000}"/>
    <cellStyle name="20 % - Markeringsfarve3 3 5 4 3 2" xfId="27144" xr:uid="{00000000-0005-0000-0000-000099220000}"/>
    <cellStyle name="20 % - Markeringsfarve3 3 5 4 3 3" xfId="42110" xr:uid="{00000000-0005-0000-0000-00009A220000}"/>
    <cellStyle name="20 % - Markeringsfarve3 3 5 4 4" xfId="20122" xr:uid="{00000000-0005-0000-0000-00009B220000}"/>
    <cellStyle name="20 % - Markeringsfarve3 3 5 4 5" xfId="35111" xr:uid="{00000000-0005-0000-0000-00009C220000}"/>
    <cellStyle name="20 % - Markeringsfarve3 3 5 5" xfId="5495" xr:uid="{00000000-0005-0000-0000-00009D220000}"/>
    <cellStyle name="20 % - Markeringsfarve3 3 5 5 2" xfId="13414" xr:uid="{00000000-0005-0000-0000-00009E220000}"/>
    <cellStyle name="20 % - Markeringsfarve3 3 5 5 2 2" xfId="29729" xr:uid="{00000000-0005-0000-0000-00009F220000}"/>
    <cellStyle name="20 % - Markeringsfarve3 3 5 5 2 3" xfId="44693" xr:uid="{00000000-0005-0000-0000-0000A0220000}"/>
    <cellStyle name="20 % - Markeringsfarve3 3 5 5 3" xfId="22707" xr:uid="{00000000-0005-0000-0000-0000A1220000}"/>
    <cellStyle name="20 % - Markeringsfarve3 3 5 5 4" xfId="37694" xr:uid="{00000000-0005-0000-0000-0000A2220000}"/>
    <cellStyle name="20 % - Markeringsfarve3 3 5 6" xfId="10820" xr:uid="{00000000-0005-0000-0000-0000A3220000}"/>
    <cellStyle name="20 % - Markeringsfarve3 3 5 6 2" xfId="27140" xr:uid="{00000000-0005-0000-0000-0000A4220000}"/>
    <cellStyle name="20 % - Markeringsfarve3 3 5 6 3" xfId="42106" xr:uid="{00000000-0005-0000-0000-0000A5220000}"/>
    <cellStyle name="20 % - Markeringsfarve3 3 5 7" xfId="20118" xr:uid="{00000000-0005-0000-0000-0000A6220000}"/>
    <cellStyle name="20 % - Markeringsfarve3 3 5 8" xfId="35107" xr:uid="{00000000-0005-0000-0000-0000A7220000}"/>
    <cellStyle name="20 % - Markeringsfarve3 3 6" xfId="2265" xr:uid="{00000000-0005-0000-0000-0000A8220000}"/>
    <cellStyle name="20 % - Markeringsfarve3 3 6 2" xfId="2266" xr:uid="{00000000-0005-0000-0000-0000A9220000}"/>
    <cellStyle name="20 % - Markeringsfarve3 3 6 2 2" xfId="2267" xr:uid="{00000000-0005-0000-0000-0000AA220000}"/>
    <cellStyle name="20 % - Markeringsfarve3 3 6 2 2 2" xfId="7803" xr:uid="{00000000-0005-0000-0000-0000AB220000}"/>
    <cellStyle name="20 % - Markeringsfarve3 3 6 2 2 2 2" xfId="15705" xr:uid="{00000000-0005-0000-0000-0000AC220000}"/>
    <cellStyle name="20 % - Markeringsfarve3 3 6 2 2 2 2 2" xfId="32020" xr:uid="{00000000-0005-0000-0000-0000AD220000}"/>
    <cellStyle name="20 % - Markeringsfarve3 3 6 2 2 2 2 3" xfId="46984" xr:uid="{00000000-0005-0000-0000-0000AE220000}"/>
    <cellStyle name="20 % - Markeringsfarve3 3 6 2 2 2 3" xfId="24998" xr:uid="{00000000-0005-0000-0000-0000AF220000}"/>
    <cellStyle name="20 % - Markeringsfarve3 3 6 2 2 2 4" xfId="39985" xr:uid="{00000000-0005-0000-0000-0000B0220000}"/>
    <cellStyle name="20 % - Markeringsfarve3 3 6 2 2 3" xfId="10827" xr:uid="{00000000-0005-0000-0000-0000B1220000}"/>
    <cellStyle name="20 % - Markeringsfarve3 3 6 2 2 3 2" xfId="27147" xr:uid="{00000000-0005-0000-0000-0000B2220000}"/>
    <cellStyle name="20 % - Markeringsfarve3 3 6 2 2 3 3" xfId="42113" xr:uid="{00000000-0005-0000-0000-0000B3220000}"/>
    <cellStyle name="20 % - Markeringsfarve3 3 6 2 2 4" xfId="20125" xr:uid="{00000000-0005-0000-0000-0000B4220000}"/>
    <cellStyle name="20 % - Markeringsfarve3 3 6 2 2 5" xfId="35114" xr:uid="{00000000-0005-0000-0000-0000B5220000}"/>
    <cellStyle name="20 % - Markeringsfarve3 3 6 2 3" xfId="6347" xr:uid="{00000000-0005-0000-0000-0000B6220000}"/>
    <cellStyle name="20 % - Markeringsfarve3 3 6 2 3 2" xfId="14262" xr:uid="{00000000-0005-0000-0000-0000B7220000}"/>
    <cellStyle name="20 % - Markeringsfarve3 3 6 2 3 2 2" xfId="30577" xr:uid="{00000000-0005-0000-0000-0000B8220000}"/>
    <cellStyle name="20 % - Markeringsfarve3 3 6 2 3 2 3" xfId="45541" xr:uid="{00000000-0005-0000-0000-0000B9220000}"/>
    <cellStyle name="20 % - Markeringsfarve3 3 6 2 3 3" xfId="23555" xr:uid="{00000000-0005-0000-0000-0000BA220000}"/>
    <cellStyle name="20 % - Markeringsfarve3 3 6 2 3 4" xfId="38542" xr:uid="{00000000-0005-0000-0000-0000BB220000}"/>
    <cellStyle name="20 % - Markeringsfarve3 3 6 2 4" xfId="10826" xr:uid="{00000000-0005-0000-0000-0000BC220000}"/>
    <cellStyle name="20 % - Markeringsfarve3 3 6 2 4 2" xfId="27146" xr:uid="{00000000-0005-0000-0000-0000BD220000}"/>
    <cellStyle name="20 % - Markeringsfarve3 3 6 2 4 3" xfId="42112" xr:uid="{00000000-0005-0000-0000-0000BE220000}"/>
    <cellStyle name="20 % - Markeringsfarve3 3 6 2 5" xfId="20124" xr:uid="{00000000-0005-0000-0000-0000BF220000}"/>
    <cellStyle name="20 % - Markeringsfarve3 3 6 2 6" xfId="35113" xr:uid="{00000000-0005-0000-0000-0000C0220000}"/>
    <cellStyle name="20 % - Markeringsfarve3 3 6 3" xfId="2268" xr:uid="{00000000-0005-0000-0000-0000C1220000}"/>
    <cellStyle name="20 % - Markeringsfarve3 3 6 3 2" xfId="7079" xr:uid="{00000000-0005-0000-0000-0000C2220000}"/>
    <cellStyle name="20 % - Markeringsfarve3 3 6 3 2 2" xfId="14990" xr:uid="{00000000-0005-0000-0000-0000C3220000}"/>
    <cellStyle name="20 % - Markeringsfarve3 3 6 3 2 2 2" xfId="31305" xr:uid="{00000000-0005-0000-0000-0000C4220000}"/>
    <cellStyle name="20 % - Markeringsfarve3 3 6 3 2 2 3" xfId="46269" xr:uid="{00000000-0005-0000-0000-0000C5220000}"/>
    <cellStyle name="20 % - Markeringsfarve3 3 6 3 2 3" xfId="24283" xr:uid="{00000000-0005-0000-0000-0000C6220000}"/>
    <cellStyle name="20 % - Markeringsfarve3 3 6 3 2 4" xfId="39270" xr:uid="{00000000-0005-0000-0000-0000C7220000}"/>
    <cellStyle name="20 % - Markeringsfarve3 3 6 3 3" xfId="10828" xr:uid="{00000000-0005-0000-0000-0000C8220000}"/>
    <cellStyle name="20 % - Markeringsfarve3 3 6 3 3 2" xfId="27148" xr:uid="{00000000-0005-0000-0000-0000C9220000}"/>
    <cellStyle name="20 % - Markeringsfarve3 3 6 3 3 3" xfId="42114" xr:uid="{00000000-0005-0000-0000-0000CA220000}"/>
    <cellStyle name="20 % - Markeringsfarve3 3 6 3 4" xfId="20126" xr:uid="{00000000-0005-0000-0000-0000CB220000}"/>
    <cellStyle name="20 % - Markeringsfarve3 3 6 3 5" xfId="35115" xr:uid="{00000000-0005-0000-0000-0000CC220000}"/>
    <cellStyle name="20 % - Markeringsfarve3 3 6 4" xfId="2269" xr:uid="{00000000-0005-0000-0000-0000CD220000}"/>
    <cellStyle name="20 % - Markeringsfarve3 3 6 4 2" xfId="8736" xr:uid="{00000000-0005-0000-0000-0000CE220000}"/>
    <cellStyle name="20 % - Markeringsfarve3 3 6 4 2 2" xfId="16613" xr:uid="{00000000-0005-0000-0000-0000CF220000}"/>
    <cellStyle name="20 % - Markeringsfarve3 3 6 4 2 2 2" xfId="32928" xr:uid="{00000000-0005-0000-0000-0000D0220000}"/>
    <cellStyle name="20 % - Markeringsfarve3 3 6 4 2 2 3" xfId="47892" xr:uid="{00000000-0005-0000-0000-0000D1220000}"/>
    <cellStyle name="20 % - Markeringsfarve3 3 6 4 2 3" xfId="25906" xr:uid="{00000000-0005-0000-0000-0000D2220000}"/>
    <cellStyle name="20 % - Markeringsfarve3 3 6 4 2 4" xfId="40893" xr:uid="{00000000-0005-0000-0000-0000D3220000}"/>
    <cellStyle name="20 % - Markeringsfarve3 3 6 4 3" xfId="10829" xr:uid="{00000000-0005-0000-0000-0000D4220000}"/>
    <cellStyle name="20 % - Markeringsfarve3 3 6 4 3 2" xfId="27149" xr:uid="{00000000-0005-0000-0000-0000D5220000}"/>
    <cellStyle name="20 % - Markeringsfarve3 3 6 4 3 3" xfId="42115" xr:uid="{00000000-0005-0000-0000-0000D6220000}"/>
    <cellStyle name="20 % - Markeringsfarve3 3 6 4 4" xfId="20127" xr:uid="{00000000-0005-0000-0000-0000D7220000}"/>
    <cellStyle name="20 % - Markeringsfarve3 3 6 4 5" xfId="35116" xr:uid="{00000000-0005-0000-0000-0000D8220000}"/>
    <cellStyle name="20 % - Markeringsfarve3 3 6 5" xfId="5496" xr:uid="{00000000-0005-0000-0000-0000D9220000}"/>
    <cellStyle name="20 % - Markeringsfarve3 3 6 5 2" xfId="13415" xr:uid="{00000000-0005-0000-0000-0000DA220000}"/>
    <cellStyle name="20 % - Markeringsfarve3 3 6 5 2 2" xfId="29730" xr:uid="{00000000-0005-0000-0000-0000DB220000}"/>
    <cellStyle name="20 % - Markeringsfarve3 3 6 5 2 3" xfId="44694" xr:uid="{00000000-0005-0000-0000-0000DC220000}"/>
    <cellStyle name="20 % - Markeringsfarve3 3 6 5 3" xfId="22708" xr:uid="{00000000-0005-0000-0000-0000DD220000}"/>
    <cellStyle name="20 % - Markeringsfarve3 3 6 5 4" xfId="37695" xr:uid="{00000000-0005-0000-0000-0000DE220000}"/>
    <cellStyle name="20 % - Markeringsfarve3 3 6 6" xfId="10825" xr:uid="{00000000-0005-0000-0000-0000DF220000}"/>
    <cellStyle name="20 % - Markeringsfarve3 3 6 6 2" xfId="27145" xr:uid="{00000000-0005-0000-0000-0000E0220000}"/>
    <cellStyle name="20 % - Markeringsfarve3 3 6 6 3" xfId="42111" xr:uid="{00000000-0005-0000-0000-0000E1220000}"/>
    <cellStyle name="20 % - Markeringsfarve3 3 6 7" xfId="20123" xr:uid="{00000000-0005-0000-0000-0000E2220000}"/>
    <cellStyle name="20 % - Markeringsfarve3 3 6 8" xfId="35112" xr:uid="{00000000-0005-0000-0000-0000E3220000}"/>
    <cellStyle name="20 % - Markeringsfarve3 3 7" xfId="2270" xr:uid="{00000000-0005-0000-0000-0000E4220000}"/>
    <cellStyle name="20 % - Markeringsfarve3 3 7 2" xfId="2271" xr:uid="{00000000-0005-0000-0000-0000E5220000}"/>
    <cellStyle name="20 % - Markeringsfarve3 3 7 2 2" xfId="2272" xr:uid="{00000000-0005-0000-0000-0000E6220000}"/>
    <cellStyle name="20 % - Markeringsfarve3 3 7 2 2 2" xfId="7920" xr:uid="{00000000-0005-0000-0000-0000E7220000}"/>
    <cellStyle name="20 % - Markeringsfarve3 3 7 2 2 2 2" xfId="15822" xr:uid="{00000000-0005-0000-0000-0000E8220000}"/>
    <cellStyle name="20 % - Markeringsfarve3 3 7 2 2 2 2 2" xfId="32137" xr:uid="{00000000-0005-0000-0000-0000E9220000}"/>
    <cellStyle name="20 % - Markeringsfarve3 3 7 2 2 2 2 3" xfId="47101" xr:uid="{00000000-0005-0000-0000-0000EA220000}"/>
    <cellStyle name="20 % - Markeringsfarve3 3 7 2 2 2 3" xfId="25115" xr:uid="{00000000-0005-0000-0000-0000EB220000}"/>
    <cellStyle name="20 % - Markeringsfarve3 3 7 2 2 2 4" xfId="40102" xr:uid="{00000000-0005-0000-0000-0000EC220000}"/>
    <cellStyle name="20 % - Markeringsfarve3 3 7 2 2 3" xfId="10832" xr:uid="{00000000-0005-0000-0000-0000ED220000}"/>
    <cellStyle name="20 % - Markeringsfarve3 3 7 2 2 3 2" xfId="27152" xr:uid="{00000000-0005-0000-0000-0000EE220000}"/>
    <cellStyle name="20 % - Markeringsfarve3 3 7 2 2 3 3" xfId="42118" xr:uid="{00000000-0005-0000-0000-0000EF220000}"/>
    <cellStyle name="20 % - Markeringsfarve3 3 7 2 2 4" xfId="20130" xr:uid="{00000000-0005-0000-0000-0000F0220000}"/>
    <cellStyle name="20 % - Markeringsfarve3 3 7 2 2 5" xfId="35119" xr:uid="{00000000-0005-0000-0000-0000F1220000}"/>
    <cellStyle name="20 % - Markeringsfarve3 3 7 2 3" xfId="6446" xr:uid="{00000000-0005-0000-0000-0000F2220000}"/>
    <cellStyle name="20 % - Markeringsfarve3 3 7 2 3 2" xfId="14361" xr:uid="{00000000-0005-0000-0000-0000F3220000}"/>
    <cellStyle name="20 % - Markeringsfarve3 3 7 2 3 2 2" xfId="30676" xr:uid="{00000000-0005-0000-0000-0000F4220000}"/>
    <cellStyle name="20 % - Markeringsfarve3 3 7 2 3 2 3" xfId="45640" xr:uid="{00000000-0005-0000-0000-0000F5220000}"/>
    <cellStyle name="20 % - Markeringsfarve3 3 7 2 3 3" xfId="23654" xr:uid="{00000000-0005-0000-0000-0000F6220000}"/>
    <cellStyle name="20 % - Markeringsfarve3 3 7 2 3 4" xfId="38641" xr:uid="{00000000-0005-0000-0000-0000F7220000}"/>
    <cellStyle name="20 % - Markeringsfarve3 3 7 2 4" xfId="10831" xr:uid="{00000000-0005-0000-0000-0000F8220000}"/>
    <cellStyle name="20 % - Markeringsfarve3 3 7 2 4 2" xfId="27151" xr:uid="{00000000-0005-0000-0000-0000F9220000}"/>
    <cellStyle name="20 % - Markeringsfarve3 3 7 2 4 3" xfId="42117" xr:uid="{00000000-0005-0000-0000-0000FA220000}"/>
    <cellStyle name="20 % - Markeringsfarve3 3 7 2 5" xfId="20129" xr:uid="{00000000-0005-0000-0000-0000FB220000}"/>
    <cellStyle name="20 % - Markeringsfarve3 3 7 2 6" xfId="35118" xr:uid="{00000000-0005-0000-0000-0000FC220000}"/>
    <cellStyle name="20 % - Markeringsfarve3 3 7 3" xfId="2273" xr:uid="{00000000-0005-0000-0000-0000FD220000}"/>
    <cellStyle name="20 % - Markeringsfarve3 3 7 3 2" xfId="7196" xr:uid="{00000000-0005-0000-0000-0000FE220000}"/>
    <cellStyle name="20 % - Markeringsfarve3 3 7 3 2 2" xfId="15107" xr:uid="{00000000-0005-0000-0000-0000FF220000}"/>
    <cellStyle name="20 % - Markeringsfarve3 3 7 3 2 2 2" xfId="31422" xr:uid="{00000000-0005-0000-0000-000000230000}"/>
    <cellStyle name="20 % - Markeringsfarve3 3 7 3 2 2 3" xfId="46386" xr:uid="{00000000-0005-0000-0000-000001230000}"/>
    <cellStyle name="20 % - Markeringsfarve3 3 7 3 2 3" xfId="24400" xr:uid="{00000000-0005-0000-0000-000002230000}"/>
    <cellStyle name="20 % - Markeringsfarve3 3 7 3 2 4" xfId="39387" xr:uid="{00000000-0005-0000-0000-000003230000}"/>
    <cellStyle name="20 % - Markeringsfarve3 3 7 3 3" xfId="10833" xr:uid="{00000000-0005-0000-0000-000004230000}"/>
    <cellStyle name="20 % - Markeringsfarve3 3 7 3 3 2" xfId="27153" xr:uid="{00000000-0005-0000-0000-000005230000}"/>
    <cellStyle name="20 % - Markeringsfarve3 3 7 3 3 3" xfId="42119" xr:uid="{00000000-0005-0000-0000-000006230000}"/>
    <cellStyle name="20 % - Markeringsfarve3 3 7 3 4" xfId="20131" xr:uid="{00000000-0005-0000-0000-000007230000}"/>
    <cellStyle name="20 % - Markeringsfarve3 3 7 3 5" xfId="35120" xr:uid="{00000000-0005-0000-0000-000008230000}"/>
    <cellStyle name="20 % - Markeringsfarve3 3 7 4" xfId="2274" xr:uid="{00000000-0005-0000-0000-000009230000}"/>
    <cellStyle name="20 % - Markeringsfarve3 3 7 4 2" xfId="8461" xr:uid="{00000000-0005-0000-0000-00000A230000}"/>
    <cellStyle name="20 % - Markeringsfarve3 3 7 4 2 2" xfId="16351" xr:uid="{00000000-0005-0000-0000-00000B230000}"/>
    <cellStyle name="20 % - Markeringsfarve3 3 7 4 2 2 2" xfId="32666" xr:uid="{00000000-0005-0000-0000-00000C230000}"/>
    <cellStyle name="20 % - Markeringsfarve3 3 7 4 2 2 3" xfId="47630" xr:uid="{00000000-0005-0000-0000-00000D230000}"/>
    <cellStyle name="20 % - Markeringsfarve3 3 7 4 2 3" xfId="25644" xr:uid="{00000000-0005-0000-0000-00000E230000}"/>
    <cellStyle name="20 % - Markeringsfarve3 3 7 4 2 4" xfId="40631" xr:uid="{00000000-0005-0000-0000-00000F230000}"/>
    <cellStyle name="20 % - Markeringsfarve3 3 7 4 3" xfId="10834" xr:uid="{00000000-0005-0000-0000-000010230000}"/>
    <cellStyle name="20 % - Markeringsfarve3 3 7 4 3 2" xfId="27154" xr:uid="{00000000-0005-0000-0000-000011230000}"/>
    <cellStyle name="20 % - Markeringsfarve3 3 7 4 3 3" xfId="42120" xr:uid="{00000000-0005-0000-0000-000012230000}"/>
    <cellStyle name="20 % - Markeringsfarve3 3 7 4 4" xfId="20132" xr:uid="{00000000-0005-0000-0000-000013230000}"/>
    <cellStyle name="20 % - Markeringsfarve3 3 7 4 5" xfId="35121" xr:uid="{00000000-0005-0000-0000-000014230000}"/>
    <cellStyle name="20 % - Markeringsfarve3 3 7 5" xfId="5497" xr:uid="{00000000-0005-0000-0000-000015230000}"/>
    <cellStyle name="20 % - Markeringsfarve3 3 7 5 2" xfId="13416" xr:uid="{00000000-0005-0000-0000-000016230000}"/>
    <cellStyle name="20 % - Markeringsfarve3 3 7 5 2 2" xfId="29731" xr:uid="{00000000-0005-0000-0000-000017230000}"/>
    <cellStyle name="20 % - Markeringsfarve3 3 7 5 2 3" xfId="44695" xr:uid="{00000000-0005-0000-0000-000018230000}"/>
    <cellStyle name="20 % - Markeringsfarve3 3 7 5 3" xfId="22709" xr:uid="{00000000-0005-0000-0000-000019230000}"/>
    <cellStyle name="20 % - Markeringsfarve3 3 7 5 4" xfId="37696" xr:uid="{00000000-0005-0000-0000-00001A230000}"/>
    <cellStyle name="20 % - Markeringsfarve3 3 7 6" xfId="10830" xr:uid="{00000000-0005-0000-0000-00001B230000}"/>
    <cellStyle name="20 % - Markeringsfarve3 3 7 6 2" xfId="27150" xr:uid="{00000000-0005-0000-0000-00001C230000}"/>
    <cellStyle name="20 % - Markeringsfarve3 3 7 6 3" xfId="42116" xr:uid="{00000000-0005-0000-0000-00001D230000}"/>
    <cellStyle name="20 % - Markeringsfarve3 3 7 7" xfId="20128" xr:uid="{00000000-0005-0000-0000-00001E230000}"/>
    <cellStyle name="20 % - Markeringsfarve3 3 7 8" xfId="35117" xr:uid="{00000000-0005-0000-0000-00001F230000}"/>
    <cellStyle name="20 % - Markeringsfarve3 3 8" xfId="2275" xr:uid="{00000000-0005-0000-0000-000020230000}"/>
    <cellStyle name="20 % - Markeringsfarve3 3 8 2" xfId="2276" xr:uid="{00000000-0005-0000-0000-000021230000}"/>
    <cellStyle name="20 % - Markeringsfarve3 3 8 2 2" xfId="2277" xr:uid="{00000000-0005-0000-0000-000022230000}"/>
    <cellStyle name="20 % - Markeringsfarve3 3 8 2 2 2" xfId="8041" xr:uid="{00000000-0005-0000-0000-000023230000}"/>
    <cellStyle name="20 % - Markeringsfarve3 3 8 2 2 2 2" xfId="15943" xr:uid="{00000000-0005-0000-0000-000024230000}"/>
    <cellStyle name="20 % - Markeringsfarve3 3 8 2 2 2 2 2" xfId="32258" xr:uid="{00000000-0005-0000-0000-000025230000}"/>
    <cellStyle name="20 % - Markeringsfarve3 3 8 2 2 2 2 3" xfId="47222" xr:uid="{00000000-0005-0000-0000-000026230000}"/>
    <cellStyle name="20 % - Markeringsfarve3 3 8 2 2 2 3" xfId="25236" xr:uid="{00000000-0005-0000-0000-000027230000}"/>
    <cellStyle name="20 % - Markeringsfarve3 3 8 2 2 2 4" xfId="40223" xr:uid="{00000000-0005-0000-0000-000028230000}"/>
    <cellStyle name="20 % - Markeringsfarve3 3 8 2 2 3" xfId="10837" xr:uid="{00000000-0005-0000-0000-000029230000}"/>
    <cellStyle name="20 % - Markeringsfarve3 3 8 2 2 3 2" xfId="27157" xr:uid="{00000000-0005-0000-0000-00002A230000}"/>
    <cellStyle name="20 % - Markeringsfarve3 3 8 2 2 3 3" xfId="42123" xr:uid="{00000000-0005-0000-0000-00002B230000}"/>
    <cellStyle name="20 % - Markeringsfarve3 3 8 2 2 4" xfId="20135" xr:uid="{00000000-0005-0000-0000-00002C230000}"/>
    <cellStyle name="20 % - Markeringsfarve3 3 8 2 2 5" xfId="35124" xr:uid="{00000000-0005-0000-0000-00002D230000}"/>
    <cellStyle name="20 % - Markeringsfarve3 3 8 2 3" xfId="6552" xr:uid="{00000000-0005-0000-0000-00002E230000}"/>
    <cellStyle name="20 % - Markeringsfarve3 3 8 2 3 2" xfId="14467" xr:uid="{00000000-0005-0000-0000-00002F230000}"/>
    <cellStyle name="20 % - Markeringsfarve3 3 8 2 3 2 2" xfId="30782" xr:uid="{00000000-0005-0000-0000-000030230000}"/>
    <cellStyle name="20 % - Markeringsfarve3 3 8 2 3 2 3" xfId="45746" xr:uid="{00000000-0005-0000-0000-000031230000}"/>
    <cellStyle name="20 % - Markeringsfarve3 3 8 2 3 3" xfId="23760" xr:uid="{00000000-0005-0000-0000-000032230000}"/>
    <cellStyle name="20 % - Markeringsfarve3 3 8 2 3 4" xfId="38747" xr:uid="{00000000-0005-0000-0000-000033230000}"/>
    <cellStyle name="20 % - Markeringsfarve3 3 8 2 4" xfId="10836" xr:uid="{00000000-0005-0000-0000-000034230000}"/>
    <cellStyle name="20 % - Markeringsfarve3 3 8 2 4 2" xfId="27156" xr:uid="{00000000-0005-0000-0000-000035230000}"/>
    <cellStyle name="20 % - Markeringsfarve3 3 8 2 4 3" xfId="42122" xr:uid="{00000000-0005-0000-0000-000036230000}"/>
    <cellStyle name="20 % - Markeringsfarve3 3 8 2 5" xfId="20134" xr:uid="{00000000-0005-0000-0000-000037230000}"/>
    <cellStyle name="20 % - Markeringsfarve3 3 8 2 6" xfId="35123" xr:uid="{00000000-0005-0000-0000-000038230000}"/>
    <cellStyle name="20 % - Markeringsfarve3 3 8 3" xfId="2278" xr:uid="{00000000-0005-0000-0000-000039230000}"/>
    <cellStyle name="20 % - Markeringsfarve3 3 8 3 2" xfId="7318" xr:uid="{00000000-0005-0000-0000-00003A230000}"/>
    <cellStyle name="20 % - Markeringsfarve3 3 8 3 2 2" xfId="15229" xr:uid="{00000000-0005-0000-0000-00003B230000}"/>
    <cellStyle name="20 % - Markeringsfarve3 3 8 3 2 2 2" xfId="31544" xr:uid="{00000000-0005-0000-0000-00003C230000}"/>
    <cellStyle name="20 % - Markeringsfarve3 3 8 3 2 2 3" xfId="46508" xr:uid="{00000000-0005-0000-0000-00003D230000}"/>
    <cellStyle name="20 % - Markeringsfarve3 3 8 3 2 3" xfId="24522" xr:uid="{00000000-0005-0000-0000-00003E230000}"/>
    <cellStyle name="20 % - Markeringsfarve3 3 8 3 2 4" xfId="39509" xr:uid="{00000000-0005-0000-0000-00003F230000}"/>
    <cellStyle name="20 % - Markeringsfarve3 3 8 3 3" xfId="10838" xr:uid="{00000000-0005-0000-0000-000040230000}"/>
    <cellStyle name="20 % - Markeringsfarve3 3 8 3 3 2" xfId="27158" xr:uid="{00000000-0005-0000-0000-000041230000}"/>
    <cellStyle name="20 % - Markeringsfarve3 3 8 3 3 3" xfId="42124" xr:uid="{00000000-0005-0000-0000-000042230000}"/>
    <cellStyle name="20 % - Markeringsfarve3 3 8 3 4" xfId="20136" xr:uid="{00000000-0005-0000-0000-000043230000}"/>
    <cellStyle name="20 % - Markeringsfarve3 3 8 3 5" xfId="35125" xr:uid="{00000000-0005-0000-0000-000044230000}"/>
    <cellStyle name="20 % - Markeringsfarve3 3 8 4" xfId="2279" xr:uid="{00000000-0005-0000-0000-000045230000}"/>
    <cellStyle name="20 % - Markeringsfarve3 3 8 4 2" xfId="7047" xr:uid="{00000000-0005-0000-0000-000046230000}"/>
    <cellStyle name="20 % - Markeringsfarve3 3 8 4 2 2" xfId="14958" xr:uid="{00000000-0005-0000-0000-000047230000}"/>
    <cellStyle name="20 % - Markeringsfarve3 3 8 4 2 2 2" xfId="31273" xr:uid="{00000000-0005-0000-0000-000048230000}"/>
    <cellStyle name="20 % - Markeringsfarve3 3 8 4 2 2 3" xfId="46237" xr:uid="{00000000-0005-0000-0000-000049230000}"/>
    <cellStyle name="20 % - Markeringsfarve3 3 8 4 2 3" xfId="24251" xr:uid="{00000000-0005-0000-0000-00004A230000}"/>
    <cellStyle name="20 % - Markeringsfarve3 3 8 4 2 4" xfId="39238" xr:uid="{00000000-0005-0000-0000-00004B230000}"/>
    <cellStyle name="20 % - Markeringsfarve3 3 8 4 3" xfId="10839" xr:uid="{00000000-0005-0000-0000-00004C230000}"/>
    <cellStyle name="20 % - Markeringsfarve3 3 8 4 3 2" xfId="27159" xr:uid="{00000000-0005-0000-0000-00004D230000}"/>
    <cellStyle name="20 % - Markeringsfarve3 3 8 4 3 3" xfId="42125" xr:uid="{00000000-0005-0000-0000-00004E230000}"/>
    <cellStyle name="20 % - Markeringsfarve3 3 8 4 4" xfId="20137" xr:uid="{00000000-0005-0000-0000-00004F230000}"/>
    <cellStyle name="20 % - Markeringsfarve3 3 8 4 5" xfId="35126" xr:uid="{00000000-0005-0000-0000-000050230000}"/>
    <cellStyle name="20 % - Markeringsfarve3 3 8 5" xfId="5498" xr:uid="{00000000-0005-0000-0000-000051230000}"/>
    <cellStyle name="20 % - Markeringsfarve3 3 8 5 2" xfId="13417" xr:uid="{00000000-0005-0000-0000-000052230000}"/>
    <cellStyle name="20 % - Markeringsfarve3 3 8 5 2 2" xfId="29732" xr:uid="{00000000-0005-0000-0000-000053230000}"/>
    <cellStyle name="20 % - Markeringsfarve3 3 8 5 2 3" xfId="44696" xr:uid="{00000000-0005-0000-0000-000054230000}"/>
    <cellStyle name="20 % - Markeringsfarve3 3 8 5 3" xfId="22710" xr:uid="{00000000-0005-0000-0000-000055230000}"/>
    <cellStyle name="20 % - Markeringsfarve3 3 8 5 4" xfId="37697" xr:uid="{00000000-0005-0000-0000-000056230000}"/>
    <cellStyle name="20 % - Markeringsfarve3 3 8 6" xfId="10835" xr:uid="{00000000-0005-0000-0000-000057230000}"/>
    <cellStyle name="20 % - Markeringsfarve3 3 8 6 2" xfId="27155" xr:uid="{00000000-0005-0000-0000-000058230000}"/>
    <cellStyle name="20 % - Markeringsfarve3 3 8 6 3" xfId="42121" xr:uid="{00000000-0005-0000-0000-000059230000}"/>
    <cellStyle name="20 % - Markeringsfarve3 3 8 7" xfId="20133" xr:uid="{00000000-0005-0000-0000-00005A230000}"/>
    <cellStyle name="20 % - Markeringsfarve3 3 8 8" xfId="35122" xr:uid="{00000000-0005-0000-0000-00005B230000}"/>
    <cellStyle name="20 % - Markeringsfarve3 3 9" xfId="2280" xr:uid="{00000000-0005-0000-0000-00005C230000}"/>
    <cellStyle name="20 % - Markeringsfarve3 3 9 2" xfId="2281" xr:uid="{00000000-0005-0000-0000-00005D230000}"/>
    <cellStyle name="20 % - Markeringsfarve3 3 9 2 2" xfId="7446" xr:uid="{00000000-0005-0000-0000-00005E230000}"/>
    <cellStyle name="20 % - Markeringsfarve3 3 9 2 2 2" xfId="15348" xr:uid="{00000000-0005-0000-0000-00005F230000}"/>
    <cellStyle name="20 % - Markeringsfarve3 3 9 2 2 2 2" xfId="31663" xr:uid="{00000000-0005-0000-0000-000060230000}"/>
    <cellStyle name="20 % - Markeringsfarve3 3 9 2 2 2 3" xfId="46627" xr:uid="{00000000-0005-0000-0000-000061230000}"/>
    <cellStyle name="20 % - Markeringsfarve3 3 9 2 2 3" xfId="24641" xr:uid="{00000000-0005-0000-0000-000062230000}"/>
    <cellStyle name="20 % - Markeringsfarve3 3 9 2 2 4" xfId="39628" xr:uid="{00000000-0005-0000-0000-000063230000}"/>
    <cellStyle name="20 % - Markeringsfarve3 3 9 2 3" xfId="10841" xr:uid="{00000000-0005-0000-0000-000064230000}"/>
    <cellStyle name="20 % - Markeringsfarve3 3 9 2 3 2" xfId="27161" xr:uid="{00000000-0005-0000-0000-000065230000}"/>
    <cellStyle name="20 % - Markeringsfarve3 3 9 2 3 3" xfId="42127" xr:uid="{00000000-0005-0000-0000-000066230000}"/>
    <cellStyle name="20 % - Markeringsfarve3 3 9 2 4" xfId="20139" xr:uid="{00000000-0005-0000-0000-000067230000}"/>
    <cellStyle name="20 % - Markeringsfarve3 3 9 2 5" xfId="35128" xr:uid="{00000000-0005-0000-0000-000068230000}"/>
    <cellStyle name="20 % - Markeringsfarve3 3 9 3" xfId="6046" xr:uid="{00000000-0005-0000-0000-000069230000}"/>
    <cellStyle name="20 % - Markeringsfarve3 3 9 3 2" xfId="13964" xr:uid="{00000000-0005-0000-0000-00006A230000}"/>
    <cellStyle name="20 % - Markeringsfarve3 3 9 3 2 2" xfId="30279" xr:uid="{00000000-0005-0000-0000-00006B230000}"/>
    <cellStyle name="20 % - Markeringsfarve3 3 9 3 2 3" xfId="45243" xr:uid="{00000000-0005-0000-0000-00006C230000}"/>
    <cellStyle name="20 % - Markeringsfarve3 3 9 3 3" xfId="23257" xr:uid="{00000000-0005-0000-0000-00006D230000}"/>
    <cellStyle name="20 % - Markeringsfarve3 3 9 3 4" xfId="38244" xr:uid="{00000000-0005-0000-0000-00006E230000}"/>
    <cellStyle name="20 % - Markeringsfarve3 3 9 4" xfId="10840" xr:uid="{00000000-0005-0000-0000-00006F230000}"/>
    <cellStyle name="20 % - Markeringsfarve3 3 9 4 2" xfId="27160" xr:uid="{00000000-0005-0000-0000-000070230000}"/>
    <cellStyle name="20 % - Markeringsfarve3 3 9 4 3" xfId="42126" xr:uid="{00000000-0005-0000-0000-000071230000}"/>
    <cellStyle name="20 % - Markeringsfarve3 3 9 5" xfId="20138" xr:uid="{00000000-0005-0000-0000-000072230000}"/>
    <cellStyle name="20 % - Markeringsfarve3 3 9 6" xfId="35127" xr:uid="{00000000-0005-0000-0000-000073230000}"/>
    <cellStyle name="20 % - Markeringsfarve3 4" xfId="2282" xr:uid="{00000000-0005-0000-0000-000074230000}"/>
    <cellStyle name="20 % - Markeringsfarve3 4 10" xfId="5499" xr:uid="{00000000-0005-0000-0000-000075230000}"/>
    <cellStyle name="20 % - Markeringsfarve3 4 10 2" xfId="13418" xr:uid="{00000000-0005-0000-0000-000076230000}"/>
    <cellStyle name="20 % - Markeringsfarve3 4 10 2 2" xfId="29733" xr:uid="{00000000-0005-0000-0000-000077230000}"/>
    <cellStyle name="20 % - Markeringsfarve3 4 10 2 3" xfId="44697" xr:uid="{00000000-0005-0000-0000-000078230000}"/>
    <cellStyle name="20 % - Markeringsfarve3 4 10 3" xfId="22711" xr:uid="{00000000-0005-0000-0000-000079230000}"/>
    <cellStyle name="20 % - Markeringsfarve3 4 10 4" xfId="37698" xr:uid="{00000000-0005-0000-0000-00007A230000}"/>
    <cellStyle name="20 % - Markeringsfarve3 4 11" xfId="10842" xr:uid="{00000000-0005-0000-0000-00007B230000}"/>
    <cellStyle name="20 % - Markeringsfarve3 4 11 2" xfId="27162" xr:uid="{00000000-0005-0000-0000-00007C230000}"/>
    <cellStyle name="20 % - Markeringsfarve3 4 11 3" xfId="42128" xr:uid="{00000000-0005-0000-0000-00007D230000}"/>
    <cellStyle name="20 % - Markeringsfarve3 4 12" xfId="20140" xr:uid="{00000000-0005-0000-0000-00007E230000}"/>
    <cellStyle name="20 % - Markeringsfarve3 4 13" xfId="35129" xr:uid="{00000000-0005-0000-0000-00007F230000}"/>
    <cellStyle name="20 % - Markeringsfarve3 4 14" xfId="53306" xr:uid="{00000000-0005-0000-0000-000080230000}"/>
    <cellStyle name="20 % - Markeringsfarve3 4 2" xfId="2283" xr:uid="{00000000-0005-0000-0000-000081230000}"/>
    <cellStyle name="20 % - Markeringsfarve3 4 2 2" xfId="2284" xr:uid="{00000000-0005-0000-0000-000082230000}"/>
    <cellStyle name="20 % - Markeringsfarve3 4 2 2 2" xfId="2285" xr:uid="{00000000-0005-0000-0000-000083230000}"/>
    <cellStyle name="20 % - Markeringsfarve3 4 2 2 2 2" xfId="7590" xr:uid="{00000000-0005-0000-0000-000084230000}"/>
    <cellStyle name="20 % - Markeringsfarve3 4 2 2 2 2 2" xfId="15492" xr:uid="{00000000-0005-0000-0000-000085230000}"/>
    <cellStyle name="20 % - Markeringsfarve3 4 2 2 2 2 2 2" xfId="31807" xr:uid="{00000000-0005-0000-0000-000086230000}"/>
    <cellStyle name="20 % - Markeringsfarve3 4 2 2 2 2 2 3" xfId="46771" xr:uid="{00000000-0005-0000-0000-000087230000}"/>
    <cellStyle name="20 % - Markeringsfarve3 4 2 2 2 2 3" xfId="24785" xr:uid="{00000000-0005-0000-0000-000088230000}"/>
    <cellStyle name="20 % - Markeringsfarve3 4 2 2 2 2 4" xfId="39772" xr:uid="{00000000-0005-0000-0000-000089230000}"/>
    <cellStyle name="20 % - Markeringsfarve3 4 2 2 2 3" xfId="10845" xr:uid="{00000000-0005-0000-0000-00008A230000}"/>
    <cellStyle name="20 % - Markeringsfarve3 4 2 2 2 3 2" xfId="27165" xr:uid="{00000000-0005-0000-0000-00008B230000}"/>
    <cellStyle name="20 % - Markeringsfarve3 4 2 2 2 3 3" xfId="42131" xr:uid="{00000000-0005-0000-0000-00008C230000}"/>
    <cellStyle name="20 % - Markeringsfarve3 4 2 2 2 4" xfId="20143" xr:uid="{00000000-0005-0000-0000-00008D230000}"/>
    <cellStyle name="20 % - Markeringsfarve3 4 2 2 2 5" xfId="35132" xr:uid="{00000000-0005-0000-0000-00008E230000}"/>
    <cellStyle name="20 % - Markeringsfarve3 4 2 2 3" xfId="6166" xr:uid="{00000000-0005-0000-0000-00008F230000}"/>
    <cellStyle name="20 % - Markeringsfarve3 4 2 2 3 2" xfId="14084" xr:uid="{00000000-0005-0000-0000-000090230000}"/>
    <cellStyle name="20 % - Markeringsfarve3 4 2 2 3 2 2" xfId="30399" xr:uid="{00000000-0005-0000-0000-000091230000}"/>
    <cellStyle name="20 % - Markeringsfarve3 4 2 2 3 2 3" xfId="45363" xr:uid="{00000000-0005-0000-0000-000092230000}"/>
    <cellStyle name="20 % - Markeringsfarve3 4 2 2 3 3" xfId="23377" xr:uid="{00000000-0005-0000-0000-000093230000}"/>
    <cellStyle name="20 % - Markeringsfarve3 4 2 2 3 4" xfId="38364" xr:uid="{00000000-0005-0000-0000-000094230000}"/>
    <cellStyle name="20 % - Markeringsfarve3 4 2 2 4" xfId="10844" xr:uid="{00000000-0005-0000-0000-000095230000}"/>
    <cellStyle name="20 % - Markeringsfarve3 4 2 2 4 2" xfId="27164" xr:uid="{00000000-0005-0000-0000-000096230000}"/>
    <cellStyle name="20 % - Markeringsfarve3 4 2 2 4 3" xfId="42130" xr:uid="{00000000-0005-0000-0000-000097230000}"/>
    <cellStyle name="20 % - Markeringsfarve3 4 2 2 5" xfId="20142" xr:uid="{00000000-0005-0000-0000-000098230000}"/>
    <cellStyle name="20 % - Markeringsfarve3 4 2 2 6" xfId="35131" xr:uid="{00000000-0005-0000-0000-000099230000}"/>
    <cellStyle name="20 % - Markeringsfarve3 4 2 2 7" xfId="57110" xr:uid="{00000000-0005-0000-0000-00009A230000}"/>
    <cellStyle name="20 % - Markeringsfarve3 4 2 3" xfId="2286" xr:uid="{00000000-0005-0000-0000-00009B230000}"/>
    <cellStyle name="20 % - Markeringsfarve3 4 2 3 2" xfId="6820" xr:uid="{00000000-0005-0000-0000-00009C230000}"/>
    <cellStyle name="20 % - Markeringsfarve3 4 2 3 2 2" xfId="14732" xr:uid="{00000000-0005-0000-0000-00009D230000}"/>
    <cellStyle name="20 % - Markeringsfarve3 4 2 3 2 2 2" xfId="31047" xr:uid="{00000000-0005-0000-0000-00009E230000}"/>
    <cellStyle name="20 % - Markeringsfarve3 4 2 3 2 2 3" xfId="46011" xr:uid="{00000000-0005-0000-0000-00009F230000}"/>
    <cellStyle name="20 % - Markeringsfarve3 4 2 3 2 3" xfId="24025" xr:uid="{00000000-0005-0000-0000-0000A0230000}"/>
    <cellStyle name="20 % - Markeringsfarve3 4 2 3 2 4" xfId="39012" xr:uid="{00000000-0005-0000-0000-0000A1230000}"/>
    <cellStyle name="20 % - Markeringsfarve3 4 2 3 3" xfId="10846" xr:uid="{00000000-0005-0000-0000-0000A2230000}"/>
    <cellStyle name="20 % - Markeringsfarve3 4 2 3 3 2" xfId="27166" xr:uid="{00000000-0005-0000-0000-0000A3230000}"/>
    <cellStyle name="20 % - Markeringsfarve3 4 2 3 3 3" xfId="42132" xr:uid="{00000000-0005-0000-0000-0000A4230000}"/>
    <cellStyle name="20 % - Markeringsfarve3 4 2 3 4" xfId="20144" xr:uid="{00000000-0005-0000-0000-0000A5230000}"/>
    <cellStyle name="20 % - Markeringsfarve3 4 2 3 5" xfId="35133" xr:uid="{00000000-0005-0000-0000-0000A6230000}"/>
    <cellStyle name="20 % - Markeringsfarve3 4 2 4" xfId="2287" xr:uid="{00000000-0005-0000-0000-0000A7230000}"/>
    <cellStyle name="20 % - Markeringsfarve3 4 2 4 2" xfId="8460" xr:uid="{00000000-0005-0000-0000-0000A8230000}"/>
    <cellStyle name="20 % - Markeringsfarve3 4 2 4 2 2" xfId="16350" xr:uid="{00000000-0005-0000-0000-0000A9230000}"/>
    <cellStyle name="20 % - Markeringsfarve3 4 2 4 2 2 2" xfId="32665" xr:uid="{00000000-0005-0000-0000-0000AA230000}"/>
    <cellStyle name="20 % - Markeringsfarve3 4 2 4 2 2 3" xfId="47629" xr:uid="{00000000-0005-0000-0000-0000AB230000}"/>
    <cellStyle name="20 % - Markeringsfarve3 4 2 4 2 3" xfId="25643" xr:uid="{00000000-0005-0000-0000-0000AC230000}"/>
    <cellStyle name="20 % - Markeringsfarve3 4 2 4 2 4" xfId="40630" xr:uid="{00000000-0005-0000-0000-0000AD230000}"/>
    <cellStyle name="20 % - Markeringsfarve3 4 2 4 3" xfId="10847" xr:uid="{00000000-0005-0000-0000-0000AE230000}"/>
    <cellStyle name="20 % - Markeringsfarve3 4 2 4 3 2" xfId="27167" xr:uid="{00000000-0005-0000-0000-0000AF230000}"/>
    <cellStyle name="20 % - Markeringsfarve3 4 2 4 3 3" xfId="42133" xr:uid="{00000000-0005-0000-0000-0000B0230000}"/>
    <cellStyle name="20 % - Markeringsfarve3 4 2 4 4" xfId="20145" xr:uid="{00000000-0005-0000-0000-0000B1230000}"/>
    <cellStyle name="20 % - Markeringsfarve3 4 2 4 5" xfId="35134" xr:uid="{00000000-0005-0000-0000-0000B2230000}"/>
    <cellStyle name="20 % - Markeringsfarve3 4 2 5" xfId="5500" xr:uid="{00000000-0005-0000-0000-0000B3230000}"/>
    <cellStyle name="20 % - Markeringsfarve3 4 2 5 2" xfId="13419" xr:uid="{00000000-0005-0000-0000-0000B4230000}"/>
    <cellStyle name="20 % - Markeringsfarve3 4 2 5 2 2" xfId="29734" xr:uid="{00000000-0005-0000-0000-0000B5230000}"/>
    <cellStyle name="20 % - Markeringsfarve3 4 2 5 2 3" xfId="44698" xr:uid="{00000000-0005-0000-0000-0000B6230000}"/>
    <cellStyle name="20 % - Markeringsfarve3 4 2 5 3" xfId="22712" xr:uid="{00000000-0005-0000-0000-0000B7230000}"/>
    <cellStyle name="20 % - Markeringsfarve3 4 2 5 4" xfId="37699" xr:uid="{00000000-0005-0000-0000-0000B8230000}"/>
    <cellStyle name="20 % - Markeringsfarve3 4 2 6" xfId="10843" xr:uid="{00000000-0005-0000-0000-0000B9230000}"/>
    <cellStyle name="20 % - Markeringsfarve3 4 2 6 2" xfId="27163" xr:uid="{00000000-0005-0000-0000-0000BA230000}"/>
    <cellStyle name="20 % - Markeringsfarve3 4 2 6 3" xfId="42129" xr:uid="{00000000-0005-0000-0000-0000BB230000}"/>
    <cellStyle name="20 % - Markeringsfarve3 4 2 7" xfId="20141" xr:uid="{00000000-0005-0000-0000-0000BC230000}"/>
    <cellStyle name="20 % - Markeringsfarve3 4 2 8" xfId="35130" xr:uid="{00000000-0005-0000-0000-0000BD230000}"/>
    <cellStyle name="20 % - Markeringsfarve3 4 2 9" xfId="53943" xr:uid="{00000000-0005-0000-0000-0000BE230000}"/>
    <cellStyle name="20 % - Markeringsfarve3 4 3" xfId="2288" xr:uid="{00000000-0005-0000-0000-0000BF230000}"/>
    <cellStyle name="20 % - Markeringsfarve3 4 3 2" xfId="2289" xr:uid="{00000000-0005-0000-0000-0000C0230000}"/>
    <cellStyle name="20 % - Markeringsfarve3 4 3 2 2" xfId="2290" xr:uid="{00000000-0005-0000-0000-0000C1230000}"/>
    <cellStyle name="20 % - Markeringsfarve3 4 3 2 2 2" xfId="7689" xr:uid="{00000000-0005-0000-0000-0000C2230000}"/>
    <cellStyle name="20 % - Markeringsfarve3 4 3 2 2 2 2" xfId="15591" xr:uid="{00000000-0005-0000-0000-0000C3230000}"/>
    <cellStyle name="20 % - Markeringsfarve3 4 3 2 2 2 2 2" xfId="31906" xr:uid="{00000000-0005-0000-0000-0000C4230000}"/>
    <cellStyle name="20 % - Markeringsfarve3 4 3 2 2 2 2 3" xfId="46870" xr:uid="{00000000-0005-0000-0000-0000C5230000}"/>
    <cellStyle name="20 % - Markeringsfarve3 4 3 2 2 2 3" xfId="24884" xr:uid="{00000000-0005-0000-0000-0000C6230000}"/>
    <cellStyle name="20 % - Markeringsfarve3 4 3 2 2 2 4" xfId="39871" xr:uid="{00000000-0005-0000-0000-0000C7230000}"/>
    <cellStyle name="20 % - Markeringsfarve3 4 3 2 2 3" xfId="10850" xr:uid="{00000000-0005-0000-0000-0000C8230000}"/>
    <cellStyle name="20 % - Markeringsfarve3 4 3 2 2 3 2" xfId="27170" xr:uid="{00000000-0005-0000-0000-0000C9230000}"/>
    <cellStyle name="20 % - Markeringsfarve3 4 3 2 2 3 3" xfId="42136" xr:uid="{00000000-0005-0000-0000-0000CA230000}"/>
    <cellStyle name="20 % - Markeringsfarve3 4 3 2 2 4" xfId="20148" xr:uid="{00000000-0005-0000-0000-0000CB230000}"/>
    <cellStyle name="20 % - Markeringsfarve3 4 3 2 2 5" xfId="35137" xr:uid="{00000000-0005-0000-0000-0000CC230000}"/>
    <cellStyle name="20 % - Markeringsfarve3 4 3 2 3" xfId="6253" xr:uid="{00000000-0005-0000-0000-0000CD230000}"/>
    <cellStyle name="20 % - Markeringsfarve3 4 3 2 3 2" xfId="14171" xr:uid="{00000000-0005-0000-0000-0000CE230000}"/>
    <cellStyle name="20 % - Markeringsfarve3 4 3 2 3 2 2" xfId="30486" xr:uid="{00000000-0005-0000-0000-0000CF230000}"/>
    <cellStyle name="20 % - Markeringsfarve3 4 3 2 3 2 3" xfId="45450" xr:uid="{00000000-0005-0000-0000-0000D0230000}"/>
    <cellStyle name="20 % - Markeringsfarve3 4 3 2 3 3" xfId="23464" xr:uid="{00000000-0005-0000-0000-0000D1230000}"/>
    <cellStyle name="20 % - Markeringsfarve3 4 3 2 3 4" xfId="38451" xr:uid="{00000000-0005-0000-0000-0000D2230000}"/>
    <cellStyle name="20 % - Markeringsfarve3 4 3 2 4" xfId="10849" xr:uid="{00000000-0005-0000-0000-0000D3230000}"/>
    <cellStyle name="20 % - Markeringsfarve3 4 3 2 4 2" xfId="27169" xr:uid="{00000000-0005-0000-0000-0000D4230000}"/>
    <cellStyle name="20 % - Markeringsfarve3 4 3 2 4 3" xfId="42135" xr:uid="{00000000-0005-0000-0000-0000D5230000}"/>
    <cellStyle name="20 % - Markeringsfarve3 4 3 2 5" xfId="20147" xr:uid="{00000000-0005-0000-0000-0000D6230000}"/>
    <cellStyle name="20 % - Markeringsfarve3 4 3 2 6" xfId="35136" xr:uid="{00000000-0005-0000-0000-0000D7230000}"/>
    <cellStyle name="20 % - Markeringsfarve3 4 3 3" xfId="2291" xr:uid="{00000000-0005-0000-0000-0000D8230000}"/>
    <cellStyle name="20 % - Markeringsfarve3 4 3 3 2" xfId="6919" xr:uid="{00000000-0005-0000-0000-0000D9230000}"/>
    <cellStyle name="20 % - Markeringsfarve3 4 3 3 2 2" xfId="14831" xr:uid="{00000000-0005-0000-0000-0000DA230000}"/>
    <cellStyle name="20 % - Markeringsfarve3 4 3 3 2 2 2" xfId="31146" xr:uid="{00000000-0005-0000-0000-0000DB230000}"/>
    <cellStyle name="20 % - Markeringsfarve3 4 3 3 2 2 3" xfId="46110" xr:uid="{00000000-0005-0000-0000-0000DC230000}"/>
    <cellStyle name="20 % - Markeringsfarve3 4 3 3 2 3" xfId="24124" xr:uid="{00000000-0005-0000-0000-0000DD230000}"/>
    <cellStyle name="20 % - Markeringsfarve3 4 3 3 2 4" xfId="39111" xr:uid="{00000000-0005-0000-0000-0000DE230000}"/>
    <cellStyle name="20 % - Markeringsfarve3 4 3 3 3" xfId="10851" xr:uid="{00000000-0005-0000-0000-0000DF230000}"/>
    <cellStyle name="20 % - Markeringsfarve3 4 3 3 3 2" xfId="27171" xr:uid="{00000000-0005-0000-0000-0000E0230000}"/>
    <cellStyle name="20 % - Markeringsfarve3 4 3 3 3 3" xfId="42137" xr:uid="{00000000-0005-0000-0000-0000E1230000}"/>
    <cellStyle name="20 % - Markeringsfarve3 4 3 3 4" xfId="20149" xr:uid="{00000000-0005-0000-0000-0000E2230000}"/>
    <cellStyle name="20 % - Markeringsfarve3 4 3 3 5" xfId="35138" xr:uid="{00000000-0005-0000-0000-0000E3230000}"/>
    <cellStyle name="20 % - Markeringsfarve3 4 3 4" xfId="2292" xr:uid="{00000000-0005-0000-0000-0000E4230000}"/>
    <cellStyle name="20 % - Markeringsfarve3 4 3 4 2" xfId="8250" xr:uid="{00000000-0005-0000-0000-0000E5230000}"/>
    <cellStyle name="20 % - Markeringsfarve3 4 3 4 2 2" xfId="16145" xr:uid="{00000000-0005-0000-0000-0000E6230000}"/>
    <cellStyle name="20 % - Markeringsfarve3 4 3 4 2 2 2" xfId="32460" xr:uid="{00000000-0005-0000-0000-0000E7230000}"/>
    <cellStyle name="20 % - Markeringsfarve3 4 3 4 2 2 3" xfId="47424" xr:uid="{00000000-0005-0000-0000-0000E8230000}"/>
    <cellStyle name="20 % - Markeringsfarve3 4 3 4 2 3" xfId="25438" xr:uid="{00000000-0005-0000-0000-0000E9230000}"/>
    <cellStyle name="20 % - Markeringsfarve3 4 3 4 2 4" xfId="40425" xr:uid="{00000000-0005-0000-0000-0000EA230000}"/>
    <cellStyle name="20 % - Markeringsfarve3 4 3 4 3" xfId="10852" xr:uid="{00000000-0005-0000-0000-0000EB230000}"/>
    <cellStyle name="20 % - Markeringsfarve3 4 3 4 3 2" xfId="27172" xr:uid="{00000000-0005-0000-0000-0000EC230000}"/>
    <cellStyle name="20 % - Markeringsfarve3 4 3 4 3 3" xfId="42138" xr:uid="{00000000-0005-0000-0000-0000ED230000}"/>
    <cellStyle name="20 % - Markeringsfarve3 4 3 4 4" xfId="20150" xr:uid="{00000000-0005-0000-0000-0000EE230000}"/>
    <cellStyle name="20 % - Markeringsfarve3 4 3 4 5" xfId="35139" xr:uid="{00000000-0005-0000-0000-0000EF230000}"/>
    <cellStyle name="20 % - Markeringsfarve3 4 3 5" xfId="5501" xr:uid="{00000000-0005-0000-0000-0000F0230000}"/>
    <cellStyle name="20 % - Markeringsfarve3 4 3 5 2" xfId="13420" xr:uid="{00000000-0005-0000-0000-0000F1230000}"/>
    <cellStyle name="20 % - Markeringsfarve3 4 3 5 2 2" xfId="29735" xr:uid="{00000000-0005-0000-0000-0000F2230000}"/>
    <cellStyle name="20 % - Markeringsfarve3 4 3 5 2 3" xfId="44699" xr:uid="{00000000-0005-0000-0000-0000F3230000}"/>
    <cellStyle name="20 % - Markeringsfarve3 4 3 5 3" xfId="22713" xr:uid="{00000000-0005-0000-0000-0000F4230000}"/>
    <cellStyle name="20 % - Markeringsfarve3 4 3 5 4" xfId="37700" xr:uid="{00000000-0005-0000-0000-0000F5230000}"/>
    <cellStyle name="20 % - Markeringsfarve3 4 3 6" xfId="10848" xr:uid="{00000000-0005-0000-0000-0000F6230000}"/>
    <cellStyle name="20 % - Markeringsfarve3 4 3 6 2" xfId="27168" xr:uid="{00000000-0005-0000-0000-0000F7230000}"/>
    <cellStyle name="20 % - Markeringsfarve3 4 3 6 3" xfId="42134" xr:uid="{00000000-0005-0000-0000-0000F8230000}"/>
    <cellStyle name="20 % - Markeringsfarve3 4 3 7" xfId="20146" xr:uid="{00000000-0005-0000-0000-0000F9230000}"/>
    <cellStyle name="20 % - Markeringsfarve3 4 3 8" xfId="35135" xr:uid="{00000000-0005-0000-0000-0000FA230000}"/>
    <cellStyle name="20 % - Markeringsfarve3 4 3 9" xfId="56487" xr:uid="{00000000-0005-0000-0000-0000FB230000}"/>
    <cellStyle name="20 % - Markeringsfarve3 4 4" xfId="2293" xr:uid="{00000000-0005-0000-0000-0000FC230000}"/>
    <cellStyle name="20 % - Markeringsfarve3 4 4 2" xfId="2294" xr:uid="{00000000-0005-0000-0000-0000FD230000}"/>
    <cellStyle name="20 % - Markeringsfarve3 4 4 2 2" xfId="2295" xr:uid="{00000000-0005-0000-0000-0000FE230000}"/>
    <cellStyle name="20 % - Markeringsfarve3 4 4 2 2 2" xfId="7828" xr:uid="{00000000-0005-0000-0000-0000FF230000}"/>
    <cellStyle name="20 % - Markeringsfarve3 4 4 2 2 2 2" xfId="15730" xr:uid="{00000000-0005-0000-0000-000000240000}"/>
    <cellStyle name="20 % - Markeringsfarve3 4 4 2 2 2 2 2" xfId="32045" xr:uid="{00000000-0005-0000-0000-000001240000}"/>
    <cellStyle name="20 % - Markeringsfarve3 4 4 2 2 2 2 3" xfId="47009" xr:uid="{00000000-0005-0000-0000-000002240000}"/>
    <cellStyle name="20 % - Markeringsfarve3 4 4 2 2 2 3" xfId="25023" xr:uid="{00000000-0005-0000-0000-000003240000}"/>
    <cellStyle name="20 % - Markeringsfarve3 4 4 2 2 2 4" xfId="40010" xr:uid="{00000000-0005-0000-0000-000004240000}"/>
    <cellStyle name="20 % - Markeringsfarve3 4 4 2 2 3" xfId="10855" xr:uid="{00000000-0005-0000-0000-000005240000}"/>
    <cellStyle name="20 % - Markeringsfarve3 4 4 2 2 3 2" xfId="27175" xr:uid="{00000000-0005-0000-0000-000006240000}"/>
    <cellStyle name="20 % - Markeringsfarve3 4 4 2 2 3 3" xfId="42141" xr:uid="{00000000-0005-0000-0000-000007240000}"/>
    <cellStyle name="20 % - Markeringsfarve3 4 4 2 2 4" xfId="20153" xr:uid="{00000000-0005-0000-0000-000008240000}"/>
    <cellStyle name="20 % - Markeringsfarve3 4 4 2 2 5" xfId="35142" xr:uid="{00000000-0005-0000-0000-000009240000}"/>
    <cellStyle name="20 % - Markeringsfarve3 4 4 2 3" xfId="6368" xr:uid="{00000000-0005-0000-0000-00000A240000}"/>
    <cellStyle name="20 % - Markeringsfarve3 4 4 2 3 2" xfId="14283" xr:uid="{00000000-0005-0000-0000-00000B240000}"/>
    <cellStyle name="20 % - Markeringsfarve3 4 4 2 3 2 2" xfId="30598" xr:uid="{00000000-0005-0000-0000-00000C240000}"/>
    <cellStyle name="20 % - Markeringsfarve3 4 4 2 3 2 3" xfId="45562" xr:uid="{00000000-0005-0000-0000-00000D240000}"/>
    <cellStyle name="20 % - Markeringsfarve3 4 4 2 3 3" xfId="23576" xr:uid="{00000000-0005-0000-0000-00000E240000}"/>
    <cellStyle name="20 % - Markeringsfarve3 4 4 2 3 4" xfId="38563" xr:uid="{00000000-0005-0000-0000-00000F240000}"/>
    <cellStyle name="20 % - Markeringsfarve3 4 4 2 4" xfId="10854" xr:uid="{00000000-0005-0000-0000-000010240000}"/>
    <cellStyle name="20 % - Markeringsfarve3 4 4 2 4 2" xfId="27174" xr:uid="{00000000-0005-0000-0000-000011240000}"/>
    <cellStyle name="20 % - Markeringsfarve3 4 4 2 4 3" xfId="42140" xr:uid="{00000000-0005-0000-0000-000012240000}"/>
    <cellStyle name="20 % - Markeringsfarve3 4 4 2 5" xfId="20152" xr:uid="{00000000-0005-0000-0000-000013240000}"/>
    <cellStyle name="20 % - Markeringsfarve3 4 4 2 6" xfId="35141" xr:uid="{00000000-0005-0000-0000-000014240000}"/>
    <cellStyle name="20 % - Markeringsfarve3 4 4 3" xfId="2296" xr:uid="{00000000-0005-0000-0000-000015240000}"/>
    <cellStyle name="20 % - Markeringsfarve3 4 4 3 2" xfId="7104" xr:uid="{00000000-0005-0000-0000-000016240000}"/>
    <cellStyle name="20 % - Markeringsfarve3 4 4 3 2 2" xfId="15015" xr:uid="{00000000-0005-0000-0000-000017240000}"/>
    <cellStyle name="20 % - Markeringsfarve3 4 4 3 2 2 2" xfId="31330" xr:uid="{00000000-0005-0000-0000-000018240000}"/>
    <cellStyle name="20 % - Markeringsfarve3 4 4 3 2 2 3" xfId="46294" xr:uid="{00000000-0005-0000-0000-000019240000}"/>
    <cellStyle name="20 % - Markeringsfarve3 4 4 3 2 3" xfId="24308" xr:uid="{00000000-0005-0000-0000-00001A240000}"/>
    <cellStyle name="20 % - Markeringsfarve3 4 4 3 2 4" xfId="39295" xr:uid="{00000000-0005-0000-0000-00001B240000}"/>
    <cellStyle name="20 % - Markeringsfarve3 4 4 3 3" xfId="10856" xr:uid="{00000000-0005-0000-0000-00001C240000}"/>
    <cellStyle name="20 % - Markeringsfarve3 4 4 3 3 2" xfId="27176" xr:uid="{00000000-0005-0000-0000-00001D240000}"/>
    <cellStyle name="20 % - Markeringsfarve3 4 4 3 3 3" xfId="42142" xr:uid="{00000000-0005-0000-0000-00001E240000}"/>
    <cellStyle name="20 % - Markeringsfarve3 4 4 3 4" xfId="20154" xr:uid="{00000000-0005-0000-0000-00001F240000}"/>
    <cellStyle name="20 % - Markeringsfarve3 4 4 3 5" xfId="35143" xr:uid="{00000000-0005-0000-0000-000020240000}"/>
    <cellStyle name="20 % - Markeringsfarve3 4 4 4" xfId="2297" xr:uid="{00000000-0005-0000-0000-000021240000}"/>
    <cellStyle name="20 % - Markeringsfarve3 4 4 4 2" xfId="8459" xr:uid="{00000000-0005-0000-0000-000022240000}"/>
    <cellStyle name="20 % - Markeringsfarve3 4 4 4 2 2" xfId="16349" xr:uid="{00000000-0005-0000-0000-000023240000}"/>
    <cellStyle name="20 % - Markeringsfarve3 4 4 4 2 2 2" xfId="32664" xr:uid="{00000000-0005-0000-0000-000024240000}"/>
    <cellStyle name="20 % - Markeringsfarve3 4 4 4 2 2 3" xfId="47628" xr:uid="{00000000-0005-0000-0000-000025240000}"/>
    <cellStyle name="20 % - Markeringsfarve3 4 4 4 2 3" xfId="25642" xr:uid="{00000000-0005-0000-0000-000026240000}"/>
    <cellStyle name="20 % - Markeringsfarve3 4 4 4 2 4" xfId="40629" xr:uid="{00000000-0005-0000-0000-000027240000}"/>
    <cellStyle name="20 % - Markeringsfarve3 4 4 4 3" xfId="10857" xr:uid="{00000000-0005-0000-0000-000028240000}"/>
    <cellStyle name="20 % - Markeringsfarve3 4 4 4 3 2" xfId="27177" xr:uid="{00000000-0005-0000-0000-000029240000}"/>
    <cellStyle name="20 % - Markeringsfarve3 4 4 4 3 3" xfId="42143" xr:uid="{00000000-0005-0000-0000-00002A240000}"/>
    <cellStyle name="20 % - Markeringsfarve3 4 4 4 4" xfId="20155" xr:uid="{00000000-0005-0000-0000-00002B240000}"/>
    <cellStyle name="20 % - Markeringsfarve3 4 4 4 5" xfId="35144" xr:uid="{00000000-0005-0000-0000-00002C240000}"/>
    <cellStyle name="20 % - Markeringsfarve3 4 4 5" xfId="5502" xr:uid="{00000000-0005-0000-0000-00002D240000}"/>
    <cellStyle name="20 % - Markeringsfarve3 4 4 5 2" xfId="13421" xr:uid="{00000000-0005-0000-0000-00002E240000}"/>
    <cellStyle name="20 % - Markeringsfarve3 4 4 5 2 2" xfId="29736" xr:uid="{00000000-0005-0000-0000-00002F240000}"/>
    <cellStyle name="20 % - Markeringsfarve3 4 4 5 2 3" xfId="44700" xr:uid="{00000000-0005-0000-0000-000030240000}"/>
    <cellStyle name="20 % - Markeringsfarve3 4 4 5 3" xfId="22714" xr:uid="{00000000-0005-0000-0000-000031240000}"/>
    <cellStyle name="20 % - Markeringsfarve3 4 4 5 4" xfId="37701" xr:uid="{00000000-0005-0000-0000-000032240000}"/>
    <cellStyle name="20 % - Markeringsfarve3 4 4 6" xfId="10853" xr:uid="{00000000-0005-0000-0000-000033240000}"/>
    <cellStyle name="20 % - Markeringsfarve3 4 4 6 2" xfId="27173" xr:uid="{00000000-0005-0000-0000-000034240000}"/>
    <cellStyle name="20 % - Markeringsfarve3 4 4 6 3" xfId="42139" xr:uid="{00000000-0005-0000-0000-000035240000}"/>
    <cellStyle name="20 % - Markeringsfarve3 4 4 7" xfId="20151" xr:uid="{00000000-0005-0000-0000-000036240000}"/>
    <cellStyle name="20 % - Markeringsfarve3 4 4 8" xfId="35140" xr:uid="{00000000-0005-0000-0000-000037240000}"/>
    <cellStyle name="20 % - Markeringsfarve3 4 5" xfId="2298" xr:uid="{00000000-0005-0000-0000-000038240000}"/>
    <cellStyle name="20 % - Markeringsfarve3 4 5 2" xfId="2299" xr:uid="{00000000-0005-0000-0000-000039240000}"/>
    <cellStyle name="20 % - Markeringsfarve3 4 5 2 2" xfId="2300" xr:uid="{00000000-0005-0000-0000-00003A240000}"/>
    <cellStyle name="20 % - Markeringsfarve3 4 5 2 2 2" xfId="7945" xr:uid="{00000000-0005-0000-0000-00003B240000}"/>
    <cellStyle name="20 % - Markeringsfarve3 4 5 2 2 2 2" xfId="15847" xr:uid="{00000000-0005-0000-0000-00003C240000}"/>
    <cellStyle name="20 % - Markeringsfarve3 4 5 2 2 2 2 2" xfId="32162" xr:uid="{00000000-0005-0000-0000-00003D240000}"/>
    <cellStyle name="20 % - Markeringsfarve3 4 5 2 2 2 2 3" xfId="47126" xr:uid="{00000000-0005-0000-0000-00003E240000}"/>
    <cellStyle name="20 % - Markeringsfarve3 4 5 2 2 2 3" xfId="25140" xr:uid="{00000000-0005-0000-0000-00003F240000}"/>
    <cellStyle name="20 % - Markeringsfarve3 4 5 2 2 2 4" xfId="40127" xr:uid="{00000000-0005-0000-0000-000040240000}"/>
    <cellStyle name="20 % - Markeringsfarve3 4 5 2 2 3" xfId="10860" xr:uid="{00000000-0005-0000-0000-000041240000}"/>
    <cellStyle name="20 % - Markeringsfarve3 4 5 2 2 3 2" xfId="27180" xr:uid="{00000000-0005-0000-0000-000042240000}"/>
    <cellStyle name="20 % - Markeringsfarve3 4 5 2 2 3 3" xfId="42146" xr:uid="{00000000-0005-0000-0000-000043240000}"/>
    <cellStyle name="20 % - Markeringsfarve3 4 5 2 2 4" xfId="20158" xr:uid="{00000000-0005-0000-0000-000044240000}"/>
    <cellStyle name="20 % - Markeringsfarve3 4 5 2 2 5" xfId="35147" xr:uid="{00000000-0005-0000-0000-000045240000}"/>
    <cellStyle name="20 % - Markeringsfarve3 4 5 2 3" xfId="6467" xr:uid="{00000000-0005-0000-0000-000046240000}"/>
    <cellStyle name="20 % - Markeringsfarve3 4 5 2 3 2" xfId="14382" xr:uid="{00000000-0005-0000-0000-000047240000}"/>
    <cellStyle name="20 % - Markeringsfarve3 4 5 2 3 2 2" xfId="30697" xr:uid="{00000000-0005-0000-0000-000048240000}"/>
    <cellStyle name="20 % - Markeringsfarve3 4 5 2 3 2 3" xfId="45661" xr:uid="{00000000-0005-0000-0000-000049240000}"/>
    <cellStyle name="20 % - Markeringsfarve3 4 5 2 3 3" xfId="23675" xr:uid="{00000000-0005-0000-0000-00004A240000}"/>
    <cellStyle name="20 % - Markeringsfarve3 4 5 2 3 4" xfId="38662" xr:uid="{00000000-0005-0000-0000-00004B240000}"/>
    <cellStyle name="20 % - Markeringsfarve3 4 5 2 4" xfId="10859" xr:uid="{00000000-0005-0000-0000-00004C240000}"/>
    <cellStyle name="20 % - Markeringsfarve3 4 5 2 4 2" xfId="27179" xr:uid="{00000000-0005-0000-0000-00004D240000}"/>
    <cellStyle name="20 % - Markeringsfarve3 4 5 2 4 3" xfId="42145" xr:uid="{00000000-0005-0000-0000-00004E240000}"/>
    <cellStyle name="20 % - Markeringsfarve3 4 5 2 5" xfId="20157" xr:uid="{00000000-0005-0000-0000-00004F240000}"/>
    <cellStyle name="20 % - Markeringsfarve3 4 5 2 6" xfId="35146" xr:uid="{00000000-0005-0000-0000-000050240000}"/>
    <cellStyle name="20 % - Markeringsfarve3 4 5 3" xfId="2301" xr:uid="{00000000-0005-0000-0000-000051240000}"/>
    <cellStyle name="20 % - Markeringsfarve3 4 5 3 2" xfId="7221" xr:uid="{00000000-0005-0000-0000-000052240000}"/>
    <cellStyle name="20 % - Markeringsfarve3 4 5 3 2 2" xfId="15132" xr:uid="{00000000-0005-0000-0000-000053240000}"/>
    <cellStyle name="20 % - Markeringsfarve3 4 5 3 2 2 2" xfId="31447" xr:uid="{00000000-0005-0000-0000-000054240000}"/>
    <cellStyle name="20 % - Markeringsfarve3 4 5 3 2 2 3" xfId="46411" xr:uid="{00000000-0005-0000-0000-000055240000}"/>
    <cellStyle name="20 % - Markeringsfarve3 4 5 3 2 3" xfId="24425" xr:uid="{00000000-0005-0000-0000-000056240000}"/>
    <cellStyle name="20 % - Markeringsfarve3 4 5 3 2 4" xfId="39412" xr:uid="{00000000-0005-0000-0000-000057240000}"/>
    <cellStyle name="20 % - Markeringsfarve3 4 5 3 3" xfId="10861" xr:uid="{00000000-0005-0000-0000-000058240000}"/>
    <cellStyle name="20 % - Markeringsfarve3 4 5 3 3 2" xfId="27181" xr:uid="{00000000-0005-0000-0000-000059240000}"/>
    <cellStyle name="20 % - Markeringsfarve3 4 5 3 3 3" xfId="42147" xr:uid="{00000000-0005-0000-0000-00005A240000}"/>
    <cellStyle name="20 % - Markeringsfarve3 4 5 3 4" xfId="20159" xr:uid="{00000000-0005-0000-0000-00005B240000}"/>
    <cellStyle name="20 % - Markeringsfarve3 4 5 3 5" xfId="35148" xr:uid="{00000000-0005-0000-0000-00005C240000}"/>
    <cellStyle name="20 % - Markeringsfarve3 4 5 4" xfId="2302" xr:uid="{00000000-0005-0000-0000-00005D240000}"/>
    <cellStyle name="20 % - Markeringsfarve3 4 5 4 2" xfId="8458" xr:uid="{00000000-0005-0000-0000-00005E240000}"/>
    <cellStyle name="20 % - Markeringsfarve3 4 5 4 2 2" xfId="16348" xr:uid="{00000000-0005-0000-0000-00005F240000}"/>
    <cellStyle name="20 % - Markeringsfarve3 4 5 4 2 2 2" xfId="32663" xr:uid="{00000000-0005-0000-0000-000060240000}"/>
    <cellStyle name="20 % - Markeringsfarve3 4 5 4 2 2 3" xfId="47627" xr:uid="{00000000-0005-0000-0000-000061240000}"/>
    <cellStyle name="20 % - Markeringsfarve3 4 5 4 2 3" xfId="25641" xr:uid="{00000000-0005-0000-0000-000062240000}"/>
    <cellStyle name="20 % - Markeringsfarve3 4 5 4 2 4" xfId="40628" xr:uid="{00000000-0005-0000-0000-000063240000}"/>
    <cellStyle name="20 % - Markeringsfarve3 4 5 4 3" xfId="10862" xr:uid="{00000000-0005-0000-0000-000064240000}"/>
    <cellStyle name="20 % - Markeringsfarve3 4 5 4 3 2" xfId="27182" xr:uid="{00000000-0005-0000-0000-000065240000}"/>
    <cellStyle name="20 % - Markeringsfarve3 4 5 4 3 3" xfId="42148" xr:uid="{00000000-0005-0000-0000-000066240000}"/>
    <cellStyle name="20 % - Markeringsfarve3 4 5 4 4" xfId="20160" xr:uid="{00000000-0005-0000-0000-000067240000}"/>
    <cellStyle name="20 % - Markeringsfarve3 4 5 4 5" xfId="35149" xr:uid="{00000000-0005-0000-0000-000068240000}"/>
    <cellStyle name="20 % - Markeringsfarve3 4 5 5" xfId="5503" xr:uid="{00000000-0005-0000-0000-000069240000}"/>
    <cellStyle name="20 % - Markeringsfarve3 4 5 5 2" xfId="13422" xr:uid="{00000000-0005-0000-0000-00006A240000}"/>
    <cellStyle name="20 % - Markeringsfarve3 4 5 5 2 2" xfId="29737" xr:uid="{00000000-0005-0000-0000-00006B240000}"/>
    <cellStyle name="20 % - Markeringsfarve3 4 5 5 2 3" xfId="44701" xr:uid="{00000000-0005-0000-0000-00006C240000}"/>
    <cellStyle name="20 % - Markeringsfarve3 4 5 5 3" xfId="22715" xr:uid="{00000000-0005-0000-0000-00006D240000}"/>
    <cellStyle name="20 % - Markeringsfarve3 4 5 5 4" xfId="37702" xr:uid="{00000000-0005-0000-0000-00006E240000}"/>
    <cellStyle name="20 % - Markeringsfarve3 4 5 6" xfId="10858" xr:uid="{00000000-0005-0000-0000-00006F240000}"/>
    <cellStyle name="20 % - Markeringsfarve3 4 5 6 2" xfId="27178" xr:uid="{00000000-0005-0000-0000-000070240000}"/>
    <cellStyle name="20 % - Markeringsfarve3 4 5 6 3" xfId="42144" xr:uid="{00000000-0005-0000-0000-000071240000}"/>
    <cellStyle name="20 % - Markeringsfarve3 4 5 7" xfId="20156" xr:uid="{00000000-0005-0000-0000-000072240000}"/>
    <cellStyle name="20 % - Markeringsfarve3 4 5 8" xfId="35145" xr:uid="{00000000-0005-0000-0000-000073240000}"/>
    <cellStyle name="20 % - Markeringsfarve3 4 6" xfId="2303" xr:uid="{00000000-0005-0000-0000-000074240000}"/>
    <cellStyle name="20 % - Markeringsfarve3 4 6 2" xfId="2304" xr:uid="{00000000-0005-0000-0000-000075240000}"/>
    <cellStyle name="20 % - Markeringsfarve3 4 6 2 2" xfId="2305" xr:uid="{00000000-0005-0000-0000-000076240000}"/>
    <cellStyle name="20 % - Markeringsfarve3 4 6 2 2 2" xfId="8044" xr:uid="{00000000-0005-0000-0000-000077240000}"/>
    <cellStyle name="20 % - Markeringsfarve3 4 6 2 2 2 2" xfId="15946" xr:uid="{00000000-0005-0000-0000-000078240000}"/>
    <cellStyle name="20 % - Markeringsfarve3 4 6 2 2 2 2 2" xfId="32261" xr:uid="{00000000-0005-0000-0000-000079240000}"/>
    <cellStyle name="20 % - Markeringsfarve3 4 6 2 2 2 2 3" xfId="47225" xr:uid="{00000000-0005-0000-0000-00007A240000}"/>
    <cellStyle name="20 % - Markeringsfarve3 4 6 2 2 2 3" xfId="25239" xr:uid="{00000000-0005-0000-0000-00007B240000}"/>
    <cellStyle name="20 % - Markeringsfarve3 4 6 2 2 2 4" xfId="40226" xr:uid="{00000000-0005-0000-0000-00007C240000}"/>
    <cellStyle name="20 % - Markeringsfarve3 4 6 2 2 3" xfId="10865" xr:uid="{00000000-0005-0000-0000-00007D240000}"/>
    <cellStyle name="20 % - Markeringsfarve3 4 6 2 2 3 2" xfId="27185" xr:uid="{00000000-0005-0000-0000-00007E240000}"/>
    <cellStyle name="20 % - Markeringsfarve3 4 6 2 2 3 3" xfId="42151" xr:uid="{00000000-0005-0000-0000-00007F240000}"/>
    <cellStyle name="20 % - Markeringsfarve3 4 6 2 2 4" xfId="20163" xr:uid="{00000000-0005-0000-0000-000080240000}"/>
    <cellStyle name="20 % - Markeringsfarve3 4 6 2 2 5" xfId="35152" xr:uid="{00000000-0005-0000-0000-000081240000}"/>
    <cellStyle name="20 % - Markeringsfarve3 4 6 2 3" xfId="6555" xr:uid="{00000000-0005-0000-0000-000082240000}"/>
    <cellStyle name="20 % - Markeringsfarve3 4 6 2 3 2" xfId="14470" xr:uid="{00000000-0005-0000-0000-000083240000}"/>
    <cellStyle name="20 % - Markeringsfarve3 4 6 2 3 2 2" xfId="30785" xr:uid="{00000000-0005-0000-0000-000084240000}"/>
    <cellStyle name="20 % - Markeringsfarve3 4 6 2 3 2 3" xfId="45749" xr:uid="{00000000-0005-0000-0000-000085240000}"/>
    <cellStyle name="20 % - Markeringsfarve3 4 6 2 3 3" xfId="23763" xr:uid="{00000000-0005-0000-0000-000086240000}"/>
    <cellStyle name="20 % - Markeringsfarve3 4 6 2 3 4" xfId="38750" xr:uid="{00000000-0005-0000-0000-000087240000}"/>
    <cellStyle name="20 % - Markeringsfarve3 4 6 2 4" xfId="10864" xr:uid="{00000000-0005-0000-0000-000088240000}"/>
    <cellStyle name="20 % - Markeringsfarve3 4 6 2 4 2" xfId="27184" xr:uid="{00000000-0005-0000-0000-000089240000}"/>
    <cellStyle name="20 % - Markeringsfarve3 4 6 2 4 3" xfId="42150" xr:uid="{00000000-0005-0000-0000-00008A240000}"/>
    <cellStyle name="20 % - Markeringsfarve3 4 6 2 5" xfId="20162" xr:uid="{00000000-0005-0000-0000-00008B240000}"/>
    <cellStyle name="20 % - Markeringsfarve3 4 6 2 6" xfId="35151" xr:uid="{00000000-0005-0000-0000-00008C240000}"/>
    <cellStyle name="20 % - Markeringsfarve3 4 6 3" xfId="2306" xr:uid="{00000000-0005-0000-0000-00008D240000}"/>
    <cellStyle name="20 % - Markeringsfarve3 4 6 3 2" xfId="7321" xr:uid="{00000000-0005-0000-0000-00008E240000}"/>
    <cellStyle name="20 % - Markeringsfarve3 4 6 3 2 2" xfId="15232" xr:uid="{00000000-0005-0000-0000-00008F240000}"/>
    <cellStyle name="20 % - Markeringsfarve3 4 6 3 2 2 2" xfId="31547" xr:uid="{00000000-0005-0000-0000-000090240000}"/>
    <cellStyle name="20 % - Markeringsfarve3 4 6 3 2 2 3" xfId="46511" xr:uid="{00000000-0005-0000-0000-000091240000}"/>
    <cellStyle name="20 % - Markeringsfarve3 4 6 3 2 3" xfId="24525" xr:uid="{00000000-0005-0000-0000-000092240000}"/>
    <cellStyle name="20 % - Markeringsfarve3 4 6 3 2 4" xfId="39512" xr:uid="{00000000-0005-0000-0000-000093240000}"/>
    <cellStyle name="20 % - Markeringsfarve3 4 6 3 3" xfId="10866" xr:uid="{00000000-0005-0000-0000-000094240000}"/>
    <cellStyle name="20 % - Markeringsfarve3 4 6 3 3 2" xfId="27186" xr:uid="{00000000-0005-0000-0000-000095240000}"/>
    <cellStyle name="20 % - Markeringsfarve3 4 6 3 3 3" xfId="42152" xr:uid="{00000000-0005-0000-0000-000096240000}"/>
    <cellStyle name="20 % - Markeringsfarve3 4 6 3 4" xfId="20164" xr:uid="{00000000-0005-0000-0000-000097240000}"/>
    <cellStyle name="20 % - Markeringsfarve3 4 6 3 5" xfId="35153" xr:uid="{00000000-0005-0000-0000-000098240000}"/>
    <cellStyle name="20 % - Markeringsfarve3 4 6 4" xfId="2307" xr:uid="{00000000-0005-0000-0000-000099240000}"/>
    <cellStyle name="20 % - Markeringsfarve3 4 6 4 2" xfId="8249" xr:uid="{00000000-0005-0000-0000-00009A240000}"/>
    <cellStyle name="20 % - Markeringsfarve3 4 6 4 2 2" xfId="16144" xr:uid="{00000000-0005-0000-0000-00009B240000}"/>
    <cellStyle name="20 % - Markeringsfarve3 4 6 4 2 2 2" xfId="32459" xr:uid="{00000000-0005-0000-0000-00009C240000}"/>
    <cellStyle name="20 % - Markeringsfarve3 4 6 4 2 2 3" xfId="47423" xr:uid="{00000000-0005-0000-0000-00009D240000}"/>
    <cellStyle name="20 % - Markeringsfarve3 4 6 4 2 3" xfId="25437" xr:uid="{00000000-0005-0000-0000-00009E240000}"/>
    <cellStyle name="20 % - Markeringsfarve3 4 6 4 2 4" xfId="40424" xr:uid="{00000000-0005-0000-0000-00009F240000}"/>
    <cellStyle name="20 % - Markeringsfarve3 4 6 4 3" xfId="10867" xr:uid="{00000000-0005-0000-0000-0000A0240000}"/>
    <cellStyle name="20 % - Markeringsfarve3 4 6 4 3 2" xfId="27187" xr:uid="{00000000-0005-0000-0000-0000A1240000}"/>
    <cellStyle name="20 % - Markeringsfarve3 4 6 4 3 3" xfId="42153" xr:uid="{00000000-0005-0000-0000-0000A2240000}"/>
    <cellStyle name="20 % - Markeringsfarve3 4 6 4 4" xfId="20165" xr:uid="{00000000-0005-0000-0000-0000A3240000}"/>
    <cellStyle name="20 % - Markeringsfarve3 4 6 4 5" xfId="35154" xr:uid="{00000000-0005-0000-0000-0000A4240000}"/>
    <cellStyle name="20 % - Markeringsfarve3 4 6 5" xfId="5504" xr:uid="{00000000-0005-0000-0000-0000A5240000}"/>
    <cellStyle name="20 % - Markeringsfarve3 4 6 5 2" xfId="13423" xr:uid="{00000000-0005-0000-0000-0000A6240000}"/>
    <cellStyle name="20 % - Markeringsfarve3 4 6 5 2 2" xfId="29738" xr:uid="{00000000-0005-0000-0000-0000A7240000}"/>
    <cellStyle name="20 % - Markeringsfarve3 4 6 5 2 3" xfId="44702" xr:uid="{00000000-0005-0000-0000-0000A8240000}"/>
    <cellStyle name="20 % - Markeringsfarve3 4 6 5 3" xfId="22716" xr:uid="{00000000-0005-0000-0000-0000A9240000}"/>
    <cellStyle name="20 % - Markeringsfarve3 4 6 5 4" xfId="37703" xr:uid="{00000000-0005-0000-0000-0000AA240000}"/>
    <cellStyle name="20 % - Markeringsfarve3 4 6 6" xfId="10863" xr:uid="{00000000-0005-0000-0000-0000AB240000}"/>
    <cellStyle name="20 % - Markeringsfarve3 4 6 6 2" xfId="27183" xr:uid="{00000000-0005-0000-0000-0000AC240000}"/>
    <cellStyle name="20 % - Markeringsfarve3 4 6 6 3" xfId="42149" xr:uid="{00000000-0005-0000-0000-0000AD240000}"/>
    <cellStyle name="20 % - Markeringsfarve3 4 6 7" xfId="20161" xr:uid="{00000000-0005-0000-0000-0000AE240000}"/>
    <cellStyle name="20 % - Markeringsfarve3 4 6 8" xfId="35150" xr:uid="{00000000-0005-0000-0000-0000AF240000}"/>
    <cellStyle name="20 % - Markeringsfarve3 4 7" xfId="2308" xr:uid="{00000000-0005-0000-0000-0000B0240000}"/>
    <cellStyle name="20 % - Markeringsfarve3 4 7 2" xfId="2309" xr:uid="{00000000-0005-0000-0000-0000B1240000}"/>
    <cellStyle name="20 % - Markeringsfarve3 4 7 2 2" xfId="7471" xr:uid="{00000000-0005-0000-0000-0000B2240000}"/>
    <cellStyle name="20 % - Markeringsfarve3 4 7 2 2 2" xfId="15373" xr:uid="{00000000-0005-0000-0000-0000B3240000}"/>
    <cellStyle name="20 % - Markeringsfarve3 4 7 2 2 2 2" xfId="31688" xr:uid="{00000000-0005-0000-0000-0000B4240000}"/>
    <cellStyle name="20 % - Markeringsfarve3 4 7 2 2 2 3" xfId="46652" xr:uid="{00000000-0005-0000-0000-0000B5240000}"/>
    <cellStyle name="20 % - Markeringsfarve3 4 7 2 2 3" xfId="24666" xr:uid="{00000000-0005-0000-0000-0000B6240000}"/>
    <cellStyle name="20 % - Markeringsfarve3 4 7 2 2 4" xfId="39653" xr:uid="{00000000-0005-0000-0000-0000B7240000}"/>
    <cellStyle name="20 % - Markeringsfarve3 4 7 2 3" xfId="10869" xr:uid="{00000000-0005-0000-0000-0000B8240000}"/>
    <cellStyle name="20 % - Markeringsfarve3 4 7 2 3 2" xfId="27189" xr:uid="{00000000-0005-0000-0000-0000B9240000}"/>
    <cellStyle name="20 % - Markeringsfarve3 4 7 2 3 3" xfId="42155" xr:uid="{00000000-0005-0000-0000-0000BA240000}"/>
    <cellStyle name="20 % - Markeringsfarve3 4 7 2 4" xfId="20167" xr:uid="{00000000-0005-0000-0000-0000BB240000}"/>
    <cellStyle name="20 % - Markeringsfarve3 4 7 2 5" xfId="35156" xr:uid="{00000000-0005-0000-0000-0000BC240000}"/>
    <cellStyle name="20 % - Markeringsfarve3 4 7 3" xfId="6067" xr:uid="{00000000-0005-0000-0000-0000BD240000}"/>
    <cellStyle name="20 % - Markeringsfarve3 4 7 3 2" xfId="13985" xr:uid="{00000000-0005-0000-0000-0000BE240000}"/>
    <cellStyle name="20 % - Markeringsfarve3 4 7 3 2 2" xfId="30300" xr:uid="{00000000-0005-0000-0000-0000BF240000}"/>
    <cellStyle name="20 % - Markeringsfarve3 4 7 3 2 3" xfId="45264" xr:uid="{00000000-0005-0000-0000-0000C0240000}"/>
    <cellStyle name="20 % - Markeringsfarve3 4 7 3 3" xfId="23278" xr:uid="{00000000-0005-0000-0000-0000C1240000}"/>
    <cellStyle name="20 % - Markeringsfarve3 4 7 3 4" xfId="38265" xr:uid="{00000000-0005-0000-0000-0000C2240000}"/>
    <cellStyle name="20 % - Markeringsfarve3 4 7 4" xfId="10868" xr:uid="{00000000-0005-0000-0000-0000C3240000}"/>
    <cellStyle name="20 % - Markeringsfarve3 4 7 4 2" xfId="27188" xr:uid="{00000000-0005-0000-0000-0000C4240000}"/>
    <cellStyle name="20 % - Markeringsfarve3 4 7 4 3" xfId="42154" xr:uid="{00000000-0005-0000-0000-0000C5240000}"/>
    <cellStyle name="20 % - Markeringsfarve3 4 7 5" xfId="20166" xr:uid="{00000000-0005-0000-0000-0000C6240000}"/>
    <cellStyle name="20 % - Markeringsfarve3 4 7 6" xfId="35155" xr:uid="{00000000-0005-0000-0000-0000C7240000}"/>
    <cellStyle name="20 % - Markeringsfarve3 4 8" xfId="2310" xr:uid="{00000000-0005-0000-0000-0000C8240000}"/>
    <cellStyle name="20 % - Markeringsfarve3 4 8 2" xfId="6699" xr:uid="{00000000-0005-0000-0000-0000C9240000}"/>
    <cellStyle name="20 % - Markeringsfarve3 4 8 2 2" xfId="14611" xr:uid="{00000000-0005-0000-0000-0000CA240000}"/>
    <cellStyle name="20 % - Markeringsfarve3 4 8 2 2 2" xfId="30926" xr:uid="{00000000-0005-0000-0000-0000CB240000}"/>
    <cellStyle name="20 % - Markeringsfarve3 4 8 2 2 3" xfId="45890" xr:uid="{00000000-0005-0000-0000-0000CC240000}"/>
    <cellStyle name="20 % - Markeringsfarve3 4 8 2 3" xfId="23904" xr:uid="{00000000-0005-0000-0000-0000CD240000}"/>
    <cellStyle name="20 % - Markeringsfarve3 4 8 2 4" xfId="38891" xr:uid="{00000000-0005-0000-0000-0000CE240000}"/>
    <cellStyle name="20 % - Markeringsfarve3 4 8 3" xfId="10870" xr:uid="{00000000-0005-0000-0000-0000CF240000}"/>
    <cellStyle name="20 % - Markeringsfarve3 4 8 3 2" xfId="27190" xr:uid="{00000000-0005-0000-0000-0000D0240000}"/>
    <cellStyle name="20 % - Markeringsfarve3 4 8 3 3" xfId="42156" xr:uid="{00000000-0005-0000-0000-0000D1240000}"/>
    <cellStyle name="20 % - Markeringsfarve3 4 8 4" xfId="20168" xr:uid="{00000000-0005-0000-0000-0000D2240000}"/>
    <cellStyle name="20 % - Markeringsfarve3 4 8 5" xfId="35157" xr:uid="{00000000-0005-0000-0000-0000D3240000}"/>
    <cellStyle name="20 % - Markeringsfarve3 4 9" xfId="2311" xr:uid="{00000000-0005-0000-0000-0000D4240000}"/>
    <cellStyle name="20 % - Markeringsfarve3 4 9 2" xfId="7039" xr:uid="{00000000-0005-0000-0000-0000D5240000}"/>
    <cellStyle name="20 % - Markeringsfarve3 4 9 2 2" xfId="14950" xr:uid="{00000000-0005-0000-0000-0000D6240000}"/>
    <cellStyle name="20 % - Markeringsfarve3 4 9 2 2 2" xfId="31265" xr:uid="{00000000-0005-0000-0000-0000D7240000}"/>
    <cellStyle name="20 % - Markeringsfarve3 4 9 2 2 3" xfId="46229" xr:uid="{00000000-0005-0000-0000-0000D8240000}"/>
    <cellStyle name="20 % - Markeringsfarve3 4 9 2 3" xfId="24243" xr:uid="{00000000-0005-0000-0000-0000D9240000}"/>
    <cellStyle name="20 % - Markeringsfarve3 4 9 2 4" xfId="39230" xr:uid="{00000000-0005-0000-0000-0000DA240000}"/>
    <cellStyle name="20 % - Markeringsfarve3 4 9 3" xfId="10871" xr:uid="{00000000-0005-0000-0000-0000DB240000}"/>
    <cellStyle name="20 % - Markeringsfarve3 4 9 3 2" xfId="27191" xr:uid="{00000000-0005-0000-0000-0000DC240000}"/>
    <cellStyle name="20 % - Markeringsfarve3 4 9 3 3" xfId="42157" xr:uid="{00000000-0005-0000-0000-0000DD240000}"/>
    <cellStyle name="20 % - Markeringsfarve3 4 9 4" xfId="20169" xr:uid="{00000000-0005-0000-0000-0000DE240000}"/>
    <cellStyle name="20 % - Markeringsfarve3 4 9 5" xfId="35158" xr:uid="{00000000-0005-0000-0000-0000DF240000}"/>
    <cellStyle name="20 % - Markeringsfarve3 5" xfId="2312" xr:uid="{00000000-0005-0000-0000-0000E0240000}"/>
    <cellStyle name="20 % - Markeringsfarve3 5 10" xfId="5505" xr:uid="{00000000-0005-0000-0000-0000E1240000}"/>
    <cellStyle name="20 % - Markeringsfarve3 5 10 2" xfId="13424" xr:uid="{00000000-0005-0000-0000-0000E2240000}"/>
    <cellStyle name="20 % - Markeringsfarve3 5 10 2 2" xfId="29739" xr:uid="{00000000-0005-0000-0000-0000E3240000}"/>
    <cellStyle name="20 % - Markeringsfarve3 5 10 2 3" xfId="44703" xr:uid="{00000000-0005-0000-0000-0000E4240000}"/>
    <cellStyle name="20 % - Markeringsfarve3 5 10 3" xfId="22717" xr:uid="{00000000-0005-0000-0000-0000E5240000}"/>
    <cellStyle name="20 % - Markeringsfarve3 5 10 4" xfId="37704" xr:uid="{00000000-0005-0000-0000-0000E6240000}"/>
    <cellStyle name="20 % - Markeringsfarve3 5 11" xfId="10872" xr:uid="{00000000-0005-0000-0000-0000E7240000}"/>
    <cellStyle name="20 % - Markeringsfarve3 5 11 2" xfId="27192" xr:uid="{00000000-0005-0000-0000-0000E8240000}"/>
    <cellStyle name="20 % - Markeringsfarve3 5 11 3" xfId="42158" xr:uid="{00000000-0005-0000-0000-0000E9240000}"/>
    <cellStyle name="20 % - Markeringsfarve3 5 12" xfId="20170" xr:uid="{00000000-0005-0000-0000-0000EA240000}"/>
    <cellStyle name="20 % - Markeringsfarve3 5 13" xfId="35159" xr:uid="{00000000-0005-0000-0000-0000EB240000}"/>
    <cellStyle name="20 % - Markeringsfarve3 5 14" xfId="53305" xr:uid="{00000000-0005-0000-0000-0000EC240000}"/>
    <cellStyle name="20 % - Markeringsfarve3 5 2" xfId="2313" xr:uid="{00000000-0005-0000-0000-0000ED240000}"/>
    <cellStyle name="20 % - Markeringsfarve3 5 2 2" xfId="2314" xr:uid="{00000000-0005-0000-0000-0000EE240000}"/>
    <cellStyle name="20 % - Markeringsfarve3 5 2 2 2" xfId="2315" xr:uid="{00000000-0005-0000-0000-0000EF240000}"/>
    <cellStyle name="20 % - Markeringsfarve3 5 2 2 2 2" xfId="7629" xr:uid="{00000000-0005-0000-0000-0000F0240000}"/>
    <cellStyle name="20 % - Markeringsfarve3 5 2 2 2 2 2" xfId="15531" xr:uid="{00000000-0005-0000-0000-0000F1240000}"/>
    <cellStyle name="20 % - Markeringsfarve3 5 2 2 2 2 2 2" xfId="31846" xr:uid="{00000000-0005-0000-0000-0000F2240000}"/>
    <cellStyle name="20 % - Markeringsfarve3 5 2 2 2 2 2 3" xfId="46810" xr:uid="{00000000-0005-0000-0000-0000F3240000}"/>
    <cellStyle name="20 % - Markeringsfarve3 5 2 2 2 2 3" xfId="24824" xr:uid="{00000000-0005-0000-0000-0000F4240000}"/>
    <cellStyle name="20 % - Markeringsfarve3 5 2 2 2 2 4" xfId="39811" xr:uid="{00000000-0005-0000-0000-0000F5240000}"/>
    <cellStyle name="20 % - Markeringsfarve3 5 2 2 2 3" xfId="10875" xr:uid="{00000000-0005-0000-0000-0000F6240000}"/>
    <cellStyle name="20 % - Markeringsfarve3 5 2 2 2 3 2" xfId="27195" xr:uid="{00000000-0005-0000-0000-0000F7240000}"/>
    <cellStyle name="20 % - Markeringsfarve3 5 2 2 2 3 3" xfId="42161" xr:uid="{00000000-0005-0000-0000-0000F8240000}"/>
    <cellStyle name="20 % - Markeringsfarve3 5 2 2 2 4" xfId="20173" xr:uid="{00000000-0005-0000-0000-0000F9240000}"/>
    <cellStyle name="20 % - Markeringsfarve3 5 2 2 2 5" xfId="35162" xr:uid="{00000000-0005-0000-0000-0000FA240000}"/>
    <cellStyle name="20 % - Markeringsfarve3 5 2 2 3" xfId="6199" xr:uid="{00000000-0005-0000-0000-0000FB240000}"/>
    <cellStyle name="20 % - Markeringsfarve3 5 2 2 3 2" xfId="14117" xr:uid="{00000000-0005-0000-0000-0000FC240000}"/>
    <cellStyle name="20 % - Markeringsfarve3 5 2 2 3 2 2" xfId="30432" xr:uid="{00000000-0005-0000-0000-0000FD240000}"/>
    <cellStyle name="20 % - Markeringsfarve3 5 2 2 3 2 3" xfId="45396" xr:uid="{00000000-0005-0000-0000-0000FE240000}"/>
    <cellStyle name="20 % - Markeringsfarve3 5 2 2 3 3" xfId="23410" xr:uid="{00000000-0005-0000-0000-0000FF240000}"/>
    <cellStyle name="20 % - Markeringsfarve3 5 2 2 3 4" xfId="38397" xr:uid="{00000000-0005-0000-0000-000000250000}"/>
    <cellStyle name="20 % - Markeringsfarve3 5 2 2 4" xfId="10874" xr:uid="{00000000-0005-0000-0000-000001250000}"/>
    <cellStyle name="20 % - Markeringsfarve3 5 2 2 4 2" xfId="27194" xr:uid="{00000000-0005-0000-0000-000002250000}"/>
    <cellStyle name="20 % - Markeringsfarve3 5 2 2 4 3" xfId="42160" xr:uid="{00000000-0005-0000-0000-000003250000}"/>
    <cellStyle name="20 % - Markeringsfarve3 5 2 2 5" xfId="20172" xr:uid="{00000000-0005-0000-0000-000004250000}"/>
    <cellStyle name="20 % - Markeringsfarve3 5 2 2 6" xfId="35161" xr:uid="{00000000-0005-0000-0000-000005250000}"/>
    <cellStyle name="20 % - Markeringsfarve3 5 2 2 7" xfId="57109" xr:uid="{00000000-0005-0000-0000-000006250000}"/>
    <cellStyle name="20 % - Markeringsfarve3 5 2 3" xfId="2316" xr:uid="{00000000-0005-0000-0000-000007250000}"/>
    <cellStyle name="20 % - Markeringsfarve3 5 2 3 2" xfId="6859" xr:uid="{00000000-0005-0000-0000-000008250000}"/>
    <cellStyle name="20 % - Markeringsfarve3 5 2 3 2 2" xfId="14771" xr:uid="{00000000-0005-0000-0000-000009250000}"/>
    <cellStyle name="20 % - Markeringsfarve3 5 2 3 2 2 2" xfId="31086" xr:uid="{00000000-0005-0000-0000-00000A250000}"/>
    <cellStyle name="20 % - Markeringsfarve3 5 2 3 2 2 3" xfId="46050" xr:uid="{00000000-0005-0000-0000-00000B250000}"/>
    <cellStyle name="20 % - Markeringsfarve3 5 2 3 2 3" xfId="24064" xr:uid="{00000000-0005-0000-0000-00000C250000}"/>
    <cellStyle name="20 % - Markeringsfarve3 5 2 3 2 4" xfId="39051" xr:uid="{00000000-0005-0000-0000-00000D250000}"/>
    <cellStyle name="20 % - Markeringsfarve3 5 2 3 3" xfId="10876" xr:uid="{00000000-0005-0000-0000-00000E250000}"/>
    <cellStyle name="20 % - Markeringsfarve3 5 2 3 3 2" xfId="27196" xr:uid="{00000000-0005-0000-0000-00000F250000}"/>
    <cellStyle name="20 % - Markeringsfarve3 5 2 3 3 3" xfId="42162" xr:uid="{00000000-0005-0000-0000-000010250000}"/>
    <cellStyle name="20 % - Markeringsfarve3 5 2 3 4" xfId="20174" xr:uid="{00000000-0005-0000-0000-000011250000}"/>
    <cellStyle name="20 % - Markeringsfarve3 5 2 3 5" xfId="35163" xr:uid="{00000000-0005-0000-0000-000012250000}"/>
    <cellStyle name="20 % - Markeringsfarve3 5 2 4" xfId="2317" xr:uid="{00000000-0005-0000-0000-000013250000}"/>
    <cellStyle name="20 % - Markeringsfarve3 5 2 4 2" xfId="8247" xr:uid="{00000000-0005-0000-0000-000014250000}"/>
    <cellStyle name="20 % - Markeringsfarve3 5 2 4 2 2" xfId="16142" xr:uid="{00000000-0005-0000-0000-000015250000}"/>
    <cellStyle name="20 % - Markeringsfarve3 5 2 4 2 2 2" xfId="32457" xr:uid="{00000000-0005-0000-0000-000016250000}"/>
    <cellStyle name="20 % - Markeringsfarve3 5 2 4 2 2 3" xfId="47421" xr:uid="{00000000-0005-0000-0000-000017250000}"/>
    <cellStyle name="20 % - Markeringsfarve3 5 2 4 2 3" xfId="25435" xr:uid="{00000000-0005-0000-0000-000018250000}"/>
    <cellStyle name="20 % - Markeringsfarve3 5 2 4 2 4" xfId="40422" xr:uid="{00000000-0005-0000-0000-000019250000}"/>
    <cellStyle name="20 % - Markeringsfarve3 5 2 4 3" xfId="10877" xr:uid="{00000000-0005-0000-0000-00001A250000}"/>
    <cellStyle name="20 % - Markeringsfarve3 5 2 4 3 2" xfId="27197" xr:uid="{00000000-0005-0000-0000-00001B250000}"/>
    <cellStyle name="20 % - Markeringsfarve3 5 2 4 3 3" xfId="42163" xr:uid="{00000000-0005-0000-0000-00001C250000}"/>
    <cellStyle name="20 % - Markeringsfarve3 5 2 4 4" xfId="20175" xr:uid="{00000000-0005-0000-0000-00001D250000}"/>
    <cellStyle name="20 % - Markeringsfarve3 5 2 4 5" xfId="35164" xr:uid="{00000000-0005-0000-0000-00001E250000}"/>
    <cellStyle name="20 % - Markeringsfarve3 5 2 5" xfId="5506" xr:uid="{00000000-0005-0000-0000-00001F250000}"/>
    <cellStyle name="20 % - Markeringsfarve3 5 2 5 2" xfId="13425" xr:uid="{00000000-0005-0000-0000-000020250000}"/>
    <cellStyle name="20 % - Markeringsfarve3 5 2 5 2 2" xfId="29740" xr:uid="{00000000-0005-0000-0000-000021250000}"/>
    <cellStyle name="20 % - Markeringsfarve3 5 2 5 2 3" xfId="44704" xr:uid="{00000000-0005-0000-0000-000022250000}"/>
    <cellStyle name="20 % - Markeringsfarve3 5 2 5 3" xfId="22718" xr:uid="{00000000-0005-0000-0000-000023250000}"/>
    <cellStyle name="20 % - Markeringsfarve3 5 2 5 4" xfId="37705" xr:uid="{00000000-0005-0000-0000-000024250000}"/>
    <cellStyle name="20 % - Markeringsfarve3 5 2 6" xfId="10873" xr:uid="{00000000-0005-0000-0000-000025250000}"/>
    <cellStyle name="20 % - Markeringsfarve3 5 2 6 2" xfId="27193" xr:uid="{00000000-0005-0000-0000-000026250000}"/>
    <cellStyle name="20 % - Markeringsfarve3 5 2 6 3" xfId="42159" xr:uid="{00000000-0005-0000-0000-000027250000}"/>
    <cellStyle name="20 % - Markeringsfarve3 5 2 7" xfId="20171" xr:uid="{00000000-0005-0000-0000-000028250000}"/>
    <cellStyle name="20 % - Markeringsfarve3 5 2 8" xfId="35160" xr:uid="{00000000-0005-0000-0000-000029250000}"/>
    <cellStyle name="20 % - Markeringsfarve3 5 2 9" xfId="53942" xr:uid="{00000000-0005-0000-0000-00002A250000}"/>
    <cellStyle name="20 % - Markeringsfarve3 5 3" xfId="2318" xr:uid="{00000000-0005-0000-0000-00002B250000}"/>
    <cellStyle name="20 % - Markeringsfarve3 5 3 2" xfId="2319" xr:uid="{00000000-0005-0000-0000-00002C250000}"/>
    <cellStyle name="20 % - Markeringsfarve3 5 3 2 2" xfId="2320" xr:uid="{00000000-0005-0000-0000-00002D250000}"/>
    <cellStyle name="20 % - Markeringsfarve3 5 3 2 2 2" xfId="7690" xr:uid="{00000000-0005-0000-0000-00002E250000}"/>
    <cellStyle name="20 % - Markeringsfarve3 5 3 2 2 2 2" xfId="15592" xr:uid="{00000000-0005-0000-0000-00002F250000}"/>
    <cellStyle name="20 % - Markeringsfarve3 5 3 2 2 2 2 2" xfId="31907" xr:uid="{00000000-0005-0000-0000-000030250000}"/>
    <cellStyle name="20 % - Markeringsfarve3 5 3 2 2 2 2 3" xfId="46871" xr:uid="{00000000-0005-0000-0000-000031250000}"/>
    <cellStyle name="20 % - Markeringsfarve3 5 3 2 2 2 3" xfId="24885" xr:uid="{00000000-0005-0000-0000-000032250000}"/>
    <cellStyle name="20 % - Markeringsfarve3 5 3 2 2 2 4" xfId="39872" xr:uid="{00000000-0005-0000-0000-000033250000}"/>
    <cellStyle name="20 % - Markeringsfarve3 5 3 2 2 3" xfId="10880" xr:uid="{00000000-0005-0000-0000-000034250000}"/>
    <cellStyle name="20 % - Markeringsfarve3 5 3 2 2 3 2" xfId="27200" xr:uid="{00000000-0005-0000-0000-000035250000}"/>
    <cellStyle name="20 % - Markeringsfarve3 5 3 2 2 3 3" xfId="42166" xr:uid="{00000000-0005-0000-0000-000036250000}"/>
    <cellStyle name="20 % - Markeringsfarve3 5 3 2 2 4" xfId="20178" xr:uid="{00000000-0005-0000-0000-000037250000}"/>
    <cellStyle name="20 % - Markeringsfarve3 5 3 2 2 5" xfId="35167" xr:uid="{00000000-0005-0000-0000-000038250000}"/>
    <cellStyle name="20 % - Markeringsfarve3 5 3 2 3" xfId="6254" xr:uid="{00000000-0005-0000-0000-000039250000}"/>
    <cellStyle name="20 % - Markeringsfarve3 5 3 2 3 2" xfId="14172" xr:uid="{00000000-0005-0000-0000-00003A250000}"/>
    <cellStyle name="20 % - Markeringsfarve3 5 3 2 3 2 2" xfId="30487" xr:uid="{00000000-0005-0000-0000-00003B250000}"/>
    <cellStyle name="20 % - Markeringsfarve3 5 3 2 3 2 3" xfId="45451" xr:uid="{00000000-0005-0000-0000-00003C250000}"/>
    <cellStyle name="20 % - Markeringsfarve3 5 3 2 3 3" xfId="23465" xr:uid="{00000000-0005-0000-0000-00003D250000}"/>
    <cellStyle name="20 % - Markeringsfarve3 5 3 2 3 4" xfId="38452" xr:uid="{00000000-0005-0000-0000-00003E250000}"/>
    <cellStyle name="20 % - Markeringsfarve3 5 3 2 4" xfId="10879" xr:uid="{00000000-0005-0000-0000-00003F250000}"/>
    <cellStyle name="20 % - Markeringsfarve3 5 3 2 4 2" xfId="27199" xr:uid="{00000000-0005-0000-0000-000040250000}"/>
    <cellStyle name="20 % - Markeringsfarve3 5 3 2 4 3" xfId="42165" xr:uid="{00000000-0005-0000-0000-000041250000}"/>
    <cellStyle name="20 % - Markeringsfarve3 5 3 2 5" xfId="20177" xr:uid="{00000000-0005-0000-0000-000042250000}"/>
    <cellStyle name="20 % - Markeringsfarve3 5 3 2 6" xfId="35166" xr:uid="{00000000-0005-0000-0000-000043250000}"/>
    <cellStyle name="20 % - Markeringsfarve3 5 3 3" xfId="2321" xr:uid="{00000000-0005-0000-0000-000044250000}"/>
    <cellStyle name="20 % - Markeringsfarve3 5 3 3 2" xfId="6920" xr:uid="{00000000-0005-0000-0000-000045250000}"/>
    <cellStyle name="20 % - Markeringsfarve3 5 3 3 2 2" xfId="14832" xr:uid="{00000000-0005-0000-0000-000046250000}"/>
    <cellStyle name="20 % - Markeringsfarve3 5 3 3 2 2 2" xfId="31147" xr:uid="{00000000-0005-0000-0000-000047250000}"/>
    <cellStyle name="20 % - Markeringsfarve3 5 3 3 2 2 3" xfId="46111" xr:uid="{00000000-0005-0000-0000-000048250000}"/>
    <cellStyle name="20 % - Markeringsfarve3 5 3 3 2 3" xfId="24125" xr:uid="{00000000-0005-0000-0000-000049250000}"/>
    <cellStyle name="20 % - Markeringsfarve3 5 3 3 2 4" xfId="39112" xr:uid="{00000000-0005-0000-0000-00004A250000}"/>
    <cellStyle name="20 % - Markeringsfarve3 5 3 3 3" xfId="10881" xr:uid="{00000000-0005-0000-0000-00004B250000}"/>
    <cellStyle name="20 % - Markeringsfarve3 5 3 3 3 2" xfId="27201" xr:uid="{00000000-0005-0000-0000-00004C250000}"/>
    <cellStyle name="20 % - Markeringsfarve3 5 3 3 3 3" xfId="42167" xr:uid="{00000000-0005-0000-0000-00004D250000}"/>
    <cellStyle name="20 % - Markeringsfarve3 5 3 3 4" xfId="20179" xr:uid="{00000000-0005-0000-0000-00004E250000}"/>
    <cellStyle name="20 % - Markeringsfarve3 5 3 3 5" xfId="35168" xr:uid="{00000000-0005-0000-0000-00004F250000}"/>
    <cellStyle name="20 % - Markeringsfarve3 5 3 4" xfId="2322" xr:uid="{00000000-0005-0000-0000-000050250000}"/>
    <cellStyle name="20 % - Markeringsfarve3 5 3 4 2" xfId="8246" xr:uid="{00000000-0005-0000-0000-000051250000}"/>
    <cellStyle name="20 % - Markeringsfarve3 5 3 4 2 2" xfId="16141" xr:uid="{00000000-0005-0000-0000-000052250000}"/>
    <cellStyle name="20 % - Markeringsfarve3 5 3 4 2 2 2" xfId="32456" xr:uid="{00000000-0005-0000-0000-000053250000}"/>
    <cellStyle name="20 % - Markeringsfarve3 5 3 4 2 2 3" xfId="47420" xr:uid="{00000000-0005-0000-0000-000054250000}"/>
    <cellStyle name="20 % - Markeringsfarve3 5 3 4 2 3" xfId="25434" xr:uid="{00000000-0005-0000-0000-000055250000}"/>
    <cellStyle name="20 % - Markeringsfarve3 5 3 4 2 4" xfId="40421" xr:uid="{00000000-0005-0000-0000-000056250000}"/>
    <cellStyle name="20 % - Markeringsfarve3 5 3 4 3" xfId="10882" xr:uid="{00000000-0005-0000-0000-000057250000}"/>
    <cellStyle name="20 % - Markeringsfarve3 5 3 4 3 2" xfId="27202" xr:uid="{00000000-0005-0000-0000-000058250000}"/>
    <cellStyle name="20 % - Markeringsfarve3 5 3 4 3 3" xfId="42168" xr:uid="{00000000-0005-0000-0000-000059250000}"/>
    <cellStyle name="20 % - Markeringsfarve3 5 3 4 4" xfId="20180" xr:uid="{00000000-0005-0000-0000-00005A250000}"/>
    <cellStyle name="20 % - Markeringsfarve3 5 3 4 5" xfId="35169" xr:uid="{00000000-0005-0000-0000-00005B250000}"/>
    <cellStyle name="20 % - Markeringsfarve3 5 3 5" xfId="5507" xr:uid="{00000000-0005-0000-0000-00005C250000}"/>
    <cellStyle name="20 % - Markeringsfarve3 5 3 5 2" xfId="13426" xr:uid="{00000000-0005-0000-0000-00005D250000}"/>
    <cellStyle name="20 % - Markeringsfarve3 5 3 5 2 2" xfId="29741" xr:uid="{00000000-0005-0000-0000-00005E250000}"/>
    <cellStyle name="20 % - Markeringsfarve3 5 3 5 2 3" xfId="44705" xr:uid="{00000000-0005-0000-0000-00005F250000}"/>
    <cellStyle name="20 % - Markeringsfarve3 5 3 5 3" xfId="22719" xr:uid="{00000000-0005-0000-0000-000060250000}"/>
    <cellStyle name="20 % - Markeringsfarve3 5 3 5 4" xfId="37706" xr:uid="{00000000-0005-0000-0000-000061250000}"/>
    <cellStyle name="20 % - Markeringsfarve3 5 3 6" xfId="10878" xr:uid="{00000000-0005-0000-0000-000062250000}"/>
    <cellStyle name="20 % - Markeringsfarve3 5 3 6 2" xfId="27198" xr:uid="{00000000-0005-0000-0000-000063250000}"/>
    <cellStyle name="20 % - Markeringsfarve3 5 3 6 3" xfId="42164" xr:uid="{00000000-0005-0000-0000-000064250000}"/>
    <cellStyle name="20 % - Markeringsfarve3 5 3 7" xfId="20176" xr:uid="{00000000-0005-0000-0000-000065250000}"/>
    <cellStyle name="20 % - Markeringsfarve3 5 3 8" xfId="35165" xr:uid="{00000000-0005-0000-0000-000066250000}"/>
    <cellStyle name="20 % - Markeringsfarve3 5 3 9" xfId="56486" xr:uid="{00000000-0005-0000-0000-000067250000}"/>
    <cellStyle name="20 % - Markeringsfarve3 5 4" xfId="2323" xr:uid="{00000000-0005-0000-0000-000068250000}"/>
    <cellStyle name="20 % - Markeringsfarve3 5 4 2" xfId="2324" xr:uid="{00000000-0005-0000-0000-000069250000}"/>
    <cellStyle name="20 % - Markeringsfarve3 5 4 2 2" xfId="2325" xr:uid="{00000000-0005-0000-0000-00006A250000}"/>
    <cellStyle name="20 % - Markeringsfarve3 5 4 2 2 2" xfId="7867" xr:uid="{00000000-0005-0000-0000-00006B250000}"/>
    <cellStyle name="20 % - Markeringsfarve3 5 4 2 2 2 2" xfId="15769" xr:uid="{00000000-0005-0000-0000-00006C250000}"/>
    <cellStyle name="20 % - Markeringsfarve3 5 4 2 2 2 2 2" xfId="32084" xr:uid="{00000000-0005-0000-0000-00006D250000}"/>
    <cellStyle name="20 % - Markeringsfarve3 5 4 2 2 2 2 3" xfId="47048" xr:uid="{00000000-0005-0000-0000-00006E250000}"/>
    <cellStyle name="20 % - Markeringsfarve3 5 4 2 2 2 3" xfId="25062" xr:uid="{00000000-0005-0000-0000-00006F250000}"/>
    <cellStyle name="20 % - Markeringsfarve3 5 4 2 2 2 4" xfId="40049" xr:uid="{00000000-0005-0000-0000-000070250000}"/>
    <cellStyle name="20 % - Markeringsfarve3 5 4 2 2 3" xfId="10885" xr:uid="{00000000-0005-0000-0000-000071250000}"/>
    <cellStyle name="20 % - Markeringsfarve3 5 4 2 2 3 2" xfId="27205" xr:uid="{00000000-0005-0000-0000-000072250000}"/>
    <cellStyle name="20 % - Markeringsfarve3 5 4 2 2 3 3" xfId="42171" xr:uid="{00000000-0005-0000-0000-000073250000}"/>
    <cellStyle name="20 % - Markeringsfarve3 5 4 2 2 4" xfId="20183" xr:uid="{00000000-0005-0000-0000-000074250000}"/>
    <cellStyle name="20 % - Markeringsfarve3 5 4 2 2 5" xfId="35172" xr:uid="{00000000-0005-0000-0000-000075250000}"/>
    <cellStyle name="20 % - Markeringsfarve3 5 4 2 3" xfId="6401" xr:uid="{00000000-0005-0000-0000-000076250000}"/>
    <cellStyle name="20 % - Markeringsfarve3 5 4 2 3 2" xfId="14316" xr:uid="{00000000-0005-0000-0000-000077250000}"/>
    <cellStyle name="20 % - Markeringsfarve3 5 4 2 3 2 2" xfId="30631" xr:uid="{00000000-0005-0000-0000-000078250000}"/>
    <cellStyle name="20 % - Markeringsfarve3 5 4 2 3 2 3" xfId="45595" xr:uid="{00000000-0005-0000-0000-000079250000}"/>
    <cellStyle name="20 % - Markeringsfarve3 5 4 2 3 3" xfId="23609" xr:uid="{00000000-0005-0000-0000-00007A250000}"/>
    <cellStyle name="20 % - Markeringsfarve3 5 4 2 3 4" xfId="38596" xr:uid="{00000000-0005-0000-0000-00007B250000}"/>
    <cellStyle name="20 % - Markeringsfarve3 5 4 2 4" xfId="10884" xr:uid="{00000000-0005-0000-0000-00007C250000}"/>
    <cellStyle name="20 % - Markeringsfarve3 5 4 2 4 2" xfId="27204" xr:uid="{00000000-0005-0000-0000-00007D250000}"/>
    <cellStyle name="20 % - Markeringsfarve3 5 4 2 4 3" xfId="42170" xr:uid="{00000000-0005-0000-0000-00007E250000}"/>
    <cellStyle name="20 % - Markeringsfarve3 5 4 2 5" xfId="20182" xr:uid="{00000000-0005-0000-0000-00007F250000}"/>
    <cellStyle name="20 % - Markeringsfarve3 5 4 2 6" xfId="35171" xr:uid="{00000000-0005-0000-0000-000080250000}"/>
    <cellStyle name="20 % - Markeringsfarve3 5 4 3" xfId="2326" xr:uid="{00000000-0005-0000-0000-000081250000}"/>
    <cellStyle name="20 % - Markeringsfarve3 5 4 3 2" xfId="7143" xr:uid="{00000000-0005-0000-0000-000082250000}"/>
    <cellStyle name="20 % - Markeringsfarve3 5 4 3 2 2" xfId="15054" xr:uid="{00000000-0005-0000-0000-000083250000}"/>
    <cellStyle name="20 % - Markeringsfarve3 5 4 3 2 2 2" xfId="31369" xr:uid="{00000000-0005-0000-0000-000084250000}"/>
    <cellStyle name="20 % - Markeringsfarve3 5 4 3 2 2 3" xfId="46333" xr:uid="{00000000-0005-0000-0000-000085250000}"/>
    <cellStyle name="20 % - Markeringsfarve3 5 4 3 2 3" xfId="24347" xr:uid="{00000000-0005-0000-0000-000086250000}"/>
    <cellStyle name="20 % - Markeringsfarve3 5 4 3 2 4" xfId="39334" xr:uid="{00000000-0005-0000-0000-000087250000}"/>
    <cellStyle name="20 % - Markeringsfarve3 5 4 3 3" xfId="10886" xr:uid="{00000000-0005-0000-0000-000088250000}"/>
    <cellStyle name="20 % - Markeringsfarve3 5 4 3 3 2" xfId="27206" xr:uid="{00000000-0005-0000-0000-000089250000}"/>
    <cellStyle name="20 % - Markeringsfarve3 5 4 3 3 3" xfId="42172" xr:uid="{00000000-0005-0000-0000-00008A250000}"/>
    <cellStyle name="20 % - Markeringsfarve3 5 4 3 4" xfId="20184" xr:uid="{00000000-0005-0000-0000-00008B250000}"/>
    <cellStyle name="20 % - Markeringsfarve3 5 4 3 5" xfId="35173" xr:uid="{00000000-0005-0000-0000-00008C250000}"/>
    <cellStyle name="20 % - Markeringsfarve3 5 4 4" xfId="2327" xr:uid="{00000000-0005-0000-0000-00008D250000}"/>
    <cellStyle name="20 % - Markeringsfarve3 5 4 4 2" xfId="8245" xr:uid="{00000000-0005-0000-0000-00008E250000}"/>
    <cellStyle name="20 % - Markeringsfarve3 5 4 4 2 2" xfId="16140" xr:uid="{00000000-0005-0000-0000-00008F250000}"/>
    <cellStyle name="20 % - Markeringsfarve3 5 4 4 2 2 2" xfId="32455" xr:uid="{00000000-0005-0000-0000-000090250000}"/>
    <cellStyle name="20 % - Markeringsfarve3 5 4 4 2 2 3" xfId="47419" xr:uid="{00000000-0005-0000-0000-000091250000}"/>
    <cellStyle name="20 % - Markeringsfarve3 5 4 4 2 3" xfId="25433" xr:uid="{00000000-0005-0000-0000-000092250000}"/>
    <cellStyle name="20 % - Markeringsfarve3 5 4 4 2 4" xfId="40420" xr:uid="{00000000-0005-0000-0000-000093250000}"/>
    <cellStyle name="20 % - Markeringsfarve3 5 4 4 3" xfId="10887" xr:uid="{00000000-0005-0000-0000-000094250000}"/>
    <cellStyle name="20 % - Markeringsfarve3 5 4 4 3 2" xfId="27207" xr:uid="{00000000-0005-0000-0000-000095250000}"/>
    <cellStyle name="20 % - Markeringsfarve3 5 4 4 3 3" xfId="42173" xr:uid="{00000000-0005-0000-0000-000096250000}"/>
    <cellStyle name="20 % - Markeringsfarve3 5 4 4 4" xfId="20185" xr:uid="{00000000-0005-0000-0000-000097250000}"/>
    <cellStyle name="20 % - Markeringsfarve3 5 4 4 5" xfId="35174" xr:uid="{00000000-0005-0000-0000-000098250000}"/>
    <cellStyle name="20 % - Markeringsfarve3 5 4 5" xfId="5508" xr:uid="{00000000-0005-0000-0000-000099250000}"/>
    <cellStyle name="20 % - Markeringsfarve3 5 4 5 2" xfId="13427" xr:uid="{00000000-0005-0000-0000-00009A250000}"/>
    <cellStyle name="20 % - Markeringsfarve3 5 4 5 2 2" xfId="29742" xr:uid="{00000000-0005-0000-0000-00009B250000}"/>
    <cellStyle name="20 % - Markeringsfarve3 5 4 5 2 3" xfId="44706" xr:uid="{00000000-0005-0000-0000-00009C250000}"/>
    <cellStyle name="20 % - Markeringsfarve3 5 4 5 3" xfId="22720" xr:uid="{00000000-0005-0000-0000-00009D250000}"/>
    <cellStyle name="20 % - Markeringsfarve3 5 4 5 4" xfId="37707" xr:uid="{00000000-0005-0000-0000-00009E250000}"/>
    <cellStyle name="20 % - Markeringsfarve3 5 4 6" xfId="10883" xr:uid="{00000000-0005-0000-0000-00009F250000}"/>
    <cellStyle name="20 % - Markeringsfarve3 5 4 6 2" xfId="27203" xr:uid="{00000000-0005-0000-0000-0000A0250000}"/>
    <cellStyle name="20 % - Markeringsfarve3 5 4 6 3" xfId="42169" xr:uid="{00000000-0005-0000-0000-0000A1250000}"/>
    <cellStyle name="20 % - Markeringsfarve3 5 4 7" xfId="20181" xr:uid="{00000000-0005-0000-0000-0000A2250000}"/>
    <cellStyle name="20 % - Markeringsfarve3 5 4 8" xfId="35170" xr:uid="{00000000-0005-0000-0000-0000A3250000}"/>
    <cellStyle name="20 % - Markeringsfarve3 5 5" xfId="2328" xr:uid="{00000000-0005-0000-0000-0000A4250000}"/>
    <cellStyle name="20 % - Markeringsfarve3 5 5 2" xfId="2329" xr:uid="{00000000-0005-0000-0000-0000A5250000}"/>
    <cellStyle name="20 % - Markeringsfarve3 5 5 2 2" xfId="2330" xr:uid="{00000000-0005-0000-0000-0000A6250000}"/>
    <cellStyle name="20 % - Markeringsfarve3 5 5 2 2 2" xfId="7984" xr:uid="{00000000-0005-0000-0000-0000A7250000}"/>
    <cellStyle name="20 % - Markeringsfarve3 5 5 2 2 2 2" xfId="15886" xr:uid="{00000000-0005-0000-0000-0000A8250000}"/>
    <cellStyle name="20 % - Markeringsfarve3 5 5 2 2 2 2 2" xfId="32201" xr:uid="{00000000-0005-0000-0000-0000A9250000}"/>
    <cellStyle name="20 % - Markeringsfarve3 5 5 2 2 2 2 3" xfId="47165" xr:uid="{00000000-0005-0000-0000-0000AA250000}"/>
    <cellStyle name="20 % - Markeringsfarve3 5 5 2 2 2 3" xfId="25179" xr:uid="{00000000-0005-0000-0000-0000AB250000}"/>
    <cellStyle name="20 % - Markeringsfarve3 5 5 2 2 2 4" xfId="40166" xr:uid="{00000000-0005-0000-0000-0000AC250000}"/>
    <cellStyle name="20 % - Markeringsfarve3 5 5 2 2 3" xfId="10890" xr:uid="{00000000-0005-0000-0000-0000AD250000}"/>
    <cellStyle name="20 % - Markeringsfarve3 5 5 2 2 3 2" xfId="27210" xr:uid="{00000000-0005-0000-0000-0000AE250000}"/>
    <cellStyle name="20 % - Markeringsfarve3 5 5 2 2 3 3" xfId="42176" xr:uid="{00000000-0005-0000-0000-0000AF250000}"/>
    <cellStyle name="20 % - Markeringsfarve3 5 5 2 2 4" xfId="20188" xr:uid="{00000000-0005-0000-0000-0000B0250000}"/>
    <cellStyle name="20 % - Markeringsfarve3 5 5 2 2 5" xfId="35177" xr:uid="{00000000-0005-0000-0000-0000B1250000}"/>
    <cellStyle name="20 % - Markeringsfarve3 5 5 2 3" xfId="6500" xr:uid="{00000000-0005-0000-0000-0000B2250000}"/>
    <cellStyle name="20 % - Markeringsfarve3 5 5 2 3 2" xfId="14415" xr:uid="{00000000-0005-0000-0000-0000B3250000}"/>
    <cellStyle name="20 % - Markeringsfarve3 5 5 2 3 2 2" xfId="30730" xr:uid="{00000000-0005-0000-0000-0000B4250000}"/>
    <cellStyle name="20 % - Markeringsfarve3 5 5 2 3 2 3" xfId="45694" xr:uid="{00000000-0005-0000-0000-0000B5250000}"/>
    <cellStyle name="20 % - Markeringsfarve3 5 5 2 3 3" xfId="23708" xr:uid="{00000000-0005-0000-0000-0000B6250000}"/>
    <cellStyle name="20 % - Markeringsfarve3 5 5 2 3 4" xfId="38695" xr:uid="{00000000-0005-0000-0000-0000B7250000}"/>
    <cellStyle name="20 % - Markeringsfarve3 5 5 2 4" xfId="10889" xr:uid="{00000000-0005-0000-0000-0000B8250000}"/>
    <cellStyle name="20 % - Markeringsfarve3 5 5 2 4 2" xfId="27209" xr:uid="{00000000-0005-0000-0000-0000B9250000}"/>
    <cellStyle name="20 % - Markeringsfarve3 5 5 2 4 3" xfId="42175" xr:uid="{00000000-0005-0000-0000-0000BA250000}"/>
    <cellStyle name="20 % - Markeringsfarve3 5 5 2 5" xfId="20187" xr:uid="{00000000-0005-0000-0000-0000BB250000}"/>
    <cellStyle name="20 % - Markeringsfarve3 5 5 2 6" xfId="35176" xr:uid="{00000000-0005-0000-0000-0000BC250000}"/>
    <cellStyle name="20 % - Markeringsfarve3 5 5 3" xfId="2331" xr:uid="{00000000-0005-0000-0000-0000BD250000}"/>
    <cellStyle name="20 % - Markeringsfarve3 5 5 3 2" xfId="7260" xr:uid="{00000000-0005-0000-0000-0000BE250000}"/>
    <cellStyle name="20 % - Markeringsfarve3 5 5 3 2 2" xfId="15171" xr:uid="{00000000-0005-0000-0000-0000BF250000}"/>
    <cellStyle name="20 % - Markeringsfarve3 5 5 3 2 2 2" xfId="31486" xr:uid="{00000000-0005-0000-0000-0000C0250000}"/>
    <cellStyle name="20 % - Markeringsfarve3 5 5 3 2 2 3" xfId="46450" xr:uid="{00000000-0005-0000-0000-0000C1250000}"/>
    <cellStyle name="20 % - Markeringsfarve3 5 5 3 2 3" xfId="24464" xr:uid="{00000000-0005-0000-0000-0000C2250000}"/>
    <cellStyle name="20 % - Markeringsfarve3 5 5 3 2 4" xfId="39451" xr:uid="{00000000-0005-0000-0000-0000C3250000}"/>
    <cellStyle name="20 % - Markeringsfarve3 5 5 3 3" xfId="10891" xr:uid="{00000000-0005-0000-0000-0000C4250000}"/>
    <cellStyle name="20 % - Markeringsfarve3 5 5 3 3 2" xfId="27211" xr:uid="{00000000-0005-0000-0000-0000C5250000}"/>
    <cellStyle name="20 % - Markeringsfarve3 5 5 3 3 3" xfId="42177" xr:uid="{00000000-0005-0000-0000-0000C6250000}"/>
    <cellStyle name="20 % - Markeringsfarve3 5 5 3 4" xfId="20189" xr:uid="{00000000-0005-0000-0000-0000C7250000}"/>
    <cellStyle name="20 % - Markeringsfarve3 5 5 3 5" xfId="35178" xr:uid="{00000000-0005-0000-0000-0000C8250000}"/>
    <cellStyle name="20 % - Markeringsfarve3 5 5 4" xfId="2332" xr:uid="{00000000-0005-0000-0000-0000C9250000}"/>
    <cellStyle name="20 % - Markeringsfarve3 5 5 4 2" xfId="8244" xr:uid="{00000000-0005-0000-0000-0000CA250000}"/>
    <cellStyle name="20 % - Markeringsfarve3 5 5 4 2 2" xfId="16139" xr:uid="{00000000-0005-0000-0000-0000CB250000}"/>
    <cellStyle name="20 % - Markeringsfarve3 5 5 4 2 2 2" xfId="32454" xr:uid="{00000000-0005-0000-0000-0000CC250000}"/>
    <cellStyle name="20 % - Markeringsfarve3 5 5 4 2 2 3" xfId="47418" xr:uid="{00000000-0005-0000-0000-0000CD250000}"/>
    <cellStyle name="20 % - Markeringsfarve3 5 5 4 2 3" xfId="25432" xr:uid="{00000000-0005-0000-0000-0000CE250000}"/>
    <cellStyle name="20 % - Markeringsfarve3 5 5 4 2 4" xfId="40419" xr:uid="{00000000-0005-0000-0000-0000CF250000}"/>
    <cellStyle name="20 % - Markeringsfarve3 5 5 4 3" xfId="10892" xr:uid="{00000000-0005-0000-0000-0000D0250000}"/>
    <cellStyle name="20 % - Markeringsfarve3 5 5 4 3 2" xfId="27212" xr:uid="{00000000-0005-0000-0000-0000D1250000}"/>
    <cellStyle name="20 % - Markeringsfarve3 5 5 4 3 3" xfId="42178" xr:uid="{00000000-0005-0000-0000-0000D2250000}"/>
    <cellStyle name="20 % - Markeringsfarve3 5 5 4 4" xfId="20190" xr:uid="{00000000-0005-0000-0000-0000D3250000}"/>
    <cellStyle name="20 % - Markeringsfarve3 5 5 4 5" xfId="35179" xr:uid="{00000000-0005-0000-0000-0000D4250000}"/>
    <cellStyle name="20 % - Markeringsfarve3 5 5 5" xfId="5509" xr:uid="{00000000-0005-0000-0000-0000D5250000}"/>
    <cellStyle name="20 % - Markeringsfarve3 5 5 5 2" xfId="13428" xr:uid="{00000000-0005-0000-0000-0000D6250000}"/>
    <cellStyle name="20 % - Markeringsfarve3 5 5 5 2 2" xfId="29743" xr:uid="{00000000-0005-0000-0000-0000D7250000}"/>
    <cellStyle name="20 % - Markeringsfarve3 5 5 5 2 3" xfId="44707" xr:uid="{00000000-0005-0000-0000-0000D8250000}"/>
    <cellStyle name="20 % - Markeringsfarve3 5 5 5 3" xfId="22721" xr:uid="{00000000-0005-0000-0000-0000D9250000}"/>
    <cellStyle name="20 % - Markeringsfarve3 5 5 5 4" xfId="37708" xr:uid="{00000000-0005-0000-0000-0000DA250000}"/>
    <cellStyle name="20 % - Markeringsfarve3 5 5 6" xfId="10888" xr:uid="{00000000-0005-0000-0000-0000DB250000}"/>
    <cellStyle name="20 % - Markeringsfarve3 5 5 6 2" xfId="27208" xr:uid="{00000000-0005-0000-0000-0000DC250000}"/>
    <cellStyle name="20 % - Markeringsfarve3 5 5 6 3" xfId="42174" xr:uid="{00000000-0005-0000-0000-0000DD250000}"/>
    <cellStyle name="20 % - Markeringsfarve3 5 5 7" xfId="20186" xr:uid="{00000000-0005-0000-0000-0000DE250000}"/>
    <cellStyle name="20 % - Markeringsfarve3 5 5 8" xfId="35175" xr:uid="{00000000-0005-0000-0000-0000DF250000}"/>
    <cellStyle name="20 % - Markeringsfarve3 5 6" xfId="2333" xr:uid="{00000000-0005-0000-0000-0000E0250000}"/>
    <cellStyle name="20 % - Markeringsfarve3 5 6 2" xfId="2334" xr:uid="{00000000-0005-0000-0000-0000E1250000}"/>
    <cellStyle name="20 % - Markeringsfarve3 5 6 2 2" xfId="2335" xr:uid="{00000000-0005-0000-0000-0000E2250000}"/>
    <cellStyle name="20 % - Markeringsfarve3 5 6 2 2 2" xfId="8045" xr:uid="{00000000-0005-0000-0000-0000E3250000}"/>
    <cellStyle name="20 % - Markeringsfarve3 5 6 2 2 2 2" xfId="15947" xr:uid="{00000000-0005-0000-0000-0000E4250000}"/>
    <cellStyle name="20 % - Markeringsfarve3 5 6 2 2 2 2 2" xfId="32262" xr:uid="{00000000-0005-0000-0000-0000E5250000}"/>
    <cellStyle name="20 % - Markeringsfarve3 5 6 2 2 2 2 3" xfId="47226" xr:uid="{00000000-0005-0000-0000-0000E6250000}"/>
    <cellStyle name="20 % - Markeringsfarve3 5 6 2 2 2 3" xfId="25240" xr:uid="{00000000-0005-0000-0000-0000E7250000}"/>
    <cellStyle name="20 % - Markeringsfarve3 5 6 2 2 2 4" xfId="40227" xr:uid="{00000000-0005-0000-0000-0000E8250000}"/>
    <cellStyle name="20 % - Markeringsfarve3 5 6 2 2 3" xfId="10895" xr:uid="{00000000-0005-0000-0000-0000E9250000}"/>
    <cellStyle name="20 % - Markeringsfarve3 5 6 2 2 3 2" xfId="27215" xr:uid="{00000000-0005-0000-0000-0000EA250000}"/>
    <cellStyle name="20 % - Markeringsfarve3 5 6 2 2 3 3" xfId="42181" xr:uid="{00000000-0005-0000-0000-0000EB250000}"/>
    <cellStyle name="20 % - Markeringsfarve3 5 6 2 2 4" xfId="20193" xr:uid="{00000000-0005-0000-0000-0000EC250000}"/>
    <cellStyle name="20 % - Markeringsfarve3 5 6 2 2 5" xfId="35182" xr:uid="{00000000-0005-0000-0000-0000ED250000}"/>
    <cellStyle name="20 % - Markeringsfarve3 5 6 2 3" xfId="6556" xr:uid="{00000000-0005-0000-0000-0000EE250000}"/>
    <cellStyle name="20 % - Markeringsfarve3 5 6 2 3 2" xfId="14471" xr:uid="{00000000-0005-0000-0000-0000EF250000}"/>
    <cellStyle name="20 % - Markeringsfarve3 5 6 2 3 2 2" xfId="30786" xr:uid="{00000000-0005-0000-0000-0000F0250000}"/>
    <cellStyle name="20 % - Markeringsfarve3 5 6 2 3 2 3" xfId="45750" xr:uid="{00000000-0005-0000-0000-0000F1250000}"/>
    <cellStyle name="20 % - Markeringsfarve3 5 6 2 3 3" xfId="23764" xr:uid="{00000000-0005-0000-0000-0000F2250000}"/>
    <cellStyle name="20 % - Markeringsfarve3 5 6 2 3 4" xfId="38751" xr:uid="{00000000-0005-0000-0000-0000F3250000}"/>
    <cellStyle name="20 % - Markeringsfarve3 5 6 2 4" xfId="10894" xr:uid="{00000000-0005-0000-0000-0000F4250000}"/>
    <cellStyle name="20 % - Markeringsfarve3 5 6 2 4 2" xfId="27214" xr:uid="{00000000-0005-0000-0000-0000F5250000}"/>
    <cellStyle name="20 % - Markeringsfarve3 5 6 2 4 3" xfId="42180" xr:uid="{00000000-0005-0000-0000-0000F6250000}"/>
    <cellStyle name="20 % - Markeringsfarve3 5 6 2 5" xfId="20192" xr:uid="{00000000-0005-0000-0000-0000F7250000}"/>
    <cellStyle name="20 % - Markeringsfarve3 5 6 2 6" xfId="35181" xr:uid="{00000000-0005-0000-0000-0000F8250000}"/>
    <cellStyle name="20 % - Markeringsfarve3 5 6 3" xfId="2336" xr:uid="{00000000-0005-0000-0000-0000F9250000}"/>
    <cellStyle name="20 % - Markeringsfarve3 5 6 3 2" xfId="7322" xr:uid="{00000000-0005-0000-0000-0000FA250000}"/>
    <cellStyle name="20 % - Markeringsfarve3 5 6 3 2 2" xfId="15233" xr:uid="{00000000-0005-0000-0000-0000FB250000}"/>
    <cellStyle name="20 % - Markeringsfarve3 5 6 3 2 2 2" xfId="31548" xr:uid="{00000000-0005-0000-0000-0000FC250000}"/>
    <cellStyle name="20 % - Markeringsfarve3 5 6 3 2 2 3" xfId="46512" xr:uid="{00000000-0005-0000-0000-0000FD250000}"/>
    <cellStyle name="20 % - Markeringsfarve3 5 6 3 2 3" xfId="24526" xr:uid="{00000000-0005-0000-0000-0000FE250000}"/>
    <cellStyle name="20 % - Markeringsfarve3 5 6 3 2 4" xfId="39513" xr:uid="{00000000-0005-0000-0000-0000FF250000}"/>
    <cellStyle name="20 % - Markeringsfarve3 5 6 3 3" xfId="10896" xr:uid="{00000000-0005-0000-0000-000000260000}"/>
    <cellStyle name="20 % - Markeringsfarve3 5 6 3 3 2" xfId="27216" xr:uid="{00000000-0005-0000-0000-000001260000}"/>
    <cellStyle name="20 % - Markeringsfarve3 5 6 3 3 3" xfId="42182" xr:uid="{00000000-0005-0000-0000-000002260000}"/>
    <cellStyle name="20 % - Markeringsfarve3 5 6 3 4" xfId="20194" xr:uid="{00000000-0005-0000-0000-000003260000}"/>
    <cellStyle name="20 % - Markeringsfarve3 5 6 3 5" xfId="35183" xr:uid="{00000000-0005-0000-0000-000004260000}"/>
    <cellStyle name="20 % - Markeringsfarve3 5 6 4" xfId="2337" xr:uid="{00000000-0005-0000-0000-000005260000}"/>
    <cellStyle name="20 % - Markeringsfarve3 5 6 4 2" xfId="8457" xr:uid="{00000000-0005-0000-0000-000006260000}"/>
    <cellStyle name="20 % - Markeringsfarve3 5 6 4 2 2" xfId="16347" xr:uid="{00000000-0005-0000-0000-000007260000}"/>
    <cellStyle name="20 % - Markeringsfarve3 5 6 4 2 2 2" xfId="32662" xr:uid="{00000000-0005-0000-0000-000008260000}"/>
    <cellStyle name="20 % - Markeringsfarve3 5 6 4 2 2 3" xfId="47626" xr:uid="{00000000-0005-0000-0000-000009260000}"/>
    <cellStyle name="20 % - Markeringsfarve3 5 6 4 2 3" xfId="25640" xr:uid="{00000000-0005-0000-0000-00000A260000}"/>
    <cellStyle name="20 % - Markeringsfarve3 5 6 4 2 4" xfId="40627" xr:uid="{00000000-0005-0000-0000-00000B260000}"/>
    <cellStyle name="20 % - Markeringsfarve3 5 6 4 3" xfId="10897" xr:uid="{00000000-0005-0000-0000-00000C260000}"/>
    <cellStyle name="20 % - Markeringsfarve3 5 6 4 3 2" xfId="27217" xr:uid="{00000000-0005-0000-0000-00000D260000}"/>
    <cellStyle name="20 % - Markeringsfarve3 5 6 4 3 3" xfId="42183" xr:uid="{00000000-0005-0000-0000-00000E260000}"/>
    <cellStyle name="20 % - Markeringsfarve3 5 6 4 4" xfId="20195" xr:uid="{00000000-0005-0000-0000-00000F260000}"/>
    <cellStyle name="20 % - Markeringsfarve3 5 6 4 5" xfId="35184" xr:uid="{00000000-0005-0000-0000-000010260000}"/>
    <cellStyle name="20 % - Markeringsfarve3 5 6 5" xfId="5510" xr:uid="{00000000-0005-0000-0000-000011260000}"/>
    <cellStyle name="20 % - Markeringsfarve3 5 6 5 2" xfId="13429" xr:uid="{00000000-0005-0000-0000-000012260000}"/>
    <cellStyle name="20 % - Markeringsfarve3 5 6 5 2 2" xfId="29744" xr:uid="{00000000-0005-0000-0000-000013260000}"/>
    <cellStyle name="20 % - Markeringsfarve3 5 6 5 2 3" xfId="44708" xr:uid="{00000000-0005-0000-0000-000014260000}"/>
    <cellStyle name="20 % - Markeringsfarve3 5 6 5 3" xfId="22722" xr:uid="{00000000-0005-0000-0000-000015260000}"/>
    <cellStyle name="20 % - Markeringsfarve3 5 6 5 4" xfId="37709" xr:uid="{00000000-0005-0000-0000-000016260000}"/>
    <cellStyle name="20 % - Markeringsfarve3 5 6 6" xfId="10893" xr:uid="{00000000-0005-0000-0000-000017260000}"/>
    <cellStyle name="20 % - Markeringsfarve3 5 6 6 2" xfId="27213" xr:uid="{00000000-0005-0000-0000-000018260000}"/>
    <cellStyle name="20 % - Markeringsfarve3 5 6 6 3" xfId="42179" xr:uid="{00000000-0005-0000-0000-000019260000}"/>
    <cellStyle name="20 % - Markeringsfarve3 5 6 7" xfId="20191" xr:uid="{00000000-0005-0000-0000-00001A260000}"/>
    <cellStyle name="20 % - Markeringsfarve3 5 6 8" xfId="35180" xr:uid="{00000000-0005-0000-0000-00001B260000}"/>
    <cellStyle name="20 % - Markeringsfarve3 5 7" xfId="2338" xr:uid="{00000000-0005-0000-0000-00001C260000}"/>
    <cellStyle name="20 % - Markeringsfarve3 5 7 2" xfId="2339" xr:uid="{00000000-0005-0000-0000-00001D260000}"/>
    <cellStyle name="20 % - Markeringsfarve3 5 7 2 2" xfId="7510" xr:uid="{00000000-0005-0000-0000-00001E260000}"/>
    <cellStyle name="20 % - Markeringsfarve3 5 7 2 2 2" xfId="15412" xr:uid="{00000000-0005-0000-0000-00001F260000}"/>
    <cellStyle name="20 % - Markeringsfarve3 5 7 2 2 2 2" xfId="31727" xr:uid="{00000000-0005-0000-0000-000020260000}"/>
    <cellStyle name="20 % - Markeringsfarve3 5 7 2 2 2 3" xfId="46691" xr:uid="{00000000-0005-0000-0000-000021260000}"/>
    <cellStyle name="20 % - Markeringsfarve3 5 7 2 2 3" xfId="24705" xr:uid="{00000000-0005-0000-0000-000022260000}"/>
    <cellStyle name="20 % - Markeringsfarve3 5 7 2 2 4" xfId="39692" xr:uid="{00000000-0005-0000-0000-000023260000}"/>
    <cellStyle name="20 % - Markeringsfarve3 5 7 2 3" xfId="10899" xr:uid="{00000000-0005-0000-0000-000024260000}"/>
    <cellStyle name="20 % - Markeringsfarve3 5 7 2 3 2" xfId="27219" xr:uid="{00000000-0005-0000-0000-000025260000}"/>
    <cellStyle name="20 % - Markeringsfarve3 5 7 2 3 3" xfId="42185" xr:uid="{00000000-0005-0000-0000-000026260000}"/>
    <cellStyle name="20 % - Markeringsfarve3 5 7 2 4" xfId="20197" xr:uid="{00000000-0005-0000-0000-000027260000}"/>
    <cellStyle name="20 % - Markeringsfarve3 5 7 2 5" xfId="35186" xr:uid="{00000000-0005-0000-0000-000028260000}"/>
    <cellStyle name="20 % - Markeringsfarve3 5 7 3" xfId="6100" xr:uid="{00000000-0005-0000-0000-000029260000}"/>
    <cellStyle name="20 % - Markeringsfarve3 5 7 3 2" xfId="14018" xr:uid="{00000000-0005-0000-0000-00002A260000}"/>
    <cellStyle name="20 % - Markeringsfarve3 5 7 3 2 2" xfId="30333" xr:uid="{00000000-0005-0000-0000-00002B260000}"/>
    <cellStyle name="20 % - Markeringsfarve3 5 7 3 2 3" xfId="45297" xr:uid="{00000000-0005-0000-0000-00002C260000}"/>
    <cellStyle name="20 % - Markeringsfarve3 5 7 3 3" xfId="23311" xr:uid="{00000000-0005-0000-0000-00002D260000}"/>
    <cellStyle name="20 % - Markeringsfarve3 5 7 3 4" xfId="38298" xr:uid="{00000000-0005-0000-0000-00002E260000}"/>
    <cellStyle name="20 % - Markeringsfarve3 5 7 4" xfId="10898" xr:uid="{00000000-0005-0000-0000-00002F260000}"/>
    <cellStyle name="20 % - Markeringsfarve3 5 7 4 2" xfId="27218" xr:uid="{00000000-0005-0000-0000-000030260000}"/>
    <cellStyle name="20 % - Markeringsfarve3 5 7 4 3" xfId="42184" xr:uid="{00000000-0005-0000-0000-000031260000}"/>
    <cellStyle name="20 % - Markeringsfarve3 5 7 5" xfId="20196" xr:uid="{00000000-0005-0000-0000-000032260000}"/>
    <cellStyle name="20 % - Markeringsfarve3 5 7 6" xfId="35185" xr:uid="{00000000-0005-0000-0000-000033260000}"/>
    <cellStyle name="20 % - Markeringsfarve3 5 8" xfId="2340" xr:uid="{00000000-0005-0000-0000-000034260000}"/>
    <cellStyle name="20 % - Markeringsfarve3 5 8 2" xfId="6738" xr:uid="{00000000-0005-0000-0000-000035260000}"/>
    <cellStyle name="20 % - Markeringsfarve3 5 8 2 2" xfId="14650" xr:uid="{00000000-0005-0000-0000-000036260000}"/>
    <cellStyle name="20 % - Markeringsfarve3 5 8 2 2 2" xfId="30965" xr:uid="{00000000-0005-0000-0000-000037260000}"/>
    <cellStyle name="20 % - Markeringsfarve3 5 8 2 2 3" xfId="45929" xr:uid="{00000000-0005-0000-0000-000038260000}"/>
    <cellStyle name="20 % - Markeringsfarve3 5 8 2 3" xfId="23943" xr:uid="{00000000-0005-0000-0000-000039260000}"/>
    <cellStyle name="20 % - Markeringsfarve3 5 8 2 4" xfId="38930" xr:uid="{00000000-0005-0000-0000-00003A260000}"/>
    <cellStyle name="20 % - Markeringsfarve3 5 8 3" xfId="10900" xr:uid="{00000000-0005-0000-0000-00003B260000}"/>
    <cellStyle name="20 % - Markeringsfarve3 5 8 3 2" xfId="27220" xr:uid="{00000000-0005-0000-0000-00003C260000}"/>
    <cellStyle name="20 % - Markeringsfarve3 5 8 3 3" xfId="42186" xr:uid="{00000000-0005-0000-0000-00003D260000}"/>
    <cellStyle name="20 % - Markeringsfarve3 5 8 4" xfId="20198" xr:uid="{00000000-0005-0000-0000-00003E260000}"/>
    <cellStyle name="20 % - Markeringsfarve3 5 8 5" xfId="35187" xr:uid="{00000000-0005-0000-0000-00003F260000}"/>
    <cellStyle name="20 % - Markeringsfarve3 5 9" xfId="2341" xr:uid="{00000000-0005-0000-0000-000040260000}"/>
    <cellStyle name="20 % - Markeringsfarve3 5 9 2" xfId="8248" xr:uid="{00000000-0005-0000-0000-000041260000}"/>
    <cellStyle name="20 % - Markeringsfarve3 5 9 2 2" xfId="16143" xr:uid="{00000000-0005-0000-0000-000042260000}"/>
    <cellStyle name="20 % - Markeringsfarve3 5 9 2 2 2" xfId="32458" xr:uid="{00000000-0005-0000-0000-000043260000}"/>
    <cellStyle name="20 % - Markeringsfarve3 5 9 2 2 3" xfId="47422" xr:uid="{00000000-0005-0000-0000-000044260000}"/>
    <cellStyle name="20 % - Markeringsfarve3 5 9 2 3" xfId="25436" xr:uid="{00000000-0005-0000-0000-000045260000}"/>
    <cellStyle name="20 % - Markeringsfarve3 5 9 2 4" xfId="40423" xr:uid="{00000000-0005-0000-0000-000046260000}"/>
    <cellStyle name="20 % - Markeringsfarve3 5 9 3" xfId="10901" xr:uid="{00000000-0005-0000-0000-000047260000}"/>
    <cellStyle name="20 % - Markeringsfarve3 5 9 3 2" xfId="27221" xr:uid="{00000000-0005-0000-0000-000048260000}"/>
    <cellStyle name="20 % - Markeringsfarve3 5 9 3 3" xfId="42187" xr:uid="{00000000-0005-0000-0000-000049260000}"/>
    <cellStyle name="20 % - Markeringsfarve3 5 9 4" xfId="20199" xr:uid="{00000000-0005-0000-0000-00004A260000}"/>
    <cellStyle name="20 % - Markeringsfarve3 5 9 5" xfId="35188" xr:uid="{00000000-0005-0000-0000-00004B260000}"/>
    <cellStyle name="20 % - Markeringsfarve3 6" xfId="2342" xr:uid="{00000000-0005-0000-0000-00004C260000}"/>
    <cellStyle name="20 % - Markeringsfarve3 6 10" xfId="53304" xr:uid="{00000000-0005-0000-0000-00004D260000}"/>
    <cellStyle name="20 % - Markeringsfarve3 6 2" xfId="2343" xr:uid="{00000000-0005-0000-0000-00004E260000}"/>
    <cellStyle name="20 % - Markeringsfarve3 6 2 2" xfId="2344" xr:uid="{00000000-0005-0000-0000-00004F260000}"/>
    <cellStyle name="20 % - Markeringsfarve3 6 2 2 2" xfId="2345" xr:uid="{00000000-0005-0000-0000-000050260000}"/>
    <cellStyle name="20 % - Markeringsfarve3 6 2 2 2 2" xfId="7691" xr:uid="{00000000-0005-0000-0000-000051260000}"/>
    <cellStyle name="20 % - Markeringsfarve3 6 2 2 2 2 2" xfId="15593" xr:uid="{00000000-0005-0000-0000-000052260000}"/>
    <cellStyle name="20 % - Markeringsfarve3 6 2 2 2 2 2 2" xfId="31908" xr:uid="{00000000-0005-0000-0000-000053260000}"/>
    <cellStyle name="20 % - Markeringsfarve3 6 2 2 2 2 2 3" xfId="46872" xr:uid="{00000000-0005-0000-0000-000054260000}"/>
    <cellStyle name="20 % - Markeringsfarve3 6 2 2 2 2 3" xfId="24886" xr:uid="{00000000-0005-0000-0000-000055260000}"/>
    <cellStyle name="20 % - Markeringsfarve3 6 2 2 2 2 4" xfId="39873" xr:uid="{00000000-0005-0000-0000-000056260000}"/>
    <cellStyle name="20 % - Markeringsfarve3 6 2 2 2 3" xfId="10905" xr:uid="{00000000-0005-0000-0000-000057260000}"/>
    <cellStyle name="20 % - Markeringsfarve3 6 2 2 2 3 2" xfId="27225" xr:uid="{00000000-0005-0000-0000-000058260000}"/>
    <cellStyle name="20 % - Markeringsfarve3 6 2 2 2 3 3" xfId="42191" xr:uid="{00000000-0005-0000-0000-000059260000}"/>
    <cellStyle name="20 % - Markeringsfarve3 6 2 2 2 4" xfId="20203" xr:uid="{00000000-0005-0000-0000-00005A260000}"/>
    <cellStyle name="20 % - Markeringsfarve3 6 2 2 2 5" xfId="35192" xr:uid="{00000000-0005-0000-0000-00005B260000}"/>
    <cellStyle name="20 % - Markeringsfarve3 6 2 2 3" xfId="6255" xr:uid="{00000000-0005-0000-0000-00005C260000}"/>
    <cellStyle name="20 % - Markeringsfarve3 6 2 2 3 2" xfId="14173" xr:uid="{00000000-0005-0000-0000-00005D260000}"/>
    <cellStyle name="20 % - Markeringsfarve3 6 2 2 3 2 2" xfId="30488" xr:uid="{00000000-0005-0000-0000-00005E260000}"/>
    <cellStyle name="20 % - Markeringsfarve3 6 2 2 3 2 3" xfId="45452" xr:uid="{00000000-0005-0000-0000-00005F260000}"/>
    <cellStyle name="20 % - Markeringsfarve3 6 2 2 3 3" xfId="23466" xr:uid="{00000000-0005-0000-0000-000060260000}"/>
    <cellStyle name="20 % - Markeringsfarve3 6 2 2 3 4" xfId="38453" xr:uid="{00000000-0005-0000-0000-000061260000}"/>
    <cellStyle name="20 % - Markeringsfarve3 6 2 2 4" xfId="10904" xr:uid="{00000000-0005-0000-0000-000062260000}"/>
    <cellStyle name="20 % - Markeringsfarve3 6 2 2 4 2" xfId="27224" xr:uid="{00000000-0005-0000-0000-000063260000}"/>
    <cellStyle name="20 % - Markeringsfarve3 6 2 2 4 3" xfId="42190" xr:uid="{00000000-0005-0000-0000-000064260000}"/>
    <cellStyle name="20 % - Markeringsfarve3 6 2 2 5" xfId="20202" xr:uid="{00000000-0005-0000-0000-000065260000}"/>
    <cellStyle name="20 % - Markeringsfarve3 6 2 2 6" xfId="35191" xr:uid="{00000000-0005-0000-0000-000066260000}"/>
    <cellStyle name="20 % - Markeringsfarve3 6 2 2 7" xfId="57108" xr:uid="{00000000-0005-0000-0000-000067260000}"/>
    <cellStyle name="20 % - Markeringsfarve3 6 2 3" xfId="2346" xr:uid="{00000000-0005-0000-0000-000068260000}"/>
    <cellStyle name="20 % - Markeringsfarve3 6 2 3 2" xfId="6921" xr:uid="{00000000-0005-0000-0000-000069260000}"/>
    <cellStyle name="20 % - Markeringsfarve3 6 2 3 2 2" xfId="14833" xr:uid="{00000000-0005-0000-0000-00006A260000}"/>
    <cellStyle name="20 % - Markeringsfarve3 6 2 3 2 2 2" xfId="31148" xr:uid="{00000000-0005-0000-0000-00006B260000}"/>
    <cellStyle name="20 % - Markeringsfarve3 6 2 3 2 2 3" xfId="46112" xr:uid="{00000000-0005-0000-0000-00006C260000}"/>
    <cellStyle name="20 % - Markeringsfarve3 6 2 3 2 3" xfId="24126" xr:uid="{00000000-0005-0000-0000-00006D260000}"/>
    <cellStyle name="20 % - Markeringsfarve3 6 2 3 2 4" xfId="39113" xr:uid="{00000000-0005-0000-0000-00006E260000}"/>
    <cellStyle name="20 % - Markeringsfarve3 6 2 3 3" xfId="10906" xr:uid="{00000000-0005-0000-0000-00006F260000}"/>
    <cellStyle name="20 % - Markeringsfarve3 6 2 3 3 2" xfId="27226" xr:uid="{00000000-0005-0000-0000-000070260000}"/>
    <cellStyle name="20 % - Markeringsfarve3 6 2 3 3 3" xfId="42192" xr:uid="{00000000-0005-0000-0000-000071260000}"/>
    <cellStyle name="20 % - Markeringsfarve3 6 2 3 4" xfId="20204" xr:uid="{00000000-0005-0000-0000-000072260000}"/>
    <cellStyle name="20 % - Markeringsfarve3 6 2 3 5" xfId="35193" xr:uid="{00000000-0005-0000-0000-000073260000}"/>
    <cellStyle name="20 % - Markeringsfarve3 6 2 4" xfId="2347" xr:uid="{00000000-0005-0000-0000-000074260000}"/>
    <cellStyle name="20 % - Markeringsfarve3 6 2 4 2" xfId="8473" xr:uid="{00000000-0005-0000-0000-000075260000}"/>
    <cellStyle name="20 % - Markeringsfarve3 6 2 4 2 2" xfId="16362" xr:uid="{00000000-0005-0000-0000-000076260000}"/>
    <cellStyle name="20 % - Markeringsfarve3 6 2 4 2 2 2" xfId="32677" xr:uid="{00000000-0005-0000-0000-000077260000}"/>
    <cellStyle name="20 % - Markeringsfarve3 6 2 4 2 2 3" xfId="47641" xr:uid="{00000000-0005-0000-0000-000078260000}"/>
    <cellStyle name="20 % - Markeringsfarve3 6 2 4 2 3" xfId="25655" xr:uid="{00000000-0005-0000-0000-000079260000}"/>
    <cellStyle name="20 % - Markeringsfarve3 6 2 4 2 4" xfId="40642" xr:uid="{00000000-0005-0000-0000-00007A260000}"/>
    <cellStyle name="20 % - Markeringsfarve3 6 2 4 3" xfId="10907" xr:uid="{00000000-0005-0000-0000-00007B260000}"/>
    <cellStyle name="20 % - Markeringsfarve3 6 2 4 3 2" xfId="27227" xr:uid="{00000000-0005-0000-0000-00007C260000}"/>
    <cellStyle name="20 % - Markeringsfarve3 6 2 4 3 3" xfId="42193" xr:uid="{00000000-0005-0000-0000-00007D260000}"/>
    <cellStyle name="20 % - Markeringsfarve3 6 2 4 4" xfId="20205" xr:uid="{00000000-0005-0000-0000-00007E260000}"/>
    <cellStyle name="20 % - Markeringsfarve3 6 2 4 5" xfId="35194" xr:uid="{00000000-0005-0000-0000-00007F260000}"/>
    <cellStyle name="20 % - Markeringsfarve3 6 2 5" xfId="5512" xr:uid="{00000000-0005-0000-0000-000080260000}"/>
    <cellStyle name="20 % - Markeringsfarve3 6 2 5 2" xfId="13431" xr:uid="{00000000-0005-0000-0000-000081260000}"/>
    <cellStyle name="20 % - Markeringsfarve3 6 2 5 2 2" xfId="29746" xr:uid="{00000000-0005-0000-0000-000082260000}"/>
    <cellStyle name="20 % - Markeringsfarve3 6 2 5 2 3" xfId="44710" xr:uid="{00000000-0005-0000-0000-000083260000}"/>
    <cellStyle name="20 % - Markeringsfarve3 6 2 5 3" xfId="22724" xr:uid="{00000000-0005-0000-0000-000084260000}"/>
    <cellStyle name="20 % - Markeringsfarve3 6 2 5 4" xfId="37711" xr:uid="{00000000-0005-0000-0000-000085260000}"/>
    <cellStyle name="20 % - Markeringsfarve3 6 2 6" xfId="10903" xr:uid="{00000000-0005-0000-0000-000086260000}"/>
    <cellStyle name="20 % - Markeringsfarve3 6 2 6 2" xfId="27223" xr:uid="{00000000-0005-0000-0000-000087260000}"/>
    <cellStyle name="20 % - Markeringsfarve3 6 2 6 3" xfId="42189" xr:uid="{00000000-0005-0000-0000-000088260000}"/>
    <cellStyle name="20 % - Markeringsfarve3 6 2 7" xfId="20201" xr:uid="{00000000-0005-0000-0000-000089260000}"/>
    <cellStyle name="20 % - Markeringsfarve3 6 2 8" xfId="35190" xr:uid="{00000000-0005-0000-0000-00008A260000}"/>
    <cellStyle name="20 % - Markeringsfarve3 6 2 9" xfId="53941" xr:uid="{00000000-0005-0000-0000-00008B260000}"/>
    <cellStyle name="20 % - Markeringsfarve3 6 3" xfId="2348" xr:uid="{00000000-0005-0000-0000-00008C260000}"/>
    <cellStyle name="20 % - Markeringsfarve3 6 3 2" xfId="2349" xr:uid="{00000000-0005-0000-0000-00008D260000}"/>
    <cellStyle name="20 % - Markeringsfarve3 6 3 2 2" xfId="7551" xr:uid="{00000000-0005-0000-0000-00008E260000}"/>
    <cellStyle name="20 % - Markeringsfarve3 6 3 2 2 2" xfId="15453" xr:uid="{00000000-0005-0000-0000-00008F260000}"/>
    <cellStyle name="20 % - Markeringsfarve3 6 3 2 2 2 2" xfId="31768" xr:uid="{00000000-0005-0000-0000-000090260000}"/>
    <cellStyle name="20 % - Markeringsfarve3 6 3 2 2 2 3" xfId="46732" xr:uid="{00000000-0005-0000-0000-000091260000}"/>
    <cellStyle name="20 % - Markeringsfarve3 6 3 2 2 3" xfId="24746" xr:uid="{00000000-0005-0000-0000-000092260000}"/>
    <cellStyle name="20 % - Markeringsfarve3 6 3 2 2 4" xfId="39733" xr:uid="{00000000-0005-0000-0000-000093260000}"/>
    <cellStyle name="20 % - Markeringsfarve3 6 3 2 3" xfId="10909" xr:uid="{00000000-0005-0000-0000-000094260000}"/>
    <cellStyle name="20 % - Markeringsfarve3 6 3 2 3 2" xfId="27229" xr:uid="{00000000-0005-0000-0000-000095260000}"/>
    <cellStyle name="20 % - Markeringsfarve3 6 3 2 3 3" xfId="42195" xr:uid="{00000000-0005-0000-0000-000096260000}"/>
    <cellStyle name="20 % - Markeringsfarve3 6 3 2 4" xfId="20207" xr:uid="{00000000-0005-0000-0000-000097260000}"/>
    <cellStyle name="20 % - Markeringsfarve3 6 3 2 5" xfId="35196" xr:uid="{00000000-0005-0000-0000-000098260000}"/>
    <cellStyle name="20 % - Markeringsfarve3 6 3 3" xfId="6133" xr:uid="{00000000-0005-0000-0000-000099260000}"/>
    <cellStyle name="20 % - Markeringsfarve3 6 3 3 2" xfId="14051" xr:uid="{00000000-0005-0000-0000-00009A260000}"/>
    <cellStyle name="20 % - Markeringsfarve3 6 3 3 2 2" xfId="30366" xr:uid="{00000000-0005-0000-0000-00009B260000}"/>
    <cellStyle name="20 % - Markeringsfarve3 6 3 3 2 3" xfId="45330" xr:uid="{00000000-0005-0000-0000-00009C260000}"/>
    <cellStyle name="20 % - Markeringsfarve3 6 3 3 3" xfId="23344" xr:uid="{00000000-0005-0000-0000-00009D260000}"/>
    <cellStyle name="20 % - Markeringsfarve3 6 3 3 4" xfId="38331" xr:uid="{00000000-0005-0000-0000-00009E260000}"/>
    <cellStyle name="20 % - Markeringsfarve3 6 3 4" xfId="10908" xr:uid="{00000000-0005-0000-0000-00009F260000}"/>
    <cellStyle name="20 % - Markeringsfarve3 6 3 4 2" xfId="27228" xr:uid="{00000000-0005-0000-0000-0000A0260000}"/>
    <cellStyle name="20 % - Markeringsfarve3 6 3 4 3" xfId="42194" xr:uid="{00000000-0005-0000-0000-0000A1260000}"/>
    <cellStyle name="20 % - Markeringsfarve3 6 3 5" xfId="20206" xr:uid="{00000000-0005-0000-0000-0000A2260000}"/>
    <cellStyle name="20 % - Markeringsfarve3 6 3 6" xfId="35195" xr:uid="{00000000-0005-0000-0000-0000A3260000}"/>
    <cellStyle name="20 % - Markeringsfarve3 6 3 7" xfId="56485" xr:uid="{00000000-0005-0000-0000-0000A4260000}"/>
    <cellStyle name="20 % - Markeringsfarve3 6 4" xfId="2350" xr:uid="{00000000-0005-0000-0000-0000A5260000}"/>
    <cellStyle name="20 % - Markeringsfarve3 6 4 2" xfId="6781" xr:uid="{00000000-0005-0000-0000-0000A6260000}"/>
    <cellStyle name="20 % - Markeringsfarve3 6 4 2 2" xfId="14693" xr:uid="{00000000-0005-0000-0000-0000A7260000}"/>
    <cellStyle name="20 % - Markeringsfarve3 6 4 2 2 2" xfId="31008" xr:uid="{00000000-0005-0000-0000-0000A8260000}"/>
    <cellStyle name="20 % - Markeringsfarve3 6 4 2 2 3" xfId="45972" xr:uid="{00000000-0005-0000-0000-0000A9260000}"/>
    <cellStyle name="20 % - Markeringsfarve3 6 4 2 3" xfId="23986" xr:uid="{00000000-0005-0000-0000-0000AA260000}"/>
    <cellStyle name="20 % - Markeringsfarve3 6 4 2 4" xfId="38973" xr:uid="{00000000-0005-0000-0000-0000AB260000}"/>
    <cellStyle name="20 % - Markeringsfarve3 6 4 3" xfId="10910" xr:uid="{00000000-0005-0000-0000-0000AC260000}"/>
    <cellStyle name="20 % - Markeringsfarve3 6 4 3 2" xfId="27230" xr:uid="{00000000-0005-0000-0000-0000AD260000}"/>
    <cellStyle name="20 % - Markeringsfarve3 6 4 3 3" xfId="42196" xr:uid="{00000000-0005-0000-0000-0000AE260000}"/>
    <cellStyle name="20 % - Markeringsfarve3 6 4 4" xfId="20208" xr:uid="{00000000-0005-0000-0000-0000AF260000}"/>
    <cellStyle name="20 % - Markeringsfarve3 6 4 5" xfId="35197" xr:uid="{00000000-0005-0000-0000-0000B0260000}"/>
    <cellStyle name="20 % - Markeringsfarve3 6 5" xfId="2351" xr:uid="{00000000-0005-0000-0000-0000B1260000}"/>
    <cellStyle name="20 % - Markeringsfarve3 6 5 2" xfId="7042" xr:uid="{00000000-0005-0000-0000-0000B2260000}"/>
    <cellStyle name="20 % - Markeringsfarve3 6 5 2 2" xfId="14953" xr:uid="{00000000-0005-0000-0000-0000B3260000}"/>
    <cellStyle name="20 % - Markeringsfarve3 6 5 2 2 2" xfId="31268" xr:uid="{00000000-0005-0000-0000-0000B4260000}"/>
    <cellStyle name="20 % - Markeringsfarve3 6 5 2 2 3" xfId="46232" xr:uid="{00000000-0005-0000-0000-0000B5260000}"/>
    <cellStyle name="20 % - Markeringsfarve3 6 5 2 3" xfId="24246" xr:uid="{00000000-0005-0000-0000-0000B6260000}"/>
    <cellStyle name="20 % - Markeringsfarve3 6 5 2 4" xfId="39233" xr:uid="{00000000-0005-0000-0000-0000B7260000}"/>
    <cellStyle name="20 % - Markeringsfarve3 6 5 3" xfId="10911" xr:uid="{00000000-0005-0000-0000-0000B8260000}"/>
    <cellStyle name="20 % - Markeringsfarve3 6 5 3 2" xfId="27231" xr:uid="{00000000-0005-0000-0000-0000B9260000}"/>
    <cellStyle name="20 % - Markeringsfarve3 6 5 3 3" xfId="42197" xr:uid="{00000000-0005-0000-0000-0000BA260000}"/>
    <cellStyle name="20 % - Markeringsfarve3 6 5 4" xfId="20209" xr:uid="{00000000-0005-0000-0000-0000BB260000}"/>
    <cellStyle name="20 % - Markeringsfarve3 6 5 5" xfId="35198" xr:uid="{00000000-0005-0000-0000-0000BC260000}"/>
    <cellStyle name="20 % - Markeringsfarve3 6 6" xfId="5511" xr:uid="{00000000-0005-0000-0000-0000BD260000}"/>
    <cellStyle name="20 % - Markeringsfarve3 6 6 2" xfId="13430" xr:uid="{00000000-0005-0000-0000-0000BE260000}"/>
    <cellStyle name="20 % - Markeringsfarve3 6 6 2 2" xfId="29745" xr:uid="{00000000-0005-0000-0000-0000BF260000}"/>
    <cellStyle name="20 % - Markeringsfarve3 6 6 2 3" xfId="44709" xr:uid="{00000000-0005-0000-0000-0000C0260000}"/>
    <cellStyle name="20 % - Markeringsfarve3 6 6 3" xfId="22723" xr:uid="{00000000-0005-0000-0000-0000C1260000}"/>
    <cellStyle name="20 % - Markeringsfarve3 6 6 4" xfId="37710" xr:uid="{00000000-0005-0000-0000-0000C2260000}"/>
    <cellStyle name="20 % - Markeringsfarve3 6 7" xfId="10902" xr:uid="{00000000-0005-0000-0000-0000C3260000}"/>
    <cellStyle name="20 % - Markeringsfarve3 6 7 2" xfId="27222" xr:uid="{00000000-0005-0000-0000-0000C4260000}"/>
    <cellStyle name="20 % - Markeringsfarve3 6 7 3" xfId="42188" xr:uid="{00000000-0005-0000-0000-0000C5260000}"/>
    <cellStyle name="20 % - Markeringsfarve3 6 8" xfId="20200" xr:uid="{00000000-0005-0000-0000-0000C6260000}"/>
    <cellStyle name="20 % - Markeringsfarve3 6 9" xfId="35189" xr:uid="{00000000-0005-0000-0000-0000C7260000}"/>
    <cellStyle name="20 % - Markeringsfarve3 7" xfId="2352" xr:uid="{00000000-0005-0000-0000-0000C8260000}"/>
    <cellStyle name="20 % - Markeringsfarve3 7 2" xfId="2353" xr:uid="{00000000-0005-0000-0000-0000C9260000}"/>
    <cellStyle name="20 % - Markeringsfarve3 7 2 2" xfId="2354" xr:uid="{00000000-0005-0000-0000-0000CA260000}"/>
    <cellStyle name="20 % - Markeringsfarve3 7 2 2 2" xfId="7789" xr:uid="{00000000-0005-0000-0000-0000CB260000}"/>
    <cellStyle name="20 % - Markeringsfarve3 7 2 2 2 2" xfId="15691" xr:uid="{00000000-0005-0000-0000-0000CC260000}"/>
    <cellStyle name="20 % - Markeringsfarve3 7 2 2 2 2 2" xfId="32006" xr:uid="{00000000-0005-0000-0000-0000CD260000}"/>
    <cellStyle name="20 % - Markeringsfarve3 7 2 2 2 2 3" xfId="46970" xr:uid="{00000000-0005-0000-0000-0000CE260000}"/>
    <cellStyle name="20 % - Markeringsfarve3 7 2 2 2 3" xfId="24984" xr:uid="{00000000-0005-0000-0000-0000CF260000}"/>
    <cellStyle name="20 % - Markeringsfarve3 7 2 2 2 4" xfId="39971" xr:uid="{00000000-0005-0000-0000-0000D0260000}"/>
    <cellStyle name="20 % - Markeringsfarve3 7 2 2 3" xfId="10914" xr:uid="{00000000-0005-0000-0000-0000D1260000}"/>
    <cellStyle name="20 % - Markeringsfarve3 7 2 2 3 2" xfId="27234" xr:uid="{00000000-0005-0000-0000-0000D2260000}"/>
    <cellStyle name="20 % - Markeringsfarve3 7 2 2 3 3" xfId="42200" xr:uid="{00000000-0005-0000-0000-0000D3260000}"/>
    <cellStyle name="20 % - Markeringsfarve3 7 2 2 4" xfId="20212" xr:uid="{00000000-0005-0000-0000-0000D4260000}"/>
    <cellStyle name="20 % - Markeringsfarve3 7 2 2 5" xfId="35201" xr:uid="{00000000-0005-0000-0000-0000D5260000}"/>
    <cellStyle name="20 % - Markeringsfarve3 7 2 3" xfId="6335" xr:uid="{00000000-0005-0000-0000-0000D6260000}"/>
    <cellStyle name="20 % - Markeringsfarve3 7 2 3 2" xfId="14250" xr:uid="{00000000-0005-0000-0000-0000D7260000}"/>
    <cellStyle name="20 % - Markeringsfarve3 7 2 3 2 2" xfId="30565" xr:uid="{00000000-0005-0000-0000-0000D8260000}"/>
    <cellStyle name="20 % - Markeringsfarve3 7 2 3 2 3" xfId="45529" xr:uid="{00000000-0005-0000-0000-0000D9260000}"/>
    <cellStyle name="20 % - Markeringsfarve3 7 2 3 3" xfId="23543" xr:uid="{00000000-0005-0000-0000-0000DA260000}"/>
    <cellStyle name="20 % - Markeringsfarve3 7 2 3 4" xfId="38530" xr:uid="{00000000-0005-0000-0000-0000DB260000}"/>
    <cellStyle name="20 % - Markeringsfarve3 7 2 4" xfId="10913" xr:uid="{00000000-0005-0000-0000-0000DC260000}"/>
    <cellStyle name="20 % - Markeringsfarve3 7 2 4 2" xfId="27233" xr:uid="{00000000-0005-0000-0000-0000DD260000}"/>
    <cellStyle name="20 % - Markeringsfarve3 7 2 4 3" xfId="42199" xr:uid="{00000000-0005-0000-0000-0000DE260000}"/>
    <cellStyle name="20 % - Markeringsfarve3 7 2 5" xfId="20211" xr:uid="{00000000-0005-0000-0000-0000DF260000}"/>
    <cellStyle name="20 % - Markeringsfarve3 7 2 6" xfId="35200" xr:uid="{00000000-0005-0000-0000-0000E0260000}"/>
    <cellStyle name="20 % - Markeringsfarve3 7 2 7" xfId="57058" xr:uid="{00000000-0005-0000-0000-0000E1260000}"/>
    <cellStyle name="20 % - Markeringsfarve3 7 3" xfId="2355" xr:uid="{00000000-0005-0000-0000-0000E2260000}"/>
    <cellStyle name="20 % - Markeringsfarve3 7 3 2" xfId="7065" xr:uid="{00000000-0005-0000-0000-0000E3260000}"/>
    <cellStyle name="20 % - Markeringsfarve3 7 3 2 2" xfId="14976" xr:uid="{00000000-0005-0000-0000-0000E4260000}"/>
    <cellStyle name="20 % - Markeringsfarve3 7 3 2 2 2" xfId="31291" xr:uid="{00000000-0005-0000-0000-0000E5260000}"/>
    <cellStyle name="20 % - Markeringsfarve3 7 3 2 2 3" xfId="46255" xr:uid="{00000000-0005-0000-0000-0000E6260000}"/>
    <cellStyle name="20 % - Markeringsfarve3 7 3 2 3" xfId="24269" xr:uid="{00000000-0005-0000-0000-0000E7260000}"/>
    <cellStyle name="20 % - Markeringsfarve3 7 3 2 4" xfId="39256" xr:uid="{00000000-0005-0000-0000-0000E8260000}"/>
    <cellStyle name="20 % - Markeringsfarve3 7 3 3" xfId="10915" xr:uid="{00000000-0005-0000-0000-0000E9260000}"/>
    <cellStyle name="20 % - Markeringsfarve3 7 3 3 2" xfId="27235" xr:uid="{00000000-0005-0000-0000-0000EA260000}"/>
    <cellStyle name="20 % - Markeringsfarve3 7 3 3 3" xfId="42201" xr:uid="{00000000-0005-0000-0000-0000EB260000}"/>
    <cellStyle name="20 % - Markeringsfarve3 7 3 4" xfId="20213" xr:uid="{00000000-0005-0000-0000-0000EC260000}"/>
    <cellStyle name="20 % - Markeringsfarve3 7 3 5" xfId="35202" xr:uid="{00000000-0005-0000-0000-0000ED260000}"/>
    <cellStyle name="20 % - Markeringsfarve3 7 4" xfId="2356" xr:uid="{00000000-0005-0000-0000-0000EE260000}"/>
    <cellStyle name="20 % - Markeringsfarve3 7 4 2" xfId="8726" xr:uid="{00000000-0005-0000-0000-0000EF260000}"/>
    <cellStyle name="20 % - Markeringsfarve3 7 4 2 2" xfId="16603" xr:uid="{00000000-0005-0000-0000-0000F0260000}"/>
    <cellStyle name="20 % - Markeringsfarve3 7 4 2 2 2" xfId="32918" xr:uid="{00000000-0005-0000-0000-0000F1260000}"/>
    <cellStyle name="20 % - Markeringsfarve3 7 4 2 2 3" xfId="47882" xr:uid="{00000000-0005-0000-0000-0000F2260000}"/>
    <cellStyle name="20 % - Markeringsfarve3 7 4 2 3" xfId="25896" xr:uid="{00000000-0005-0000-0000-0000F3260000}"/>
    <cellStyle name="20 % - Markeringsfarve3 7 4 2 4" xfId="40883" xr:uid="{00000000-0005-0000-0000-0000F4260000}"/>
    <cellStyle name="20 % - Markeringsfarve3 7 4 3" xfId="10916" xr:uid="{00000000-0005-0000-0000-0000F5260000}"/>
    <cellStyle name="20 % - Markeringsfarve3 7 4 3 2" xfId="27236" xr:uid="{00000000-0005-0000-0000-0000F6260000}"/>
    <cellStyle name="20 % - Markeringsfarve3 7 4 3 3" xfId="42202" xr:uid="{00000000-0005-0000-0000-0000F7260000}"/>
    <cellStyle name="20 % - Markeringsfarve3 7 4 4" xfId="20214" xr:uid="{00000000-0005-0000-0000-0000F8260000}"/>
    <cellStyle name="20 % - Markeringsfarve3 7 4 5" xfId="35203" xr:uid="{00000000-0005-0000-0000-0000F9260000}"/>
    <cellStyle name="20 % - Markeringsfarve3 7 5" xfId="5513" xr:uid="{00000000-0005-0000-0000-0000FA260000}"/>
    <cellStyle name="20 % - Markeringsfarve3 7 5 2" xfId="13432" xr:uid="{00000000-0005-0000-0000-0000FB260000}"/>
    <cellStyle name="20 % - Markeringsfarve3 7 5 2 2" xfId="29747" xr:uid="{00000000-0005-0000-0000-0000FC260000}"/>
    <cellStyle name="20 % - Markeringsfarve3 7 5 2 3" xfId="44711" xr:uid="{00000000-0005-0000-0000-0000FD260000}"/>
    <cellStyle name="20 % - Markeringsfarve3 7 5 3" xfId="22725" xr:uid="{00000000-0005-0000-0000-0000FE260000}"/>
    <cellStyle name="20 % - Markeringsfarve3 7 5 4" xfId="37712" xr:uid="{00000000-0005-0000-0000-0000FF260000}"/>
    <cellStyle name="20 % - Markeringsfarve3 7 6" xfId="10912" xr:uid="{00000000-0005-0000-0000-000000270000}"/>
    <cellStyle name="20 % - Markeringsfarve3 7 6 2" xfId="27232" xr:uid="{00000000-0005-0000-0000-000001270000}"/>
    <cellStyle name="20 % - Markeringsfarve3 7 6 3" xfId="42198" xr:uid="{00000000-0005-0000-0000-000002270000}"/>
    <cellStyle name="20 % - Markeringsfarve3 7 7" xfId="20210" xr:uid="{00000000-0005-0000-0000-000003270000}"/>
    <cellStyle name="20 % - Markeringsfarve3 7 8" xfId="35199" xr:uid="{00000000-0005-0000-0000-000004270000}"/>
    <cellStyle name="20 % - Markeringsfarve3 7 9" xfId="53891" xr:uid="{00000000-0005-0000-0000-000005270000}"/>
    <cellStyle name="20 % - Markeringsfarve3 8" xfId="2357" xr:uid="{00000000-0005-0000-0000-000006270000}"/>
    <cellStyle name="20 % - Markeringsfarve3 8 2" xfId="2358" xr:uid="{00000000-0005-0000-0000-000007270000}"/>
    <cellStyle name="20 % - Markeringsfarve3 8 2 2" xfId="2359" xr:uid="{00000000-0005-0000-0000-000008270000}"/>
    <cellStyle name="20 % - Markeringsfarve3 8 2 2 2" xfId="7906" xr:uid="{00000000-0005-0000-0000-000009270000}"/>
    <cellStyle name="20 % - Markeringsfarve3 8 2 2 2 2" xfId="15808" xr:uid="{00000000-0005-0000-0000-00000A270000}"/>
    <cellStyle name="20 % - Markeringsfarve3 8 2 2 2 2 2" xfId="32123" xr:uid="{00000000-0005-0000-0000-00000B270000}"/>
    <cellStyle name="20 % - Markeringsfarve3 8 2 2 2 2 3" xfId="47087" xr:uid="{00000000-0005-0000-0000-00000C270000}"/>
    <cellStyle name="20 % - Markeringsfarve3 8 2 2 2 3" xfId="25101" xr:uid="{00000000-0005-0000-0000-00000D270000}"/>
    <cellStyle name="20 % - Markeringsfarve3 8 2 2 2 4" xfId="40088" xr:uid="{00000000-0005-0000-0000-00000E270000}"/>
    <cellStyle name="20 % - Markeringsfarve3 8 2 2 3" xfId="10919" xr:uid="{00000000-0005-0000-0000-00000F270000}"/>
    <cellStyle name="20 % - Markeringsfarve3 8 2 2 3 2" xfId="27239" xr:uid="{00000000-0005-0000-0000-000010270000}"/>
    <cellStyle name="20 % - Markeringsfarve3 8 2 2 3 3" xfId="42205" xr:uid="{00000000-0005-0000-0000-000011270000}"/>
    <cellStyle name="20 % - Markeringsfarve3 8 2 2 4" xfId="20217" xr:uid="{00000000-0005-0000-0000-000012270000}"/>
    <cellStyle name="20 % - Markeringsfarve3 8 2 2 5" xfId="35206" xr:uid="{00000000-0005-0000-0000-000013270000}"/>
    <cellStyle name="20 % - Markeringsfarve3 8 2 3" xfId="6434" xr:uid="{00000000-0005-0000-0000-000014270000}"/>
    <cellStyle name="20 % - Markeringsfarve3 8 2 3 2" xfId="14349" xr:uid="{00000000-0005-0000-0000-000015270000}"/>
    <cellStyle name="20 % - Markeringsfarve3 8 2 3 2 2" xfId="30664" xr:uid="{00000000-0005-0000-0000-000016270000}"/>
    <cellStyle name="20 % - Markeringsfarve3 8 2 3 2 3" xfId="45628" xr:uid="{00000000-0005-0000-0000-000017270000}"/>
    <cellStyle name="20 % - Markeringsfarve3 8 2 3 3" xfId="23642" xr:uid="{00000000-0005-0000-0000-000018270000}"/>
    <cellStyle name="20 % - Markeringsfarve3 8 2 3 4" xfId="38629" xr:uid="{00000000-0005-0000-0000-000019270000}"/>
    <cellStyle name="20 % - Markeringsfarve3 8 2 4" xfId="10918" xr:uid="{00000000-0005-0000-0000-00001A270000}"/>
    <cellStyle name="20 % - Markeringsfarve3 8 2 4 2" xfId="27238" xr:uid="{00000000-0005-0000-0000-00001B270000}"/>
    <cellStyle name="20 % - Markeringsfarve3 8 2 4 3" xfId="42204" xr:uid="{00000000-0005-0000-0000-00001C270000}"/>
    <cellStyle name="20 % - Markeringsfarve3 8 2 5" xfId="20216" xr:uid="{00000000-0005-0000-0000-00001D270000}"/>
    <cellStyle name="20 % - Markeringsfarve3 8 2 6" xfId="35205" xr:uid="{00000000-0005-0000-0000-00001E270000}"/>
    <cellStyle name="20 % - Markeringsfarve3 8 3" xfId="2360" xr:uid="{00000000-0005-0000-0000-00001F270000}"/>
    <cellStyle name="20 % - Markeringsfarve3 8 3 2" xfId="7182" xr:uid="{00000000-0005-0000-0000-000020270000}"/>
    <cellStyle name="20 % - Markeringsfarve3 8 3 2 2" xfId="15093" xr:uid="{00000000-0005-0000-0000-000021270000}"/>
    <cellStyle name="20 % - Markeringsfarve3 8 3 2 2 2" xfId="31408" xr:uid="{00000000-0005-0000-0000-000022270000}"/>
    <cellStyle name="20 % - Markeringsfarve3 8 3 2 2 3" xfId="46372" xr:uid="{00000000-0005-0000-0000-000023270000}"/>
    <cellStyle name="20 % - Markeringsfarve3 8 3 2 3" xfId="24386" xr:uid="{00000000-0005-0000-0000-000024270000}"/>
    <cellStyle name="20 % - Markeringsfarve3 8 3 2 4" xfId="39373" xr:uid="{00000000-0005-0000-0000-000025270000}"/>
    <cellStyle name="20 % - Markeringsfarve3 8 3 3" xfId="10920" xr:uid="{00000000-0005-0000-0000-000026270000}"/>
    <cellStyle name="20 % - Markeringsfarve3 8 3 3 2" xfId="27240" xr:uid="{00000000-0005-0000-0000-000027270000}"/>
    <cellStyle name="20 % - Markeringsfarve3 8 3 3 3" xfId="42206" xr:uid="{00000000-0005-0000-0000-000028270000}"/>
    <cellStyle name="20 % - Markeringsfarve3 8 3 4" xfId="20218" xr:uid="{00000000-0005-0000-0000-000029270000}"/>
    <cellStyle name="20 % - Markeringsfarve3 8 3 5" xfId="35207" xr:uid="{00000000-0005-0000-0000-00002A270000}"/>
    <cellStyle name="20 % - Markeringsfarve3 8 4" xfId="2361" xr:uid="{00000000-0005-0000-0000-00002B270000}"/>
    <cellStyle name="20 % - Markeringsfarve3 8 4 2" xfId="8446" xr:uid="{00000000-0005-0000-0000-00002C270000}"/>
    <cellStyle name="20 % - Markeringsfarve3 8 4 2 2" xfId="16336" xr:uid="{00000000-0005-0000-0000-00002D270000}"/>
    <cellStyle name="20 % - Markeringsfarve3 8 4 2 2 2" xfId="32651" xr:uid="{00000000-0005-0000-0000-00002E270000}"/>
    <cellStyle name="20 % - Markeringsfarve3 8 4 2 2 3" xfId="47615" xr:uid="{00000000-0005-0000-0000-00002F270000}"/>
    <cellStyle name="20 % - Markeringsfarve3 8 4 2 3" xfId="25629" xr:uid="{00000000-0005-0000-0000-000030270000}"/>
    <cellStyle name="20 % - Markeringsfarve3 8 4 2 4" xfId="40616" xr:uid="{00000000-0005-0000-0000-000031270000}"/>
    <cellStyle name="20 % - Markeringsfarve3 8 4 3" xfId="10921" xr:uid="{00000000-0005-0000-0000-000032270000}"/>
    <cellStyle name="20 % - Markeringsfarve3 8 4 3 2" xfId="27241" xr:uid="{00000000-0005-0000-0000-000033270000}"/>
    <cellStyle name="20 % - Markeringsfarve3 8 4 3 3" xfId="42207" xr:uid="{00000000-0005-0000-0000-000034270000}"/>
    <cellStyle name="20 % - Markeringsfarve3 8 4 4" xfId="20219" xr:uid="{00000000-0005-0000-0000-000035270000}"/>
    <cellStyle name="20 % - Markeringsfarve3 8 4 5" xfId="35208" xr:uid="{00000000-0005-0000-0000-000036270000}"/>
    <cellStyle name="20 % - Markeringsfarve3 8 5" xfId="5514" xr:uid="{00000000-0005-0000-0000-000037270000}"/>
    <cellStyle name="20 % - Markeringsfarve3 8 5 2" xfId="13433" xr:uid="{00000000-0005-0000-0000-000038270000}"/>
    <cellStyle name="20 % - Markeringsfarve3 8 5 2 2" xfId="29748" xr:uid="{00000000-0005-0000-0000-000039270000}"/>
    <cellStyle name="20 % - Markeringsfarve3 8 5 2 3" xfId="44712" xr:uid="{00000000-0005-0000-0000-00003A270000}"/>
    <cellStyle name="20 % - Markeringsfarve3 8 5 3" xfId="22726" xr:uid="{00000000-0005-0000-0000-00003B270000}"/>
    <cellStyle name="20 % - Markeringsfarve3 8 5 4" xfId="37713" xr:uid="{00000000-0005-0000-0000-00003C270000}"/>
    <cellStyle name="20 % - Markeringsfarve3 8 6" xfId="10917" xr:uid="{00000000-0005-0000-0000-00003D270000}"/>
    <cellStyle name="20 % - Markeringsfarve3 8 6 2" xfId="27237" xr:uid="{00000000-0005-0000-0000-00003E270000}"/>
    <cellStyle name="20 % - Markeringsfarve3 8 6 3" xfId="42203" xr:uid="{00000000-0005-0000-0000-00003F270000}"/>
    <cellStyle name="20 % - Markeringsfarve3 8 7" xfId="20215" xr:uid="{00000000-0005-0000-0000-000040270000}"/>
    <cellStyle name="20 % - Markeringsfarve3 8 8" xfId="35204" xr:uid="{00000000-0005-0000-0000-000041270000}"/>
    <cellStyle name="20 % - Markeringsfarve3 9" xfId="2362" xr:uid="{00000000-0005-0000-0000-000042270000}"/>
    <cellStyle name="20 % - Markeringsfarve3 9 2" xfId="2363" xr:uid="{00000000-0005-0000-0000-000043270000}"/>
    <cellStyle name="20 % - Markeringsfarve3 9 2 2" xfId="2364" xr:uid="{00000000-0005-0000-0000-000044270000}"/>
    <cellStyle name="20 % - Markeringsfarve3 9 2 2 2" xfId="8037" xr:uid="{00000000-0005-0000-0000-000045270000}"/>
    <cellStyle name="20 % - Markeringsfarve3 9 2 2 2 2" xfId="15939" xr:uid="{00000000-0005-0000-0000-000046270000}"/>
    <cellStyle name="20 % - Markeringsfarve3 9 2 2 2 2 2" xfId="32254" xr:uid="{00000000-0005-0000-0000-000047270000}"/>
    <cellStyle name="20 % - Markeringsfarve3 9 2 2 2 2 3" xfId="47218" xr:uid="{00000000-0005-0000-0000-000048270000}"/>
    <cellStyle name="20 % - Markeringsfarve3 9 2 2 2 3" xfId="25232" xr:uid="{00000000-0005-0000-0000-000049270000}"/>
    <cellStyle name="20 % - Markeringsfarve3 9 2 2 2 4" xfId="40219" xr:uid="{00000000-0005-0000-0000-00004A270000}"/>
    <cellStyle name="20 % - Markeringsfarve3 9 2 2 3" xfId="10924" xr:uid="{00000000-0005-0000-0000-00004B270000}"/>
    <cellStyle name="20 % - Markeringsfarve3 9 2 2 3 2" xfId="27244" xr:uid="{00000000-0005-0000-0000-00004C270000}"/>
    <cellStyle name="20 % - Markeringsfarve3 9 2 2 3 3" xfId="42210" xr:uid="{00000000-0005-0000-0000-00004D270000}"/>
    <cellStyle name="20 % - Markeringsfarve3 9 2 2 4" xfId="20222" xr:uid="{00000000-0005-0000-0000-00004E270000}"/>
    <cellStyle name="20 % - Markeringsfarve3 9 2 2 5" xfId="35211" xr:uid="{00000000-0005-0000-0000-00004F270000}"/>
    <cellStyle name="20 % - Markeringsfarve3 9 2 3" xfId="6548" xr:uid="{00000000-0005-0000-0000-000050270000}"/>
    <cellStyle name="20 % - Markeringsfarve3 9 2 3 2" xfId="14463" xr:uid="{00000000-0005-0000-0000-000051270000}"/>
    <cellStyle name="20 % - Markeringsfarve3 9 2 3 2 2" xfId="30778" xr:uid="{00000000-0005-0000-0000-000052270000}"/>
    <cellStyle name="20 % - Markeringsfarve3 9 2 3 2 3" xfId="45742" xr:uid="{00000000-0005-0000-0000-000053270000}"/>
    <cellStyle name="20 % - Markeringsfarve3 9 2 3 3" xfId="23756" xr:uid="{00000000-0005-0000-0000-000054270000}"/>
    <cellStyle name="20 % - Markeringsfarve3 9 2 3 4" xfId="38743" xr:uid="{00000000-0005-0000-0000-000055270000}"/>
    <cellStyle name="20 % - Markeringsfarve3 9 2 4" xfId="10923" xr:uid="{00000000-0005-0000-0000-000056270000}"/>
    <cellStyle name="20 % - Markeringsfarve3 9 2 4 2" xfId="27243" xr:uid="{00000000-0005-0000-0000-000057270000}"/>
    <cellStyle name="20 % - Markeringsfarve3 9 2 4 3" xfId="42209" xr:uid="{00000000-0005-0000-0000-000058270000}"/>
    <cellStyle name="20 % - Markeringsfarve3 9 2 5" xfId="20221" xr:uid="{00000000-0005-0000-0000-000059270000}"/>
    <cellStyle name="20 % - Markeringsfarve3 9 2 6" xfId="35210" xr:uid="{00000000-0005-0000-0000-00005A270000}"/>
    <cellStyle name="20 % - Markeringsfarve3 9 3" xfId="2365" xr:uid="{00000000-0005-0000-0000-00005B270000}"/>
    <cellStyle name="20 % - Markeringsfarve3 9 3 2" xfId="7314" xr:uid="{00000000-0005-0000-0000-00005C270000}"/>
    <cellStyle name="20 % - Markeringsfarve3 9 3 2 2" xfId="15225" xr:uid="{00000000-0005-0000-0000-00005D270000}"/>
    <cellStyle name="20 % - Markeringsfarve3 9 3 2 2 2" xfId="31540" xr:uid="{00000000-0005-0000-0000-00005E270000}"/>
    <cellStyle name="20 % - Markeringsfarve3 9 3 2 2 3" xfId="46504" xr:uid="{00000000-0005-0000-0000-00005F270000}"/>
    <cellStyle name="20 % - Markeringsfarve3 9 3 2 3" xfId="24518" xr:uid="{00000000-0005-0000-0000-000060270000}"/>
    <cellStyle name="20 % - Markeringsfarve3 9 3 2 4" xfId="39505" xr:uid="{00000000-0005-0000-0000-000061270000}"/>
    <cellStyle name="20 % - Markeringsfarve3 9 3 3" xfId="10925" xr:uid="{00000000-0005-0000-0000-000062270000}"/>
    <cellStyle name="20 % - Markeringsfarve3 9 3 3 2" xfId="27245" xr:uid="{00000000-0005-0000-0000-000063270000}"/>
    <cellStyle name="20 % - Markeringsfarve3 9 3 3 3" xfId="42211" xr:uid="{00000000-0005-0000-0000-000064270000}"/>
    <cellStyle name="20 % - Markeringsfarve3 9 3 4" xfId="20223" xr:uid="{00000000-0005-0000-0000-000065270000}"/>
    <cellStyle name="20 % - Markeringsfarve3 9 3 5" xfId="35212" xr:uid="{00000000-0005-0000-0000-000066270000}"/>
    <cellStyle name="20 % - Markeringsfarve3 9 4" xfId="2366" xr:uid="{00000000-0005-0000-0000-000067270000}"/>
    <cellStyle name="20 % - Markeringsfarve3 9 4 2" xfId="8647" xr:uid="{00000000-0005-0000-0000-000068270000}"/>
    <cellStyle name="20 % - Markeringsfarve3 9 4 2 2" xfId="16528" xr:uid="{00000000-0005-0000-0000-000069270000}"/>
    <cellStyle name="20 % - Markeringsfarve3 9 4 2 2 2" xfId="32843" xr:uid="{00000000-0005-0000-0000-00006A270000}"/>
    <cellStyle name="20 % - Markeringsfarve3 9 4 2 2 3" xfId="47807" xr:uid="{00000000-0005-0000-0000-00006B270000}"/>
    <cellStyle name="20 % - Markeringsfarve3 9 4 2 3" xfId="25821" xr:uid="{00000000-0005-0000-0000-00006C270000}"/>
    <cellStyle name="20 % - Markeringsfarve3 9 4 2 4" xfId="40808" xr:uid="{00000000-0005-0000-0000-00006D270000}"/>
    <cellStyle name="20 % - Markeringsfarve3 9 4 3" xfId="10926" xr:uid="{00000000-0005-0000-0000-00006E270000}"/>
    <cellStyle name="20 % - Markeringsfarve3 9 4 3 2" xfId="27246" xr:uid="{00000000-0005-0000-0000-00006F270000}"/>
    <cellStyle name="20 % - Markeringsfarve3 9 4 3 3" xfId="42212" xr:uid="{00000000-0005-0000-0000-000070270000}"/>
    <cellStyle name="20 % - Markeringsfarve3 9 4 4" xfId="20224" xr:uid="{00000000-0005-0000-0000-000071270000}"/>
    <cellStyle name="20 % - Markeringsfarve3 9 4 5" xfId="35213" xr:uid="{00000000-0005-0000-0000-000072270000}"/>
    <cellStyle name="20 % - Markeringsfarve3 9 5" xfId="5515" xr:uid="{00000000-0005-0000-0000-000073270000}"/>
    <cellStyle name="20 % - Markeringsfarve3 9 5 2" xfId="13434" xr:uid="{00000000-0005-0000-0000-000074270000}"/>
    <cellStyle name="20 % - Markeringsfarve3 9 5 2 2" xfId="29749" xr:uid="{00000000-0005-0000-0000-000075270000}"/>
    <cellStyle name="20 % - Markeringsfarve3 9 5 2 3" xfId="44713" xr:uid="{00000000-0005-0000-0000-000076270000}"/>
    <cellStyle name="20 % - Markeringsfarve3 9 5 3" xfId="22727" xr:uid="{00000000-0005-0000-0000-000077270000}"/>
    <cellStyle name="20 % - Markeringsfarve3 9 5 4" xfId="37714" xr:uid="{00000000-0005-0000-0000-000078270000}"/>
    <cellStyle name="20 % - Markeringsfarve3 9 6" xfId="10922" xr:uid="{00000000-0005-0000-0000-000079270000}"/>
    <cellStyle name="20 % - Markeringsfarve3 9 6 2" xfId="27242" xr:uid="{00000000-0005-0000-0000-00007A270000}"/>
    <cellStyle name="20 % - Markeringsfarve3 9 6 3" xfId="42208" xr:uid="{00000000-0005-0000-0000-00007B270000}"/>
    <cellStyle name="20 % - Markeringsfarve3 9 7" xfId="20220" xr:uid="{00000000-0005-0000-0000-00007C270000}"/>
    <cellStyle name="20 % - Markeringsfarve3 9 8" xfId="35209" xr:uid="{00000000-0005-0000-0000-00007D270000}"/>
    <cellStyle name="20 % - Markeringsfarve4 10" xfId="2368" xr:uid="{00000000-0005-0000-0000-00007E270000}"/>
    <cellStyle name="20 % - Markeringsfarve4 10 2" xfId="2369" xr:uid="{00000000-0005-0000-0000-00007F270000}"/>
    <cellStyle name="20 % - Markeringsfarve4 10 2 2" xfId="7433" xr:uid="{00000000-0005-0000-0000-000080270000}"/>
    <cellStyle name="20 % - Markeringsfarve4 10 2 2 2" xfId="15335" xr:uid="{00000000-0005-0000-0000-000081270000}"/>
    <cellStyle name="20 % - Markeringsfarve4 10 2 2 2 2" xfId="31650" xr:uid="{00000000-0005-0000-0000-000082270000}"/>
    <cellStyle name="20 % - Markeringsfarve4 10 2 2 2 3" xfId="46614" xr:uid="{00000000-0005-0000-0000-000083270000}"/>
    <cellStyle name="20 % - Markeringsfarve4 10 2 2 3" xfId="24628" xr:uid="{00000000-0005-0000-0000-000084270000}"/>
    <cellStyle name="20 % - Markeringsfarve4 10 2 2 4" xfId="39615" xr:uid="{00000000-0005-0000-0000-000085270000}"/>
    <cellStyle name="20 % - Markeringsfarve4 10 2 3" xfId="10929" xr:uid="{00000000-0005-0000-0000-000086270000}"/>
    <cellStyle name="20 % - Markeringsfarve4 10 2 3 2" xfId="27249" xr:uid="{00000000-0005-0000-0000-000087270000}"/>
    <cellStyle name="20 % - Markeringsfarve4 10 2 3 3" xfId="42215" xr:uid="{00000000-0005-0000-0000-000088270000}"/>
    <cellStyle name="20 % - Markeringsfarve4 10 2 4" xfId="20227" xr:uid="{00000000-0005-0000-0000-000089270000}"/>
    <cellStyle name="20 % - Markeringsfarve4 10 2 5" xfId="35216" xr:uid="{00000000-0005-0000-0000-00008A270000}"/>
    <cellStyle name="20 % - Markeringsfarve4 10 3" xfId="2370" xr:uid="{00000000-0005-0000-0000-00008B270000}"/>
    <cellStyle name="20 % - Markeringsfarve4 10 3 2" xfId="8608" xr:uid="{00000000-0005-0000-0000-00008C270000}"/>
    <cellStyle name="20 % - Markeringsfarve4 10 3 2 2" xfId="16491" xr:uid="{00000000-0005-0000-0000-00008D270000}"/>
    <cellStyle name="20 % - Markeringsfarve4 10 3 2 2 2" xfId="32806" xr:uid="{00000000-0005-0000-0000-00008E270000}"/>
    <cellStyle name="20 % - Markeringsfarve4 10 3 2 2 3" xfId="47770" xr:uid="{00000000-0005-0000-0000-00008F270000}"/>
    <cellStyle name="20 % - Markeringsfarve4 10 3 2 3" xfId="25784" xr:uid="{00000000-0005-0000-0000-000090270000}"/>
    <cellStyle name="20 % - Markeringsfarve4 10 3 2 4" xfId="40771" xr:uid="{00000000-0005-0000-0000-000091270000}"/>
    <cellStyle name="20 % - Markeringsfarve4 10 3 3" xfId="10930" xr:uid="{00000000-0005-0000-0000-000092270000}"/>
    <cellStyle name="20 % - Markeringsfarve4 10 3 3 2" xfId="27250" xr:uid="{00000000-0005-0000-0000-000093270000}"/>
    <cellStyle name="20 % - Markeringsfarve4 10 3 3 3" xfId="42216" xr:uid="{00000000-0005-0000-0000-000094270000}"/>
    <cellStyle name="20 % - Markeringsfarve4 10 3 4" xfId="20228" xr:uid="{00000000-0005-0000-0000-000095270000}"/>
    <cellStyle name="20 % - Markeringsfarve4 10 3 5" xfId="35217" xr:uid="{00000000-0005-0000-0000-000096270000}"/>
    <cellStyle name="20 % - Markeringsfarve4 10 4" xfId="5517" xr:uid="{00000000-0005-0000-0000-000097270000}"/>
    <cellStyle name="20 % - Markeringsfarve4 10 4 2" xfId="13436" xr:uid="{00000000-0005-0000-0000-000098270000}"/>
    <cellStyle name="20 % - Markeringsfarve4 10 4 2 2" xfId="29751" xr:uid="{00000000-0005-0000-0000-000099270000}"/>
    <cellStyle name="20 % - Markeringsfarve4 10 4 2 3" xfId="44715" xr:uid="{00000000-0005-0000-0000-00009A270000}"/>
    <cellStyle name="20 % - Markeringsfarve4 10 4 3" xfId="22729" xr:uid="{00000000-0005-0000-0000-00009B270000}"/>
    <cellStyle name="20 % - Markeringsfarve4 10 4 4" xfId="37716" xr:uid="{00000000-0005-0000-0000-00009C270000}"/>
    <cellStyle name="20 % - Markeringsfarve4 10 5" xfId="10928" xr:uid="{00000000-0005-0000-0000-00009D270000}"/>
    <cellStyle name="20 % - Markeringsfarve4 10 5 2" xfId="27248" xr:uid="{00000000-0005-0000-0000-00009E270000}"/>
    <cellStyle name="20 % - Markeringsfarve4 10 5 3" xfId="42214" xr:uid="{00000000-0005-0000-0000-00009F270000}"/>
    <cellStyle name="20 % - Markeringsfarve4 10 6" xfId="20226" xr:uid="{00000000-0005-0000-0000-0000A0270000}"/>
    <cellStyle name="20 % - Markeringsfarve4 10 7" xfId="35215" xr:uid="{00000000-0005-0000-0000-0000A1270000}"/>
    <cellStyle name="20 % - Markeringsfarve4 11" xfId="2371" xr:uid="{00000000-0005-0000-0000-0000A2270000}"/>
    <cellStyle name="20 % - Markeringsfarve4 11 2" xfId="2372" xr:uid="{00000000-0005-0000-0000-0000A3270000}"/>
    <cellStyle name="20 % - Markeringsfarve4 11 2 2" xfId="8330" xr:uid="{00000000-0005-0000-0000-0000A4270000}"/>
    <cellStyle name="20 % - Markeringsfarve4 11 2 2 2" xfId="16224" xr:uid="{00000000-0005-0000-0000-0000A5270000}"/>
    <cellStyle name="20 % - Markeringsfarve4 11 2 2 2 2" xfId="32539" xr:uid="{00000000-0005-0000-0000-0000A6270000}"/>
    <cellStyle name="20 % - Markeringsfarve4 11 2 2 2 3" xfId="47503" xr:uid="{00000000-0005-0000-0000-0000A7270000}"/>
    <cellStyle name="20 % - Markeringsfarve4 11 2 2 3" xfId="25517" xr:uid="{00000000-0005-0000-0000-0000A8270000}"/>
    <cellStyle name="20 % - Markeringsfarve4 11 2 2 4" xfId="40504" xr:uid="{00000000-0005-0000-0000-0000A9270000}"/>
    <cellStyle name="20 % - Markeringsfarve4 11 2 3" xfId="10932" xr:uid="{00000000-0005-0000-0000-0000AA270000}"/>
    <cellStyle name="20 % - Markeringsfarve4 11 2 3 2" xfId="27252" xr:uid="{00000000-0005-0000-0000-0000AB270000}"/>
    <cellStyle name="20 % - Markeringsfarve4 11 2 3 3" xfId="42218" xr:uid="{00000000-0005-0000-0000-0000AC270000}"/>
    <cellStyle name="20 % - Markeringsfarve4 11 2 4" xfId="20230" xr:uid="{00000000-0005-0000-0000-0000AD270000}"/>
    <cellStyle name="20 % - Markeringsfarve4 11 2 5" xfId="35219" xr:uid="{00000000-0005-0000-0000-0000AE270000}"/>
    <cellStyle name="20 % - Markeringsfarve4 11 3" xfId="5518" xr:uid="{00000000-0005-0000-0000-0000AF270000}"/>
    <cellStyle name="20 % - Markeringsfarve4 11 3 2" xfId="13437" xr:uid="{00000000-0005-0000-0000-0000B0270000}"/>
    <cellStyle name="20 % - Markeringsfarve4 11 3 2 2" xfId="29752" xr:uid="{00000000-0005-0000-0000-0000B1270000}"/>
    <cellStyle name="20 % - Markeringsfarve4 11 3 2 3" xfId="44716" xr:uid="{00000000-0005-0000-0000-0000B2270000}"/>
    <cellStyle name="20 % - Markeringsfarve4 11 3 3" xfId="22730" xr:uid="{00000000-0005-0000-0000-0000B3270000}"/>
    <cellStyle name="20 % - Markeringsfarve4 11 3 4" xfId="37717" xr:uid="{00000000-0005-0000-0000-0000B4270000}"/>
    <cellStyle name="20 % - Markeringsfarve4 11 4" xfId="10931" xr:uid="{00000000-0005-0000-0000-0000B5270000}"/>
    <cellStyle name="20 % - Markeringsfarve4 11 4 2" xfId="27251" xr:uid="{00000000-0005-0000-0000-0000B6270000}"/>
    <cellStyle name="20 % - Markeringsfarve4 11 4 3" xfId="42217" xr:uid="{00000000-0005-0000-0000-0000B7270000}"/>
    <cellStyle name="20 % - Markeringsfarve4 11 5" xfId="20229" xr:uid="{00000000-0005-0000-0000-0000B8270000}"/>
    <cellStyle name="20 % - Markeringsfarve4 11 6" xfId="35218" xr:uid="{00000000-0005-0000-0000-0000B9270000}"/>
    <cellStyle name="20 % - Markeringsfarve4 12" xfId="2373" xr:uid="{00000000-0005-0000-0000-0000BA270000}"/>
    <cellStyle name="20 % - Markeringsfarve4 12 2" xfId="2374" xr:uid="{00000000-0005-0000-0000-0000BB270000}"/>
    <cellStyle name="20 % - Markeringsfarve4 12 2 2" xfId="8592" xr:uid="{00000000-0005-0000-0000-0000BC270000}"/>
    <cellStyle name="20 % - Markeringsfarve4 12 2 2 2" xfId="16476" xr:uid="{00000000-0005-0000-0000-0000BD270000}"/>
    <cellStyle name="20 % - Markeringsfarve4 12 2 2 2 2" xfId="32791" xr:uid="{00000000-0005-0000-0000-0000BE270000}"/>
    <cellStyle name="20 % - Markeringsfarve4 12 2 2 2 3" xfId="47755" xr:uid="{00000000-0005-0000-0000-0000BF270000}"/>
    <cellStyle name="20 % - Markeringsfarve4 12 2 2 3" xfId="25769" xr:uid="{00000000-0005-0000-0000-0000C0270000}"/>
    <cellStyle name="20 % - Markeringsfarve4 12 2 2 4" xfId="40756" xr:uid="{00000000-0005-0000-0000-0000C1270000}"/>
    <cellStyle name="20 % - Markeringsfarve4 12 2 3" xfId="10934" xr:uid="{00000000-0005-0000-0000-0000C2270000}"/>
    <cellStyle name="20 % - Markeringsfarve4 12 2 3 2" xfId="27254" xr:uid="{00000000-0005-0000-0000-0000C3270000}"/>
    <cellStyle name="20 % - Markeringsfarve4 12 2 3 3" xfId="42220" xr:uid="{00000000-0005-0000-0000-0000C4270000}"/>
    <cellStyle name="20 % - Markeringsfarve4 12 2 4" xfId="20232" xr:uid="{00000000-0005-0000-0000-0000C5270000}"/>
    <cellStyle name="20 % - Markeringsfarve4 12 2 5" xfId="35221" xr:uid="{00000000-0005-0000-0000-0000C6270000}"/>
    <cellStyle name="20 % - Markeringsfarve4 12 3" xfId="5519" xr:uid="{00000000-0005-0000-0000-0000C7270000}"/>
    <cellStyle name="20 % - Markeringsfarve4 12 3 2" xfId="13438" xr:uid="{00000000-0005-0000-0000-0000C8270000}"/>
    <cellStyle name="20 % - Markeringsfarve4 12 3 2 2" xfId="29753" xr:uid="{00000000-0005-0000-0000-0000C9270000}"/>
    <cellStyle name="20 % - Markeringsfarve4 12 3 2 3" xfId="44717" xr:uid="{00000000-0005-0000-0000-0000CA270000}"/>
    <cellStyle name="20 % - Markeringsfarve4 12 3 3" xfId="22731" xr:uid="{00000000-0005-0000-0000-0000CB270000}"/>
    <cellStyle name="20 % - Markeringsfarve4 12 3 4" xfId="37718" xr:uid="{00000000-0005-0000-0000-0000CC270000}"/>
    <cellStyle name="20 % - Markeringsfarve4 12 4" xfId="10933" xr:uid="{00000000-0005-0000-0000-0000CD270000}"/>
    <cellStyle name="20 % - Markeringsfarve4 12 4 2" xfId="27253" xr:uid="{00000000-0005-0000-0000-0000CE270000}"/>
    <cellStyle name="20 % - Markeringsfarve4 12 4 3" xfId="42219" xr:uid="{00000000-0005-0000-0000-0000CF270000}"/>
    <cellStyle name="20 % - Markeringsfarve4 12 5" xfId="20231" xr:uid="{00000000-0005-0000-0000-0000D0270000}"/>
    <cellStyle name="20 % - Markeringsfarve4 12 6" xfId="35220" xr:uid="{00000000-0005-0000-0000-0000D1270000}"/>
    <cellStyle name="20 % - Markeringsfarve4 13" xfId="2375" xr:uid="{00000000-0005-0000-0000-0000D2270000}"/>
    <cellStyle name="20 % - Markeringsfarve4 13 2" xfId="2376" xr:uid="{00000000-0005-0000-0000-0000D3270000}"/>
    <cellStyle name="20 % - Markeringsfarve4 13 2 2" xfId="8527" xr:uid="{00000000-0005-0000-0000-0000D4270000}"/>
    <cellStyle name="20 % - Markeringsfarve4 13 2 2 2" xfId="16415" xr:uid="{00000000-0005-0000-0000-0000D5270000}"/>
    <cellStyle name="20 % - Markeringsfarve4 13 2 2 2 2" xfId="32730" xr:uid="{00000000-0005-0000-0000-0000D6270000}"/>
    <cellStyle name="20 % - Markeringsfarve4 13 2 2 2 3" xfId="47694" xr:uid="{00000000-0005-0000-0000-0000D7270000}"/>
    <cellStyle name="20 % - Markeringsfarve4 13 2 2 3" xfId="25708" xr:uid="{00000000-0005-0000-0000-0000D8270000}"/>
    <cellStyle name="20 % - Markeringsfarve4 13 2 2 4" xfId="40695" xr:uid="{00000000-0005-0000-0000-0000D9270000}"/>
    <cellStyle name="20 % - Markeringsfarve4 13 2 3" xfId="10936" xr:uid="{00000000-0005-0000-0000-0000DA270000}"/>
    <cellStyle name="20 % - Markeringsfarve4 13 2 3 2" xfId="27256" xr:uid="{00000000-0005-0000-0000-0000DB270000}"/>
    <cellStyle name="20 % - Markeringsfarve4 13 2 3 3" xfId="42222" xr:uid="{00000000-0005-0000-0000-0000DC270000}"/>
    <cellStyle name="20 % - Markeringsfarve4 13 2 4" xfId="20234" xr:uid="{00000000-0005-0000-0000-0000DD270000}"/>
    <cellStyle name="20 % - Markeringsfarve4 13 2 5" xfId="35223" xr:uid="{00000000-0005-0000-0000-0000DE270000}"/>
    <cellStyle name="20 % - Markeringsfarve4 13 3" xfId="5516" xr:uid="{00000000-0005-0000-0000-0000DF270000}"/>
    <cellStyle name="20 % - Markeringsfarve4 13 3 2" xfId="13435" xr:uid="{00000000-0005-0000-0000-0000E0270000}"/>
    <cellStyle name="20 % - Markeringsfarve4 13 3 2 2" xfId="29750" xr:uid="{00000000-0005-0000-0000-0000E1270000}"/>
    <cellStyle name="20 % - Markeringsfarve4 13 3 2 3" xfId="44714" xr:uid="{00000000-0005-0000-0000-0000E2270000}"/>
    <cellStyle name="20 % - Markeringsfarve4 13 3 3" xfId="22728" xr:uid="{00000000-0005-0000-0000-0000E3270000}"/>
    <cellStyle name="20 % - Markeringsfarve4 13 3 4" xfId="37715" xr:uid="{00000000-0005-0000-0000-0000E4270000}"/>
    <cellStyle name="20 % - Markeringsfarve4 13 4" xfId="10935" xr:uid="{00000000-0005-0000-0000-0000E5270000}"/>
    <cellStyle name="20 % - Markeringsfarve4 13 4 2" xfId="27255" xr:uid="{00000000-0005-0000-0000-0000E6270000}"/>
    <cellStyle name="20 % - Markeringsfarve4 13 4 3" xfId="42221" xr:uid="{00000000-0005-0000-0000-0000E7270000}"/>
    <cellStyle name="20 % - Markeringsfarve4 13 5" xfId="20233" xr:uid="{00000000-0005-0000-0000-0000E8270000}"/>
    <cellStyle name="20 % - Markeringsfarve4 13 6" xfId="35222" xr:uid="{00000000-0005-0000-0000-0000E9270000}"/>
    <cellStyle name="20 % - Markeringsfarve4 14" xfId="2377" xr:uid="{00000000-0005-0000-0000-0000EA270000}"/>
    <cellStyle name="20 % - Markeringsfarve4 14 2" xfId="6656" xr:uid="{00000000-0005-0000-0000-0000EB270000}"/>
    <cellStyle name="20 % - Markeringsfarve4 14 2 2" xfId="14570" xr:uid="{00000000-0005-0000-0000-0000EC270000}"/>
    <cellStyle name="20 % - Markeringsfarve4 14 2 2 2" xfId="30885" xr:uid="{00000000-0005-0000-0000-0000ED270000}"/>
    <cellStyle name="20 % - Markeringsfarve4 14 2 2 3" xfId="45849" xr:uid="{00000000-0005-0000-0000-0000EE270000}"/>
    <cellStyle name="20 % - Markeringsfarve4 14 2 3" xfId="23863" xr:uid="{00000000-0005-0000-0000-0000EF270000}"/>
    <cellStyle name="20 % - Markeringsfarve4 14 2 4" xfId="38850" xr:uid="{00000000-0005-0000-0000-0000F0270000}"/>
    <cellStyle name="20 % - Markeringsfarve4 14 3" xfId="10937" xr:uid="{00000000-0005-0000-0000-0000F1270000}"/>
    <cellStyle name="20 % - Markeringsfarve4 14 3 2" xfId="27257" xr:uid="{00000000-0005-0000-0000-0000F2270000}"/>
    <cellStyle name="20 % - Markeringsfarve4 14 3 3" xfId="42223" xr:uid="{00000000-0005-0000-0000-0000F3270000}"/>
    <cellStyle name="20 % - Markeringsfarve4 14 4" xfId="20235" xr:uid="{00000000-0005-0000-0000-0000F4270000}"/>
    <cellStyle name="20 % - Markeringsfarve4 14 5" xfId="35224" xr:uid="{00000000-0005-0000-0000-0000F5270000}"/>
    <cellStyle name="20 % - Markeringsfarve4 15" xfId="2378" xr:uid="{00000000-0005-0000-0000-0000F6270000}"/>
    <cellStyle name="20 % - Markeringsfarve4 15 2" xfId="8541" xr:uid="{00000000-0005-0000-0000-0000F7270000}"/>
    <cellStyle name="20 % - Markeringsfarve4 15 2 2" xfId="16428" xr:uid="{00000000-0005-0000-0000-0000F8270000}"/>
    <cellStyle name="20 % - Markeringsfarve4 15 2 2 2" xfId="32743" xr:uid="{00000000-0005-0000-0000-0000F9270000}"/>
    <cellStyle name="20 % - Markeringsfarve4 15 2 2 3" xfId="47707" xr:uid="{00000000-0005-0000-0000-0000FA270000}"/>
    <cellStyle name="20 % - Markeringsfarve4 15 2 3" xfId="25721" xr:uid="{00000000-0005-0000-0000-0000FB270000}"/>
    <cellStyle name="20 % - Markeringsfarve4 15 2 4" xfId="40708" xr:uid="{00000000-0005-0000-0000-0000FC270000}"/>
    <cellStyle name="20 % - Markeringsfarve4 15 3" xfId="10938" xr:uid="{00000000-0005-0000-0000-0000FD270000}"/>
    <cellStyle name="20 % - Markeringsfarve4 15 3 2" xfId="27258" xr:uid="{00000000-0005-0000-0000-0000FE270000}"/>
    <cellStyle name="20 % - Markeringsfarve4 15 3 3" xfId="42224" xr:uid="{00000000-0005-0000-0000-0000FF270000}"/>
    <cellStyle name="20 % - Markeringsfarve4 15 4" xfId="20236" xr:uid="{00000000-0005-0000-0000-000000280000}"/>
    <cellStyle name="20 % - Markeringsfarve4 15 5" xfId="35225" xr:uid="{00000000-0005-0000-0000-000001280000}"/>
    <cellStyle name="20 % - Markeringsfarve4 16" xfId="2379" xr:uid="{00000000-0005-0000-0000-000002280000}"/>
    <cellStyle name="20 % - Markeringsfarve4 16 2" xfId="8372" xr:uid="{00000000-0005-0000-0000-000003280000}"/>
    <cellStyle name="20 % - Markeringsfarve4 16 2 2" xfId="16265" xr:uid="{00000000-0005-0000-0000-000004280000}"/>
    <cellStyle name="20 % - Markeringsfarve4 16 2 2 2" xfId="32580" xr:uid="{00000000-0005-0000-0000-000005280000}"/>
    <cellStyle name="20 % - Markeringsfarve4 16 2 2 3" xfId="47544" xr:uid="{00000000-0005-0000-0000-000006280000}"/>
    <cellStyle name="20 % - Markeringsfarve4 16 2 3" xfId="25558" xr:uid="{00000000-0005-0000-0000-000007280000}"/>
    <cellStyle name="20 % - Markeringsfarve4 16 2 4" xfId="40545" xr:uid="{00000000-0005-0000-0000-000008280000}"/>
    <cellStyle name="20 % - Markeringsfarve4 16 3" xfId="10939" xr:uid="{00000000-0005-0000-0000-000009280000}"/>
    <cellStyle name="20 % - Markeringsfarve4 16 3 2" xfId="27259" xr:uid="{00000000-0005-0000-0000-00000A280000}"/>
    <cellStyle name="20 % - Markeringsfarve4 16 3 3" xfId="42225" xr:uid="{00000000-0005-0000-0000-00000B280000}"/>
    <cellStyle name="20 % - Markeringsfarve4 16 4" xfId="20237" xr:uid="{00000000-0005-0000-0000-00000C280000}"/>
    <cellStyle name="20 % - Markeringsfarve4 16 5" xfId="35226" xr:uid="{00000000-0005-0000-0000-00000D280000}"/>
    <cellStyle name="20 % - Markeringsfarve4 17" xfId="5335" xr:uid="{00000000-0005-0000-0000-00000E280000}"/>
    <cellStyle name="20 % - Markeringsfarve4 17 2" xfId="13258" xr:uid="{00000000-0005-0000-0000-00000F280000}"/>
    <cellStyle name="20 % - Markeringsfarve4 17 2 2" xfId="29573" xr:uid="{00000000-0005-0000-0000-000010280000}"/>
    <cellStyle name="20 % - Markeringsfarve4 17 2 3" xfId="44537" xr:uid="{00000000-0005-0000-0000-000011280000}"/>
    <cellStyle name="20 % - Markeringsfarve4 17 3" xfId="22551" xr:uid="{00000000-0005-0000-0000-000012280000}"/>
    <cellStyle name="20 % - Markeringsfarve4 17 4" xfId="37538" xr:uid="{00000000-0005-0000-0000-000013280000}"/>
    <cellStyle name="20 % - Markeringsfarve4 18" xfId="2367" xr:uid="{00000000-0005-0000-0000-000014280000}"/>
    <cellStyle name="20 % - Markeringsfarve4 18 2" xfId="10927" xr:uid="{00000000-0005-0000-0000-000015280000}"/>
    <cellStyle name="20 % - Markeringsfarve4 18 2 2" xfId="27247" xr:uid="{00000000-0005-0000-0000-000016280000}"/>
    <cellStyle name="20 % - Markeringsfarve4 18 2 3" xfId="42213" xr:uid="{00000000-0005-0000-0000-000017280000}"/>
    <cellStyle name="20 % - Markeringsfarve4 18 3" xfId="20225" xr:uid="{00000000-0005-0000-0000-000018280000}"/>
    <cellStyle name="20 % - Markeringsfarve4 18 4" xfId="35214" xr:uid="{00000000-0005-0000-0000-000019280000}"/>
    <cellStyle name="20 % - Markeringsfarve4 2" xfId="2380" xr:uid="{00000000-0005-0000-0000-00001A280000}"/>
    <cellStyle name="20 % - Markeringsfarve4 2 10" xfId="2381" xr:uid="{00000000-0005-0000-0000-00001B280000}"/>
    <cellStyle name="20 % - Markeringsfarve4 2 10 2" xfId="6687" xr:uid="{00000000-0005-0000-0000-00001C280000}"/>
    <cellStyle name="20 % - Markeringsfarve4 2 10 2 2" xfId="14599" xr:uid="{00000000-0005-0000-0000-00001D280000}"/>
    <cellStyle name="20 % - Markeringsfarve4 2 10 2 2 2" xfId="30914" xr:uid="{00000000-0005-0000-0000-00001E280000}"/>
    <cellStyle name="20 % - Markeringsfarve4 2 10 2 2 3" xfId="45878" xr:uid="{00000000-0005-0000-0000-00001F280000}"/>
    <cellStyle name="20 % - Markeringsfarve4 2 10 2 3" xfId="23892" xr:uid="{00000000-0005-0000-0000-000020280000}"/>
    <cellStyle name="20 % - Markeringsfarve4 2 10 2 4" xfId="38879" xr:uid="{00000000-0005-0000-0000-000021280000}"/>
    <cellStyle name="20 % - Markeringsfarve4 2 10 3" xfId="10941" xr:uid="{00000000-0005-0000-0000-000022280000}"/>
    <cellStyle name="20 % - Markeringsfarve4 2 10 3 2" xfId="27261" xr:uid="{00000000-0005-0000-0000-000023280000}"/>
    <cellStyle name="20 % - Markeringsfarve4 2 10 3 3" xfId="42227" xr:uid="{00000000-0005-0000-0000-000024280000}"/>
    <cellStyle name="20 % - Markeringsfarve4 2 10 4" xfId="20239" xr:uid="{00000000-0005-0000-0000-000025280000}"/>
    <cellStyle name="20 % - Markeringsfarve4 2 10 5" xfId="35228" xr:uid="{00000000-0005-0000-0000-000026280000}"/>
    <cellStyle name="20 % - Markeringsfarve4 2 11" xfId="2382" xr:uid="{00000000-0005-0000-0000-000027280000}"/>
    <cellStyle name="20 % - Markeringsfarve4 2 11 2" xfId="8241" xr:uid="{00000000-0005-0000-0000-000028280000}"/>
    <cellStyle name="20 % - Markeringsfarve4 2 11 2 2" xfId="16136" xr:uid="{00000000-0005-0000-0000-000029280000}"/>
    <cellStyle name="20 % - Markeringsfarve4 2 11 2 2 2" xfId="32451" xr:uid="{00000000-0005-0000-0000-00002A280000}"/>
    <cellStyle name="20 % - Markeringsfarve4 2 11 2 2 3" xfId="47415" xr:uid="{00000000-0005-0000-0000-00002B280000}"/>
    <cellStyle name="20 % - Markeringsfarve4 2 11 2 3" xfId="25429" xr:uid="{00000000-0005-0000-0000-00002C280000}"/>
    <cellStyle name="20 % - Markeringsfarve4 2 11 2 4" xfId="40416" xr:uid="{00000000-0005-0000-0000-00002D280000}"/>
    <cellStyle name="20 % - Markeringsfarve4 2 11 3" xfId="10942" xr:uid="{00000000-0005-0000-0000-00002E280000}"/>
    <cellStyle name="20 % - Markeringsfarve4 2 11 3 2" xfId="27262" xr:uid="{00000000-0005-0000-0000-00002F280000}"/>
    <cellStyle name="20 % - Markeringsfarve4 2 11 3 3" xfId="42228" xr:uid="{00000000-0005-0000-0000-000030280000}"/>
    <cellStyle name="20 % - Markeringsfarve4 2 11 4" xfId="20240" xr:uid="{00000000-0005-0000-0000-000031280000}"/>
    <cellStyle name="20 % - Markeringsfarve4 2 11 5" xfId="35229" xr:uid="{00000000-0005-0000-0000-000032280000}"/>
    <cellStyle name="20 % - Markeringsfarve4 2 12" xfId="5520" xr:uid="{00000000-0005-0000-0000-000033280000}"/>
    <cellStyle name="20 % - Markeringsfarve4 2 12 2" xfId="13439" xr:uid="{00000000-0005-0000-0000-000034280000}"/>
    <cellStyle name="20 % - Markeringsfarve4 2 12 2 2" xfId="29754" xr:uid="{00000000-0005-0000-0000-000035280000}"/>
    <cellStyle name="20 % - Markeringsfarve4 2 12 2 3" xfId="44718" xr:uid="{00000000-0005-0000-0000-000036280000}"/>
    <cellStyle name="20 % - Markeringsfarve4 2 12 3" xfId="22732" xr:uid="{00000000-0005-0000-0000-000037280000}"/>
    <cellStyle name="20 % - Markeringsfarve4 2 12 4" xfId="37719" xr:uid="{00000000-0005-0000-0000-000038280000}"/>
    <cellStyle name="20 % - Markeringsfarve4 2 13" xfId="10940" xr:uid="{00000000-0005-0000-0000-000039280000}"/>
    <cellStyle name="20 % - Markeringsfarve4 2 13 2" xfId="27260" xr:uid="{00000000-0005-0000-0000-00003A280000}"/>
    <cellStyle name="20 % - Markeringsfarve4 2 13 3" xfId="42226" xr:uid="{00000000-0005-0000-0000-00003B280000}"/>
    <cellStyle name="20 % - Markeringsfarve4 2 14" xfId="20238" xr:uid="{00000000-0005-0000-0000-00003C280000}"/>
    <cellStyle name="20 % - Markeringsfarve4 2 15" xfId="35227" xr:uid="{00000000-0005-0000-0000-00003D280000}"/>
    <cellStyle name="20 % - Markeringsfarve4 2 16" xfId="53303" xr:uid="{00000000-0005-0000-0000-00003E280000}"/>
    <cellStyle name="20 % - Markeringsfarve4 2 2" xfId="2383" xr:uid="{00000000-0005-0000-0000-00003F280000}"/>
    <cellStyle name="20 % - Markeringsfarve4 2 2 10" xfId="5521" xr:uid="{00000000-0005-0000-0000-000040280000}"/>
    <cellStyle name="20 % - Markeringsfarve4 2 2 10 2" xfId="13440" xr:uid="{00000000-0005-0000-0000-000041280000}"/>
    <cellStyle name="20 % - Markeringsfarve4 2 2 10 2 2" xfId="29755" xr:uid="{00000000-0005-0000-0000-000042280000}"/>
    <cellStyle name="20 % - Markeringsfarve4 2 2 10 2 3" xfId="44719" xr:uid="{00000000-0005-0000-0000-000043280000}"/>
    <cellStyle name="20 % - Markeringsfarve4 2 2 10 3" xfId="22733" xr:uid="{00000000-0005-0000-0000-000044280000}"/>
    <cellStyle name="20 % - Markeringsfarve4 2 2 10 4" xfId="37720" xr:uid="{00000000-0005-0000-0000-000045280000}"/>
    <cellStyle name="20 % - Markeringsfarve4 2 2 11" xfId="10943" xr:uid="{00000000-0005-0000-0000-000046280000}"/>
    <cellStyle name="20 % - Markeringsfarve4 2 2 11 2" xfId="27263" xr:uid="{00000000-0005-0000-0000-000047280000}"/>
    <cellStyle name="20 % - Markeringsfarve4 2 2 11 3" xfId="42229" xr:uid="{00000000-0005-0000-0000-000048280000}"/>
    <cellStyle name="20 % - Markeringsfarve4 2 2 12" xfId="20241" xr:uid="{00000000-0005-0000-0000-000049280000}"/>
    <cellStyle name="20 % - Markeringsfarve4 2 2 13" xfId="35230" xr:uid="{00000000-0005-0000-0000-00004A280000}"/>
    <cellStyle name="20 % - Markeringsfarve4 2 2 14" xfId="53302" xr:uid="{00000000-0005-0000-0000-00004B280000}"/>
    <cellStyle name="20 % - Markeringsfarve4 2 2 2" xfId="2384" xr:uid="{00000000-0005-0000-0000-00004C280000}"/>
    <cellStyle name="20 % - Markeringsfarve4 2 2 2 2" xfId="2385" xr:uid="{00000000-0005-0000-0000-00004D280000}"/>
    <cellStyle name="20 % - Markeringsfarve4 2 2 2 2 2" xfId="2386" xr:uid="{00000000-0005-0000-0000-00004E280000}"/>
    <cellStyle name="20 % - Markeringsfarve4 2 2 2 2 2 2" xfId="7618" xr:uid="{00000000-0005-0000-0000-00004F280000}"/>
    <cellStyle name="20 % - Markeringsfarve4 2 2 2 2 2 2 2" xfId="15520" xr:uid="{00000000-0005-0000-0000-000050280000}"/>
    <cellStyle name="20 % - Markeringsfarve4 2 2 2 2 2 2 2 2" xfId="31835" xr:uid="{00000000-0005-0000-0000-000051280000}"/>
    <cellStyle name="20 % - Markeringsfarve4 2 2 2 2 2 2 2 3" xfId="46799" xr:uid="{00000000-0005-0000-0000-000052280000}"/>
    <cellStyle name="20 % - Markeringsfarve4 2 2 2 2 2 2 3" xfId="24813" xr:uid="{00000000-0005-0000-0000-000053280000}"/>
    <cellStyle name="20 % - Markeringsfarve4 2 2 2 2 2 2 4" xfId="39800" xr:uid="{00000000-0005-0000-0000-000054280000}"/>
    <cellStyle name="20 % - Markeringsfarve4 2 2 2 2 2 3" xfId="10946" xr:uid="{00000000-0005-0000-0000-000055280000}"/>
    <cellStyle name="20 % - Markeringsfarve4 2 2 2 2 2 3 2" xfId="27266" xr:uid="{00000000-0005-0000-0000-000056280000}"/>
    <cellStyle name="20 % - Markeringsfarve4 2 2 2 2 2 3 3" xfId="42232" xr:uid="{00000000-0005-0000-0000-000057280000}"/>
    <cellStyle name="20 % - Markeringsfarve4 2 2 2 2 2 4" xfId="20244" xr:uid="{00000000-0005-0000-0000-000058280000}"/>
    <cellStyle name="20 % - Markeringsfarve4 2 2 2 2 2 5" xfId="35233" xr:uid="{00000000-0005-0000-0000-000059280000}"/>
    <cellStyle name="20 % - Markeringsfarve4 2 2 2 2 3" xfId="6190" xr:uid="{00000000-0005-0000-0000-00005A280000}"/>
    <cellStyle name="20 % - Markeringsfarve4 2 2 2 2 3 2" xfId="14108" xr:uid="{00000000-0005-0000-0000-00005B280000}"/>
    <cellStyle name="20 % - Markeringsfarve4 2 2 2 2 3 2 2" xfId="30423" xr:uid="{00000000-0005-0000-0000-00005C280000}"/>
    <cellStyle name="20 % - Markeringsfarve4 2 2 2 2 3 2 3" xfId="45387" xr:uid="{00000000-0005-0000-0000-00005D280000}"/>
    <cellStyle name="20 % - Markeringsfarve4 2 2 2 2 3 3" xfId="23401" xr:uid="{00000000-0005-0000-0000-00005E280000}"/>
    <cellStyle name="20 % - Markeringsfarve4 2 2 2 2 3 4" xfId="38388" xr:uid="{00000000-0005-0000-0000-00005F280000}"/>
    <cellStyle name="20 % - Markeringsfarve4 2 2 2 2 4" xfId="10945" xr:uid="{00000000-0005-0000-0000-000060280000}"/>
    <cellStyle name="20 % - Markeringsfarve4 2 2 2 2 4 2" xfId="27265" xr:uid="{00000000-0005-0000-0000-000061280000}"/>
    <cellStyle name="20 % - Markeringsfarve4 2 2 2 2 4 3" xfId="42231" xr:uid="{00000000-0005-0000-0000-000062280000}"/>
    <cellStyle name="20 % - Markeringsfarve4 2 2 2 2 5" xfId="20243" xr:uid="{00000000-0005-0000-0000-000063280000}"/>
    <cellStyle name="20 % - Markeringsfarve4 2 2 2 2 6" xfId="35232" xr:uid="{00000000-0005-0000-0000-000064280000}"/>
    <cellStyle name="20 % - Markeringsfarve4 2 2 2 2 7" xfId="57106" xr:uid="{00000000-0005-0000-0000-000065280000}"/>
    <cellStyle name="20 % - Markeringsfarve4 2 2 2 3" xfId="2387" xr:uid="{00000000-0005-0000-0000-000066280000}"/>
    <cellStyle name="20 % - Markeringsfarve4 2 2 2 3 2" xfId="6848" xr:uid="{00000000-0005-0000-0000-000067280000}"/>
    <cellStyle name="20 % - Markeringsfarve4 2 2 2 3 2 2" xfId="14760" xr:uid="{00000000-0005-0000-0000-000068280000}"/>
    <cellStyle name="20 % - Markeringsfarve4 2 2 2 3 2 2 2" xfId="31075" xr:uid="{00000000-0005-0000-0000-000069280000}"/>
    <cellStyle name="20 % - Markeringsfarve4 2 2 2 3 2 2 3" xfId="46039" xr:uid="{00000000-0005-0000-0000-00006A280000}"/>
    <cellStyle name="20 % - Markeringsfarve4 2 2 2 3 2 3" xfId="24053" xr:uid="{00000000-0005-0000-0000-00006B280000}"/>
    <cellStyle name="20 % - Markeringsfarve4 2 2 2 3 2 4" xfId="39040" xr:uid="{00000000-0005-0000-0000-00006C280000}"/>
    <cellStyle name="20 % - Markeringsfarve4 2 2 2 3 3" xfId="10947" xr:uid="{00000000-0005-0000-0000-00006D280000}"/>
    <cellStyle name="20 % - Markeringsfarve4 2 2 2 3 3 2" xfId="27267" xr:uid="{00000000-0005-0000-0000-00006E280000}"/>
    <cellStyle name="20 % - Markeringsfarve4 2 2 2 3 3 3" xfId="42233" xr:uid="{00000000-0005-0000-0000-00006F280000}"/>
    <cellStyle name="20 % - Markeringsfarve4 2 2 2 3 4" xfId="20245" xr:uid="{00000000-0005-0000-0000-000070280000}"/>
    <cellStyle name="20 % - Markeringsfarve4 2 2 2 3 5" xfId="35234" xr:uid="{00000000-0005-0000-0000-000071280000}"/>
    <cellStyle name="20 % - Markeringsfarve4 2 2 2 4" xfId="2388" xr:uid="{00000000-0005-0000-0000-000072280000}"/>
    <cellStyle name="20 % - Markeringsfarve4 2 2 2 4 2" xfId="8165" xr:uid="{00000000-0005-0000-0000-000073280000}"/>
    <cellStyle name="20 % - Markeringsfarve4 2 2 2 4 2 2" xfId="16063" xr:uid="{00000000-0005-0000-0000-000074280000}"/>
    <cellStyle name="20 % - Markeringsfarve4 2 2 2 4 2 2 2" xfId="32378" xr:uid="{00000000-0005-0000-0000-000075280000}"/>
    <cellStyle name="20 % - Markeringsfarve4 2 2 2 4 2 2 3" xfId="47342" xr:uid="{00000000-0005-0000-0000-000076280000}"/>
    <cellStyle name="20 % - Markeringsfarve4 2 2 2 4 2 3" xfId="25356" xr:uid="{00000000-0005-0000-0000-000077280000}"/>
    <cellStyle name="20 % - Markeringsfarve4 2 2 2 4 2 4" xfId="40343" xr:uid="{00000000-0005-0000-0000-000078280000}"/>
    <cellStyle name="20 % - Markeringsfarve4 2 2 2 4 3" xfId="10948" xr:uid="{00000000-0005-0000-0000-000079280000}"/>
    <cellStyle name="20 % - Markeringsfarve4 2 2 2 4 3 2" xfId="27268" xr:uid="{00000000-0005-0000-0000-00007A280000}"/>
    <cellStyle name="20 % - Markeringsfarve4 2 2 2 4 3 3" xfId="42234" xr:uid="{00000000-0005-0000-0000-00007B280000}"/>
    <cellStyle name="20 % - Markeringsfarve4 2 2 2 4 4" xfId="20246" xr:uid="{00000000-0005-0000-0000-00007C280000}"/>
    <cellStyle name="20 % - Markeringsfarve4 2 2 2 4 5" xfId="35235" xr:uid="{00000000-0005-0000-0000-00007D280000}"/>
    <cellStyle name="20 % - Markeringsfarve4 2 2 2 5" xfId="5522" xr:uid="{00000000-0005-0000-0000-00007E280000}"/>
    <cellStyle name="20 % - Markeringsfarve4 2 2 2 5 2" xfId="13441" xr:uid="{00000000-0005-0000-0000-00007F280000}"/>
    <cellStyle name="20 % - Markeringsfarve4 2 2 2 5 2 2" xfId="29756" xr:uid="{00000000-0005-0000-0000-000080280000}"/>
    <cellStyle name="20 % - Markeringsfarve4 2 2 2 5 2 3" xfId="44720" xr:uid="{00000000-0005-0000-0000-000081280000}"/>
    <cellStyle name="20 % - Markeringsfarve4 2 2 2 5 3" xfId="22734" xr:uid="{00000000-0005-0000-0000-000082280000}"/>
    <cellStyle name="20 % - Markeringsfarve4 2 2 2 5 4" xfId="37721" xr:uid="{00000000-0005-0000-0000-000083280000}"/>
    <cellStyle name="20 % - Markeringsfarve4 2 2 2 6" xfId="10944" xr:uid="{00000000-0005-0000-0000-000084280000}"/>
    <cellStyle name="20 % - Markeringsfarve4 2 2 2 6 2" xfId="27264" xr:uid="{00000000-0005-0000-0000-000085280000}"/>
    <cellStyle name="20 % - Markeringsfarve4 2 2 2 6 3" xfId="42230" xr:uid="{00000000-0005-0000-0000-000086280000}"/>
    <cellStyle name="20 % - Markeringsfarve4 2 2 2 7" xfId="20242" xr:uid="{00000000-0005-0000-0000-000087280000}"/>
    <cellStyle name="20 % - Markeringsfarve4 2 2 2 8" xfId="35231" xr:uid="{00000000-0005-0000-0000-000088280000}"/>
    <cellStyle name="20 % - Markeringsfarve4 2 2 2 9" xfId="53939" xr:uid="{00000000-0005-0000-0000-000089280000}"/>
    <cellStyle name="20 % - Markeringsfarve4 2 2 3" xfId="2389" xr:uid="{00000000-0005-0000-0000-00008A280000}"/>
    <cellStyle name="20 % - Markeringsfarve4 2 2 3 2" xfId="2390" xr:uid="{00000000-0005-0000-0000-00008B280000}"/>
    <cellStyle name="20 % - Markeringsfarve4 2 2 3 2 2" xfId="2391" xr:uid="{00000000-0005-0000-0000-00008C280000}"/>
    <cellStyle name="20 % - Markeringsfarve4 2 2 3 2 2 2" xfId="7693" xr:uid="{00000000-0005-0000-0000-00008D280000}"/>
    <cellStyle name="20 % - Markeringsfarve4 2 2 3 2 2 2 2" xfId="15595" xr:uid="{00000000-0005-0000-0000-00008E280000}"/>
    <cellStyle name="20 % - Markeringsfarve4 2 2 3 2 2 2 2 2" xfId="31910" xr:uid="{00000000-0005-0000-0000-00008F280000}"/>
    <cellStyle name="20 % - Markeringsfarve4 2 2 3 2 2 2 2 3" xfId="46874" xr:uid="{00000000-0005-0000-0000-000090280000}"/>
    <cellStyle name="20 % - Markeringsfarve4 2 2 3 2 2 2 3" xfId="24888" xr:uid="{00000000-0005-0000-0000-000091280000}"/>
    <cellStyle name="20 % - Markeringsfarve4 2 2 3 2 2 2 4" xfId="39875" xr:uid="{00000000-0005-0000-0000-000092280000}"/>
    <cellStyle name="20 % - Markeringsfarve4 2 2 3 2 2 3" xfId="10951" xr:uid="{00000000-0005-0000-0000-000093280000}"/>
    <cellStyle name="20 % - Markeringsfarve4 2 2 3 2 2 3 2" xfId="27271" xr:uid="{00000000-0005-0000-0000-000094280000}"/>
    <cellStyle name="20 % - Markeringsfarve4 2 2 3 2 2 3 3" xfId="42237" xr:uid="{00000000-0005-0000-0000-000095280000}"/>
    <cellStyle name="20 % - Markeringsfarve4 2 2 3 2 2 4" xfId="20249" xr:uid="{00000000-0005-0000-0000-000096280000}"/>
    <cellStyle name="20 % - Markeringsfarve4 2 2 3 2 2 5" xfId="35238" xr:uid="{00000000-0005-0000-0000-000097280000}"/>
    <cellStyle name="20 % - Markeringsfarve4 2 2 3 2 3" xfId="6257" xr:uid="{00000000-0005-0000-0000-000098280000}"/>
    <cellStyle name="20 % - Markeringsfarve4 2 2 3 2 3 2" xfId="14175" xr:uid="{00000000-0005-0000-0000-000099280000}"/>
    <cellStyle name="20 % - Markeringsfarve4 2 2 3 2 3 2 2" xfId="30490" xr:uid="{00000000-0005-0000-0000-00009A280000}"/>
    <cellStyle name="20 % - Markeringsfarve4 2 2 3 2 3 2 3" xfId="45454" xr:uid="{00000000-0005-0000-0000-00009B280000}"/>
    <cellStyle name="20 % - Markeringsfarve4 2 2 3 2 3 3" xfId="23468" xr:uid="{00000000-0005-0000-0000-00009C280000}"/>
    <cellStyle name="20 % - Markeringsfarve4 2 2 3 2 3 4" xfId="38455" xr:uid="{00000000-0005-0000-0000-00009D280000}"/>
    <cellStyle name="20 % - Markeringsfarve4 2 2 3 2 4" xfId="10950" xr:uid="{00000000-0005-0000-0000-00009E280000}"/>
    <cellStyle name="20 % - Markeringsfarve4 2 2 3 2 4 2" xfId="27270" xr:uid="{00000000-0005-0000-0000-00009F280000}"/>
    <cellStyle name="20 % - Markeringsfarve4 2 2 3 2 4 3" xfId="42236" xr:uid="{00000000-0005-0000-0000-0000A0280000}"/>
    <cellStyle name="20 % - Markeringsfarve4 2 2 3 2 5" xfId="20248" xr:uid="{00000000-0005-0000-0000-0000A1280000}"/>
    <cellStyle name="20 % - Markeringsfarve4 2 2 3 2 6" xfId="35237" xr:uid="{00000000-0005-0000-0000-0000A2280000}"/>
    <cellStyle name="20 % - Markeringsfarve4 2 2 3 3" xfId="2392" xr:uid="{00000000-0005-0000-0000-0000A3280000}"/>
    <cellStyle name="20 % - Markeringsfarve4 2 2 3 3 2" xfId="6923" xr:uid="{00000000-0005-0000-0000-0000A4280000}"/>
    <cellStyle name="20 % - Markeringsfarve4 2 2 3 3 2 2" xfId="14835" xr:uid="{00000000-0005-0000-0000-0000A5280000}"/>
    <cellStyle name="20 % - Markeringsfarve4 2 2 3 3 2 2 2" xfId="31150" xr:uid="{00000000-0005-0000-0000-0000A6280000}"/>
    <cellStyle name="20 % - Markeringsfarve4 2 2 3 3 2 2 3" xfId="46114" xr:uid="{00000000-0005-0000-0000-0000A7280000}"/>
    <cellStyle name="20 % - Markeringsfarve4 2 2 3 3 2 3" xfId="24128" xr:uid="{00000000-0005-0000-0000-0000A8280000}"/>
    <cellStyle name="20 % - Markeringsfarve4 2 2 3 3 2 4" xfId="39115" xr:uid="{00000000-0005-0000-0000-0000A9280000}"/>
    <cellStyle name="20 % - Markeringsfarve4 2 2 3 3 3" xfId="10952" xr:uid="{00000000-0005-0000-0000-0000AA280000}"/>
    <cellStyle name="20 % - Markeringsfarve4 2 2 3 3 3 2" xfId="27272" xr:uid="{00000000-0005-0000-0000-0000AB280000}"/>
    <cellStyle name="20 % - Markeringsfarve4 2 2 3 3 3 3" xfId="42238" xr:uid="{00000000-0005-0000-0000-0000AC280000}"/>
    <cellStyle name="20 % - Markeringsfarve4 2 2 3 3 4" xfId="20250" xr:uid="{00000000-0005-0000-0000-0000AD280000}"/>
    <cellStyle name="20 % - Markeringsfarve4 2 2 3 3 5" xfId="35239" xr:uid="{00000000-0005-0000-0000-0000AE280000}"/>
    <cellStyle name="20 % - Markeringsfarve4 2 2 3 4" xfId="2393" xr:uid="{00000000-0005-0000-0000-0000AF280000}"/>
    <cellStyle name="20 % - Markeringsfarve4 2 2 3 4 2" xfId="8502" xr:uid="{00000000-0005-0000-0000-0000B0280000}"/>
    <cellStyle name="20 % - Markeringsfarve4 2 2 3 4 2 2" xfId="16390" xr:uid="{00000000-0005-0000-0000-0000B1280000}"/>
    <cellStyle name="20 % - Markeringsfarve4 2 2 3 4 2 2 2" xfId="32705" xr:uid="{00000000-0005-0000-0000-0000B2280000}"/>
    <cellStyle name="20 % - Markeringsfarve4 2 2 3 4 2 2 3" xfId="47669" xr:uid="{00000000-0005-0000-0000-0000B3280000}"/>
    <cellStyle name="20 % - Markeringsfarve4 2 2 3 4 2 3" xfId="25683" xr:uid="{00000000-0005-0000-0000-0000B4280000}"/>
    <cellStyle name="20 % - Markeringsfarve4 2 2 3 4 2 4" xfId="40670" xr:uid="{00000000-0005-0000-0000-0000B5280000}"/>
    <cellStyle name="20 % - Markeringsfarve4 2 2 3 4 3" xfId="10953" xr:uid="{00000000-0005-0000-0000-0000B6280000}"/>
    <cellStyle name="20 % - Markeringsfarve4 2 2 3 4 3 2" xfId="27273" xr:uid="{00000000-0005-0000-0000-0000B7280000}"/>
    <cellStyle name="20 % - Markeringsfarve4 2 2 3 4 3 3" xfId="42239" xr:uid="{00000000-0005-0000-0000-0000B8280000}"/>
    <cellStyle name="20 % - Markeringsfarve4 2 2 3 4 4" xfId="20251" xr:uid="{00000000-0005-0000-0000-0000B9280000}"/>
    <cellStyle name="20 % - Markeringsfarve4 2 2 3 4 5" xfId="35240" xr:uid="{00000000-0005-0000-0000-0000BA280000}"/>
    <cellStyle name="20 % - Markeringsfarve4 2 2 3 5" xfId="5523" xr:uid="{00000000-0005-0000-0000-0000BB280000}"/>
    <cellStyle name="20 % - Markeringsfarve4 2 2 3 5 2" xfId="13442" xr:uid="{00000000-0005-0000-0000-0000BC280000}"/>
    <cellStyle name="20 % - Markeringsfarve4 2 2 3 5 2 2" xfId="29757" xr:uid="{00000000-0005-0000-0000-0000BD280000}"/>
    <cellStyle name="20 % - Markeringsfarve4 2 2 3 5 2 3" xfId="44721" xr:uid="{00000000-0005-0000-0000-0000BE280000}"/>
    <cellStyle name="20 % - Markeringsfarve4 2 2 3 5 3" xfId="22735" xr:uid="{00000000-0005-0000-0000-0000BF280000}"/>
    <cellStyle name="20 % - Markeringsfarve4 2 2 3 5 4" xfId="37722" xr:uid="{00000000-0005-0000-0000-0000C0280000}"/>
    <cellStyle name="20 % - Markeringsfarve4 2 2 3 6" xfId="10949" xr:uid="{00000000-0005-0000-0000-0000C1280000}"/>
    <cellStyle name="20 % - Markeringsfarve4 2 2 3 6 2" xfId="27269" xr:uid="{00000000-0005-0000-0000-0000C2280000}"/>
    <cellStyle name="20 % - Markeringsfarve4 2 2 3 6 3" xfId="42235" xr:uid="{00000000-0005-0000-0000-0000C3280000}"/>
    <cellStyle name="20 % - Markeringsfarve4 2 2 3 7" xfId="20247" xr:uid="{00000000-0005-0000-0000-0000C4280000}"/>
    <cellStyle name="20 % - Markeringsfarve4 2 2 3 8" xfId="35236" xr:uid="{00000000-0005-0000-0000-0000C5280000}"/>
    <cellStyle name="20 % - Markeringsfarve4 2 2 3 9" xfId="56483" xr:uid="{00000000-0005-0000-0000-0000C6280000}"/>
    <cellStyle name="20 % - Markeringsfarve4 2 2 4" xfId="2394" xr:uid="{00000000-0005-0000-0000-0000C7280000}"/>
    <cellStyle name="20 % - Markeringsfarve4 2 2 4 2" xfId="2395" xr:uid="{00000000-0005-0000-0000-0000C8280000}"/>
    <cellStyle name="20 % - Markeringsfarve4 2 2 4 2 2" xfId="2396" xr:uid="{00000000-0005-0000-0000-0000C9280000}"/>
    <cellStyle name="20 % - Markeringsfarve4 2 2 4 2 2 2" xfId="7856" xr:uid="{00000000-0005-0000-0000-0000CA280000}"/>
    <cellStyle name="20 % - Markeringsfarve4 2 2 4 2 2 2 2" xfId="15758" xr:uid="{00000000-0005-0000-0000-0000CB280000}"/>
    <cellStyle name="20 % - Markeringsfarve4 2 2 4 2 2 2 2 2" xfId="32073" xr:uid="{00000000-0005-0000-0000-0000CC280000}"/>
    <cellStyle name="20 % - Markeringsfarve4 2 2 4 2 2 2 2 3" xfId="47037" xr:uid="{00000000-0005-0000-0000-0000CD280000}"/>
    <cellStyle name="20 % - Markeringsfarve4 2 2 4 2 2 2 3" xfId="25051" xr:uid="{00000000-0005-0000-0000-0000CE280000}"/>
    <cellStyle name="20 % - Markeringsfarve4 2 2 4 2 2 2 4" xfId="40038" xr:uid="{00000000-0005-0000-0000-0000CF280000}"/>
    <cellStyle name="20 % - Markeringsfarve4 2 2 4 2 2 3" xfId="10956" xr:uid="{00000000-0005-0000-0000-0000D0280000}"/>
    <cellStyle name="20 % - Markeringsfarve4 2 2 4 2 2 3 2" xfId="27276" xr:uid="{00000000-0005-0000-0000-0000D1280000}"/>
    <cellStyle name="20 % - Markeringsfarve4 2 2 4 2 2 3 3" xfId="42242" xr:uid="{00000000-0005-0000-0000-0000D2280000}"/>
    <cellStyle name="20 % - Markeringsfarve4 2 2 4 2 2 4" xfId="20254" xr:uid="{00000000-0005-0000-0000-0000D3280000}"/>
    <cellStyle name="20 % - Markeringsfarve4 2 2 4 2 2 5" xfId="35243" xr:uid="{00000000-0005-0000-0000-0000D4280000}"/>
    <cellStyle name="20 % - Markeringsfarve4 2 2 4 2 3" xfId="6392" xr:uid="{00000000-0005-0000-0000-0000D5280000}"/>
    <cellStyle name="20 % - Markeringsfarve4 2 2 4 2 3 2" xfId="14307" xr:uid="{00000000-0005-0000-0000-0000D6280000}"/>
    <cellStyle name="20 % - Markeringsfarve4 2 2 4 2 3 2 2" xfId="30622" xr:uid="{00000000-0005-0000-0000-0000D7280000}"/>
    <cellStyle name="20 % - Markeringsfarve4 2 2 4 2 3 2 3" xfId="45586" xr:uid="{00000000-0005-0000-0000-0000D8280000}"/>
    <cellStyle name="20 % - Markeringsfarve4 2 2 4 2 3 3" xfId="23600" xr:uid="{00000000-0005-0000-0000-0000D9280000}"/>
    <cellStyle name="20 % - Markeringsfarve4 2 2 4 2 3 4" xfId="38587" xr:uid="{00000000-0005-0000-0000-0000DA280000}"/>
    <cellStyle name="20 % - Markeringsfarve4 2 2 4 2 4" xfId="10955" xr:uid="{00000000-0005-0000-0000-0000DB280000}"/>
    <cellStyle name="20 % - Markeringsfarve4 2 2 4 2 4 2" xfId="27275" xr:uid="{00000000-0005-0000-0000-0000DC280000}"/>
    <cellStyle name="20 % - Markeringsfarve4 2 2 4 2 4 3" xfId="42241" xr:uid="{00000000-0005-0000-0000-0000DD280000}"/>
    <cellStyle name="20 % - Markeringsfarve4 2 2 4 2 5" xfId="20253" xr:uid="{00000000-0005-0000-0000-0000DE280000}"/>
    <cellStyle name="20 % - Markeringsfarve4 2 2 4 2 6" xfId="35242" xr:uid="{00000000-0005-0000-0000-0000DF280000}"/>
    <cellStyle name="20 % - Markeringsfarve4 2 2 4 3" xfId="2397" xr:uid="{00000000-0005-0000-0000-0000E0280000}"/>
    <cellStyle name="20 % - Markeringsfarve4 2 2 4 3 2" xfId="7132" xr:uid="{00000000-0005-0000-0000-0000E1280000}"/>
    <cellStyle name="20 % - Markeringsfarve4 2 2 4 3 2 2" xfId="15043" xr:uid="{00000000-0005-0000-0000-0000E2280000}"/>
    <cellStyle name="20 % - Markeringsfarve4 2 2 4 3 2 2 2" xfId="31358" xr:uid="{00000000-0005-0000-0000-0000E3280000}"/>
    <cellStyle name="20 % - Markeringsfarve4 2 2 4 3 2 2 3" xfId="46322" xr:uid="{00000000-0005-0000-0000-0000E4280000}"/>
    <cellStyle name="20 % - Markeringsfarve4 2 2 4 3 2 3" xfId="24336" xr:uid="{00000000-0005-0000-0000-0000E5280000}"/>
    <cellStyle name="20 % - Markeringsfarve4 2 2 4 3 2 4" xfId="39323" xr:uid="{00000000-0005-0000-0000-0000E6280000}"/>
    <cellStyle name="20 % - Markeringsfarve4 2 2 4 3 3" xfId="10957" xr:uid="{00000000-0005-0000-0000-0000E7280000}"/>
    <cellStyle name="20 % - Markeringsfarve4 2 2 4 3 3 2" xfId="27277" xr:uid="{00000000-0005-0000-0000-0000E8280000}"/>
    <cellStyle name="20 % - Markeringsfarve4 2 2 4 3 3 3" xfId="42243" xr:uid="{00000000-0005-0000-0000-0000E9280000}"/>
    <cellStyle name="20 % - Markeringsfarve4 2 2 4 3 4" xfId="20255" xr:uid="{00000000-0005-0000-0000-0000EA280000}"/>
    <cellStyle name="20 % - Markeringsfarve4 2 2 4 3 5" xfId="35244" xr:uid="{00000000-0005-0000-0000-0000EB280000}"/>
    <cellStyle name="20 % - Markeringsfarve4 2 2 4 4" xfId="2398" xr:uid="{00000000-0005-0000-0000-0000EC280000}"/>
    <cellStyle name="20 % - Markeringsfarve4 2 2 4 4 2" xfId="8728" xr:uid="{00000000-0005-0000-0000-0000ED280000}"/>
    <cellStyle name="20 % - Markeringsfarve4 2 2 4 4 2 2" xfId="16605" xr:uid="{00000000-0005-0000-0000-0000EE280000}"/>
    <cellStyle name="20 % - Markeringsfarve4 2 2 4 4 2 2 2" xfId="32920" xr:uid="{00000000-0005-0000-0000-0000EF280000}"/>
    <cellStyle name="20 % - Markeringsfarve4 2 2 4 4 2 2 3" xfId="47884" xr:uid="{00000000-0005-0000-0000-0000F0280000}"/>
    <cellStyle name="20 % - Markeringsfarve4 2 2 4 4 2 3" xfId="25898" xr:uid="{00000000-0005-0000-0000-0000F1280000}"/>
    <cellStyle name="20 % - Markeringsfarve4 2 2 4 4 2 4" xfId="40885" xr:uid="{00000000-0005-0000-0000-0000F2280000}"/>
    <cellStyle name="20 % - Markeringsfarve4 2 2 4 4 3" xfId="10958" xr:uid="{00000000-0005-0000-0000-0000F3280000}"/>
    <cellStyle name="20 % - Markeringsfarve4 2 2 4 4 3 2" xfId="27278" xr:uid="{00000000-0005-0000-0000-0000F4280000}"/>
    <cellStyle name="20 % - Markeringsfarve4 2 2 4 4 3 3" xfId="42244" xr:uid="{00000000-0005-0000-0000-0000F5280000}"/>
    <cellStyle name="20 % - Markeringsfarve4 2 2 4 4 4" xfId="20256" xr:uid="{00000000-0005-0000-0000-0000F6280000}"/>
    <cellStyle name="20 % - Markeringsfarve4 2 2 4 4 5" xfId="35245" xr:uid="{00000000-0005-0000-0000-0000F7280000}"/>
    <cellStyle name="20 % - Markeringsfarve4 2 2 4 5" xfId="5524" xr:uid="{00000000-0005-0000-0000-0000F8280000}"/>
    <cellStyle name="20 % - Markeringsfarve4 2 2 4 5 2" xfId="13443" xr:uid="{00000000-0005-0000-0000-0000F9280000}"/>
    <cellStyle name="20 % - Markeringsfarve4 2 2 4 5 2 2" xfId="29758" xr:uid="{00000000-0005-0000-0000-0000FA280000}"/>
    <cellStyle name="20 % - Markeringsfarve4 2 2 4 5 2 3" xfId="44722" xr:uid="{00000000-0005-0000-0000-0000FB280000}"/>
    <cellStyle name="20 % - Markeringsfarve4 2 2 4 5 3" xfId="22736" xr:uid="{00000000-0005-0000-0000-0000FC280000}"/>
    <cellStyle name="20 % - Markeringsfarve4 2 2 4 5 4" xfId="37723" xr:uid="{00000000-0005-0000-0000-0000FD280000}"/>
    <cellStyle name="20 % - Markeringsfarve4 2 2 4 6" xfId="10954" xr:uid="{00000000-0005-0000-0000-0000FE280000}"/>
    <cellStyle name="20 % - Markeringsfarve4 2 2 4 6 2" xfId="27274" xr:uid="{00000000-0005-0000-0000-0000FF280000}"/>
    <cellStyle name="20 % - Markeringsfarve4 2 2 4 6 3" xfId="42240" xr:uid="{00000000-0005-0000-0000-000000290000}"/>
    <cellStyle name="20 % - Markeringsfarve4 2 2 4 7" xfId="20252" xr:uid="{00000000-0005-0000-0000-000001290000}"/>
    <cellStyle name="20 % - Markeringsfarve4 2 2 4 8" xfId="35241" xr:uid="{00000000-0005-0000-0000-000002290000}"/>
    <cellStyle name="20 % - Markeringsfarve4 2 2 5" xfId="2399" xr:uid="{00000000-0005-0000-0000-000003290000}"/>
    <cellStyle name="20 % - Markeringsfarve4 2 2 5 2" xfId="2400" xr:uid="{00000000-0005-0000-0000-000004290000}"/>
    <cellStyle name="20 % - Markeringsfarve4 2 2 5 2 2" xfId="2401" xr:uid="{00000000-0005-0000-0000-000005290000}"/>
    <cellStyle name="20 % - Markeringsfarve4 2 2 5 2 2 2" xfId="7973" xr:uid="{00000000-0005-0000-0000-000006290000}"/>
    <cellStyle name="20 % - Markeringsfarve4 2 2 5 2 2 2 2" xfId="15875" xr:uid="{00000000-0005-0000-0000-000007290000}"/>
    <cellStyle name="20 % - Markeringsfarve4 2 2 5 2 2 2 2 2" xfId="32190" xr:uid="{00000000-0005-0000-0000-000008290000}"/>
    <cellStyle name="20 % - Markeringsfarve4 2 2 5 2 2 2 2 3" xfId="47154" xr:uid="{00000000-0005-0000-0000-000009290000}"/>
    <cellStyle name="20 % - Markeringsfarve4 2 2 5 2 2 2 3" xfId="25168" xr:uid="{00000000-0005-0000-0000-00000A290000}"/>
    <cellStyle name="20 % - Markeringsfarve4 2 2 5 2 2 2 4" xfId="40155" xr:uid="{00000000-0005-0000-0000-00000B290000}"/>
    <cellStyle name="20 % - Markeringsfarve4 2 2 5 2 2 3" xfId="10961" xr:uid="{00000000-0005-0000-0000-00000C290000}"/>
    <cellStyle name="20 % - Markeringsfarve4 2 2 5 2 2 3 2" xfId="27281" xr:uid="{00000000-0005-0000-0000-00000D290000}"/>
    <cellStyle name="20 % - Markeringsfarve4 2 2 5 2 2 3 3" xfId="42247" xr:uid="{00000000-0005-0000-0000-00000E290000}"/>
    <cellStyle name="20 % - Markeringsfarve4 2 2 5 2 2 4" xfId="20259" xr:uid="{00000000-0005-0000-0000-00000F290000}"/>
    <cellStyle name="20 % - Markeringsfarve4 2 2 5 2 2 5" xfId="35248" xr:uid="{00000000-0005-0000-0000-000010290000}"/>
    <cellStyle name="20 % - Markeringsfarve4 2 2 5 2 3" xfId="6491" xr:uid="{00000000-0005-0000-0000-000011290000}"/>
    <cellStyle name="20 % - Markeringsfarve4 2 2 5 2 3 2" xfId="14406" xr:uid="{00000000-0005-0000-0000-000012290000}"/>
    <cellStyle name="20 % - Markeringsfarve4 2 2 5 2 3 2 2" xfId="30721" xr:uid="{00000000-0005-0000-0000-000013290000}"/>
    <cellStyle name="20 % - Markeringsfarve4 2 2 5 2 3 2 3" xfId="45685" xr:uid="{00000000-0005-0000-0000-000014290000}"/>
    <cellStyle name="20 % - Markeringsfarve4 2 2 5 2 3 3" xfId="23699" xr:uid="{00000000-0005-0000-0000-000015290000}"/>
    <cellStyle name="20 % - Markeringsfarve4 2 2 5 2 3 4" xfId="38686" xr:uid="{00000000-0005-0000-0000-000016290000}"/>
    <cellStyle name="20 % - Markeringsfarve4 2 2 5 2 4" xfId="10960" xr:uid="{00000000-0005-0000-0000-000017290000}"/>
    <cellStyle name="20 % - Markeringsfarve4 2 2 5 2 4 2" xfId="27280" xr:uid="{00000000-0005-0000-0000-000018290000}"/>
    <cellStyle name="20 % - Markeringsfarve4 2 2 5 2 4 3" xfId="42246" xr:uid="{00000000-0005-0000-0000-000019290000}"/>
    <cellStyle name="20 % - Markeringsfarve4 2 2 5 2 5" xfId="20258" xr:uid="{00000000-0005-0000-0000-00001A290000}"/>
    <cellStyle name="20 % - Markeringsfarve4 2 2 5 2 6" xfId="35247" xr:uid="{00000000-0005-0000-0000-00001B290000}"/>
    <cellStyle name="20 % - Markeringsfarve4 2 2 5 3" xfId="2402" xr:uid="{00000000-0005-0000-0000-00001C290000}"/>
    <cellStyle name="20 % - Markeringsfarve4 2 2 5 3 2" xfId="7249" xr:uid="{00000000-0005-0000-0000-00001D290000}"/>
    <cellStyle name="20 % - Markeringsfarve4 2 2 5 3 2 2" xfId="15160" xr:uid="{00000000-0005-0000-0000-00001E290000}"/>
    <cellStyle name="20 % - Markeringsfarve4 2 2 5 3 2 2 2" xfId="31475" xr:uid="{00000000-0005-0000-0000-00001F290000}"/>
    <cellStyle name="20 % - Markeringsfarve4 2 2 5 3 2 2 3" xfId="46439" xr:uid="{00000000-0005-0000-0000-000020290000}"/>
    <cellStyle name="20 % - Markeringsfarve4 2 2 5 3 2 3" xfId="24453" xr:uid="{00000000-0005-0000-0000-000021290000}"/>
    <cellStyle name="20 % - Markeringsfarve4 2 2 5 3 2 4" xfId="39440" xr:uid="{00000000-0005-0000-0000-000022290000}"/>
    <cellStyle name="20 % - Markeringsfarve4 2 2 5 3 3" xfId="10962" xr:uid="{00000000-0005-0000-0000-000023290000}"/>
    <cellStyle name="20 % - Markeringsfarve4 2 2 5 3 3 2" xfId="27282" xr:uid="{00000000-0005-0000-0000-000024290000}"/>
    <cellStyle name="20 % - Markeringsfarve4 2 2 5 3 3 3" xfId="42248" xr:uid="{00000000-0005-0000-0000-000025290000}"/>
    <cellStyle name="20 % - Markeringsfarve4 2 2 5 3 4" xfId="20260" xr:uid="{00000000-0005-0000-0000-000026290000}"/>
    <cellStyle name="20 % - Markeringsfarve4 2 2 5 3 5" xfId="35249" xr:uid="{00000000-0005-0000-0000-000027290000}"/>
    <cellStyle name="20 % - Markeringsfarve4 2 2 5 4" xfId="2403" xr:uid="{00000000-0005-0000-0000-000028290000}"/>
    <cellStyle name="20 % - Markeringsfarve4 2 2 5 4 2" xfId="8448" xr:uid="{00000000-0005-0000-0000-000029290000}"/>
    <cellStyle name="20 % - Markeringsfarve4 2 2 5 4 2 2" xfId="16338" xr:uid="{00000000-0005-0000-0000-00002A290000}"/>
    <cellStyle name="20 % - Markeringsfarve4 2 2 5 4 2 2 2" xfId="32653" xr:uid="{00000000-0005-0000-0000-00002B290000}"/>
    <cellStyle name="20 % - Markeringsfarve4 2 2 5 4 2 2 3" xfId="47617" xr:uid="{00000000-0005-0000-0000-00002C290000}"/>
    <cellStyle name="20 % - Markeringsfarve4 2 2 5 4 2 3" xfId="25631" xr:uid="{00000000-0005-0000-0000-00002D290000}"/>
    <cellStyle name="20 % - Markeringsfarve4 2 2 5 4 2 4" xfId="40618" xr:uid="{00000000-0005-0000-0000-00002E290000}"/>
    <cellStyle name="20 % - Markeringsfarve4 2 2 5 4 3" xfId="10963" xr:uid="{00000000-0005-0000-0000-00002F290000}"/>
    <cellStyle name="20 % - Markeringsfarve4 2 2 5 4 3 2" xfId="27283" xr:uid="{00000000-0005-0000-0000-000030290000}"/>
    <cellStyle name="20 % - Markeringsfarve4 2 2 5 4 3 3" xfId="42249" xr:uid="{00000000-0005-0000-0000-000031290000}"/>
    <cellStyle name="20 % - Markeringsfarve4 2 2 5 4 4" xfId="20261" xr:uid="{00000000-0005-0000-0000-000032290000}"/>
    <cellStyle name="20 % - Markeringsfarve4 2 2 5 4 5" xfId="35250" xr:uid="{00000000-0005-0000-0000-000033290000}"/>
    <cellStyle name="20 % - Markeringsfarve4 2 2 5 5" xfId="5525" xr:uid="{00000000-0005-0000-0000-000034290000}"/>
    <cellStyle name="20 % - Markeringsfarve4 2 2 5 5 2" xfId="13444" xr:uid="{00000000-0005-0000-0000-000035290000}"/>
    <cellStyle name="20 % - Markeringsfarve4 2 2 5 5 2 2" xfId="29759" xr:uid="{00000000-0005-0000-0000-000036290000}"/>
    <cellStyle name="20 % - Markeringsfarve4 2 2 5 5 2 3" xfId="44723" xr:uid="{00000000-0005-0000-0000-000037290000}"/>
    <cellStyle name="20 % - Markeringsfarve4 2 2 5 5 3" xfId="22737" xr:uid="{00000000-0005-0000-0000-000038290000}"/>
    <cellStyle name="20 % - Markeringsfarve4 2 2 5 5 4" xfId="37724" xr:uid="{00000000-0005-0000-0000-000039290000}"/>
    <cellStyle name="20 % - Markeringsfarve4 2 2 5 6" xfId="10959" xr:uid="{00000000-0005-0000-0000-00003A290000}"/>
    <cellStyle name="20 % - Markeringsfarve4 2 2 5 6 2" xfId="27279" xr:uid="{00000000-0005-0000-0000-00003B290000}"/>
    <cellStyle name="20 % - Markeringsfarve4 2 2 5 6 3" xfId="42245" xr:uid="{00000000-0005-0000-0000-00003C290000}"/>
    <cellStyle name="20 % - Markeringsfarve4 2 2 5 7" xfId="20257" xr:uid="{00000000-0005-0000-0000-00003D290000}"/>
    <cellStyle name="20 % - Markeringsfarve4 2 2 5 8" xfId="35246" xr:uid="{00000000-0005-0000-0000-00003E290000}"/>
    <cellStyle name="20 % - Markeringsfarve4 2 2 6" xfId="2404" xr:uid="{00000000-0005-0000-0000-00003F290000}"/>
    <cellStyle name="20 % - Markeringsfarve4 2 2 6 2" xfId="2405" xr:uid="{00000000-0005-0000-0000-000040290000}"/>
    <cellStyle name="20 % - Markeringsfarve4 2 2 6 2 2" xfId="2406" xr:uid="{00000000-0005-0000-0000-000041290000}"/>
    <cellStyle name="20 % - Markeringsfarve4 2 2 6 2 2 2" xfId="8048" xr:uid="{00000000-0005-0000-0000-000042290000}"/>
    <cellStyle name="20 % - Markeringsfarve4 2 2 6 2 2 2 2" xfId="15950" xr:uid="{00000000-0005-0000-0000-000043290000}"/>
    <cellStyle name="20 % - Markeringsfarve4 2 2 6 2 2 2 2 2" xfId="32265" xr:uid="{00000000-0005-0000-0000-000044290000}"/>
    <cellStyle name="20 % - Markeringsfarve4 2 2 6 2 2 2 2 3" xfId="47229" xr:uid="{00000000-0005-0000-0000-000045290000}"/>
    <cellStyle name="20 % - Markeringsfarve4 2 2 6 2 2 2 3" xfId="25243" xr:uid="{00000000-0005-0000-0000-000046290000}"/>
    <cellStyle name="20 % - Markeringsfarve4 2 2 6 2 2 2 4" xfId="40230" xr:uid="{00000000-0005-0000-0000-000047290000}"/>
    <cellStyle name="20 % - Markeringsfarve4 2 2 6 2 2 3" xfId="10966" xr:uid="{00000000-0005-0000-0000-000048290000}"/>
    <cellStyle name="20 % - Markeringsfarve4 2 2 6 2 2 3 2" xfId="27286" xr:uid="{00000000-0005-0000-0000-000049290000}"/>
    <cellStyle name="20 % - Markeringsfarve4 2 2 6 2 2 3 3" xfId="42252" xr:uid="{00000000-0005-0000-0000-00004A290000}"/>
    <cellStyle name="20 % - Markeringsfarve4 2 2 6 2 2 4" xfId="20264" xr:uid="{00000000-0005-0000-0000-00004B290000}"/>
    <cellStyle name="20 % - Markeringsfarve4 2 2 6 2 2 5" xfId="35253" xr:uid="{00000000-0005-0000-0000-00004C290000}"/>
    <cellStyle name="20 % - Markeringsfarve4 2 2 6 2 3" xfId="6559" xr:uid="{00000000-0005-0000-0000-00004D290000}"/>
    <cellStyle name="20 % - Markeringsfarve4 2 2 6 2 3 2" xfId="14474" xr:uid="{00000000-0005-0000-0000-00004E290000}"/>
    <cellStyle name="20 % - Markeringsfarve4 2 2 6 2 3 2 2" xfId="30789" xr:uid="{00000000-0005-0000-0000-00004F290000}"/>
    <cellStyle name="20 % - Markeringsfarve4 2 2 6 2 3 2 3" xfId="45753" xr:uid="{00000000-0005-0000-0000-000050290000}"/>
    <cellStyle name="20 % - Markeringsfarve4 2 2 6 2 3 3" xfId="23767" xr:uid="{00000000-0005-0000-0000-000051290000}"/>
    <cellStyle name="20 % - Markeringsfarve4 2 2 6 2 3 4" xfId="38754" xr:uid="{00000000-0005-0000-0000-000052290000}"/>
    <cellStyle name="20 % - Markeringsfarve4 2 2 6 2 4" xfId="10965" xr:uid="{00000000-0005-0000-0000-000053290000}"/>
    <cellStyle name="20 % - Markeringsfarve4 2 2 6 2 4 2" xfId="27285" xr:uid="{00000000-0005-0000-0000-000054290000}"/>
    <cellStyle name="20 % - Markeringsfarve4 2 2 6 2 4 3" xfId="42251" xr:uid="{00000000-0005-0000-0000-000055290000}"/>
    <cellStyle name="20 % - Markeringsfarve4 2 2 6 2 5" xfId="20263" xr:uid="{00000000-0005-0000-0000-000056290000}"/>
    <cellStyle name="20 % - Markeringsfarve4 2 2 6 2 6" xfId="35252" xr:uid="{00000000-0005-0000-0000-000057290000}"/>
    <cellStyle name="20 % - Markeringsfarve4 2 2 6 3" xfId="2407" xr:uid="{00000000-0005-0000-0000-000058290000}"/>
    <cellStyle name="20 % - Markeringsfarve4 2 2 6 3 2" xfId="7325" xr:uid="{00000000-0005-0000-0000-000059290000}"/>
    <cellStyle name="20 % - Markeringsfarve4 2 2 6 3 2 2" xfId="15236" xr:uid="{00000000-0005-0000-0000-00005A290000}"/>
    <cellStyle name="20 % - Markeringsfarve4 2 2 6 3 2 2 2" xfId="31551" xr:uid="{00000000-0005-0000-0000-00005B290000}"/>
    <cellStyle name="20 % - Markeringsfarve4 2 2 6 3 2 2 3" xfId="46515" xr:uid="{00000000-0005-0000-0000-00005C290000}"/>
    <cellStyle name="20 % - Markeringsfarve4 2 2 6 3 2 3" xfId="24529" xr:uid="{00000000-0005-0000-0000-00005D290000}"/>
    <cellStyle name="20 % - Markeringsfarve4 2 2 6 3 2 4" xfId="39516" xr:uid="{00000000-0005-0000-0000-00005E290000}"/>
    <cellStyle name="20 % - Markeringsfarve4 2 2 6 3 3" xfId="10967" xr:uid="{00000000-0005-0000-0000-00005F290000}"/>
    <cellStyle name="20 % - Markeringsfarve4 2 2 6 3 3 2" xfId="27287" xr:uid="{00000000-0005-0000-0000-000060290000}"/>
    <cellStyle name="20 % - Markeringsfarve4 2 2 6 3 3 3" xfId="42253" xr:uid="{00000000-0005-0000-0000-000061290000}"/>
    <cellStyle name="20 % - Markeringsfarve4 2 2 6 3 4" xfId="20265" xr:uid="{00000000-0005-0000-0000-000062290000}"/>
    <cellStyle name="20 % - Markeringsfarve4 2 2 6 3 5" xfId="35254" xr:uid="{00000000-0005-0000-0000-000063290000}"/>
    <cellStyle name="20 % - Markeringsfarve4 2 2 6 4" xfId="2408" xr:uid="{00000000-0005-0000-0000-000064290000}"/>
    <cellStyle name="20 % - Markeringsfarve4 2 2 6 4 2" xfId="8675" xr:uid="{00000000-0005-0000-0000-000065290000}"/>
    <cellStyle name="20 % - Markeringsfarve4 2 2 6 4 2 2" xfId="16555" xr:uid="{00000000-0005-0000-0000-000066290000}"/>
    <cellStyle name="20 % - Markeringsfarve4 2 2 6 4 2 2 2" xfId="32870" xr:uid="{00000000-0005-0000-0000-000067290000}"/>
    <cellStyle name="20 % - Markeringsfarve4 2 2 6 4 2 2 3" xfId="47834" xr:uid="{00000000-0005-0000-0000-000068290000}"/>
    <cellStyle name="20 % - Markeringsfarve4 2 2 6 4 2 3" xfId="25848" xr:uid="{00000000-0005-0000-0000-000069290000}"/>
    <cellStyle name="20 % - Markeringsfarve4 2 2 6 4 2 4" xfId="40835" xr:uid="{00000000-0005-0000-0000-00006A290000}"/>
    <cellStyle name="20 % - Markeringsfarve4 2 2 6 4 3" xfId="10968" xr:uid="{00000000-0005-0000-0000-00006B290000}"/>
    <cellStyle name="20 % - Markeringsfarve4 2 2 6 4 3 2" xfId="27288" xr:uid="{00000000-0005-0000-0000-00006C290000}"/>
    <cellStyle name="20 % - Markeringsfarve4 2 2 6 4 3 3" xfId="42254" xr:uid="{00000000-0005-0000-0000-00006D290000}"/>
    <cellStyle name="20 % - Markeringsfarve4 2 2 6 4 4" xfId="20266" xr:uid="{00000000-0005-0000-0000-00006E290000}"/>
    <cellStyle name="20 % - Markeringsfarve4 2 2 6 4 5" xfId="35255" xr:uid="{00000000-0005-0000-0000-00006F290000}"/>
    <cellStyle name="20 % - Markeringsfarve4 2 2 6 5" xfId="5526" xr:uid="{00000000-0005-0000-0000-000070290000}"/>
    <cellStyle name="20 % - Markeringsfarve4 2 2 6 5 2" xfId="13445" xr:uid="{00000000-0005-0000-0000-000071290000}"/>
    <cellStyle name="20 % - Markeringsfarve4 2 2 6 5 2 2" xfId="29760" xr:uid="{00000000-0005-0000-0000-000072290000}"/>
    <cellStyle name="20 % - Markeringsfarve4 2 2 6 5 2 3" xfId="44724" xr:uid="{00000000-0005-0000-0000-000073290000}"/>
    <cellStyle name="20 % - Markeringsfarve4 2 2 6 5 3" xfId="22738" xr:uid="{00000000-0005-0000-0000-000074290000}"/>
    <cellStyle name="20 % - Markeringsfarve4 2 2 6 5 4" xfId="37725" xr:uid="{00000000-0005-0000-0000-000075290000}"/>
    <cellStyle name="20 % - Markeringsfarve4 2 2 6 6" xfId="10964" xr:uid="{00000000-0005-0000-0000-000076290000}"/>
    <cellStyle name="20 % - Markeringsfarve4 2 2 6 6 2" xfId="27284" xr:uid="{00000000-0005-0000-0000-000077290000}"/>
    <cellStyle name="20 % - Markeringsfarve4 2 2 6 6 3" xfId="42250" xr:uid="{00000000-0005-0000-0000-000078290000}"/>
    <cellStyle name="20 % - Markeringsfarve4 2 2 6 7" xfId="20262" xr:uid="{00000000-0005-0000-0000-000079290000}"/>
    <cellStyle name="20 % - Markeringsfarve4 2 2 6 8" xfId="35251" xr:uid="{00000000-0005-0000-0000-00007A290000}"/>
    <cellStyle name="20 % - Markeringsfarve4 2 2 7" xfId="2409" xr:uid="{00000000-0005-0000-0000-00007B290000}"/>
    <cellStyle name="20 % - Markeringsfarve4 2 2 7 2" xfId="2410" xr:uid="{00000000-0005-0000-0000-00007C290000}"/>
    <cellStyle name="20 % - Markeringsfarve4 2 2 7 2 2" xfId="7499" xr:uid="{00000000-0005-0000-0000-00007D290000}"/>
    <cellStyle name="20 % - Markeringsfarve4 2 2 7 2 2 2" xfId="15401" xr:uid="{00000000-0005-0000-0000-00007E290000}"/>
    <cellStyle name="20 % - Markeringsfarve4 2 2 7 2 2 2 2" xfId="31716" xr:uid="{00000000-0005-0000-0000-00007F290000}"/>
    <cellStyle name="20 % - Markeringsfarve4 2 2 7 2 2 2 3" xfId="46680" xr:uid="{00000000-0005-0000-0000-000080290000}"/>
    <cellStyle name="20 % - Markeringsfarve4 2 2 7 2 2 3" xfId="24694" xr:uid="{00000000-0005-0000-0000-000081290000}"/>
    <cellStyle name="20 % - Markeringsfarve4 2 2 7 2 2 4" xfId="39681" xr:uid="{00000000-0005-0000-0000-000082290000}"/>
    <cellStyle name="20 % - Markeringsfarve4 2 2 7 2 3" xfId="10970" xr:uid="{00000000-0005-0000-0000-000083290000}"/>
    <cellStyle name="20 % - Markeringsfarve4 2 2 7 2 3 2" xfId="27290" xr:uid="{00000000-0005-0000-0000-000084290000}"/>
    <cellStyle name="20 % - Markeringsfarve4 2 2 7 2 3 3" xfId="42256" xr:uid="{00000000-0005-0000-0000-000085290000}"/>
    <cellStyle name="20 % - Markeringsfarve4 2 2 7 2 4" xfId="20268" xr:uid="{00000000-0005-0000-0000-000086290000}"/>
    <cellStyle name="20 % - Markeringsfarve4 2 2 7 2 5" xfId="35257" xr:uid="{00000000-0005-0000-0000-000087290000}"/>
    <cellStyle name="20 % - Markeringsfarve4 2 2 7 3" xfId="6091" xr:uid="{00000000-0005-0000-0000-000088290000}"/>
    <cellStyle name="20 % - Markeringsfarve4 2 2 7 3 2" xfId="14009" xr:uid="{00000000-0005-0000-0000-000089290000}"/>
    <cellStyle name="20 % - Markeringsfarve4 2 2 7 3 2 2" xfId="30324" xr:uid="{00000000-0005-0000-0000-00008A290000}"/>
    <cellStyle name="20 % - Markeringsfarve4 2 2 7 3 2 3" xfId="45288" xr:uid="{00000000-0005-0000-0000-00008B290000}"/>
    <cellStyle name="20 % - Markeringsfarve4 2 2 7 3 3" xfId="23302" xr:uid="{00000000-0005-0000-0000-00008C290000}"/>
    <cellStyle name="20 % - Markeringsfarve4 2 2 7 3 4" xfId="38289" xr:uid="{00000000-0005-0000-0000-00008D290000}"/>
    <cellStyle name="20 % - Markeringsfarve4 2 2 7 4" xfId="10969" xr:uid="{00000000-0005-0000-0000-00008E290000}"/>
    <cellStyle name="20 % - Markeringsfarve4 2 2 7 4 2" xfId="27289" xr:uid="{00000000-0005-0000-0000-00008F290000}"/>
    <cellStyle name="20 % - Markeringsfarve4 2 2 7 4 3" xfId="42255" xr:uid="{00000000-0005-0000-0000-000090290000}"/>
    <cellStyle name="20 % - Markeringsfarve4 2 2 7 5" xfId="20267" xr:uid="{00000000-0005-0000-0000-000091290000}"/>
    <cellStyle name="20 % - Markeringsfarve4 2 2 7 6" xfId="35256" xr:uid="{00000000-0005-0000-0000-000092290000}"/>
    <cellStyle name="20 % - Markeringsfarve4 2 2 8" xfId="2411" xr:uid="{00000000-0005-0000-0000-000093290000}"/>
    <cellStyle name="20 % - Markeringsfarve4 2 2 8 2" xfId="6727" xr:uid="{00000000-0005-0000-0000-000094290000}"/>
    <cellStyle name="20 % - Markeringsfarve4 2 2 8 2 2" xfId="14639" xr:uid="{00000000-0005-0000-0000-000095290000}"/>
    <cellStyle name="20 % - Markeringsfarve4 2 2 8 2 2 2" xfId="30954" xr:uid="{00000000-0005-0000-0000-000096290000}"/>
    <cellStyle name="20 % - Markeringsfarve4 2 2 8 2 2 3" xfId="45918" xr:uid="{00000000-0005-0000-0000-000097290000}"/>
    <cellStyle name="20 % - Markeringsfarve4 2 2 8 2 3" xfId="23932" xr:uid="{00000000-0005-0000-0000-000098290000}"/>
    <cellStyle name="20 % - Markeringsfarve4 2 2 8 2 4" xfId="38919" xr:uid="{00000000-0005-0000-0000-000099290000}"/>
    <cellStyle name="20 % - Markeringsfarve4 2 2 8 3" xfId="10971" xr:uid="{00000000-0005-0000-0000-00009A290000}"/>
    <cellStyle name="20 % - Markeringsfarve4 2 2 8 3 2" xfId="27291" xr:uid="{00000000-0005-0000-0000-00009B290000}"/>
    <cellStyle name="20 % - Markeringsfarve4 2 2 8 3 3" xfId="42257" xr:uid="{00000000-0005-0000-0000-00009C290000}"/>
    <cellStyle name="20 % - Markeringsfarve4 2 2 8 4" xfId="20269" xr:uid="{00000000-0005-0000-0000-00009D290000}"/>
    <cellStyle name="20 % - Markeringsfarve4 2 2 8 5" xfId="35258" xr:uid="{00000000-0005-0000-0000-00009E290000}"/>
    <cellStyle name="20 % - Markeringsfarve4 2 2 9" xfId="2412" xr:uid="{00000000-0005-0000-0000-00009F290000}"/>
    <cellStyle name="20 % - Markeringsfarve4 2 2 9 2" xfId="8516" xr:uid="{00000000-0005-0000-0000-0000A0290000}"/>
    <cellStyle name="20 % - Markeringsfarve4 2 2 9 2 2" xfId="16404" xr:uid="{00000000-0005-0000-0000-0000A1290000}"/>
    <cellStyle name="20 % - Markeringsfarve4 2 2 9 2 2 2" xfId="32719" xr:uid="{00000000-0005-0000-0000-0000A2290000}"/>
    <cellStyle name="20 % - Markeringsfarve4 2 2 9 2 2 3" xfId="47683" xr:uid="{00000000-0005-0000-0000-0000A3290000}"/>
    <cellStyle name="20 % - Markeringsfarve4 2 2 9 2 3" xfId="25697" xr:uid="{00000000-0005-0000-0000-0000A4290000}"/>
    <cellStyle name="20 % - Markeringsfarve4 2 2 9 2 4" xfId="40684" xr:uid="{00000000-0005-0000-0000-0000A5290000}"/>
    <cellStyle name="20 % - Markeringsfarve4 2 2 9 3" xfId="10972" xr:uid="{00000000-0005-0000-0000-0000A6290000}"/>
    <cellStyle name="20 % - Markeringsfarve4 2 2 9 3 2" xfId="27292" xr:uid="{00000000-0005-0000-0000-0000A7290000}"/>
    <cellStyle name="20 % - Markeringsfarve4 2 2 9 3 3" xfId="42258" xr:uid="{00000000-0005-0000-0000-0000A8290000}"/>
    <cellStyle name="20 % - Markeringsfarve4 2 2 9 4" xfId="20270" xr:uid="{00000000-0005-0000-0000-0000A9290000}"/>
    <cellStyle name="20 % - Markeringsfarve4 2 2 9 5" xfId="35259" xr:uid="{00000000-0005-0000-0000-0000AA290000}"/>
    <cellStyle name="20 % - Markeringsfarve4 2 3" xfId="2413" xr:uid="{00000000-0005-0000-0000-0000AB290000}"/>
    <cellStyle name="20 % - Markeringsfarve4 2 3 10" xfId="5527" xr:uid="{00000000-0005-0000-0000-0000AC290000}"/>
    <cellStyle name="20 % - Markeringsfarve4 2 3 10 2" xfId="13446" xr:uid="{00000000-0005-0000-0000-0000AD290000}"/>
    <cellStyle name="20 % - Markeringsfarve4 2 3 10 2 2" xfId="29761" xr:uid="{00000000-0005-0000-0000-0000AE290000}"/>
    <cellStyle name="20 % - Markeringsfarve4 2 3 10 2 3" xfId="44725" xr:uid="{00000000-0005-0000-0000-0000AF290000}"/>
    <cellStyle name="20 % - Markeringsfarve4 2 3 10 3" xfId="22739" xr:uid="{00000000-0005-0000-0000-0000B0290000}"/>
    <cellStyle name="20 % - Markeringsfarve4 2 3 10 4" xfId="37726" xr:uid="{00000000-0005-0000-0000-0000B1290000}"/>
    <cellStyle name="20 % - Markeringsfarve4 2 3 11" xfId="10973" xr:uid="{00000000-0005-0000-0000-0000B2290000}"/>
    <cellStyle name="20 % - Markeringsfarve4 2 3 11 2" xfId="27293" xr:uid="{00000000-0005-0000-0000-0000B3290000}"/>
    <cellStyle name="20 % - Markeringsfarve4 2 3 11 3" xfId="42259" xr:uid="{00000000-0005-0000-0000-0000B4290000}"/>
    <cellStyle name="20 % - Markeringsfarve4 2 3 12" xfId="20271" xr:uid="{00000000-0005-0000-0000-0000B5290000}"/>
    <cellStyle name="20 % - Markeringsfarve4 2 3 13" xfId="35260" xr:uid="{00000000-0005-0000-0000-0000B6290000}"/>
    <cellStyle name="20 % - Markeringsfarve4 2 3 14" xfId="53301" xr:uid="{00000000-0005-0000-0000-0000B7290000}"/>
    <cellStyle name="20 % - Markeringsfarve4 2 3 2" xfId="2414" xr:uid="{00000000-0005-0000-0000-0000B8290000}"/>
    <cellStyle name="20 % - Markeringsfarve4 2 3 2 2" xfId="2415" xr:uid="{00000000-0005-0000-0000-0000B9290000}"/>
    <cellStyle name="20 % - Markeringsfarve4 2 3 2 2 2" xfId="2416" xr:uid="{00000000-0005-0000-0000-0000BA290000}"/>
    <cellStyle name="20 % - Markeringsfarve4 2 3 2 2 2 2" xfId="7657" xr:uid="{00000000-0005-0000-0000-0000BB290000}"/>
    <cellStyle name="20 % - Markeringsfarve4 2 3 2 2 2 2 2" xfId="15559" xr:uid="{00000000-0005-0000-0000-0000BC290000}"/>
    <cellStyle name="20 % - Markeringsfarve4 2 3 2 2 2 2 2 2" xfId="31874" xr:uid="{00000000-0005-0000-0000-0000BD290000}"/>
    <cellStyle name="20 % - Markeringsfarve4 2 3 2 2 2 2 2 3" xfId="46838" xr:uid="{00000000-0005-0000-0000-0000BE290000}"/>
    <cellStyle name="20 % - Markeringsfarve4 2 3 2 2 2 2 3" xfId="24852" xr:uid="{00000000-0005-0000-0000-0000BF290000}"/>
    <cellStyle name="20 % - Markeringsfarve4 2 3 2 2 2 2 4" xfId="39839" xr:uid="{00000000-0005-0000-0000-0000C0290000}"/>
    <cellStyle name="20 % - Markeringsfarve4 2 3 2 2 2 3" xfId="10976" xr:uid="{00000000-0005-0000-0000-0000C1290000}"/>
    <cellStyle name="20 % - Markeringsfarve4 2 3 2 2 2 3 2" xfId="27296" xr:uid="{00000000-0005-0000-0000-0000C2290000}"/>
    <cellStyle name="20 % - Markeringsfarve4 2 3 2 2 2 3 3" xfId="42262" xr:uid="{00000000-0005-0000-0000-0000C3290000}"/>
    <cellStyle name="20 % - Markeringsfarve4 2 3 2 2 2 4" xfId="20274" xr:uid="{00000000-0005-0000-0000-0000C4290000}"/>
    <cellStyle name="20 % - Markeringsfarve4 2 3 2 2 2 5" xfId="35263" xr:uid="{00000000-0005-0000-0000-0000C5290000}"/>
    <cellStyle name="20 % - Markeringsfarve4 2 3 2 2 3" xfId="6223" xr:uid="{00000000-0005-0000-0000-0000C6290000}"/>
    <cellStyle name="20 % - Markeringsfarve4 2 3 2 2 3 2" xfId="14141" xr:uid="{00000000-0005-0000-0000-0000C7290000}"/>
    <cellStyle name="20 % - Markeringsfarve4 2 3 2 2 3 2 2" xfId="30456" xr:uid="{00000000-0005-0000-0000-0000C8290000}"/>
    <cellStyle name="20 % - Markeringsfarve4 2 3 2 2 3 2 3" xfId="45420" xr:uid="{00000000-0005-0000-0000-0000C9290000}"/>
    <cellStyle name="20 % - Markeringsfarve4 2 3 2 2 3 3" xfId="23434" xr:uid="{00000000-0005-0000-0000-0000CA290000}"/>
    <cellStyle name="20 % - Markeringsfarve4 2 3 2 2 3 4" xfId="38421" xr:uid="{00000000-0005-0000-0000-0000CB290000}"/>
    <cellStyle name="20 % - Markeringsfarve4 2 3 2 2 4" xfId="10975" xr:uid="{00000000-0005-0000-0000-0000CC290000}"/>
    <cellStyle name="20 % - Markeringsfarve4 2 3 2 2 4 2" xfId="27295" xr:uid="{00000000-0005-0000-0000-0000CD290000}"/>
    <cellStyle name="20 % - Markeringsfarve4 2 3 2 2 4 3" xfId="42261" xr:uid="{00000000-0005-0000-0000-0000CE290000}"/>
    <cellStyle name="20 % - Markeringsfarve4 2 3 2 2 5" xfId="20273" xr:uid="{00000000-0005-0000-0000-0000CF290000}"/>
    <cellStyle name="20 % - Markeringsfarve4 2 3 2 2 6" xfId="35262" xr:uid="{00000000-0005-0000-0000-0000D0290000}"/>
    <cellStyle name="20 % - Markeringsfarve4 2 3 2 2 7" xfId="57105" xr:uid="{00000000-0005-0000-0000-0000D1290000}"/>
    <cellStyle name="20 % - Markeringsfarve4 2 3 2 3" xfId="2417" xr:uid="{00000000-0005-0000-0000-0000D2290000}"/>
    <cellStyle name="20 % - Markeringsfarve4 2 3 2 3 2" xfId="6887" xr:uid="{00000000-0005-0000-0000-0000D3290000}"/>
    <cellStyle name="20 % - Markeringsfarve4 2 3 2 3 2 2" xfId="14799" xr:uid="{00000000-0005-0000-0000-0000D4290000}"/>
    <cellStyle name="20 % - Markeringsfarve4 2 3 2 3 2 2 2" xfId="31114" xr:uid="{00000000-0005-0000-0000-0000D5290000}"/>
    <cellStyle name="20 % - Markeringsfarve4 2 3 2 3 2 2 3" xfId="46078" xr:uid="{00000000-0005-0000-0000-0000D6290000}"/>
    <cellStyle name="20 % - Markeringsfarve4 2 3 2 3 2 3" xfId="24092" xr:uid="{00000000-0005-0000-0000-0000D7290000}"/>
    <cellStyle name="20 % - Markeringsfarve4 2 3 2 3 2 4" xfId="39079" xr:uid="{00000000-0005-0000-0000-0000D8290000}"/>
    <cellStyle name="20 % - Markeringsfarve4 2 3 2 3 3" xfId="10977" xr:uid="{00000000-0005-0000-0000-0000D9290000}"/>
    <cellStyle name="20 % - Markeringsfarve4 2 3 2 3 3 2" xfId="27297" xr:uid="{00000000-0005-0000-0000-0000DA290000}"/>
    <cellStyle name="20 % - Markeringsfarve4 2 3 2 3 3 3" xfId="42263" xr:uid="{00000000-0005-0000-0000-0000DB290000}"/>
    <cellStyle name="20 % - Markeringsfarve4 2 3 2 3 4" xfId="20275" xr:uid="{00000000-0005-0000-0000-0000DC290000}"/>
    <cellStyle name="20 % - Markeringsfarve4 2 3 2 3 5" xfId="35264" xr:uid="{00000000-0005-0000-0000-0000DD290000}"/>
    <cellStyle name="20 % - Markeringsfarve4 2 3 2 4" xfId="2418" xr:uid="{00000000-0005-0000-0000-0000DE290000}"/>
    <cellStyle name="20 % - Markeringsfarve4 2 3 2 4 2" xfId="8634" xr:uid="{00000000-0005-0000-0000-0000DF290000}"/>
    <cellStyle name="20 % - Markeringsfarve4 2 3 2 4 2 2" xfId="16516" xr:uid="{00000000-0005-0000-0000-0000E0290000}"/>
    <cellStyle name="20 % - Markeringsfarve4 2 3 2 4 2 2 2" xfId="32831" xr:uid="{00000000-0005-0000-0000-0000E1290000}"/>
    <cellStyle name="20 % - Markeringsfarve4 2 3 2 4 2 2 3" xfId="47795" xr:uid="{00000000-0005-0000-0000-0000E2290000}"/>
    <cellStyle name="20 % - Markeringsfarve4 2 3 2 4 2 3" xfId="25809" xr:uid="{00000000-0005-0000-0000-0000E3290000}"/>
    <cellStyle name="20 % - Markeringsfarve4 2 3 2 4 2 4" xfId="40796" xr:uid="{00000000-0005-0000-0000-0000E4290000}"/>
    <cellStyle name="20 % - Markeringsfarve4 2 3 2 4 3" xfId="10978" xr:uid="{00000000-0005-0000-0000-0000E5290000}"/>
    <cellStyle name="20 % - Markeringsfarve4 2 3 2 4 3 2" xfId="27298" xr:uid="{00000000-0005-0000-0000-0000E6290000}"/>
    <cellStyle name="20 % - Markeringsfarve4 2 3 2 4 3 3" xfId="42264" xr:uid="{00000000-0005-0000-0000-0000E7290000}"/>
    <cellStyle name="20 % - Markeringsfarve4 2 3 2 4 4" xfId="20276" xr:uid="{00000000-0005-0000-0000-0000E8290000}"/>
    <cellStyle name="20 % - Markeringsfarve4 2 3 2 4 5" xfId="35265" xr:uid="{00000000-0005-0000-0000-0000E9290000}"/>
    <cellStyle name="20 % - Markeringsfarve4 2 3 2 5" xfId="5528" xr:uid="{00000000-0005-0000-0000-0000EA290000}"/>
    <cellStyle name="20 % - Markeringsfarve4 2 3 2 5 2" xfId="13447" xr:uid="{00000000-0005-0000-0000-0000EB290000}"/>
    <cellStyle name="20 % - Markeringsfarve4 2 3 2 5 2 2" xfId="29762" xr:uid="{00000000-0005-0000-0000-0000EC290000}"/>
    <cellStyle name="20 % - Markeringsfarve4 2 3 2 5 2 3" xfId="44726" xr:uid="{00000000-0005-0000-0000-0000ED290000}"/>
    <cellStyle name="20 % - Markeringsfarve4 2 3 2 5 3" xfId="22740" xr:uid="{00000000-0005-0000-0000-0000EE290000}"/>
    <cellStyle name="20 % - Markeringsfarve4 2 3 2 5 4" xfId="37727" xr:uid="{00000000-0005-0000-0000-0000EF290000}"/>
    <cellStyle name="20 % - Markeringsfarve4 2 3 2 6" xfId="10974" xr:uid="{00000000-0005-0000-0000-0000F0290000}"/>
    <cellStyle name="20 % - Markeringsfarve4 2 3 2 6 2" xfId="27294" xr:uid="{00000000-0005-0000-0000-0000F1290000}"/>
    <cellStyle name="20 % - Markeringsfarve4 2 3 2 6 3" xfId="42260" xr:uid="{00000000-0005-0000-0000-0000F2290000}"/>
    <cellStyle name="20 % - Markeringsfarve4 2 3 2 7" xfId="20272" xr:uid="{00000000-0005-0000-0000-0000F3290000}"/>
    <cellStyle name="20 % - Markeringsfarve4 2 3 2 8" xfId="35261" xr:uid="{00000000-0005-0000-0000-0000F4290000}"/>
    <cellStyle name="20 % - Markeringsfarve4 2 3 2 9" xfId="53938" xr:uid="{00000000-0005-0000-0000-0000F5290000}"/>
    <cellStyle name="20 % - Markeringsfarve4 2 3 3" xfId="2419" xr:uid="{00000000-0005-0000-0000-0000F6290000}"/>
    <cellStyle name="20 % - Markeringsfarve4 2 3 3 2" xfId="2420" xr:uid="{00000000-0005-0000-0000-0000F7290000}"/>
    <cellStyle name="20 % - Markeringsfarve4 2 3 3 2 2" xfId="2421" xr:uid="{00000000-0005-0000-0000-0000F8290000}"/>
    <cellStyle name="20 % - Markeringsfarve4 2 3 3 2 2 2" xfId="7694" xr:uid="{00000000-0005-0000-0000-0000F9290000}"/>
    <cellStyle name="20 % - Markeringsfarve4 2 3 3 2 2 2 2" xfId="15596" xr:uid="{00000000-0005-0000-0000-0000FA290000}"/>
    <cellStyle name="20 % - Markeringsfarve4 2 3 3 2 2 2 2 2" xfId="31911" xr:uid="{00000000-0005-0000-0000-0000FB290000}"/>
    <cellStyle name="20 % - Markeringsfarve4 2 3 3 2 2 2 2 3" xfId="46875" xr:uid="{00000000-0005-0000-0000-0000FC290000}"/>
    <cellStyle name="20 % - Markeringsfarve4 2 3 3 2 2 2 3" xfId="24889" xr:uid="{00000000-0005-0000-0000-0000FD290000}"/>
    <cellStyle name="20 % - Markeringsfarve4 2 3 3 2 2 2 4" xfId="39876" xr:uid="{00000000-0005-0000-0000-0000FE290000}"/>
    <cellStyle name="20 % - Markeringsfarve4 2 3 3 2 2 3" xfId="10981" xr:uid="{00000000-0005-0000-0000-0000FF290000}"/>
    <cellStyle name="20 % - Markeringsfarve4 2 3 3 2 2 3 2" xfId="27301" xr:uid="{00000000-0005-0000-0000-0000002A0000}"/>
    <cellStyle name="20 % - Markeringsfarve4 2 3 3 2 2 3 3" xfId="42267" xr:uid="{00000000-0005-0000-0000-0000012A0000}"/>
    <cellStyle name="20 % - Markeringsfarve4 2 3 3 2 2 4" xfId="20279" xr:uid="{00000000-0005-0000-0000-0000022A0000}"/>
    <cellStyle name="20 % - Markeringsfarve4 2 3 3 2 2 5" xfId="35268" xr:uid="{00000000-0005-0000-0000-0000032A0000}"/>
    <cellStyle name="20 % - Markeringsfarve4 2 3 3 2 3" xfId="6258" xr:uid="{00000000-0005-0000-0000-0000042A0000}"/>
    <cellStyle name="20 % - Markeringsfarve4 2 3 3 2 3 2" xfId="14176" xr:uid="{00000000-0005-0000-0000-0000052A0000}"/>
    <cellStyle name="20 % - Markeringsfarve4 2 3 3 2 3 2 2" xfId="30491" xr:uid="{00000000-0005-0000-0000-0000062A0000}"/>
    <cellStyle name="20 % - Markeringsfarve4 2 3 3 2 3 2 3" xfId="45455" xr:uid="{00000000-0005-0000-0000-0000072A0000}"/>
    <cellStyle name="20 % - Markeringsfarve4 2 3 3 2 3 3" xfId="23469" xr:uid="{00000000-0005-0000-0000-0000082A0000}"/>
    <cellStyle name="20 % - Markeringsfarve4 2 3 3 2 3 4" xfId="38456" xr:uid="{00000000-0005-0000-0000-0000092A0000}"/>
    <cellStyle name="20 % - Markeringsfarve4 2 3 3 2 4" xfId="10980" xr:uid="{00000000-0005-0000-0000-00000A2A0000}"/>
    <cellStyle name="20 % - Markeringsfarve4 2 3 3 2 4 2" xfId="27300" xr:uid="{00000000-0005-0000-0000-00000B2A0000}"/>
    <cellStyle name="20 % - Markeringsfarve4 2 3 3 2 4 3" xfId="42266" xr:uid="{00000000-0005-0000-0000-00000C2A0000}"/>
    <cellStyle name="20 % - Markeringsfarve4 2 3 3 2 5" xfId="20278" xr:uid="{00000000-0005-0000-0000-00000D2A0000}"/>
    <cellStyle name="20 % - Markeringsfarve4 2 3 3 2 6" xfId="35267" xr:uid="{00000000-0005-0000-0000-00000E2A0000}"/>
    <cellStyle name="20 % - Markeringsfarve4 2 3 3 3" xfId="2422" xr:uid="{00000000-0005-0000-0000-00000F2A0000}"/>
    <cellStyle name="20 % - Markeringsfarve4 2 3 3 3 2" xfId="6924" xr:uid="{00000000-0005-0000-0000-0000102A0000}"/>
    <cellStyle name="20 % - Markeringsfarve4 2 3 3 3 2 2" xfId="14836" xr:uid="{00000000-0005-0000-0000-0000112A0000}"/>
    <cellStyle name="20 % - Markeringsfarve4 2 3 3 3 2 2 2" xfId="31151" xr:uid="{00000000-0005-0000-0000-0000122A0000}"/>
    <cellStyle name="20 % - Markeringsfarve4 2 3 3 3 2 2 3" xfId="46115" xr:uid="{00000000-0005-0000-0000-0000132A0000}"/>
    <cellStyle name="20 % - Markeringsfarve4 2 3 3 3 2 3" xfId="24129" xr:uid="{00000000-0005-0000-0000-0000142A0000}"/>
    <cellStyle name="20 % - Markeringsfarve4 2 3 3 3 2 4" xfId="39116" xr:uid="{00000000-0005-0000-0000-0000152A0000}"/>
    <cellStyle name="20 % - Markeringsfarve4 2 3 3 3 3" xfId="10982" xr:uid="{00000000-0005-0000-0000-0000162A0000}"/>
    <cellStyle name="20 % - Markeringsfarve4 2 3 3 3 3 2" xfId="27302" xr:uid="{00000000-0005-0000-0000-0000172A0000}"/>
    <cellStyle name="20 % - Markeringsfarve4 2 3 3 3 3 3" xfId="42268" xr:uid="{00000000-0005-0000-0000-0000182A0000}"/>
    <cellStyle name="20 % - Markeringsfarve4 2 3 3 3 4" xfId="20280" xr:uid="{00000000-0005-0000-0000-0000192A0000}"/>
    <cellStyle name="20 % - Markeringsfarve4 2 3 3 3 5" xfId="35269" xr:uid="{00000000-0005-0000-0000-00001A2A0000}"/>
    <cellStyle name="20 % - Markeringsfarve4 2 3 3 4" xfId="2423" xr:uid="{00000000-0005-0000-0000-00001B2A0000}"/>
    <cellStyle name="20 % - Markeringsfarve4 2 3 3 4 2" xfId="8359" xr:uid="{00000000-0005-0000-0000-00001C2A0000}"/>
    <cellStyle name="20 % - Markeringsfarve4 2 3 3 4 2 2" xfId="16253" xr:uid="{00000000-0005-0000-0000-00001D2A0000}"/>
    <cellStyle name="20 % - Markeringsfarve4 2 3 3 4 2 2 2" xfId="32568" xr:uid="{00000000-0005-0000-0000-00001E2A0000}"/>
    <cellStyle name="20 % - Markeringsfarve4 2 3 3 4 2 2 3" xfId="47532" xr:uid="{00000000-0005-0000-0000-00001F2A0000}"/>
    <cellStyle name="20 % - Markeringsfarve4 2 3 3 4 2 3" xfId="25546" xr:uid="{00000000-0005-0000-0000-0000202A0000}"/>
    <cellStyle name="20 % - Markeringsfarve4 2 3 3 4 2 4" xfId="40533" xr:uid="{00000000-0005-0000-0000-0000212A0000}"/>
    <cellStyle name="20 % - Markeringsfarve4 2 3 3 4 3" xfId="10983" xr:uid="{00000000-0005-0000-0000-0000222A0000}"/>
    <cellStyle name="20 % - Markeringsfarve4 2 3 3 4 3 2" xfId="27303" xr:uid="{00000000-0005-0000-0000-0000232A0000}"/>
    <cellStyle name="20 % - Markeringsfarve4 2 3 3 4 3 3" xfId="42269" xr:uid="{00000000-0005-0000-0000-0000242A0000}"/>
    <cellStyle name="20 % - Markeringsfarve4 2 3 3 4 4" xfId="20281" xr:uid="{00000000-0005-0000-0000-0000252A0000}"/>
    <cellStyle name="20 % - Markeringsfarve4 2 3 3 4 5" xfId="35270" xr:uid="{00000000-0005-0000-0000-0000262A0000}"/>
    <cellStyle name="20 % - Markeringsfarve4 2 3 3 5" xfId="5529" xr:uid="{00000000-0005-0000-0000-0000272A0000}"/>
    <cellStyle name="20 % - Markeringsfarve4 2 3 3 5 2" xfId="13448" xr:uid="{00000000-0005-0000-0000-0000282A0000}"/>
    <cellStyle name="20 % - Markeringsfarve4 2 3 3 5 2 2" xfId="29763" xr:uid="{00000000-0005-0000-0000-0000292A0000}"/>
    <cellStyle name="20 % - Markeringsfarve4 2 3 3 5 2 3" xfId="44727" xr:uid="{00000000-0005-0000-0000-00002A2A0000}"/>
    <cellStyle name="20 % - Markeringsfarve4 2 3 3 5 3" xfId="22741" xr:uid="{00000000-0005-0000-0000-00002B2A0000}"/>
    <cellStyle name="20 % - Markeringsfarve4 2 3 3 5 4" xfId="37728" xr:uid="{00000000-0005-0000-0000-00002C2A0000}"/>
    <cellStyle name="20 % - Markeringsfarve4 2 3 3 6" xfId="10979" xr:uid="{00000000-0005-0000-0000-00002D2A0000}"/>
    <cellStyle name="20 % - Markeringsfarve4 2 3 3 6 2" xfId="27299" xr:uid="{00000000-0005-0000-0000-00002E2A0000}"/>
    <cellStyle name="20 % - Markeringsfarve4 2 3 3 6 3" xfId="42265" xr:uid="{00000000-0005-0000-0000-00002F2A0000}"/>
    <cellStyle name="20 % - Markeringsfarve4 2 3 3 7" xfId="20277" xr:uid="{00000000-0005-0000-0000-0000302A0000}"/>
    <cellStyle name="20 % - Markeringsfarve4 2 3 3 8" xfId="35266" xr:uid="{00000000-0005-0000-0000-0000312A0000}"/>
    <cellStyle name="20 % - Markeringsfarve4 2 3 3 9" xfId="56482" xr:uid="{00000000-0005-0000-0000-0000322A0000}"/>
    <cellStyle name="20 % - Markeringsfarve4 2 3 4" xfId="2424" xr:uid="{00000000-0005-0000-0000-0000332A0000}"/>
    <cellStyle name="20 % - Markeringsfarve4 2 3 4 2" xfId="2425" xr:uid="{00000000-0005-0000-0000-0000342A0000}"/>
    <cellStyle name="20 % - Markeringsfarve4 2 3 4 2 2" xfId="2426" xr:uid="{00000000-0005-0000-0000-0000352A0000}"/>
    <cellStyle name="20 % - Markeringsfarve4 2 3 4 2 2 2" xfId="7895" xr:uid="{00000000-0005-0000-0000-0000362A0000}"/>
    <cellStyle name="20 % - Markeringsfarve4 2 3 4 2 2 2 2" xfId="15797" xr:uid="{00000000-0005-0000-0000-0000372A0000}"/>
    <cellStyle name="20 % - Markeringsfarve4 2 3 4 2 2 2 2 2" xfId="32112" xr:uid="{00000000-0005-0000-0000-0000382A0000}"/>
    <cellStyle name="20 % - Markeringsfarve4 2 3 4 2 2 2 2 3" xfId="47076" xr:uid="{00000000-0005-0000-0000-0000392A0000}"/>
    <cellStyle name="20 % - Markeringsfarve4 2 3 4 2 2 2 3" xfId="25090" xr:uid="{00000000-0005-0000-0000-00003A2A0000}"/>
    <cellStyle name="20 % - Markeringsfarve4 2 3 4 2 2 2 4" xfId="40077" xr:uid="{00000000-0005-0000-0000-00003B2A0000}"/>
    <cellStyle name="20 % - Markeringsfarve4 2 3 4 2 2 3" xfId="10986" xr:uid="{00000000-0005-0000-0000-00003C2A0000}"/>
    <cellStyle name="20 % - Markeringsfarve4 2 3 4 2 2 3 2" xfId="27306" xr:uid="{00000000-0005-0000-0000-00003D2A0000}"/>
    <cellStyle name="20 % - Markeringsfarve4 2 3 4 2 2 3 3" xfId="42272" xr:uid="{00000000-0005-0000-0000-00003E2A0000}"/>
    <cellStyle name="20 % - Markeringsfarve4 2 3 4 2 2 4" xfId="20284" xr:uid="{00000000-0005-0000-0000-00003F2A0000}"/>
    <cellStyle name="20 % - Markeringsfarve4 2 3 4 2 2 5" xfId="35273" xr:uid="{00000000-0005-0000-0000-0000402A0000}"/>
    <cellStyle name="20 % - Markeringsfarve4 2 3 4 2 3" xfId="6425" xr:uid="{00000000-0005-0000-0000-0000412A0000}"/>
    <cellStyle name="20 % - Markeringsfarve4 2 3 4 2 3 2" xfId="14340" xr:uid="{00000000-0005-0000-0000-0000422A0000}"/>
    <cellStyle name="20 % - Markeringsfarve4 2 3 4 2 3 2 2" xfId="30655" xr:uid="{00000000-0005-0000-0000-0000432A0000}"/>
    <cellStyle name="20 % - Markeringsfarve4 2 3 4 2 3 2 3" xfId="45619" xr:uid="{00000000-0005-0000-0000-0000442A0000}"/>
    <cellStyle name="20 % - Markeringsfarve4 2 3 4 2 3 3" xfId="23633" xr:uid="{00000000-0005-0000-0000-0000452A0000}"/>
    <cellStyle name="20 % - Markeringsfarve4 2 3 4 2 3 4" xfId="38620" xr:uid="{00000000-0005-0000-0000-0000462A0000}"/>
    <cellStyle name="20 % - Markeringsfarve4 2 3 4 2 4" xfId="10985" xr:uid="{00000000-0005-0000-0000-0000472A0000}"/>
    <cellStyle name="20 % - Markeringsfarve4 2 3 4 2 4 2" xfId="27305" xr:uid="{00000000-0005-0000-0000-0000482A0000}"/>
    <cellStyle name="20 % - Markeringsfarve4 2 3 4 2 4 3" xfId="42271" xr:uid="{00000000-0005-0000-0000-0000492A0000}"/>
    <cellStyle name="20 % - Markeringsfarve4 2 3 4 2 5" xfId="20283" xr:uid="{00000000-0005-0000-0000-00004A2A0000}"/>
    <cellStyle name="20 % - Markeringsfarve4 2 3 4 2 6" xfId="35272" xr:uid="{00000000-0005-0000-0000-00004B2A0000}"/>
    <cellStyle name="20 % - Markeringsfarve4 2 3 4 3" xfId="2427" xr:uid="{00000000-0005-0000-0000-00004C2A0000}"/>
    <cellStyle name="20 % - Markeringsfarve4 2 3 4 3 2" xfId="7171" xr:uid="{00000000-0005-0000-0000-00004D2A0000}"/>
    <cellStyle name="20 % - Markeringsfarve4 2 3 4 3 2 2" xfId="15082" xr:uid="{00000000-0005-0000-0000-00004E2A0000}"/>
    <cellStyle name="20 % - Markeringsfarve4 2 3 4 3 2 2 2" xfId="31397" xr:uid="{00000000-0005-0000-0000-00004F2A0000}"/>
    <cellStyle name="20 % - Markeringsfarve4 2 3 4 3 2 2 3" xfId="46361" xr:uid="{00000000-0005-0000-0000-0000502A0000}"/>
    <cellStyle name="20 % - Markeringsfarve4 2 3 4 3 2 3" xfId="24375" xr:uid="{00000000-0005-0000-0000-0000512A0000}"/>
    <cellStyle name="20 % - Markeringsfarve4 2 3 4 3 2 4" xfId="39362" xr:uid="{00000000-0005-0000-0000-0000522A0000}"/>
    <cellStyle name="20 % - Markeringsfarve4 2 3 4 3 3" xfId="10987" xr:uid="{00000000-0005-0000-0000-0000532A0000}"/>
    <cellStyle name="20 % - Markeringsfarve4 2 3 4 3 3 2" xfId="27307" xr:uid="{00000000-0005-0000-0000-0000542A0000}"/>
    <cellStyle name="20 % - Markeringsfarve4 2 3 4 3 3 3" xfId="42273" xr:uid="{00000000-0005-0000-0000-0000552A0000}"/>
    <cellStyle name="20 % - Markeringsfarve4 2 3 4 3 4" xfId="20285" xr:uid="{00000000-0005-0000-0000-0000562A0000}"/>
    <cellStyle name="20 % - Markeringsfarve4 2 3 4 3 5" xfId="35274" xr:uid="{00000000-0005-0000-0000-0000572A0000}"/>
    <cellStyle name="20 % - Markeringsfarve4 2 3 4 4" xfId="2428" xr:uid="{00000000-0005-0000-0000-0000582A0000}"/>
    <cellStyle name="20 % - Markeringsfarve4 2 3 4 4 2" xfId="8594" xr:uid="{00000000-0005-0000-0000-0000592A0000}"/>
    <cellStyle name="20 % - Markeringsfarve4 2 3 4 4 2 2" xfId="16478" xr:uid="{00000000-0005-0000-0000-00005A2A0000}"/>
    <cellStyle name="20 % - Markeringsfarve4 2 3 4 4 2 2 2" xfId="32793" xr:uid="{00000000-0005-0000-0000-00005B2A0000}"/>
    <cellStyle name="20 % - Markeringsfarve4 2 3 4 4 2 2 3" xfId="47757" xr:uid="{00000000-0005-0000-0000-00005C2A0000}"/>
    <cellStyle name="20 % - Markeringsfarve4 2 3 4 4 2 3" xfId="25771" xr:uid="{00000000-0005-0000-0000-00005D2A0000}"/>
    <cellStyle name="20 % - Markeringsfarve4 2 3 4 4 2 4" xfId="40758" xr:uid="{00000000-0005-0000-0000-00005E2A0000}"/>
    <cellStyle name="20 % - Markeringsfarve4 2 3 4 4 3" xfId="10988" xr:uid="{00000000-0005-0000-0000-00005F2A0000}"/>
    <cellStyle name="20 % - Markeringsfarve4 2 3 4 4 3 2" xfId="27308" xr:uid="{00000000-0005-0000-0000-0000602A0000}"/>
    <cellStyle name="20 % - Markeringsfarve4 2 3 4 4 3 3" xfId="42274" xr:uid="{00000000-0005-0000-0000-0000612A0000}"/>
    <cellStyle name="20 % - Markeringsfarve4 2 3 4 4 4" xfId="20286" xr:uid="{00000000-0005-0000-0000-0000622A0000}"/>
    <cellStyle name="20 % - Markeringsfarve4 2 3 4 4 5" xfId="35275" xr:uid="{00000000-0005-0000-0000-0000632A0000}"/>
    <cellStyle name="20 % - Markeringsfarve4 2 3 4 5" xfId="5530" xr:uid="{00000000-0005-0000-0000-0000642A0000}"/>
    <cellStyle name="20 % - Markeringsfarve4 2 3 4 5 2" xfId="13449" xr:uid="{00000000-0005-0000-0000-0000652A0000}"/>
    <cellStyle name="20 % - Markeringsfarve4 2 3 4 5 2 2" xfId="29764" xr:uid="{00000000-0005-0000-0000-0000662A0000}"/>
    <cellStyle name="20 % - Markeringsfarve4 2 3 4 5 2 3" xfId="44728" xr:uid="{00000000-0005-0000-0000-0000672A0000}"/>
    <cellStyle name="20 % - Markeringsfarve4 2 3 4 5 3" xfId="22742" xr:uid="{00000000-0005-0000-0000-0000682A0000}"/>
    <cellStyle name="20 % - Markeringsfarve4 2 3 4 5 4" xfId="37729" xr:uid="{00000000-0005-0000-0000-0000692A0000}"/>
    <cellStyle name="20 % - Markeringsfarve4 2 3 4 6" xfId="10984" xr:uid="{00000000-0005-0000-0000-00006A2A0000}"/>
    <cellStyle name="20 % - Markeringsfarve4 2 3 4 6 2" xfId="27304" xr:uid="{00000000-0005-0000-0000-00006B2A0000}"/>
    <cellStyle name="20 % - Markeringsfarve4 2 3 4 6 3" xfId="42270" xr:uid="{00000000-0005-0000-0000-00006C2A0000}"/>
    <cellStyle name="20 % - Markeringsfarve4 2 3 4 7" xfId="20282" xr:uid="{00000000-0005-0000-0000-00006D2A0000}"/>
    <cellStyle name="20 % - Markeringsfarve4 2 3 4 8" xfId="35271" xr:uid="{00000000-0005-0000-0000-00006E2A0000}"/>
    <cellStyle name="20 % - Markeringsfarve4 2 3 5" xfId="2429" xr:uid="{00000000-0005-0000-0000-00006F2A0000}"/>
    <cellStyle name="20 % - Markeringsfarve4 2 3 5 2" xfId="2430" xr:uid="{00000000-0005-0000-0000-0000702A0000}"/>
    <cellStyle name="20 % - Markeringsfarve4 2 3 5 2 2" xfId="2431" xr:uid="{00000000-0005-0000-0000-0000712A0000}"/>
    <cellStyle name="20 % - Markeringsfarve4 2 3 5 2 2 2" xfId="8012" xr:uid="{00000000-0005-0000-0000-0000722A0000}"/>
    <cellStyle name="20 % - Markeringsfarve4 2 3 5 2 2 2 2" xfId="15914" xr:uid="{00000000-0005-0000-0000-0000732A0000}"/>
    <cellStyle name="20 % - Markeringsfarve4 2 3 5 2 2 2 2 2" xfId="32229" xr:uid="{00000000-0005-0000-0000-0000742A0000}"/>
    <cellStyle name="20 % - Markeringsfarve4 2 3 5 2 2 2 2 3" xfId="47193" xr:uid="{00000000-0005-0000-0000-0000752A0000}"/>
    <cellStyle name="20 % - Markeringsfarve4 2 3 5 2 2 2 3" xfId="25207" xr:uid="{00000000-0005-0000-0000-0000762A0000}"/>
    <cellStyle name="20 % - Markeringsfarve4 2 3 5 2 2 2 4" xfId="40194" xr:uid="{00000000-0005-0000-0000-0000772A0000}"/>
    <cellStyle name="20 % - Markeringsfarve4 2 3 5 2 2 3" xfId="10991" xr:uid="{00000000-0005-0000-0000-0000782A0000}"/>
    <cellStyle name="20 % - Markeringsfarve4 2 3 5 2 2 3 2" xfId="27311" xr:uid="{00000000-0005-0000-0000-0000792A0000}"/>
    <cellStyle name="20 % - Markeringsfarve4 2 3 5 2 2 3 3" xfId="42277" xr:uid="{00000000-0005-0000-0000-00007A2A0000}"/>
    <cellStyle name="20 % - Markeringsfarve4 2 3 5 2 2 4" xfId="20289" xr:uid="{00000000-0005-0000-0000-00007B2A0000}"/>
    <cellStyle name="20 % - Markeringsfarve4 2 3 5 2 2 5" xfId="35278" xr:uid="{00000000-0005-0000-0000-00007C2A0000}"/>
    <cellStyle name="20 % - Markeringsfarve4 2 3 5 2 3" xfId="6524" xr:uid="{00000000-0005-0000-0000-00007D2A0000}"/>
    <cellStyle name="20 % - Markeringsfarve4 2 3 5 2 3 2" xfId="14439" xr:uid="{00000000-0005-0000-0000-00007E2A0000}"/>
    <cellStyle name="20 % - Markeringsfarve4 2 3 5 2 3 2 2" xfId="30754" xr:uid="{00000000-0005-0000-0000-00007F2A0000}"/>
    <cellStyle name="20 % - Markeringsfarve4 2 3 5 2 3 2 3" xfId="45718" xr:uid="{00000000-0005-0000-0000-0000802A0000}"/>
    <cellStyle name="20 % - Markeringsfarve4 2 3 5 2 3 3" xfId="23732" xr:uid="{00000000-0005-0000-0000-0000812A0000}"/>
    <cellStyle name="20 % - Markeringsfarve4 2 3 5 2 3 4" xfId="38719" xr:uid="{00000000-0005-0000-0000-0000822A0000}"/>
    <cellStyle name="20 % - Markeringsfarve4 2 3 5 2 4" xfId="10990" xr:uid="{00000000-0005-0000-0000-0000832A0000}"/>
    <cellStyle name="20 % - Markeringsfarve4 2 3 5 2 4 2" xfId="27310" xr:uid="{00000000-0005-0000-0000-0000842A0000}"/>
    <cellStyle name="20 % - Markeringsfarve4 2 3 5 2 4 3" xfId="42276" xr:uid="{00000000-0005-0000-0000-0000852A0000}"/>
    <cellStyle name="20 % - Markeringsfarve4 2 3 5 2 5" xfId="20288" xr:uid="{00000000-0005-0000-0000-0000862A0000}"/>
    <cellStyle name="20 % - Markeringsfarve4 2 3 5 2 6" xfId="35277" xr:uid="{00000000-0005-0000-0000-0000872A0000}"/>
    <cellStyle name="20 % - Markeringsfarve4 2 3 5 3" xfId="2432" xr:uid="{00000000-0005-0000-0000-0000882A0000}"/>
    <cellStyle name="20 % - Markeringsfarve4 2 3 5 3 2" xfId="7288" xr:uid="{00000000-0005-0000-0000-0000892A0000}"/>
    <cellStyle name="20 % - Markeringsfarve4 2 3 5 3 2 2" xfId="15199" xr:uid="{00000000-0005-0000-0000-00008A2A0000}"/>
    <cellStyle name="20 % - Markeringsfarve4 2 3 5 3 2 2 2" xfId="31514" xr:uid="{00000000-0005-0000-0000-00008B2A0000}"/>
    <cellStyle name="20 % - Markeringsfarve4 2 3 5 3 2 2 3" xfId="46478" xr:uid="{00000000-0005-0000-0000-00008C2A0000}"/>
    <cellStyle name="20 % - Markeringsfarve4 2 3 5 3 2 3" xfId="24492" xr:uid="{00000000-0005-0000-0000-00008D2A0000}"/>
    <cellStyle name="20 % - Markeringsfarve4 2 3 5 3 2 4" xfId="39479" xr:uid="{00000000-0005-0000-0000-00008E2A0000}"/>
    <cellStyle name="20 % - Markeringsfarve4 2 3 5 3 3" xfId="10992" xr:uid="{00000000-0005-0000-0000-00008F2A0000}"/>
    <cellStyle name="20 % - Markeringsfarve4 2 3 5 3 3 2" xfId="27312" xr:uid="{00000000-0005-0000-0000-0000902A0000}"/>
    <cellStyle name="20 % - Markeringsfarve4 2 3 5 3 3 3" xfId="42278" xr:uid="{00000000-0005-0000-0000-0000912A0000}"/>
    <cellStyle name="20 % - Markeringsfarve4 2 3 5 3 4" xfId="20290" xr:uid="{00000000-0005-0000-0000-0000922A0000}"/>
    <cellStyle name="20 % - Markeringsfarve4 2 3 5 3 5" xfId="35279" xr:uid="{00000000-0005-0000-0000-0000932A0000}"/>
    <cellStyle name="20 % - Markeringsfarve4 2 3 5 4" xfId="2433" xr:uid="{00000000-0005-0000-0000-0000942A0000}"/>
    <cellStyle name="20 % - Markeringsfarve4 2 3 5 4 2" xfId="8243" xr:uid="{00000000-0005-0000-0000-0000952A0000}"/>
    <cellStyle name="20 % - Markeringsfarve4 2 3 5 4 2 2" xfId="16138" xr:uid="{00000000-0005-0000-0000-0000962A0000}"/>
    <cellStyle name="20 % - Markeringsfarve4 2 3 5 4 2 2 2" xfId="32453" xr:uid="{00000000-0005-0000-0000-0000972A0000}"/>
    <cellStyle name="20 % - Markeringsfarve4 2 3 5 4 2 2 3" xfId="47417" xr:uid="{00000000-0005-0000-0000-0000982A0000}"/>
    <cellStyle name="20 % - Markeringsfarve4 2 3 5 4 2 3" xfId="25431" xr:uid="{00000000-0005-0000-0000-0000992A0000}"/>
    <cellStyle name="20 % - Markeringsfarve4 2 3 5 4 2 4" xfId="40418" xr:uid="{00000000-0005-0000-0000-00009A2A0000}"/>
    <cellStyle name="20 % - Markeringsfarve4 2 3 5 4 3" xfId="10993" xr:uid="{00000000-0005-0000-0000-00009B2A0000}"/>
    <cellStyle name="20 % - Markeringsfarve4 2 3 5 4 3 2" xfId="27313" xr:uid="{00000000-0005-0000-0000-00009C2A0000}"/>
    <cellStyle name="20 % - Markeringsfarve4 2 3 5 4 3 3" xfId="42279" xr:uid="{00000000-0005-0000-0000-00009D2A0000}"/>
    <cellStyle name="20 % - Markeringsfarve4 2 3 5 4 4" xfId="20291" xr:uid="{00000000-0005-0000-0000-00009E2A0000}"/>
    <cellStyle name="20 % - Markeringsfarve4 2 3 5 4 5" xfId="35280" xr:uid="{00000000-0005-0000-0000-00009F2A0000}"/>
    <cellStyle name="20 % - Markeringsfarve4 2 3 5 5" xfId="5531" xr:uid="{00000000-0005-0000-0000-0000A02A0000}"/>
    <cellStyle name="20 % - Markeringsfarve4 2 3 5 5 2" xfId="13450" xr:uid="{00000000-0005-0000-0000-0000A12A0000}"/>
    <cellStyle name="20 % - Markeringsfarve4 2 3 5 5 2 2" xfId="29765" xr:uid="{00000000-0005-0000-0000-0000A22A0000}"/>
    <cellStyle name="20 % - Markeringsfarve4 2 3 5 5 2 3" xfId="44729" xr:uid="{00000000-0005-0000-0000-0000A32A0000}"/>
    <cellStyle name="20 % - Markeringsfarve4 2 3 5 5 3" xfId="22743" xr:uid="{00000000-0005-0000-0000-0000A42A0000}"/>
    <cellStyle name="20 % - Markeringsfarve4 2 3 5 5 4" xfId="37730" xr:uid="{00000000-0005-0000-0000-0000A52A0000}"/>
    <cellStyle name="20 % - Markeringsfarve4 2 3 5 6" xfId="10989" xr:uid="{00000000-0005-0000-0000-0000A62A0000}"/>
    <cellStyle name="20 % - Markeringsfarve4 2 3 5 6 2" xfId="27309" xr:uid="{00000000-0005-0000-0000-0000A72A0000}"/>
    <cellStyle name="20 % - Markeringsfarve4 2 3 5 6 3" xfId="42275" xr:uid="{00000000-0005-0000-0000-0000A82A0000}"/>
    <cellStyle name="20 % - Markeringsfarve4 2 3 5 7" xfId="20287" xr:uid="{00000000-0005-0000-0000-0000A92A0000}"/>
    <cellStyle name="20 % - Markeringsfarve4 2 3 5 8" xfId="35276" xr:uid="{00000000-0005-0000-0000-0000AA2A0000}"/>
    <cellStyle name="20 % - Markeringsfarve4 2 3 6" xfId="2434" xr:uid="{00000000-0005-0000-0000-0000AB2A0000}"/>
    <cellStyle name="20 % - Markeringsfarve4 2 3 6 2" xfId="2435" xr:uid="{00000000-0005-0000-0000-0000AC2A0000}"/>
    <cellStyle name="20 % - Markeringsfarve4 2 3 6 2 2" xfId="2436" xr:uid="{00000000-0005-0000-0000-0000AD2A0000}"/>
    <cellStyle name="20 % - Markeringsfarve4 2 3 6 2 2 2" xfId="8049" xr:uid="{00000000-0005-0000-0000-0000AE2A0000}"/>
    <cellStyle name="20 % - Markeringsfarve4 2 3 6 2 2 2 2" xfId="15951" xr:uid="{00000000-0005-0000-0000-0000AF2A0000}"/>
    <cellStyle name="20 % - Markeringsfarve4 2 3 6 2 2 2 2 2" xfId="32266" xr:uid="{00000000-0005-0000-0000-0000B02A0000}"/>
    <cellStyle name="20 % - Markeringsfarve4 2 3 6 2 2 2 2 3" xfId="47230" xr:uid="{00000000-0005-0000-0000-0000B12A0000}"/>
    <cellStyle name="20 % - Markeringsfarve4 2 3 6 2 2 2 3" xfId="25244" xr:uid="{00000000-0005-0000-0000-0000B22A0000}"/>
    <cellStyle name="20 % - Markeringsfarve4 2 3 6 2 2 2 4" xfId="40231" xr:uid="{00000000-0005-0000-0000-0000B32A0000}"/>
    <cellStyle name="20 % - Markeringsfarve4 2 3 6 2 2 3" xfId="10996" xr:uid="{00000000-0005-0000-0000-0000B42A0000}"/>
    <cellStyle name="20 % - Markeringsfarve4 2 3 6 2 2 3 2" xfId="27316" xr:uid="{00000000-0005-0000-0000-0000B52A0000}"/>
    <cellStyle name="20 % - Markeringsfarve4 2 3 6 2 2 3 3" xfId="42282" xr:uid="{00000000-0005-0000-0000-0000B62A0000}"/>
    <cellStyle name="20 % - Markeringsfarve4 2 3 6 2 2 4" xfId="20294" xr:uid="{00000000-0005-0000-0000-0000B72A0000}"/>
    <cellStyle name="20 % - Markeringsfarve4 2 3 6 2 2 5" xfId="35283" xr:uid="{00000000-0005-0000-0000-0000B82A0000}"/>
    <cellStyle name="20 % - Markeringsfarve4 2 3 6 2 3" xfId="6560" xr:uid="{00000000-0005-0000-0000-0000B92A0000}"/>
    <cellStyle name="20 % - Markeringsfarve4 2 3 6 2 3 2" xfId="14475" xr:uid="{00000000-0005-0000-0000-0000BA2A0000}"/>
    <cellStyle name="20 % - Markeringsfarve4 2 3 6 2 3 2 2" xfId="30790" xr:uid="{00000000-0005-0000-0000-0000BB2A0000}"/>
    <cellStyle name="20 % - Markeringsfarve4 2 3 6 2 3 2 3" xfId="45754" xr:uid="{00000000-0005-0000-0000-0000BC2A0000}"/>
    <cellStyle name="20 % - Markeringsfarve4 2 3 6 2 3 3" xfId="23768" xr:uid="{00000000-0005-0000-0000-0000BD2A0000}"/>
    <cellStyle name="20 % - Markeringsfarve4 2 3 6 2 3 4" xfId="38755" xr:uid="{00000000-0005-0000-0000-0000BE2A0000}"/>
    <cellStyle name="20 % - Markeringsfarve4 2 3 6 2 4" xfId="10995" xr:uid="{00000000-0005-0000-0000-0000BF2A0000}"/>
    <cellStyle name="20 % - Markeringsfarve4 2 3 6 2 4 2" xfId="27315" xr:uid="{00000000-0005-0000-0000-0000C02A0000}"/>
    <cellStyle name="20 % - Markeringsfarve4 2 3 6 2 4 3" xfId="42281" xr:uid="{00000000-0005-0000-0000-0000C12A0000}"/>
    <cellStyle name="20 % - Markeringsfarve4 2 3 6 2 5" xfId="20293" xr:uid="{00000000-0005-0000-0000-0000C22A0000}"/>
    <cellStyle name="20 % - Markeringsfarve4 2 3 6 2 6" xfId="35282" xr:uid="{00000000-0005-0000-0000-0000C32A0000}"/>
    <cellStyle name="20 % - Markeringsfarve4 2 3 6 3" xfId="2437" xr:uid="{00000000-0005-0000-0000-0000C42A0000}"/>
    <cellStyle name="20 % - Markeringsfarve4 2 3 6 3 2" xfId="7326" xr:uid="{00000000-0005-0000-0000-0000C52A0000}"/>
    <cellStyle name="20 % - Markeringsfarve4 2 3 6 3 2 2" xfId="15237" xr:uid="{00000000-0005-0000-0000-0000C62A0000}"/>
    <cellStyle name="20 % - Markeringsfarve4 2 3 6 3 2 2 2" xfId="31552" xr:uid="{00000000-0005-0000-0000-0000C72A0000}"/>
    <cellStyle name="20 % - Markeringsfarve4 2 3 6 3 2 2 3" xfId="46516" xr:uid="{00000000-0005-0000-0000-0000C82A0000}"/>
    <cellStyle name="20 % - Markeringsfarve4 2 3 6 3 2 3" xfId="24530" xr:uid="{00000000-0005-0000-0000-0000C92A0000}"/>
    <cellStyle name="20 % - Markeringsfarve4 2 3 6 3 2 4" xfId="39517" xr:uid="{00000000-0005-0000-0000-0000CA2A0000}"/>
    <cellStyle name="20 % - Markeringsfarve4 2 3 6 3 3" xfId="10997" xr:uid="{00000000-0005-0000-0000-0000CB2A0000}"/>
    <cellStyle name="20 % - Markeringsfarve4 2 3 6 3 3 2" xfId="27317" xr:uid="{00000000-0005-0000-0000-0000CC2A0000}"/>
    <cellStyle name="20 % - Markeringsfarve4 2 3 6 3 3 3" xfId="42283" xr:uid="{00000000-0005-0000-0000-0000CD2A0000}"/>
    <cellStyle name="20 % - Markeringsfarve4 2 3 6 3 4" xfId="20295" xr:uid="{00000000-0005-0000-0000-0000CE2A0000}"/>
    <cellStyle name="20 % - Markeringsfarve4 2 3 6 3 5" xfId="35284" xr:uid="{00000000-0005-0000-0000-0000CF2A0000}"/>
    <cellStyle name="20 % - Markeringsfarve4 2 3 6 4" xfId="2438" xr:uid="{00000000-0005-0000-0000-0000D02A0000}"/>
    <cellStyle name="20 % - Markeringsfarve4 2 3 6 4 2" xfId="8544" xr:uid="{00000000-0005-0000-0000-0000D12A0000}"/>
    <cellStyle name="20 % - Markeringsfarve4 2 3 6 4 2 2" xfId="16431" xr:uid="{00000000-0005-0000-0000-0000D22A0000}"/>
    <cellStyle name="20 % - Markeringsfarve4 2 3 6 4 2 2 2" xfId="32746" xr:uid="{00000000-0005-0000-0000-0000D32A0000}"/>
    <cellStyle name="20 % - Markeringsfarve4 2 3 6 4 2 2 3" xfId="47710" xr:uid="{00000000-0005-0000-0000-0000D42A0000}"/>
    <cellStyle name="20 % - Markeringsfarve4 2 3 6 4 2 3" xfId="25724" xr:uid="{00000000-0005-0000-0000-0000D52A0000}"/>
    <cellStyle name="20 % - Markeringsfarve4 2 3 6 4 2 4" xfId="40711" xr:uid="{00000000-0005-0000-0000-0000D62A0000}"/>
    <cellStyle name="20 % - Markeringsfarve4 2 3 6 4 3" xfId="10998" xr:uid="{00000000-0005-0000-0000-0000D72A0000}"/>
    <cellStyle name="20 % - Markeringsfarve4 2 3 6 4 3 2" xfId="27318" xr:uid="{00000000-0005-0000-0000-0000D82A0000}"/>
    <cellStyle name="20 % - Markeringsfarve4 2 3 6 4 3 3" xfId="42284" xr:uid="{00000000-0005-0000-0000-0000D92A0000}"/>
    <cellStyle name="20 % - Markeringsfarve4 2 3 6 4 4" xfId="20296" xr:uid="{00000000-0005-0000-0000-0000DA2A0000}"/>
    <cellStyle name="20 % - Markeringsfarve4 2 3 6 4 5" xfId="35285" xr:uid="{00000000-0005-0000-0000-0000DB2A0000}"/>
    <cellStyle name="20 % - Markeringsfarve4 2 3 6 5" xfId="5532" xr:uid="{00000000-0005-0000-0000-0000DC2A0000}"/>
    <cellStyle name="20 % - Markeringsfarve4 2 3 6 5 2" xfId="13451" xr:uid="{00000000-0005-0000-0000-0000DD2A0000}"/>
    <cellStyle name="20 % - Markeringsfarve4 2 3 6 5 2 2" xfId="29766" xr:uid="{00000000-0005-0000-0000-0000DE2A0000}"/>
    <cellStyle name="20 % - Markeringsfarve4 2 3 6 5 2 3" xfId="44730" xr:uid="{00000000-0005-0000-0000-0000DF2A0000}"/>
    <cellStyle name="20 % - Markeringsfarve4 2 3 6 5 3" xfId="22744" xr:uid="{00000000-0005-0000-0000-0000E02A0000}"/>
    <cellStyle name="20 % - Markeringsfarve4 2 3 6 5 4" xfId="37731" xr:uid="{00000000-0005-0000-0000-0000E12A0000}"/>
    <cellStyle name="20 % - Markeringsfarve4 2 3 6 6" xfId="10994" xr:uid="{00000000-0005-0000-0000-0000E22A0000}"/>
    <cellStyle name="20 % - Markeringsfarve4 2 3 6 6 2" xfId="27314" xr:uid="{00000000-0005-0000-0000-0000E32A0000}"/>
    <cellStyle name="20 % - Markeringsfarve4 2 3 6 6 3" xfId="42280" xr:uid="{00000000-0005-0000-0000-0000E42A0000}"/>
    <cellStyle name="20 % - Markeringsfarve4 2 3 6 7" xfId="20292" xr:uid="{00000000-0005-0000-0000-0000E52A0000}"/>
    <cellStyle name="20 % - Markeringsfarve4 2 3 6 8" xfId="35281" xr:uid="{00000000-0005-0000-0000-0000E62A0000}"/>
    <cellStyle name="20 % - Markeringsfarve4 2 3 7" xfId="2439" xr:uid="{00000000-0005-0000-0000-0000E72A0000}"/>
    <cellStyle name="20 % - Markeringsfarve4 2 3 7 2" xfId="2440" xr:uid="{00000000-0005-0000-0000-0000E82A0000}"/>
    <cellStyle name="20 % - Markeringsfarve4 2 3 7 2 2" xfId="7538" xr:uid="{00000000-0005-0000-0000-0000E92A0000}"/>
    <cellStyle name="20 % - Markeringsfarve4 2 3 7 2 2 2" xfId="15440" xr:uid="{00000000-0005-0000-0000-0000EA2A0000}"/>
    <cellStyle name="20 % - Markeringsfarve4 2 3 7 2 2 2 2" xfId="31755" xr:uid="{00000000-0005-0000-0000-0000EB2A0000}"/>
    <cellStyle name="20 % - Markeringsfarve4 2 3 7 2 2 2 3" xfId="46719" xr:uid="{00000000-0005-0000-0000-0000EC2A0000}"/>
    <cellStyle name="20 % - Markeringsfarve4 2 3 7 2 2 3" xfId="24733" xr:uid="{00000000-0005-0000-0000-0000ED2A0000}"/>
    <cellStyle name="20 % - Markeringsfarve4 2 3 7 2 2 4" xfId="39720" xr:uid="{00000000-0005-0000-0000-0000EE2A0000}"/>
    <cellStyle name="20 % - Markeringsfarve4 2 3 7 2 3" xfId="11000" xr:uid="{00000000-0005-0000-0000-0000EF2A0000}"/>
    <cellStyle name="20 % - Markeringsfarve4 2 3 7 2 3 2" xfId="27320" xr:uid="{00000000-0005-0000-0000-0000F02A0000}"/>
    <cellStyle name="20 % - Markeringsfarve4 2 3 7 2 3 3" xfId="42286" xr:uid="{00000000-0005-0000-0000-0000F12A0000}"/>
    <cellStyle name="20 % - Markeringsfarve4 2 3 7 2 4" xfId="20298" xr:uid="{00000000-0005-0000-0000-0000F22A0000}"/>
    <cellStyle name="20 % - Markeringsfarve4 2 3 7 2 5" xfId="35287" xr:uid="{00000000-0005-0000-0000-0000F32A0000}"/>
    <cellStyle name="20 % - Markeringsfarve4 2 3 7 3" xfId="6124" xr:uid="{00000000-0005-0000-0000-0000F42A0000}"/>
    <cellStyle name="20 % - Markeringsfarve4 2 3 7 3 2" xfId="14042" xr:uid="{00000000-0005-0000-0000-0000F52A0000}"/>
    <cellStyle name="20 % - Markeringsfarve4 2 3 7 3 2 2" xfId="30357" xr:uid="{00000000-0005-0000-0000-0000F62A0000}"/>
    <cellStyle name="20 % - Markeringsfarve4 2 3 7 3 2 3" xfId="45321" xr:uid="{00000000-0005-0000-0000-0000F72A0000}"/>
    <cellStyle name="20 % - Markeringsfarve4 2 3 7 3 3" xfId="23335" xr:uid="{00000000-0005-0000-0000-0000F82A0000}"/>
    <cellStyle name="20 % - Markeringsfarve4 2 3 7 3 4" xfId="38322" xr:uid="{00000000-0005-0000-0000-0000F92A0000}"/>
    <cellStyle name="20 % - Markeringsfarve4 2 3 7 4" xfId="10999" xr:uid="{00000000-0005-0000-0000-0000FA2A0000}"/>
    <cellStyle name="20 % - Markeringsfarve4 2 3 7 4 2" xfId="27319" xr:uid="{00000000-0005-0000-0000-0000FB2A0000}"/>
    <cellStyle name="20 % - Markeringsfarve4 2 3 7 4 3" xfId="42285" xr:uid="{00000000-0005-0000-0000-0000FC2A0000}"/>
    <cellStyle name="20 % - Markeringsfarve4 2 3 7 5" xfId="20297" xr:uid="{00000000-0005-0000-0000-0000FD2A0000}"/>
    <cellStyle name="20 % - Markeringsfarve4 2 3 7 6" xfId="35286" xr:uid="{00000000-0005-0000-0000-0000FE2A0000}"/>
    <cellStyle name="20 % - Markeringsfarve4 2 3 8" xfId="2441" xr:uid="{00000000-0005-0000-0000-0000FF2A0000}"/>
    <cellStyle name="20 % - Markeringsfarve4 2 3 8 2" xfId="6766" xr:uid="{00000000-0005-0000-0000-0000002B0000}"/>
    <cellStyle name="20 % - Markeringsfarve4 2 3 8 2 2" xfId="14678" xr:uid="{00000000-0005-0000-0000-0000012B0000}"/>
    <cellStyle name="20 % - Markeringsfarve4 2 3 8 2 2 2" xfId="30993" xr:uid="{00000000-0005-0000-0000-0000022B0000}"/>
    <cellStyle name="20 % - Markeringsfarve4 2 3 8 2 2 3" xfId="45957" xr:uid="{00000000-0005-0000-0000-0000032B0000}"/>
    <cellStyle name="20 % - Markeringsfarve4 2 3 8 2 3" xfId="23971" xr:uid="{00000000-0005-0000-0000-0000042B0000}"/>
    <cellStyle name="20 % - Markeringsfarve4 2 3 8 2 4" xfId="38958" xr:uid="{00000000-0005-0000-0000-0000052B0000}"/>
    <cellStyle name="20 % - Markeringsfarve4 2 3 8 3" xfId="11001" xr:uid="{00000000-0005-0000-0000-0000062B0000}"/>
    <cellStyle name="20 % - Markeringsfarve4 2 3 8 3 2" xfId="27321" xr:uid="{00000000-0005-0000-0000-0000072B0000}"/>
    <cellStyle name="20 % - Markeringsfarve4 2 3 8 3 3" xfId="42287" xr:uid="{00000000-0005-0000-0000-0000082B0000}"/>
    <cellStyle name="20 % - Markeringsfarve4 2 3 8 4" xfId="20299" xr:uid="{00000000-0005-0000-0000-0000092B0000}"/>
    <cellStyle name="20 % - Markeringsfarve4 2 3 8 5" xfId="35288" xr:uid="{00000000-0005-0000-0000-00000A2B0000}"/>
    <cellStyle name="20 % - Markeringsfarve4 2 3 9" xfId="2442" xr:uid="{00000000-0005-0000-0000-00000B2B0000}"/>
    <cellStyle name="20 % - Markeringsfarve4 2 3 9 2" xfId="8399" xr:uid="{00000000-0005-0000-0000-00000C2B0000}"/>
    <cellStyle name="20 % - Markeringsfarve4 2 3 9 2 2" xfId="16291" xr:uid="{00000000-0005-0000-0000-00000D2B0000}"/>
    <cellStyle name="20 % - Markeringsfarve4 2 3 9 2 2 2" xfId="32606" xr:uid="{00000000-0005-0000-0000-00000E2B0000}"/>
    <cellStyle name="20 % - Markeringsfarve4 2 3 9 2 2 3" xfId="47570" xr:uid="{00000000-0005-0000-0000-00000F2B0000}"/>
    <cellStyle name="20 % - Markeringsfarve4 2 3 9 2 3" xfId="25584" xr:uid="{00000000-0005-0000-0000-0000102B0000}"/>
    <cellStyle name="20 % - Markeringsfarve4 2 3 9 2 4" xfId="40571" xr:uid="{00000000-0005-0000-0000-0000112B0000}"/>
    <cellStyle name="20 % - Markeringsfarve4 2 3 9 3" xfId="11002" xr:uid="{00000000-0005-0000-0000-0000122B0000}"/>
    <cellStyle name="20 % - Markeringsfarve4 2 3 9 3 2" xfId="27322" xr:uid="{00000000-0005-0000-0000-0000132B0000}"/>
    <cellStyle name="20 % - Markeringsfarve4 2 3 9 3 3" xfId="42288" xr:uid="{00000000-0005-0000-0000-0000142B0000}"/>
    <cellStyle name="20 % - Markeringsfarve4 2 3 9 4" xfId="20300" xr:uid="{00000000-0005-0000-0000-0000152B0000}"/>
    <cellStyle name="20 % - Markeringsfarve4 2 3 9 5" xfId="35289" xr:uid="{00000000-0005-0000-0000-0000162B0000}"/>
    <cellStyle name="20 % - Markeringsfarve4 2 4" xfId="2443" xr:uid="{00000000-0005-0000-0000-0000172B0000}"/>
    <cellStyle name="20 % - Markeringsfarve4 2 4 2" xfId="2444" xr:uid="{00000000-0005-0000-0000-0000182B0000}"/>
    <cellStyle name="20 % - Markeringsfarve4 2 4 2 2" xfId="2445" xr:uid="{00000000-0005-0000-0000-0000192B0000}"/>
    <cellStyle name="20 % - Markeringsfarve4 2 4 2 2 2" xfId="7579" xr:uid="{00000000-0005-0000-0000-00001A2B0000}"/>
    <cellStyle name="20 % - Markeringsfarve4 2 4 2 2 2 2" xfId="15481" xr:uid="{00000000-0005-0000-0000-00001B2B0000}"/>
    <cellStyle name="20 % - Markeringsfarve4 2 4 2 2 2 2 2" xfId="31796" xr:uid="{00000000-0005-0000-0000-00001C2B0000}"/>
    <cellStyle name="20 % - Markeringsfarve4 2 4 2 2 2 2 3" xfId="46760" xr:uid="{00000000-0005-0000-0000-00001D2B0000}"/>
    <cellStyle name="20 % - Markeringsfarve4 2 4 2 2 2 3" xfId="24774" xr:uid="{00000000-0005-0000-0000-00001E2B0000}"/>
    <cellStyle name="20 % - Markeringsfarve4 2 4 2 2 2 4" xfId="39761" xr:uid="{00000000-0005-0000-0000-00001F2B0000}"/>
    <cellStyle name="20 % - Markeringsfarve4 2 4 2 2 3" xfId="11005" xr:uid="{00000000-0005-0000-0000-0000202B0000}"/>
    <cellStyle name="20 % - Markeringsfarve4 2 4 2 2 3 2" xfId="27325" xr:uid="{00000000-0005-0000-0000-0000212B0000}"/>
    <cellStyle name="20 % - Markeringsfarve4 2 4 2 2 3 3" xfId="42291" xr:uid="{00000000-0005-0000-0000-0000222B0000}"/>
    <cellStyle name="20 % - Markeringsfarve4 2 4 2 2 4" xfId="20303" xr:uid="{00000000-0005-0000-0000-0000232B0000}"/>
    <cellStyle name="20 % - Markeringsfarve4 2 4 2 2 5" xfId="35292" xr:uid="{00000000-0005-0000-0000-0000242B0000}"/>
    <cellStyle name="20 % - Markeringsfarve4 2 4 2 3" xfId="6157" xr:uid="{00000000-0005-0000-0000-0000252B0000}"/>
    <cellStyle name="20 % - Markeringsfarve4 2 4 2 3 2" xfId="14075" xr:uid="{00000000-0005-0000-0000-0000262B0000}"/>
    <cellStyle name="20 % - Markeringsfarve4 2 4 2 3 2 2" xfId="30390" xr:uid="{00000000-0005-0000-0000-0000272B0000}"/>
    <cellStyle name="20 % - Markeringsfarve4 2 4 2 3 2 3" xfId="45354" xr:uid="{00000000-0005-0000-0000-0000282B0000}"/>
    <cellStyle name="20 % - Markeringsfarve4 2 4 2 3 3" xfId="23368" xr:uid="{00000000-0005-0000-0000-0000292B0000}"/>
    <cellStyle name="20 % - Markeringsfarve4 2 4 2 3 4" xfId="38355" xr:uid="{00000000-0005-0000-0000-00002A2B0000}"/>
    <cellStyle name="20 % - Markeringsfarve4 2 4 2 4" xfId="11004" xr:uid="{00000000-0005-0000-0000-00002B2B0000}"/>
    <cellStyle name="20 % - Markeringsfarve4 2 4 2 4 2" xfId="27324" xr:uid="{00000000-0005-0000-0000-00002C2B0000}"/>
    <cellStyle name="20 % - Markeringsfarve4 2 4 2 4 3" xfId="42290" xr:uid="{00000000-0005-0000-0000-00002D2B0000}"/>
    <cellStyle name="20 % - Markeringsfarve4 2 4 2 5" xfId="20302" xr:uid="{00000000-0005-0000-0000-00002E2B0000}"/>
    <cellStyle name="20 % - Markeringsfarve4 2 4 2 6" xfId="35291" xr:uid="{00000000-0005-0000-0000-00002F2B0000}"/>
    <cellStyle name="20 % - Markeringsfarve4 2 4 2 7" xfId="57107" xr:uid="{00000000-0005-0000-0000-0000302B0000}"/>
    <cellStyle name="20 % - Markeringsfarve4 2 4 3" xfId="2446" xr:uid="{00000000-0005-0000-0000-0000312B0000}"/>
    <cellStyle name="20 % - Markeringsfarve4 2 4 3 2" xfId="6809" xr:uid="{00000000-0005-0000-0000-0000322B0000}"/>
    <cellStyle name="20 % - Markeringsfarve4 2 4 3 2 2" xfId="14721" xr:uid="{00000000-0005-0000-0000-0000332B0000}"/>
    <cellStyle name="20 % - Markeringsfarve4 2 4 3 2 2 2" xfId="31036" xr:uid="{00000000-0005-0000-0000-0000342B0000}"/>
    <cellStyle name="20 % - Markeringsfarve4 2 4 3 2 2 3" xfId="46000" xr:uid="{00000000-0005-0000-0000-0000352B0000}"/>
    <cellStyle name="20 % - Markeringsfarve4 2 4 3 2 3" xfId="24014" xr:uid="{00000000-0005-0000-0000-0000362B0000}"/>
    <cellStyle name="20 % - Markeringsfarve4 2 4 3 2 4" xfId="39001" xr:uid="{00000000-0005-0000-0000-0000372B0000}"/>
    <cellStyle name="20 % - Markeringsfarve4 2 4 3 3" xfId="11006" xr:uid="{00000000-0005-0000-0000-0000382B0000}"/>
    <cellStyle name="20 % - Markeringsfarve4 2 4 3 3 2" xfId="27326" xr:uid="{00000000-0005-0000-0000-0000392B0000}"/>
    <cellStyle name="20 % - Markeringsfarve4 2 4 3 3 3" xfId="42292" xr:uid="{00000000-0005-0000-0000-00003A2B0000}"/>
    <cellStyle name="20 % - Markeringsfarve4 2 4 3 4" xfId="20304" xr:uid="{00000000-0005-0000-0000-00003B2B0000}"/>
    <cellStyle name="20 % - Markeringsfarve4 2 4 3 5" xfId="35293" xr:uid="{00000000-0005-0000-0000-00003C2B0000}"/>
    <cellStyle name="20 % - Markeringsfarve4 2 4 4" xfId="2447" xr:uid="{00000000-0005-0000-0000-00003D2B0000}"/>
    <cellStyle name="20 % - Markeringsfarve4 2 4 4 2" xfId="8195" xr:uid="{00000000-0005-0000-0000-00003E2B0000}"/>
    <cellStyle name="20 % - Markeringsfarve4 2 4 4 2 2" xfId="16092" xr:uid="{00000000-0005-0000-0000-00003F2B0000}"/>
    <cellStyle name="20 % - Markeringsfarve4 2 4 4 2 2 2" xfId="32407" xr:uid="{00000000-0005-0000-0000-0000402B0000}"/>
    <cellStyle name="20 % - Markeringsfarve4 2 4 4 2 2 3" xfId="47371" xr:uid="{00000000-0005-0000-0000-0000412B0000}"/>
    <cellStyle name="20 % - Markeringsfarve4 2 4 4 2 3" xfId="25385" xr:uid="{00000000-0005-0000-0000-0000422B0000}"/>
    <cellStyle name="20 % - Markeringsfarve4 2 4 4 2 4" xfId="40372" xr:uid="{00000000-0005-0000-0000-0000432B0000}"/>
    <cellStyle name="20 % - Markeringsfarve4 2 4 4 3" xfId="11007" xr:uid="{00000000-0005-0000-0000-0000442B0000}"/>
    <cellStyle name="20 % - Markeringsfarve4 2 4 4 3 2" xfId="27327" xr:uid="{00000000-0005-0000-0000-0000452B0000}"/>
    <cellStyle name="20 % - Markeringsfarve4 2 4 4 3 3" xfId="42293" xr:uid="{00000000-0005-0000-0000-0000462B0000}"/>
    <cellStyle name="20 % - Markeringsfarve4 2 4 4 4" xfId="20305" xr:uid="{00000000-0005-0000-0000-0000472B0000}"/>
    <cellStyle name="20 % - Markeringsfarve4 2 4 4 5" xfId="35294" xr:uid="{00000000-0005-0000-0000-0000482B0000}"/>
    <cellStyle name="20 % - Markeringsfarve4 2 4 5" xfId="5533" xr:uid="{00000000-0005-0000-0000-0000492B0000}"/>
    <cellStyle name="20 % - Markeringsfarve4 2 4 5 2" xfId="13452" xr:uid="{00000000-0005-0000-0000-00004A2B0000}"/>
    <cellStyle name="20 % - Markeringsfarve4 2 4 5 2 2" xfId="29767" xr:uid="{00000000-0005-0000-0000-00004B2B0000}"/>
    <cellStyle name="20 % - Markeringsfarve4 2 4 5 2 3" xfId="44731" xr:uid="{00000000-0005-0000-0000-00004C2B0000}"/>
    <cellStyle name="20 % - Markeringsfarve4 2 4 5 3" xfId="22745" xr:uid="{00000000-0005-0000-0000-00004D2B0000}"/>
    <cellStyle name="20 % - Markeringsfarve4 2 4 5 4" xfId="37732" xr:uid="{00000000-0005-0000-0000-00004E2B0000}"/>
    <cellStyle name="20 % - Markeringsfarve4 2 4 6" xfId="11003" xr:uid="{00000000-0005-0000-0000-00004F2B0000}"/>
    <cellStyle name="20 % - Markeringsfarve4 2 4 6 2" xfId="27323" xr:uid="{00000000-0005-0000-0000-0000502B0000}"/>
    <cellStyle name="20 % - Markeringsfarve4 2 4 6 3" xfId="42289" xr:uid="{00000000-0005-0000-0000-0000512B0000}"/>
    <cellStyle name="20 % - Markeringsfarve4 2 4 7" xfId="20301" xr:uid="{00000000-0005-0000-0000-0000522B0000}"/>
    <cellStyle name="20 % - Markeringsfarve4 2 4 8" xfId="35290" xr:uid="{00000000-0005-0000-0000-0000532B0000}"/>
    <cellStyle name="20 % - Markeringsfarve4 2 4 9" xfId="53940" xr:uid="{00000000-0005-0000-0000-0000542B0000}"/>
    <cellStyle name="20 % - Markeringsfarve4 2 5" xfId="2448" xr:uid="{00000000-0005-0000-0000-0000552B0000}"/>
    <cellStyle name="20 % - Markeringsfarve4 2 5 2" xfId="2449" xr:uid="{00000000-0005-0000-0000-0000562B0000}"/>
    <cellStyle name="20 % - Markeringsfarve4 2 5 2 2" xfId="2450" xr:uid="{00000000-0005-0000-0000-0000572B0000}"/>
    <cellStyle name="20 % - Markeringsfarve4 2 5 2 2 2" xfId="7692" xr:uid="{00000000-0005-0000-0000-0000582B0000}"/>
    <cellStyle name="20 % - Markeringsfarve4 2 5 2 2 2 2" xfId="15594" xr:uid="{00000000-0005-0000-0000-0000592B0000}"/>
    <cellStyle name="20 % - Markeringsfarve4 2 5 2 2 2 2 2" xfId="31909" xr:uid="{00000000-0005-0000-0000-00005A2B0000}"/>
    <cellStyle name="20 % - Markeringsfarve4 2 5 2 2 2 2 3" xfId="46873" xr:uid="{00000000-0005-0000-0000-00005B2B0000}"/>
    <cellStyle name="20 % - Markeringsfarve4 2 5 2 2 2 3" xfId="24887" xr:uid="{00000000-0005-0000-0000-00005C2B0000}"/>
    <cellStyle name="20 % - Markeringsfarve4 2 5 2 2 2 4" xfId="39874" xr:uid="{00000000-0005-0000-0000-00005D2B0000}"/>
    <cellStyle name="20 % - Markeringsfarve4 2 5 2 2 3" xfId="11010" xr:uid="{00000000-0005-0000-0000-00005E2B0000}"/>
    <cellStyle name="20 % - Markeringsfarve4 2 5 2 2 3 2" xfId="27330" xr:uid="{00000000-0005-0000-0000-00005F2B0000}"/>
    <cellStyle name="20 % - Markeringsfarve4 2 5 2 2 3 3" xfId="42296" xr:uid="{00000000-0005-0000-0000-0000602B0000}"/>
    <cellStyle name="20 % - Markeringsfarve4 2 5 2 2 4" xfId="20308" xr:uid="{00000000-0005-0000-0000-0000612B0000}"/>
    <cellStyle name="20 % - Markeringsfarve4 2 5 2 2 5" xfId="35297" xr:uid="{00000000-0005-0000-0000-0000622B0000}"/>
    <cellStyle name="20 % - Markeringsfarve4 2 5 2 3" xfId="6256" xr:uid="{00000000-0005-0000-0000-0000632B0000}"/>
    <cellStyle name="20 % - Markeringsfarve4 2 5 2 3 2" xfId="14174" xr:uid="{00000000-0005-0000-0000-0000642B0000}"/>
    <cellStyle name="20 % - Markeringsfarve4 2 5 2 3 2 2" xfId="30489" xr:uid="{00000000-0005-0000-0000-0000652B0000}"/>
    <cellStyle name="20 % - Markeringsfarve4 2 5 2 3 2 3" xfId="45453" xr:uid="{00000000-0005-0000-0000-0000662B0000}"/>
    <cellStyle name="20 % - Markeringsfarve4 2 5 2 3 3" xfId="23467" xr:uid="{00000000-0005-0000-0000-0000672B0000}"/>
    <cellStyle name="20 % - Markeringsfarve4 2 5 2 3 4" xfId="38454" xr:uid="{00000000-0005-0000-0000-0000682B0000}"/>
    <cellStyle name="20 % - Markeringsfarve4 2 5 2 4" xfId="11009" xr:uid="{00000000-0005-0000-0000-0000692B0000}"/>
    <cellStyle name="20 % - Markeringsfarve4 2 5 2 4 2" xfId="27329" xr:uid="{00000000-0005-0000-0000-00006A2B0000}"/>
    <cellStyle name="20 % - Markeringsfarve4 2 5 2 4 3" xfId="42295" xr:uid="{00000000-0005-0000-0000-00006B2B0000}"/>
    <cellStyle name="20 % - Markeringsfarve4 2 5 2 5" xfId="20307" xr:uid="{00000000-0005-0000-0000-00006C2B0000}"/>
    <cellStyle name="20 % - Markeringsfarve4 2 5 2 6" xfId="35296" xr:uid="{00000000-0005-0000-0000-00006D2B0000}"/>
    <cellStyle name="20 % - Markeringsfarve4 2 5 3" xfId="2451" xr:uid="{00000000-0005-0000-0000-00006E2B0000}"/>
    <cellStyle name="20 % - Markeringsfarve4 2 5 3 2" xfId="6922" xr:uid="{00000000-0005-0000-0000-00006F2B0000}"/>
    <cellStyle name="20 % - Markeringsfarve4 2 5 3 2 2" xfId="14834" xr:uid="{00000000-0005-0000-0000-0000702B0000}"/>
    <cellStyle name="20 % - Markeringsfarve4 2 5 3 2 2 2" xfId="31149" xr:uid="{00000000-0005-0000-0000-0000712B0000}"/>
    <cellStyle name="20 % - Markeringsfarve4 2 5 3 2 2 3" xfId="46113" xr:uid="{00000000-0005-0000-0000-0000722B0000}"/>
    <cellStyle name="20 % - Markeringsfarve4 2 5 3 2 3" xfId="24127" xr:uid="{00000000-0005-0000-0000-0000732B0000}"/>
    <cellStyle name="20 % - Markeringsfarve4 2 5 3 2 4" xfId="39114" xr:uid="{00000000-0005-0000-0000-0000742B0000}"/>
    <cellStyle name="20 % - Markeringsfarve4 2 5 3 3" xfId="11011" xr:uid="{00000000-0005-0000-0000-0000752B0000}"/>
    <cellStyle name="20 % - Markeringsfarve4 2 5 3 3 2" xfId="27331" xr:uid="{00000000-0005-0000-0000-0000762B0000}"/>
    <cellStyle name="20 % - Markeringsfarve4 2 5 3 3 3" xfId="42297" xr:uid="{00000000-0005-0000-0000-0000772B0000}"/>
    <cellStyle name="20 % - Markeringsfarve4 2 5 3 4" xfId="20309" xr:uid="{00000000-0005-0000-0000-0000782B0000}"/>
    <cellStyle name="20 % - Markeringsfarve4 2 5 3 5" xfId="35298" xr:uid="{00000000-0005-0000-0000-0000792B0000}"/>
    <cellStyle name="20 % - Markeringsfarve4 2 5 4" xfId="2452" xr:uid="{00000000-0005-0000-0000-00007A2B0000}"/>
    <cellStyle name="20 % - Markeringsfarve4 2 5 4 2" xfId="8148" xr:uid="{00000000-0005-0000-0000-00007B2B0000}"/>
    <cellStyle name="20 % - Markeringsfarve4 2 5 4 2 2" xfId="16046" xr:uid="{00000000-0005-0000-0000-00007C2B0000}"/>
    <cellStyle name="20 % - Markeringsfarve4 2 5 4 2 2 2" xfId="32361" xr:uid="{00000000-0005-0000-0000-00007D2B0000}"/>
    <cellStyle name="20 % - Markeringsfarve4 2 5 4 2 2 3" xfId="47325" xr:uid="{00000000-0005-0000-0000-00007E2B0000}"/>
    <cellStyle name="20 % - Markeringsfarve4 2 5 4 2 3" xfId="25339" xr:uid="{00000000-0005-0000-0000-00007F2B0000}"/>
    <cellStyle name="20 % - Markeringsfarve4 2 5 4 2 4" xfId="40326" xr:uid="{00000000-0005-0000-0000-0000802B0000}"/>
    <cellStyle name="20 % - Markeringsfarve4 2 5 4 3" xfId="11012" xr:uid="{00000000-0005-0000-0000-0000812B0000}"/>
    <cellStyle name="20 % - Markeringsfarve4 2 5 4 3 2" xfId="27332" xr:uid="{00000000-0005-0000-0000-0000822B0000}"/>
    <cellStyle name="20 % - Markeringsfarve4 2 5 4 3 3" xfId="42298" xr:uid="{00000000-0005-0000-0000-0000832B0000}"/>
    <cellStyle name="20 % - Markeringsfarve4 2 5 4 4" xfId="20310" xr:uid="{00000000-0005-0000-0000-0000842B0000}"/>
    <cellStyle name="20 % - Markeringsfarve4 2 5 4 5" xfId="35299" xr:uid="{00000000-0005-0000-0000-0000852B0000}"/>
    <cellStyle name="20 % - Markeringsfarve4 2 5 5" xfId="5534" xr:uid="{00000000-0005-0000-0000-0000862B0000}"/>
    <cellStyle name="20 % - Markeringsfarve4 2 5 5 2" xfId="13453" xr:uid="{00000000-0005-0000-0000-0000872B0000}"/>
    <cellStyle name="20 % - Markeringsfarve4 2 5 5 2 2" xfId="29768" xr:uid="{00000000-0005-0000-0000-0000882B0000}"/>
    <cellStyle name="20 % - Markeringsfarve4 2 5 5 2 3" xfId="44732" xr:uid="{00000000-0005-0000-0000-0000892B0000}"/>
    <cellStyle name="20 % - Markeringsfarve4 2 5 5 3" xfId="22746" xr:uid="{00000000-0005-0000-0000-00008A2B0000}"/>
    <cellStyle name="20 % - Markeringsfarve4 2 5 5 4" xfId="37733" xr:uid="{00000000-0005-0000-0000-00008B2B0000}"/>
    <cellStyle name="20 % - Markeringsfarve4 2 5 6" xfId="11008" xr:uid="{00000000-0005-0000-0000-00008C2B0000}"/>
    <cellStyle name="20 % - Markeringsfarve4 2 5 6 2" xfId="27328" xr:uid="{00000000-0005-0000-0000-00008D2B0000}"/>
    <cellStyle name="20 % - Markeringsfarve4 2 5 6 3" xfId="42294" xr:uid="{00000000-0005-0000-0000-00008E2B0000}"/>
    <cellStyle name="20 % - Markeringsfarve4 2 5 7" xfId="20306" xr:uid="{00000000-0005-0000-0000-00008F2B0000}"/>
    <cellStyle name="20 % - Markeringsfarve4 2 5 8" xfId="35295" xr:uid="{00000000-0005-0000-0000-0000902B0000}"/>
    <cellStyle name="20 % - Markeringsfarve4 2 5 9" xfId="56484" xr:uid="{00000000-0005-0000-0000-0000912B0000}"/>
    <cellStyle name="20 % - Markeringsfarve4 2 6" xfId="2453" xr:uid="{00000000-0005-0000-0000-0000922B0000}"/>
    <cellStyle name="20 % - Markeringsfarve4 2 6 2" xfId="2454" xr:uid="{00000000-0005-0000-0000-0000932B0000}"/>
    <cellStyle name="20 % - Markeringsfarve4 2 6 2 2" xfId="2455" xr:uid="{00000000-0005-0000-0000-0000942B0000}"/>
    <cellStyle name="20 % - Markeringsfarve4 2 6 2 2 2" xfId="7817" xr:uid="{00000000-0005-0000-0000-0000952B0000}"/>
    <cellStyle name="20 % - Markeringsfarve4 2 6 2 2 2 2" xfId="15719" xr:uid="{00000000-0005-0000-0000-0000962B0000}"/>
    <cellStyle name="20 % - Markeringsfarve4 2 6 2 2 2 2 2" xfId="32034" xr:uid="{00000000-0005-0000-0000-0000972B0000}"/>
    <cellStyle name="20 % - Markeringsfarve4 2 6 2 2 2 2 3" xfId="46998" xr:uid="{00000000-0005-0000-0000-0000982B0000}"/>
    <cellStyle name="20 % - Markeringsfarve4 2 6 2 2 2 3" xfId="25012" xr:uid="{00000000-0005-0000-0000-0000992B0000}"/>
    <cellStyle name="20 % - Markeringsfarve4 2 6 2 2 2 4" xfId="39999" xr:uid="{00000000-0005-0000-0000-00009A2B0000}"/>
    <cellStyle name="20 % - Markeringsfarve4 2 6 2 2 3" xfId="11015" xr:uid="{00000000-0005-0000-0000-00009B2B0000}"/>
    <cellStyle name="20 % - Markeringsfarve4 2 6 2 2 3 2" xfId="27335" xr:uid="{00000000-0005-0000-0000-00009C2B0000}"/>
    <cellStyle name="20 % - Markeringsfarve4 2 6 2 2 3 3" xfId="42301" xr:uid="{00000000-0005-0000-0000-00009D2B0000}"/>
    <cellStyle name="20 % - Markeringsfarve4 2 6 2 2 4" xfId="20313" xr:uid="{00000000-0005-0000-0000-00009E2B0000}"/>
    <cellStyle name="20 % - Markeringsfarve4 2 6 2 2 5" xfId="35302" xr:uid="{00000000-0005-0000-0000-00009F2B0000}"/>
    <cellStyle name="20 % - Markeringsfarve4 2 6 2 3" xfId="6359" xr:uid="{00000000-0005-0000-0000-0000A02B0000}"/>
    <cellStyle name="20 % - Markeringsfarve4 2 6 2 3 2" xfId="14274" xr:uid="{00000000-0005-0000-0000-0000A12B0000}"/>
    <cellStyle name="20 % - Markeringsfarve4 2 6 2 3 2 2" xfId="30589" xr:uid="{00000000-0005-0000-0000-0000A22B0000}"/>
    <cellStyle name="20 % - Markeringsfarve4 2 6 2 3 2 3" xfId="45553" xr:uid="{00000000-0005-0000-0000-0000A32B0000}"/>
    <cellStyle name="20 % - Markeringsfarve4 2 6 2 3 3" xfId="23567" xr:uid="{00000000-0005-0000-0000-0000A42B0000}"/>
    <cellStyle name="20 % - Markeringsfarve4 2 6 2 3 4" xfId="38554" xr:uid="{00000000-0005-0000-0000-0000A52B0000}"/>
    <cellStyle name="20 % - Markeringsfarve4 2 6 2 4" xfId="11014" xr:uid="{00000000-0005-0000-0000-0000A62B0000}"/>
    <cellStyle name="20 % - Markeringsfarve4 2 6 2 4 2" xfId="27334" xr:uid="{00000000-0005-0000-0000-0000A72B0000}"/>
    <cellStyle name="20 % - Markeringsfarve4 2 6 2 4 3" xfId="42300" xr:uid="{00000000-0005-0000-0000-0000A82B0000}"/>
    <cellStyle name="20 % - Markeringsfarve4 2 6 2 5" xfId="20312" xr:uid="{00000000-0005-0000-0000-0000A92B0000}"/>
    <cellStyle name="20 % - Markeringsfarve4 2 6 2 6" xfId="35301" xr:uid="{00000000-0005-0000-0000-0000AA2B0000}"/>
    <cellStyle name="20 % - Markeringsfarve4 2 6 3" xfId="2456" xr:uid="{00000000-0005-0000-0000-0000AB2B0000}"/>
    <cellStyle name="20 % - Markeringsfarve4 2 6 3 2" xfId="7093" xr:uid="{00000000-0005-0000-0000-0000AC2B0000}"/>
    <cellStyle name="20 % - Markeringsfarve4 2 6 3 2 2" xfId="15004" xr:uid="{00000000-0005-0000-0000-0000AD2B0000}"/>
    <cellStyle name="20 % - Markeringsfarve4 2 6 3 2 2 2" xfId="31319" xr:uid="{00000000-0005-0000-0000-0000AE2B0000}"/>
    <cellStyle name="20 % - Markeringsfarve4 2 6 3 2 2 3" xfId="46283" xr:uid="{00000000-0005-0000-0000-0000AF2B0000}"/>
    <cellStyle name="20 % - Markeringsfarve4 2 6 3 2 3" xfId="24297" xr:uid="{00000000-0005-0000-0000-0000B02B0000}"/>
    <cellStyle name="20 % - Markeringsfarve4 2 6 3 2 4" xfId="39284" xr:uid="{00000000-0005-0000-0000-0000B12B0000}"/>
    <cellStyle name="20 % - Markeringsfarve4 2 6 3 3" xfId="11016" xr:uid="{00000000-0005-0000-0000-0000B22B0000}"/>
    <cellStyle name="20 % - Markeringsfarve4 2 6 3 3 2" xfId="27336" xr:uid="{00000000-0005-0000-0000-0000B32B0000}"/>
    <cellStyle name="20 % - Markeringsfarve4 2 6 3 3 3" xfId="42302" xr:uid="{00000000-0005-0000-0000-0000B42B0000}"/>
    <cellStyle name="20 % - Markeringsfarve4 2 6 3 4" xfId="20314" xr:uid="{00000000-0005-0000-0000-0000B52B0000}"/>
    <cellStyle name="20 % - Markeringsfarve4 2 6 3 5" xfId="35303" xr:uid="{00000000-0005-0000-0000-0000B62B0000}"/>
    <cellStyle name="20 % - Markeringsfarve4 2 6 4" xfId="2457" xr:uid="{00000000-0005-0000-0000-0000B72B0000}"/>
    <cellStyle name="20 % - Markeringsfarve4 2 6 4 2" xfId="8489" xr:uid="{00000000-0005-0000-0000-0000B82B0000}"/>
    <cellStyle name="20 % - Markeringsfarve4 2 6 4 2 2" xfId="16378" xr:uid="{00000000-0005-0000-0000-0000B92B0000}"/>
    <cellStyle name="20 % - Markeringsfarve4 2 6 4 2 2 2" xfId="32693" xr:uid="{00000000-0005-0000-0000-0000BA2B0000}"/>
    <cellStyle name="20 % - Markeringsfarve4 2 6 4 2 2 3" xfId="47657" xr:uid="{00000000-0005-0000-0000-0000BB2B0000}"/>
    <cellStyle name="20 % - Markeringsfarve4 2 6 4 2 3" xfId="25671" xr:uid="{00000000-0005-0000-0000-0000BC2B0000}"/>
    <cellStyle name="20 % - Markeringsfarve4 2 6 4 2 4" xfId="40658" xr:uid="{00000000-0005-0000-0000-0000BD2B0000}"/>
    <cellStyle name="20 % - Markeringsfarve4 2 6 4 3" xfId="11017" xr:uid="{00000000-0005-0000-0000-0000BE2B0000}"/>
    <cellStyle name="20 % - Markeringsfarve4 2 6 4 3 2" xfId="27337" xr:uid="{00000000-0005-0000-0000-0000BF2B0000}"/>
    <cellStyle name="20 % - Markeringsfarve4 2 6 4 3 3" xfId="42303" xr:uid="{00000000-0005-0000-0000-0000C02B0000}"/>
    <cellStyle name="20 % - Markeringsfarve4 2 6 4 4" xfId="20315" xr:uid="{00000000-0005-0000-0000-0000C12B0000}"/>
    <cellStyle name="20 % - Markeringsfarve4 2 6 4 5" xfId="35304" xr:uid="{00000000-0005-0000-0000-0000C22B0000}"/>
    <cellStyle name="20 % - Markeringsfarve4 2 6 5" xfId="5535" xr:uid="{00000000-0005-0000-0000-0000C32B0000}"/>
    <cellStyle name="20 % - Markeringsfarve4 2 6 5 2" xfId="13454" xr:uid="{00000000-0005-0000-0000-0000C42B0000}"/>
    <cellStyle name="20 % - Markeringsfarve4 2 6 5 2 2" xfId="29769" xr:uid="{00000000-0005-0000-0000-0000C52B0000}"/>
    <cellStyle name="20 % - Markeringsfarve4 2 6 5 2 3" xfId="44733" xr:uid="{00000000-0005-0000-0000-0000C62B0000}"/>
    <cellStyle name="20 % - Markeringsfarve4 2 6 5 3" xfId="22747" xr:uid="{00000000-0005-0000-0000-0000C72B0000}"/>
    <cellStyle name="20 % - Markeringsfarve4 2 6 5 4" xfId="37734" xr:uid="{00000000-0005-0000-0000-0000C82B0000}"/>
    <cellStyle name="20 % - Markeringsfarve4 2 6 6" xfId="11013" xr:uid="{00000000-0005-0000-0000-0000C92B0000}"/>
    <cellStyle name="20 % - Markeringsfarve4 2 6 6 2" xfId="27333" xr:uid="{00000000-0005-0000-0000-0000CA2B0000}"/>
    <cellStyle name="20 % - Markeringsfarve4 2 6 6 3" xfId="42299" xr:uid="{00000000-0005-0000-0000-0000CB2B0000}"/>
    <cellStyle name="20 % - Markeringsfarve4 2 6 7" xfId="20311" xr:uid="{00000000-0005-0000-0000-0000CC2B0000}"/>
    <cellStyle name="20 % - Markeringsfarve4 2 6 8" xfId="35300" xr:uid="{00000000-0005-0000-0000-0000CD2B0000}"/>
    <cellStyle name="20 % - Markeringsfarve4 2 7" xfId="2458" xr:uid="{00000000-0005-0000-0000-0000CE2B0000}"/>
    <cellStyle name="20 % - Markeringsfarve4 2 7 2" xfId="2459" xr:uid="{00000000-0005-0000-0000-0000CF2B0000}"/>
    <cellStyle name="20 % - Markeringsfarve4 2 7 2 2" xfId="2460" xr:uid="{00000000-0005-0000-0000-0000D02B0000}"/>
    <cellStyle name="20 % - Markeringsfarve4 2 7 2 2 2" xfId="7934" xr:uid="{00000000-0005-0000-0000-0000D12B0000}"/>
    <cellStyle name="20 % - Markeringsfarve4 2 7 2 2 2 2" xfId="15836" xr:uid="{00000000-0005-0000-0000-0000D22B0000}"/>
    <cellStyle name="20 % - Markeringsfarve4 2 7 2 2 2 2 2" xfId="32151" xr:uid="{00000000-0005-0000-0000-0000D32B0000}"/>
    <cellStyle name="20 % - Markeringsfarve4 2 7 2 2 2 2 3" xfId="47115" xr:uid="{00000000-0005-0000-0000-0000D42B0000}"/>
    <cellStyle name="20 % - Markeringsfarve4 2 7 2 2 2 3" xfId="25129" xr:uid="{00000000-0005-0000-0000-0000D52B0000}"/>
    <cellStyle name="20 % - Markeringsfarve4 2 7 2 2 2 4" xfId="40116" xr:uid="{00000000-0005-0000-0000-0000D62B0000}"/>
    <cellStyle name="20 % - Markeringsfarve4 2 7 2 2 3" xfId="11020" xr:uid="{00000000-0005-0000-0000-0000D72B0000}"/>
    <cellStyle name="20 % - Markeringsfarve4 2 7 2 2 3 2" xfId="27340" xr:uid="{00000000-0005-0000-0000-0000D82B0000}"/>
    <cellStyle name="20 % - Markeringsfarve4 2 7 2 2 3 3" xfId="42306" xr:uid="{00000000-0005-0000-0000-0000D92B0000}"/>
    <cellStyle name="20 % - Markeringsfarve4 2 7 2 2 4" xfId="20318" xr:uid="{00000000-0005-0000-0000-0000DA2B0000}"/>
    <cellStyle name="20 % - Markeringsfarve4 2 7 2 2 5" xfId="35307" xr:uid="{00000000-0005-0000-0000-0000DB2B0000}"/>
    <cellStyle name="20 % - Markeringsfarve4 2 7 2 3" xfId="6458" xr:uid="{00000000-0005-0000-0000-0000DC2B0000}"/>
    <cellStyle name="20 % - Markeringsfarve4 2 7 2 3 2" xfId="14373" xr:uid="{00000000-0005-0000-0000-0000DD2B0000}"/>
    <cellStyle name="20 % - Markeringsfarve4 2 7 2 3 2 2" xfId="30688" xr:uid="{00000000-0005-0000-0000-0000DE2B0000}"/>
    <cellStyle name="20 % - Markeringsfarve4 2 7 2 3 2 3" xfId="45652" xr:uid="{00000000-0005-0000-0000-0000DF2B0000}"/>
    <cellStyle name="20 % - Markeringsfarve4 2 7 2 3 3" xfId="23666" xr:uid="{00000000-0005-0000-0000-0000E02B0000}"/>
    <cellStyle name="20 % - Markeringsfarve4 2 7 2 3 4" xfId="38653" xr:uid="{00000000-0005-0000-0000-0000E12B0000}"/>
    <cellStyle name="20 % - Markeringsfarve4 2 7 2 4" xfId="11019" xr:uid="{00000000-0005-0000-0000-0000E22B0000}"/>
    <cellStyle name="20 % - Markeringsfarve4 2 7 2 4 2" xfId="27339" xr:uid="{00000000-0005-0000-0000-0000E32B0000}"/>
    <cellStyle name="20 % - Markeringsfarve4 2 7 2 4 3" xfId="42305" xr:uid="{00000000-0005-0000-0000-0000E42B0000}"/>
    <cellStyle name="20 % - Markeringsfarve4 2 7 2 5" xfId="20317" xr:uid="{00000000-0005-0000-0000-0000E52B0000}"/>
    <cellStyle name="20 % - Markeringsfarve4 2 7 2 6" xfId="35306" xr:uid="{00000000-0005-0000-0000-0000E62B0000}"/>
    <cellStyle name="20 % - Markeringsfarve4 2 7 3" xfId="2461" xr:uid="{00000000-0005-0000-0000-0000E72B0000}"/>
    <cellStyle name="20 % - Markeringsfarve4 2 7 3 2" xfId="7210" xr:uid="{00000000-0005-0000-0000-0000E82B0000}"/>
    <cellStyle name="20 % - Markeringsfarve4 2 7 3 2 2" xfId="15121" xr:uid="{00000000-0005-0000-0000-0000E92B0000}"/>
    <cellStyle name="20 % - Markeringsfarve4 2 7 3 2 2 2" xfId="31436" xr:uid="{00000000-0005-0000-0000-0000EA2B0000}"/>
    <cellStyle name="20 % - Markeringsfarve4 2 7 3 2 2 3" xfId="46400" xr:uid="{00000000-0005-0000-0000-0000EB2B0000}"/>
    <cellStyle name="20 % - Markeringsfarve4 2 7 3 2 3" xfId="24414" xr:uid="{00000000-0005-0000-0000-0000EC2B0000}"/>
    <cellStyle name="20 % - Markeringsfarve4 2 7 3 2 4" xfId="39401" xr:uid="{00000000-0005-0000-0000-0000ED2B0000}"/>
    <cellStyle name="20 % - Markeringsfarve4 2 7 3 3" xfId="11021" xr:uid="{00000000-0005-0000-0000-0000EE2B0000}"/>
    <cellStyle name="20 % - Markeringsfarve4 2 7 3 3 2" xfId="27341" xr:uid="{00000000-0005-0000-0000-0000EF2B0000}"/>
    <cellStyle name="20 % - Markeringsfarve4 2 7 3 3 3" xfId="42307" xr:uid="{00000000-0005-0000-0000-0000F02B0000}"/>
    <cellStyle name="20 % - Markeringsfarve4 2 7 3 4" xfId="20319" xr:uid="{00000000-0005-0000-0000-0000F12B0000}"/>
    <cellStyle name="20 % - Markeringsfarve4 2 7 3 5" xfId="35308" xr:uid="{00000000-0005-0000-0000-0000F22B0000}"/>
    <cellStyle name="20 % - Markeringsfarve4 2 7 4" xfId="2462" xr:uid="{00000000-0005-0000-0000-0000F32B0000}"/>
    <cellStyle name="20 % - Markeringsfarve4 2 7 4 2" xfId="8727" xr:uid="{00000000-0005-0000-0000-0000F42B0000}"/>
    <cellStyle name="20 % - Markeringsfarve4 2 7 4 2 2" xfId="16604" xr:uid="{00000000-0005-0000-0000-0000F52B0000}"/>
    <cellStyle name="20 % - Markeringsfarve4 2 7 4 2 2 2" xfId="32919" xr:uid="{00000000-0005-0000-0000-0000F62B0000}"/>
    <cellStyle name="20 % - Markeringsfarve4 2 7 4 2 2 3" xfId="47883" xr:uid="{00000000-0005-0000-0000-0000F72B0000}"/>
    <cellStyle name="20 % - Markeringsfarve4 2 7 4 2 3" xfId="25897" xr:uid="{00000000-0005-0000-0000-0000F82B0000}"/>
    <cellStyle name="20 % - Markeringsfarve4 2 7 4 2 4" xfId="40884" xr:uid="{00000000-0005-0000-0000-0000F92B0000}"/>
    <cellStyle name="20 % - Markeringsfarve4 2 7 4 3" xfId="11022" xr:uid="{00000000-0005-0000-0000-0000FA2B0000}"/>
    <cellStyle name="20 % - Markeringsfarve4 2 7 4 3 2" xfId="27342" xr:uid="{00000000-0005-0000-0000-0000FB2B0000}"/>
    <cellStyle name="20 % - Markeringsfarve4 2 7 4 3 3" xfId="42308" xr:uid="{00000000-0005-0000-0000-0000FC2B0000}"/>
    <cellStyle name="20 % - Markeringsfarve4 2 7 4 4" xfId="20320" xr:uid="{00000000-0005-0000-0000-0000FD2B0000}"/>
    <cellStyle name="20 % - Markeringsfarve4 2 7 4 5" xfId="35309" xr:uid="{00000000-0005-0000-0000-0000FE2B0000}"/>
    <cellStyle name="20 % - Markeringsfarve4 2 7 5" xfId="5536" xr:uid="{00000000-0005-0000-0000-0000FF2B0000}"/>
    <cellStyle name="20 % - Markeringsfarve4 2 7 5 2" xfId="13455" xr:uid="{00000000-0005-0000-0000-0000002C0000}"/>
    <cellStyle name="20 % - Markeringsfarve4 2 7 5 2 2" xfId="29770" xr:uid="{00000000-0005-0000-0000-0000012C0000}"/>
    <cellStyle name="20 % - Markeringsfarve4 2 7 5 2 3" xfId="44734" xr:uid="{00000000-0005-0000-0000-0000022C0000}"/>
    <cellStyle name="20 % - Markeringsfarve4 2 7 5 3" xfId="22748" xr:uid="{00000000-0005-0000-0000-0000032C0000}"/>
    <cellStyle name="20 % - Markeringsfarve4 2 7 5 4" xfId="37735" xr:uid="{00000000-0005-0000-0000-0000042C0000}"/>
    <cellStyle name="20 % - Markeringsfarve4 2 7 6" xfId="11018" xr:uid="{00000000-0005-0000-0000-0000052C0000}"/>
    <cellStyle name="20 % - Markeringsfarve4 2 7 6 2" xfId="27338" xr:uid="{00000000-0005-0000-0000-0000062C0000}"/>
    <cellStyle name="20 % - Markeringsfarve4 2 7 6 3" xfId="42304" xr:uid="{00000000-0005-0000-0000-0000072C0000}"/>
    <cellStyle name="20 % - Markeringsfarve4 2 7 7" xfId="20316" xr:uid="{00000000-0005-0000-0000-0000082C0000}"/>
    <cellStyle name="20 % - Markeringsfarve4 2 7 8" xfId="35305" xr:uid="{00000000-0005-0000-0000-0000092C0000}"/>
    <cellStyle name="20 % - Markeringsfarve4 2 8" xfId="2463" xr:uid="{00000000-0005-0000-0000-00000A2C0000}"/>
    <cellStyle name="20 % - Markeringsfarve4 2 8 2" xfId="2464" xr:uid="{00000000-0005-0000-0000-00000B2C0000}"/>
    <cellStyle name="20 % - Markeringsfarve4 2 8 2 2" xfId="2465" xr:uid="{00000000-0005-0000-0000-00000C2C0000}"/>
    <cellStyle name="20 % - Markeringsfarve4 2 8 2 2 2" xfId="8047" xr:uid="{00000000-0005-0000-0000-00000D2C0000}"/>
    <cellStyle name="20 % - Markeringsfarve4 2 8 2 2 2 2" xfId="15949" xr:uid="{00000000-0005-0000-0000-00000E2C0000}"/>
    <cellStyle name="20 % - Markeringsfarve4 2 8 2 2 2 2 2" xfId="32264" xr:uid="{00000000-0005-0000-0000-00000F2C0000}"/>
    <cellStyle name="20 % - Markeringsfarve4 2 8 2 2 2 2 3" xfId="47228" xr:uid="{00000000-0005-0000-0000-0000102C0000}"/>
    <cellStyle name="20 % - Markeringsfarve4 2 8 2 2 2 3" xfId="25242" xr:uid="{00000000-0005-0000-0000-0000112C0000}"/>
    <cellStyle name="20 % - Markeringsfarve4 2 8 2 2 2 4" xfId="40229" xr:uid="{00000000-0005-0000-0000-0000122C0000}"/>
    <cellStyle name="20 % - Markeringsfarve4 2 8 2 2 3" xfId="11025" xr:uid="{00000000-0005-0000-0000-0000132C0000}"/>
    <cellStyle name="20 % - Markeringsfarve4 2 8 2 2 3 2" xfId="27345" xr:uid="{00000000-0005-0000-0000-0000142C0000}"/>
    <cellStyle name="20 % - Markeringsfarve4 2 8 2 2 3 3" xfId="42311" xr:uid="{00000000-0005-0000-0000-0000152C0000}"/>
    <cellStyle name="20 % - Markeringsfarve4 2 8 2 2 4" xfId="20323" xr:uid="{00000000-0005-0000-0000-0000162C0000}"/>
    <cellStyle name="20 % - Markeringsfarve4 2 8 2 2 5" xfId="35312" xr:uid="{00000000-0005-0000-0000-0000172C0000}"/>
    <cellStyle name="20 % - Markeringsfarve4 2 8 2 3" xfId="6558" xr:uid="{00000000-0005-0000-0000-0000182C0000}"/>
    <cellStyle name="20 % - Markeringsfarve4 2 8 2 3 2" xfId="14473" xr:uid="{00000000-0005-0000-0000-0000192C0000}"/>
    <cellStyle name="20 % - Markeringsfarve4 2 8 2 3 2 2" xfId="30788" xr:uid="{00000000-0005-0000-0000-00001A2C0000}"/>
    <cellStyle name="20 % - Markeringsfarve4 2 8 2 3 2 3" xfId="45752" xr:uid="{00000000-0005-0000-0000-00001B2C0000}"/>
    <cellStyle name="20 % - Markeringsfarve4 2 8 2 3 3" xfId="23766" xr:uid="{00000000-0005-0000-0000-00001C2C0000}"/>
    <cellStyle name="20 % - Markeringsfarve4 2 8 2 3 4" xfId="38753" xr:uid="{00000000-0005-0000-0000-00001D2C0000}"/>
    <cellStyle name="20 % - Markeringsfarve4 2 8 2 4" xfId="11024" xr:uid="{00000000-0005-0000-0000-00001E2C0000}"/>
    <cellStyle name="20 % - Markeringsfarve4 2 8 2 4 2" xfId="27344" xr:uid="{00000000-0005-0000-0000-00001F2C0000}"/>
    <cellStyle name="20 % - Markeringsfarve4 2 8 2 4 3" xfId="42310" xr:uid="{00000000-0005-0000-0000-0000202C0000}"/>
    <cellStyle name="20 % - Markeringsfarve4 2 8 2 5" xfId="20322" xr:uid="{00000000-0005-0000-0000-0000212C0000}"/>
    <cellStyle name="20 % - Markeringsfarve4 2 8 2 6" xfId="35311" xr:uid="{00000000-0005-0000-0000-0000222C0000}"/>
    <cellStyle name="20 % - Markeringsfarve4 2 8 3" xfId="2466" xr:uid="{00000000-0005-0000-0000-0000232C0000}"/>
    <cellStyle name="20 % - Markeringsfarve4 2 8 3 2" xfId="7324" xr:uid="{00000000-0005-0000-0000-0000242C0000}"/>
    <cellStyle name="20 % - Markeringsfarve4 2 8 3 2 2" xfId="15235" xr:uid="{00000000-0005-0000-0000-0000252C0000}"/>
    <cellStyle name="20 % - Markeringsfarve4 2 8 3 2 2 2" xfId="31550" xr:uid="{00000000-0005-0000-0000-0000262C0000}"/>
    <cellStyle name="20 % - Markeringsfarve4 2 8 3 2 2 3" xfId="46514" xr:uid="{00000000-0005-0000-0000-0000272C0000}"/>
    <cellStyle name="20 % - Markeringsfarve4 2 8 3 2 3" xfId="24528" xr:uid="{00000000-0005-0000-0000-0000282C0000}"/>
    <cellStyle name="20 % - Markeringsfarve4 2 8 3 2 4" xfId="39515" xr:uid="{00000000-0005-0000-0000-0000292C0000}"/>
    <cellStyle name="20 % - Markeringsfarve4 2 8 3 3" xfId="11026" xr:uid="{00000000-0005-0000-0000-00002A2C0000}"/>
    <cellStyle name="20 % - Markeringsfarve4 2 8 3 3 2" xfId="27346" xr:uid="{00000000-0005-0000-0000-00002B2C0000}"/>
    <cellStyle name="20 % - Markeringsfarve4 2 8 3 3 3" xfId="42312" xr:uid="{00000000-0005-0000-0000-00002C2C0000}"/>
    <cellStyle name="20 % - Markeringsfarve4 2 8 3 4" xfId="20324" xr:uid="{00000000-0005-0000-0000-00002D2C0000}"/>
    <cellStyle name="20 % - Markeringsfarve4 2 8 3 5" xfId="35313" xr:uid="{00000000-0005-0000-0000-00002E2C0000}"/>
    <cellStyle name="20 % - Markeringsfarve4 2 8 4" xfId="2467" xr:uid="{00000000-0005-0000-0000-00002F2C0000}"/>
    <cellStyle name="20 % - Markeringsfarve4 2 8 4 2" xfId="8447" xr:uid="{00000000-0005-0000-0000-0000302C0000}"/>
    <cellStyle name="20 % - Markeringsfarve4 2 8 4 2 2" xfId="16337" xr:uid="{00000000-0005-0000-0000-0000312C0000}"/>
    <cellStyle name="20 % - Markeringsfarve4 2 8 4 2 2 2" xfId="32652" xr:uid="{00000000-0005-0000-0000-0000322C0000}"/>
    <cellStyle name="20 % - Markeringsfarve4 2 8 4 2 2 3" xfId="47616" xr:uid="{00000000-0005-0000-0000-0000332C0000}"/>
    <cellStyle name="20 % - Markeringsfarve4 2 8 4 2 3" xfId="25630" xr:uid="{00000000-0005-0000-0000-0000342C0000}"/>
    <cellStyle name="20 % - Markeringsfarve4 2 8 4 2 4" xfId="40617" xr:uid="{00000000-0005-0000-0000-0000352C0000}"/>
    <cellStyle name="20 % - Markeringsfarve4 2 8 4 3" xfId="11027" xr:uid="{00000000-0005-0000-0000-0000362C0000}"/>
    <cellStyle name="20 % - Markeringsfarve4 2 8 4 3 2" xfId="27347" xr:uid="{00000000-0005-0000-0000-0000372C0000}"/>
    <cellStyle name="20 % - Markeringsfarve4 2 8 4 3 3" xfId="42313" xr:uid="{00000000-0005-0000-0000-0000382C0000}"/>
    <cellStyle name="20 % - Markeringsfarve4 2 8 4 4" xfId="20325" xr:uid="{00000000-0005-0000-0000-0000392C0000}"/>
    <cellStyle name="20 % - Markeringsfarve4 2 8 4 5" xfId="35314" xr:uid="{00000000-0005-0000-0000-00003A2C0000}"/>
    <cellStyle name="20 % - Markeringsfarve4 2 8 5" xfId="5537" xr:uid="{00000000-0005-0000-0000-00003B2C0000}"/>
    <cellStyle name="20 % - Markeringsfarve4 2 8 5 2" xfId="13456" xr:uid="{00000000-0005-0000-0000-00003C2C0000}"/>
    <cellStyle name="20 % - Markeringsfarve4 2 8 5 2 2" xfId="29771" xr:uid="{00000000-0005-0000-0000-00003D2C0000}"/>
    <cellStyle name="20 % - Markeringsfarve4 2 8 5 2 3" xfId="44735" xr:uid="{00000000-0005-0000-0000-00003E2C0000}"/>
    <cellStyle name="20 % - Markeringsfarve4 2 8 5 3" xfId="22749" xr:uid="{00000000-0005-0000-0000-00003F2C0000}"/>
    <cellStyle name="20 % - Markeringsfarve4 2 8 5 4" xfId="37736" xr:uid="{00000000-0005-0000-0000-0000402C0000}"/>
    <cellStyle name="20 % - Markeringsfarve4 2 8 6" xfId="11023" xr:uid="{00000000-0005-0000-0000-0000412C0000}"/>
    <cellStyle name="20 % - Markeringsfarve4 2 8 6 2" xfId="27343" xr:uid="{00000000-0005-0000-0000-0000422C0000}"/>
    <cellStyle name="20 % - Markeringsfarve4 2 8 6 3" xfId="42309" xr:uid="{00000000-0005-0000-0000-0000432C0000}"/>
    <cellStyle name="20 % - Markeringsfarve4 2 8 7" xfId="20321" xr:uid="{00000000-0005-0000-0000-0000442C0000}"/>
    <cellStyle name="20 % - Markeringsfarve4 2 8 8" xfId="35310" xr:uid="{00000000-0005-0000-0000-0000452C0000}"/>
    <cellStyle name="20 % - Markeringsfarve4 2 9" xfId="2468" xr:uid="{00000000-0005-0000-0000-0000462C0000}"/>
    <cellStyle name="20 % - Markeringsfarve4 2 9 2" xfId="2469" xr:uid="{00000000-0005-0000-0000-0000472C0000}"/>
    <cellStyle name="20 % - Markeringsfarve4 2 9 2 2" xfId="7460" xr:uid="{00000000-0005-0000-0000-0000482C0000}"/>
    <cellStyle name="20 % - Markeringsfarve4 2 9 2 2 2" xfId="15362" xr:uid="{00000000-0005-0000-0000-0000492C0000}"/>
    <cellStyle name="20 % - Markeringsfarve4 2 9 2 2 2 2" xfId="31677" xr:uid="{00000000-0005-0000-0000-00004A2C0000}"/>
    <cellStyle name="20 % - Markeringsfarve4 2 9 2 2 2 3" xfId="46641" xr:uid="{00000000-0005-0000-0000-00004B2C0000}"/>
    <cellStyle name="20 % - Markeringsfarve4 2 9 2 2 3" xfId="24655" xr:uid="{00000000-0005-0000-0000-00004C2C0000}"/>
    <cellStyle name="20 % - Markeringsfarve4 2 9 2 2 4" xfId="39642" xr:uid="{00000000-0005-0000-0000-00004D2C0000}"/>
    <cellStyle name="20 % - Markeringsfarve4 2 9 2 3" xfId="11029" xr:uid="{00000000-0005-0000-0000-00004E2C0000}"/>
    <cellStyle name="20 % - Markeringsfarve4 2 9 2 3 2" xfId="27349" xr:uid="{00000000-0005-0000-0000-00004F2C0000}"/>
    <cellStyle name="20 % - Markeringsfarve4 2 9 2 3 3" xfId="42315" xr:uid="{00000000-0005-0000-0000-0000502C0000}"/>
    <cellStyle name="20 % - Markeringsfarve4 2 9 2 4" xfId="20327" xr:uid="{00000000-0005-0000-0000-0000512C0000}"/>
    <cellStyle name="20 % - Markeringsfarve4 2 9 2 5" xfId="35316" xr:uid="{00000000-0005-0000-0000-0000522C0000}"/>
    <cellStyle name="20 % - Markeringsfarve4 2 9 3" xfId="6058" xr:uid="{00000000-0005-0000-0000-0000532C0000}"/>
    <cellStyle name="20 % - Markeringsfarve4 2 9 3 2" xfId="13976" xr:uid="{00000000-0005-0000-0000-0000542C0000}"/>
    <cellStyle name="20 % - Markeringsfarve4 2 9 3 2 2" xfId="30291" xr:uid="{00000000-0005-0000-0000-0000552C0000}"/>
    <cellStyle name="20 % - Markeringsfarve4 2 9 3 2 3" xfId="45255" xr:uid="{00000000-0005-0000-0000-0000562C0000}"/>
    <cellStyle name="20 % - Markeringsfarve4 2 9 3 3" xfId="23269" xr:uid="{00000000-0005-0000-0000-0000572C0000}"/>
    <cellStyle name="20 % - Markeringsfarve4 2 9 3 4" xfId="38256" xr:uid="{00000000-0005-0000-0000-0000582C0000}"/>
    <cellStyle name="20 % - Markeringsfarve4 2 9 4" xfId="11028" xr:uid="{00000000-0005-0000-0000-0000592C0000}"/>
    <cellStyle name="20 % - Markeringsfarve4 2 9 4 2" xfId="27348" xr:uid="{00000000-0005-0000-0000-00005A2C0000}"/>
    <cellStyle name="20 % - Markeringsfarve4 2 9 4 3" xfId="42314" xr:uid="{00000000-0005-0000-0000-00005B2C0000}"/>
    <cellStyle name="20 % - Markeringsfarve4 2 9 5" xfId="20326" xr:uid="{00000000-0005-0000-0000-00005C2C0000}"/>
    <cellStyle name="20 % - Markeringsfarve4 2 9 6" xfId="35315" xr:uid="{00000000-0005-0000-0000-00005D2C0000}"/>
    <cellStyle name="20 % - Markeringsfarve4 3" xfId="2470" xr:uid="{00000000-0005-0000-0000-00005E2C0000}"/>
    <cellStyle name="20 % - Markeringsfarve4 3 10" xfId="2471" xr:uid="{00000000-0005-0000-0000-00005F2C0000}"/>
    <cellStyle name="20 % - Markeringsfarve4 3 10 2" xfId="6673" xr:uid="{00000000-0005-0000-0000-0000602C0000}"/>
    <cellStyle name="20 % - Markeringsfarve4 3 10 2 2" xfId="14586" xr:uid="{00000000-0005-0000-0000-0000612C0000}"/>
    <cellStyle name="20 % - Markeringsfarve4 3 10 2 2 2" xfId="30901" xr:uid="{00000000-0005-0000-0000-0000622C0000}"/>
    <cellStyle name="20 % - Markeringsfarve4 3 10 2 2 3" xfId="45865" xr:uid="{00000000-0005-0000-0000-0000632C0000}"/>
    <cellStyle name="20 % - Markeringsfarve4 3 10 2 3" xfId="23879" xr:uid="{00000000-0005-0000-0000-0000642C0000}"/>
    <cellStyle name="20 % - Markeringsfarve4 3 10 2 4" xfId="38866" xr:uid="{00000000-0005-0000-0000-0000652C0000}"/>
    <cellStyle name="20 % - Markeringsfarve4 3 10 3" xfId="11031" xr:uid="{00000000-0005-0000-0000-0000662C0000}"/>
    <cellStyle name="20 % - Markeringsfarve4 3 10 3 2" xfId="27351" xr:uid="{00000000-0005-0000-0000-0000672C0000}"/>
    <cellStyle name="20 % - Markeringsfarve4 3 10 3 3" xfId="42317" xr:uid="{00000000-0005-0000-0000-0000682C0000}"/>
    <cellStyle name="20 % - Markeringsfarve4 3 10 4" xfId="20329" xr:uid="{00000000-0005-0000-0000-0000692C0000}"/>
    <cellStyle name="20 % - Markeringsfarve4 3 10 5" xfId="35318" xr:uid="{00000000-0005-0000-0000-00006A2C0000}"/>
    <cellStyle name="20 % - Markeringsfarve4 3 11" xfId="2472" xr:uid="{00000000-0005-0000-0000-00006B2C0000}"/>
    <cellStyle name="20 % - Markeringsfarve4 3 11 2" xfId="8661" xr:uid="{00000000-0005-0000-0000-00006C2C0000}"/>
    <cellStyle name="20 % - Markeringsfarve4 3 11 2 2" xfId="16542" xr:uid="{00000000-0005-0000-0000-00006D2C0000}"/>
    <cellStyle name="20 % - Markeringsfarve4 3 11 2 2 2" xfId="32857" xr:uid="{00000000-0005-0000-0000-00006E2C0000}"/>
    <cellStyle name="20 % - Markeringsfarve4 3 11 2 2 3" xfId="47821" xr:uid="{00000000-0005-0000-0000-00006F2C0000}"/>
    <cellStyle name="20 % - Markeringsfarve4 3 11 2 3" xfId="25835" xr:uid="{00000000-0005-0000-0000-0000702C0000}"/>
    <cellStyle name="20 % - Markeringsfarve4 3 11 2 4" xfId="40822" xr:uid="{00000000-0005-0000-0000-0000712C0000}"/>
    <cellStyle name="20 % - Markeringsfarve4 3 11 3" xfId="11032" xr:uid="{00000000-0005-0000-0000-0000722C0000}"/>
    <cellStyle name="20 % - Markeringsfarve4 3 11 3 2" xfId="27352" xr:uid="{00000000-0005-0000-0000-0000732C0000}"/>
    <cellStyle name="20 % - Markeringsfarve4 3 11 3 3" xfId="42318" xr:uid="{00000000-0005-0000-0000-0000742C0000}"/>
    <cellStyle name="20 % - Markeringsfarve4 3 11 4" xfId="20330" xr:uid="{00000000-0005-0000-0000-0000752C0000}"/>
    <cellStyle name="20 % - Markeringsfarve4 3 11 5" xfId="35319" xr:uid="{00000000-0005-0000-0000-0000762C0000}"/>
    <cellStyle name="20 % - Markeringsfarve4 3 12" xfId="5538" xr:uid="{00000000-0005-0000-0000-0000772C0000}"/>
    <cellStyle name="20 % - Markeringsfarve4 3 12 2" xfId="13457" xr:uid="{00000000-0005-0000-0000-0000782C0000}"/>
    <cellStyle name="20 % - Markeringsfarve4 3 12 2 2" xfId="29772" xr:uid="{00000000-0005-0000-0000-0000792C0000}"/>
    <cellStyle name="20 % - Markeringsfarve4 3 12 2 3" xfId="44736" xr:uid="{00000000-0005-0000-0000-00007A2C0000}"/>
    <cellStyle name="20 % - Markeringsfarve4 3 12 3" xfId="22750" xr:uid="{00000000-0005-0000-0000-00007B2C0000}"/>
    <cellStyle name="20 % - Markeringsfarve4 3 12 4" xfId="37737" xr:uid="{00000000-0005-0000-0000-00007C2C0000}"/>
    <cellStyle name="20 % - Markeringsfarve4 3 13" xfId="11030" xr:uid="{00000000-0005-0000-0000-00007D2C0000}"/>
    <cellStyle name="20 % - Markeringsfarve4 3 13 2" xfId="27350" xr:uid="{00000000-0005-0000-0000-00007E2C0000}"/>
    <cellStyle name="20 % - Markeringsfarve4 3 13 3" xfId="42316" xr:uid="{00000000-0005-0000-0000-00007F2C0000}"/>
    <cellStyle name="20 % - Markeringsfarve4 3 14" xfId="20328" xr:uid="{00000000-0005-0000-0000-0000802C0000}"/>
    <cellStyle name="20 % - Markeringsfarve4 3 15" xfId="35317" xr:uid="{00000000-0005-0000-0000-0000812C0000}"/>
    <cellStyle name="20 % - Markeringsfarve4 3 16" xfId="53300" xr:uid="{00000000-0005-0000-0000-0000822C0000}"/>
    <cellStyle name="20 % - Markeringsfarve4 3 2" xfId="2473" xr:uid="{00000000-0005-0000-0000-0000832C0000}"/>
    <cellStyle name="20 % - Markeringsfarve4 3 2 10" xfId="5539" xr:uid="{00000000-0005-0000-0000-0000842C0000}"/>
    <cellStyle name="20 % - Markeringsfarve4 3 2 10 2" xfId="13458" xr:uid="{00000000-0005-0000-0000-0000852C0000}"/>
    <cellStyle name="20 % - Markeringsfarve4 3 2 10 2 2" xfId="29773" xr:uid="{00000000-0005-0000-0000-0000862C0000}"/>
    <cellStyle name="20 % - Markeringsfarve4 3 2 10 2 3" xfId="44737" xr:uid="{00000000-0005-0000-0000-0000872C0000}"/>
    <cellStyle name="20 % - Markeringsfarve4 3 2 10 3" xfId="22751" xr:uid="{00000000-0005-0000-0000-0000882C0000}"/>
    <cellStyle name="20 % - Markeringsfarve4 3 2 10 4" xfId="37738" xr:uid="{00000000-0005-0000-0000-0000892C0000}"/>
    <cellStyle name="20 % - Markeringsfarve4 3 2 11" xfId="11033" xr:uid="{00000000-0005-0000-0000-00008A2C0000}"/>
    <cellStyle name="20 % - Markeringsfarve4 3 2 11 2" xfId="27353" xr:uid="{00000000-0005-0000-0000-00008B2C0000}"/>
    <cellStyle name="20 % - Markeringsfarve4 3 2 11 3" xfId="42319" xr:uid="{00000000-0005-0000-0000-00008C2C0000}"/>
    <cellStyle name="20 % - Markeringsfarve4 3 2 12" xfId="20331" xr:uid="{00000000-0005-0000-0000-00008D2C0000}"/>
    <cellStyle name="20 % - Markeringsfarve4 3 2 13" xfId="35320" xr:uid="{00000000-0005-0000-0000-00008E2C0000}"/>
    <cellStyle name="20 % - Markeringsfarve4 3 2 14" xfId="53937" xr:uid="{00000000-0005-0000-0000-00008F2C0000}"/>
    <cellStyle name="20 % - Markeringsfarve4 3 2 2" xfId="2474" xr:uid="{00000000-0005-0000-0000-0000902C0000}"/>
    <cellStyle name="20 % - Markeringsfarve4 3 2 2 2" xfId="2475" xr:uid="{00000000-0005-0000-0000-0000912C0000}"/>
    <cellStyle name="20 % - Markeringsfarve4 3 2 2 2 2" xfId="2476" xr:uid="{00000000-0005-0000-0000-0000922C0000}"/>
    <cellStyle name="20 % - Markeringsfarve4 3 2 2 2 2 2" xfId="7606" xr:uid="{00000000-0005-0000-0000-0000932C0000}"/>
    <cellStyle name="20 % - Markeringsfarve4 3 2 2 2 2 2 2" xfId="15508" xr:uid="{00000000-0005-0000-0000-0000942C0000}"/>
    <cellStyle name="20 % - Markeringsfarve4 3 2 2 2 2 2 2 2" xfId="31823" xr:uid="{00000000-0005-0000-0000-0000952C0000}"/>
    <cellStyle name="20 % - Markeringsfarve4 3 2 2 2 2 2 2 3" xfId="46787" xr:uid="{00000000-0005-0000-0000-0000962C0000}"/>
    <cellStyle name="20 % - Markeringsfarve4 3 2 2 2 2 2 3" xfId="24801" xr:uid="{00000000-0005-0000-0000-0000972C0000}"/>
    <cellStyle name="20 % - Markeringsfarve4 3 2 2 2 2 2 4" xfId="39788" xr:uid="{00000000-0005-0000-0000-0000982C0000}"/>
    <cellStyle name="20 % - Markeringsfarve4 3 2 2 2 2 3" xfId="11036" xr:uid="{00000000-0005-0000-0000-0000992C0000}"/>
    <cellStyle name="20 % - Markeringsfarve4 3 2 2 2 2 3 2" xfId="27356" xr:uid="{00000000-0005-0000-0000-00009A2C0000}"/>
    <cellStyle name="20 % - Markeringsfarve4 3 2 2 2 2 3 3" xfId="42322" xr:uid="{00000000-0005-0000-0000-00009B2C0000}"/>
    <cellStyle name="20 % - Markeringsfarve4 3 2 2 2 2 4" xfId="20334" xr:uid="{00000000-0005-0000-0000-00009C2C0000}"/>
    <cellStyle name="20 % - Markeringsfarve4 3 2 2 2 2 5" xfId="35323" xr:uid="{00000000-0005-0000-0000-00009D2C0000}"/>
    <cellStyle name="20 % - Markeringsfarve4 3 2 2 2 3" xfId="6180" xr:uid="{00000000-0005-0000-0000-00009E2C0000}"/>
    <cellStyle name="20 % - Markeringsfarve4 3 2 2 2 3 2" xfId="14098" xr:uid="{00000000-0005-0000-0000-00009F2C0000}"/>
    <cellStyle name="20 % - Markeringsfarve4 3 2 2 2 3 2 2" xfId="30413" xr:uid="{00000000-0005-0000-0000-0000A02C0000}"/>
    <cellStyle name="20 % - Markeringsfarve4 3 2 2 2 3 2 3" xfId="45377" xr:uid="{00000000-0005-0000-0000-0000A12C0000}"/>
    <cellStyle name="20 % - Markeringsfarve4 3 2 2 2 3 3" xfId="23391" xr:uid="{00000000-0005-0000-0000-0000A22C0000}"/>
    <cellStyle name="20 % - Markeringsfarve4 3 2 2 2 3 4" xfId="38378" xr:uid="{00000000-0005-0000-0000-0000A32C0000}"/>
    <cellStyle name="20 % - Markeringsfarve4 3 2 2 2 4" xfId="11035" xr:uid="{00000000-0005-0000-0000-0000A42C0000}"/>
    <cellStyle name="20 % - Markeringsfarve4 3 2 2 2 4 2" xfId="27355" xr:uid="{00000000-0005-0000-0000-0000A52C0000}"/>
    <cellStyle name="20 % - Markeringsfarve4 3 2 2 2 4 3" xfId="42321" xr:uid="{00000000-0005-0000-0000-0000A62C0000}"/>
    <cellStyle name="20 % - Markeringsfarve4 3 2 2 2 5" xfId="20333" xr:uid="{00000000-0005-0000-0000-0000A72C0000}"/>
    <cellStyle name="20 % - Markeringsfarve4 3 2 2 2 6" xfId="35322" xr:uid="{00000000-0005-0000-0000-0000A82C0000}"/>
    <cellStyle name="20 % - Markeringsfarve4 3 2 2 3" xfId="2477" xr:uid="{00000000-0005-0000-0000-0000A92C0000}"/>
    <cellStyle name="20 % - Markeringsfarve4 3 2 2 3 2" xfId="6836" xr:uid="{00000000-0005-0000-0000-0000AA2C0000}"/>
    <cellStyle name="20 % - Markeringsfarve4 3 2 2 3 2 2" xfId="14748" xr:uid="{00000000-0005-0000-0000-0000AB2C0000}"/>
    <cellStyle name="20 % - Markeringsfarve4 3 2 2 3 2 2 2" xfId="31063" xr:uid="{00000000-0005-0000-0000-0000AC2C0000}"/>
    <cellStyle name="20 % - Markeringsfarve4 3 2 2 3 2 2 3" xfId="46027" xr:uid="{00000000-0005-0000-0000-0000AD2C0000}"/>
    <cellStyle name="20 % - Markeringsfarve4 3 2 2 3 2 3" xfId="24041" xr:uid="{00000000-0005-0000-0000-0000AE2C0000}"/>
    <cellStyle name="20 % - Markeringsfarve4 3 2 2 3 2 4" xfId="39028" xr:uid="{00000000-0005-0000-0000-0000AF2C0000}"/>
    <cellStyle name="20 % - Markeringsfarve4 3 2 2 3 3" xfId="11037" xr:uid="{00000000-0005-0000-0000-0000B02C0000}"/>
    <cellStyle name="20 % - Markeringsfarve4 3 2 2 3 3 2" xfId="27357" xr:uid="{00000000-0005-0000-0000-0000B12C0000}"/>
    <cellStyle name="20 % - Markeringsfarve4 3 2 2 3 3 3" xfId="42323" xr:uid="{00000000-0005-0000-0000-0000B22C0000}"/>
    <cellStyle name="20 % - Markeringsfarve4 3 2 2 3 4" xfId="20335" xr:uid="{00000000-0005-0000-0000-0000B32C0000}"/>
    <cellStyle name="20 % - Markeringsfarve4 3 2 2 3 5" xfId="35324" xr:uid="{00000000-0005-0000-0000-0000B42C0000}"/>
    <cellStyle name="20 % - Markeringsfarve4 3 2 2 4" xfId="2478" xr:uid="{00000000-0005-0000-0000-0000B52C0000}"/>
    <cellStyle name="20 % - Markeringsfarve4 3 2 2 4 2" xfId="8621" xr:uid="{00000000-0005-0000-0000-0000B62C0000}"/>
    <cellStyle name="20 % - Markeringsfarve4 3 2 2 4 2 2" xfId="16503" xr:uid="{00000000-0005-0000-0000-0000B72C0000}"/>
    <cellStyle name="20 % - Markeringsfarve4 3 2 2 4 2 2 2" xfId="32818" xr:uid="{00000000-0005-0000-0000-0000B82C0000}"/>
    <cellStyle name="20 % - Markeringsfarve4 3 2 2 4 2 2 3" xfId="47782" xr:uid="{00000000-0005-0000-0000-0000B92C0000}"/>
    <cellStyle name="20 % - Markeringsfarve4 3 2 2 4 2 3" xfId="25796" xr:uid="{00000000-0005-0000-0000-0000BA2C0000}"/>
    <cellStyle name="20 % - Markeringsfarve4 3 2 2 4 2 4" xfId="40783" xr:uid="{00000000-0005-0000-0000-0000BB2C0000}"/>
    <cellStyle name="20 % - Markeringsfarve4 3 2 2 4 3" xfId="11038" xr:uid="{00000000-0005-0000-0000-0000BC2C0000}"/>
    <cellStyle name="20 % - Markeringsfarve4 3 2 2 4 3 2" xfId="27358" xr:uid="{00000000-0005-0000-0000-0000BD2C0000}"/>
    <cellStyle name="20 % - Markeringsfarve4 3 2 2 4 3 3" xfId="42324" xr:uid="{00000000-0005-0000-0000-0000BE2C0000}"/>
    <cellStyle name="20 % - Markeringsfarve4 3 2 2 4 4" xfId="20336" xr:uid="{00000000-0005-0000-0000-0000BF2C0000}"/>
    <cellStyle name="20 % - Markeringsfarve4 3 2 2 4 5" xfId="35325" xr:uid="{00000000-0005-0000-0000-0000C02C0000}"/>
    <cellStyle name="20 % - Markeringsfarve4 3 2 2 5" xfId="5540" xr:uid="{00000000-0005-0000-0000-0000C12C0000}"/>
    <cellStyle name="20 % - Markeringsfarve4 3 2 2 5 2" xfId="13459" xr:uid="{00000000-0005-0000-0000-0000C22C0000}"/>
    <cellStyle name="20 % - Markeringsfarve4 3 2 2 5 2 2" xfId="29774" xr:uid="{00000000-0005-0000-0000-0000C32C0000}"/>
    <cellStyle name="20 % - Markeringsfarve4 3 2 2 5 2 3" xfId="44738" xr:uid="{00000000-0005-0000-0000-0000C42C0000}"/>
    <cellStyle name="20 % - Markeringsfarve4 3 2 2 5 3" xfId="22752" xr:uid="{00000000-0005-0000-0000-0000C52C0000}"/>
    <cellStyle name="20 % - Markeringsfarve4 3 2 2 5 4" xfId="37739" xr:uid="{00000000-0005-0000-0000-0000C62C0000}"/>
    <cellStyle name="20 % - Markeringsfarve4 3 2 2 6" xfId="11034" xr:uid="{00000000-0005-0000-0000-0000C72C0000}"/>
    <cellStyle name="20 % - Markeringsfarve4 3 2 2 6 2" xfId="27354" xr:uid="{00000000-0005-0000-0000-0000C82C0000}"/>
    <cellStyle name="20 % - Markeringsfarve4 3 2 2 6 3" xfId="42320" xr:uid="{00000000-0005-0000-0000-0000C92C0000}"/>
    <cellStyle name="20 % - Markeringsfarve4 3 2 2 7" xfId="20332" xr:uid="{00000000-0005-0000-0000-0000CA2C0000}"/>
    <cellStyle name="20 % - Markeringsfarve4 3 2 2 8" xfId="35321" xr:uid="{00000000-0005-0000-0000-0000CB2C0000}"/>
    <cellStyle name="20 % - Markeringsfarve4 3 2 2 9" xfId="57104" xr:uid="{00000000-0005-0000-0000-0000CC2C0000}"/>
    <cellStyle name="20 % - Markeringsfarve4 3 2 3" xfId="2479" xr:uid="{00000000-0005-0000-0000-0000CD2C0000}"/>
    <cellStyle name="20 % - Markeringsfarve4 3 2 3 2" xfId="2480" xr:uid="{00000000-0005-0000-0000-0000CE2C0000}"/>
    <cellStyle name="20 % - Markeringsfarve4 3 2 3 2 2" xfId="2481" xr:uid="{00000000-0005-0000-0000-0000CF2C0000}"/>
    <cellStyle name="20 % - Markeringsfarve4 3 2 3 2 2 2" xfId="7696" xr:uid="{00000000-0005-0000-0000-0000D02C0000}"/>
    <cellStyle name="20 % - Markeringsfarve4 3 2 3 2 2 2 2" xfId="15598" xr:uid="{00000000-0005-0000-0000-0000D12C0000}"/>
    <cellStyle name="20 % - Markeringsfarve4 3 2 3 2 2 2 2 2" xfId="31913" xr:uid="{00000000-0005-0000-0000-0000D22C0000}"/>
    <cellStyle name="20 % - Markeringsfarve4 3 2 3 2 2 2 2 3" xfId="46877" xr:uid="{00000000-0005-0000-0000-0000D32C0000}"/>
    <cellStyle name="20 % - Markeringsfarve4 3 2 3 2 2 2 3" xfId="24891" xr:uid="{00000000-0005-0000-0000-0000D42C0000}"/>
    <cellStyle name="20 % - Markeringsfarve4 3 2 3 2 2 2 4" xfId="39878" xr:uid="{00000000-0005-0000-0000-0000D52C0000}"/>
    <cellStyle name="20 % - Markeringsfarve4 3 2 3 2 2 3" xfId="11041" xr:uid="{00000000-0005-0000-0000-0000D62C0000}"/>
    <cellStyle name="20 % - Markeringsfarve4 3 2 3 2 2 3 2" xfId="27361" xr:uid="{00000000-0005-0000-0000-0000D72C0000}"/>
    <cellStyle name="20 % - Markeringsfarve4 3 2 3 2 2 3 3" xfId="42327" xr:uid="{00000000-0005-0000-0000-0000D82C0000}"/>
    <cellStyle name="20 % - Markeringsfarve4 3 2 3 2 2 4" xfId="20339" xr:uid="{00000000-0005-0000-0000-0000D92C0000}"/>
    <cellStyle name="20 % - Markeringsfarve4 3 2 3 2 2 5" xfId="35328" xr:uid="{00000000-0005-0000-0000-0000DA2C0000}"/>
    <cellStyle name="20 % - Markeringsfarve4 3 2 3 2 3" xfId="6260" xr:uid="{00000000-0005-0000-0000-0000DB2C0000}"/>
    <cellStyle name="20 % - Markeringsfarve4 3 2 3 2 3 2" xfId="14178" xr:uid="{00000000-0005-0000-0000-0000DC2C0000}"/>
    <cellStyle name="20 % - Markeringsfarve4 3 2 3 2 3 2 2" xfId="30493" xr:uid="{00000000-0005-0000-0000-0000DD2C0000}"/>
    <cellStyle name="20 % - Markeringsfarve4 3 2 3 2 3 2 3" xfId="45457" xr:uid="{00000000-0005-0000-0000-0000DE2C0000}"/>
    <cellStyle name="20 % - Markeringsfarve4 3 2 3 2 3 3" xfId="23471" xr:uid="{00000000-0005-0000-0000-0000DF2C0000}"/>
    <cellStyle name="20 % - Markeringsfarve4 3 2 3 2 3 4" xfId="38458" xr:uid="{00000000-0005-0000-0000-0000E02C0000}"/>
    <cellStyle name="20 % - Markeringsfarve4 3 2 3 2 4" xfId="11040" xr:uid="{00000000-0005-0000-0000-0000E12C0000}"/>
    <cellStyle name="20 % - Markeringsfarve4 3 2 3 2 4 2" xfId="27360" xr:uid="{00000000-0005-0000-0000-0000E22C0000}"/>
    <cellStyle name="20 % - Markeringsfarve4 3 2 3 2 4 3" xfId="42326" xr:uid="{00000000-0005-0000-0000-0000E32C0000}"/>
    <cellStyle name="20 % - Markeringsfarve4 3 2 3 2 5" xfId="20338" xr:uid="{00000000-0005-0000-0000-0000E42C0000}"/>
    <cellStyle name="20 % - Markeringsfarve4 3 2 3 2 6" xfId="35327" xr:uid="{00000000-0005-0000-0000-0000E52C0000}"/>
    <cellStyle name="20 % - Markeringsfarve4 3 2 3 3" xfId="2482" xr:uid="{00000000-0005-0000-0000-0000E62C0000}"/>
    <cellStyle name="20 % - Markeringsfarve4 3 2 3 3 2" xfId="6926" xr:uid="{00000000-0005-0000-0000-0000E72C0000}"/>
    <cellStyle name="20 % - Markeringsfarve4 3 2 3 3 2 2" xfId="14838" xr:uid="{00000000-0005-0000-0000-0000E82C0000}"/>
    <cellStyle name="20 % - Markeringsfarve4 3 2 3 3 2 2 2" xfId="31153" xr:uid="{00000000-0005-0000-0000-0000E92C0000}"/>
    <cellStyle name="20 % - Markeringsfarve4 3 2 3 3 2 2 3" xfId="46117" xr:uid="{00000000-0005-0000-0000-0000EA2C0000}"/>
    <cellStyle name="20 % - Markeringsfarve4 3 2 3 3 2 3" xfId="24131" xr:uid="{00000000-0005-0000-0000-0000EB2C0000}"/>
    <cellStyle name="20 % - Markeringsfarve4 3 2 3 3 2 4" xfId="39118" xr:uid="{00000000-0005-0000-0000-0000EC2C0000}"/>
    <cellStyle name="20 % - Markeringsfarve4 3 2 3 3 3" xfId="11042" xr:uid="{00000000-0005-0000-0000-0000ED2C0000}"/>
    <cellStyle name="20 % - Markeringsfarve4 3 2 3 3 3 2" xfId="27362" xr:uid="{00000000-0005-0000-0000-0000EE2C0000}"/>
    <cellStyle name="20 % - Markeringsfarve4 3 2 3 3 3 3" xfId="42328" xr:uid="{00000000-0005-0000-0000-0000EF2C0000}"/>
    <cellStyle name="20 % - Markeringsfarve4 3 2 3 3 4" xfId="20340" xr:uid="{00000000-0005-0000-0000-0000F02C0000}"/>
    <cellStyle name="20 % - Markeringsfarve4 3 2 3 3 5" xfId="35329" xr:uid="{00000000-0005-0000-0000-0000F12C0000}"/>
    <cellStyle name="20 % - Markeringsfarve4 3 2 3 4" xfId="2483" xr:uid="{00000000-0005-0000-0000-0000F22C0000}"/>
    <cellStyle name="20 % - Markeringsfarve4 3 2 3 4 2" xfId="8345" xr:uid="{00000000-0005-0000-0000-0000F32C0000}"/>
    <cellStyle name="20 % - Markeringsfarve4 3 2 3 4 2 2" xfId="16239" xr:uid="{00000000-0005-0000-0000-0000F42C0000}"/>
    <cellStyle name="20 % - Markeringsfarve4 3 2 3 4 2 2 2" xfId="32554" xr:uid="{00000000-0005-0000-0000-0000F52C0000}"/>
    <cellStyle name="20 % - Markeringsfarve4 3 2 3 4 2 2 3" xfId="47518" xr:uid="{00000000-0005-0000-0000-0000F62C0000}"/>
    <cellStyle name="20 % - Markeringsfarve4 3 2 3 4 2 3" xfId="25532" xr:uid="{00000000-0005-0000-0000-0000F72C0000}"/>
    <cellStyle name="20 % - Markeringsfarve4 3 2 3 4 2 4" xfId="40519" xr:uid="{00000000-0005-0000-0000-0000F82C0000}"/>
    <cellStyle name="20 % - Markeringsfarve4 3 2 3 4 3" xfId="11043" xr:uid="{00000000-0005-0000-0000-0000F92C0000}"/>
    <cellStyle name="20 % - Markeringsfarve4 3 2 3 4 3 2" xfId="27363" xr:uid="{00000000-0005-0000-0000-0000FA2C0000}"/>
    <cellStyle name="20 % - Markeringsfarve4 3 2 3 4 3 3" xfId="42329" xr:uid="{00000000-0005-0000-0000-0000FB2C0000}"/>
    <cellStyle name="20 % - Markeringsfarve4 3 2 3 4 4" xfId="20341" xr:uid="{00000000-0005-0000-0000-0000FC2C0000}"/>
    <cellStyle name="20 % - Markeringsfarve4 3 2 3 4 5" xfId="35330" xr:uid="{00000000-0005-0000-0000-0000FD2C0000}"/>
    <cellStyle name="20 % - Markeringsfarve4 3 2 3 5" xfId="5541" xr:uid="{00000000-0005-0000-0000-0000FE2C0000}"/>
    <cellStyle name="20 % - Markeringsfarve4 3 2 3 5 2" xfId="13460" xr:uid="{00000000-0005-0000-0000-0000FF2C0000}"/>
    <cellStyle name="20 % - Markeringsfarve4 3 2 3 5 2 2" xfId="29775" xr:uid="{00000000-0005-0000-0000-0000002D0000}"/>
    <cellStyle name="20 % - Markeringsfarve4 3 2 3 5 2 3" xfId="44739" xr:uid="{00000000-0005-0000-0000-0000012D0000}"/>
    <cellStyle name="20 % - Markeringsfarve4 3 2 3 5 3" xfId="22753" xr:uid="{00000000-0005-0000-0000-0000022D0000}"/>
    <cellStyle name="20 % - Markeringsfarve4 3 2 3 5 4" xfId="37740" xr:uid="{00000000-0005-0000-0000-0000032D0000}"/>
    <cellStyle name="20 % - Markeringsfarve4 3 2 3 6" xfId="11039" xr:uid="{00000000-0005-0000-0000-0000042D0000}"/>
    <cellStyle name="20 % - Markeringsfarve4 3 2 3 6 2" xfId="27359" xr:uid="{00000000-0005-0000-0000-0000052D0000}"/>
    <cellStyle name="20 % - Markeringsfarve4 3 2 3 6 3" xfId="42325" xr:uid="{00000000-0005-0000-0000-0000062D0000}"/>
    <cellStyle name="20 % - Markeringsfarve4 3 2 3 7" xfId="20337" xr:uid="{00000000-0005-0000-0000-0000072D0000}"/>
    <cellStyle name="20 % - Markeringsfarve4 3 2 3 8" xfId="35326" xr:uid="{00000000-0005-0000-0000-0000082D0000}"/>
    <cellStyle name="20 % - Markeringsfarve4 3 2 4" xfId="2484" xr:uid="{00000000-0005-0000-0000-0000092D0000}"/>
    <cellStyle name="20 % - Markeringsfarve4 3 2 4 2" xfId="2485" xr:uid="{00000000-0005-0000-0000-00000A2D0000}"/>
    <cellStyle name="20 % - Markeringsfarve4 3 2 4 2 2" xfId="2486" xr:uid="{00000000-0005-0000-0000-00000B2D0000}"/>
    <cellStyle name="20 % - Markeringsfarve4 3 2 4 2 2 2" xfId="7844" xr:uid="{00000000-0005-0000-0000-00000C2D0000}"/>
    <cellStyle name="20 % - Markeringsfarve4 3 2 4 2 2 2 2" xfId="15746" xr:uid="{00000000-0005-0000-0000-00000D2D0000}"/>
    <cellStyle name="20 % - Markeringsfarve4 3 2 4 2 2 2 2 2" xfId="32061" xr:uid="{00000000-0005-0000-0000-00000E2D0000}"/>
    <cellStyle name="20 % - Markeringsfarve4 3 2 4 2 2 2 2 3" xfId="47025" xr:uid="{00000000-0005-0000-0000-00000F2D0000}"/>
    <cellStyle name="20 % - Markeringsfarve4 3 2 4 2 2 2 3" xfId="25039" xr:uid="{00000000-0005-0000-0000-0000102D0000}"/>
    <cellStyle name="20 % - Markeringsfarve4 3 2 4 2 2 2 4" xfId="40026" xr:uid="{00000000-0005-0000-0000-0000112D0000}"/>
    <cellStyle name="20 % - Markeringsfarve4 3 2 4 2 2 3" xfId="11046" xr:uid="{00000000-0005-0000-0000-0000122D0000}"/>
    <cellStyle name="20 % - Markeringsfarve4 3 2 4 2 2 3 2" xfId="27366" xr:uid="{00000000-0005-0000-0000-0000132D0000}"/>
    <cellStyle name="20 % - Markeringsfarve4 3 2 4 2 2 3 3" xfId="42332" xr:uid="{00000000-0005-0000-0000-0000142D0000}"/>
    <cellStyle name="20 % - Markeringsfarve4 3 2 4 2 2 4" xfId="20344" xr:uid="{00000000-0005-0000-0000-0000152D0000}"/>
    <cellStyle name="20 % - Markeringsfarve4 3 2 4 2 2 5" xfId="35333" xr:uid="{00000000-0005-0000-0000-0000162D0000}"/>
    <cellStyle name="20 % - Markeringsfarve4 3 2 4 2 3" xfId="6382" xr:uid="{00000000-0005-0000-0000-0000172D0000}"/>
    <cellStyle name="20 % - Markeringsfarve4 3 2 4 2 3 2" xfId="14297" xr:uid="{00000000-0005-0000-0000-0000182D0000}"/>
    <cellStyle name="20 % - Markeringsfarve4 3 2 4 2 3 2 2" xfId="30612" xr:uid="{00000000-0005-0000-0000-0000192D0000}"/>
    <cellStyle name="20 % - Markeringsfarve4 3 2 4 2 3 2 3" xfId="45576" xr:uid="{00000000-0005-0000-0000-00001A2D0000}"/>
    <cellStyle name="20 % - Markeringsfarve4 3 2 4 2 3 3" xfId="23590" xr:uid="{00000000-0005-0000-0000-00001B2D0000}"/>
    <cellStyle name="20 % - Markeringsfarve4 3 2 4 2 3 4" xfId="38577" xr:uid="{00000000-0005-0000-0000-00001C2D0000}"/>
    <cellStyle name="20 % - Markeringsfarve4 3 2 4 2 4" xfId="11045" xr:uid="{00000000-0005-0000-0000-00001D2D0000}"/>
    <cellStyle name="20 % - Markeringsfarve4 3 2 4 2 4 2" xfId="27365" xr:uid="{00000000-0005-0000-0000-00001E2D0000}"/>
    <cellStyle name="20 % - Markeringsfarve4 3 2 4 2 4 3" xfId="42331" xr:uid="{00000000-0005-0000-0000-00001F2D0000}"/>
    <cellStyle name="20 % - Markeringsfarve4 3 2 4 2 5" xfId="20343" xr:uid="{00000000-0005-0000-0000-0000202D0000}"/>
    <cellStyle name="20 % - Markeringsfarve4 3 2 4 2 6" xfId="35332" xr:uid="{00000000-0005-0000-0000-0000212D0000}"/>
    <cellStyle name="20 % - Markeringsfarve4 3 2 4 3" xfId="2487" xr:uid="{00000000-0005-0000-0000-0000222D0000}"/>
    <cellStyle name="20 % - Markeringsfarve4 3 2 4 3 2" xfId="7120" xr:uid="{00000000-0005-0000-0000-0000232D0000}"/>
    <cellStyle name="20 % - Markeringsfarve4 3 2 4 3 2 2" xfId="15031" xr:uid="{00000000-0005-0000-0000-0000242D0000}"/>
    <cellStyle name="20 % - Markeringsfarve4 3 2 4 3 2 2 2" xfId="31346" xr:uid="{00000000-0005-0000-0000-0000252D0000}"/>
    <cellStyle name="20 % - Markeringsfarve4 3 2 4 3 2 2 3" xfId="46310" xr:uid="{00000000-0005-0000-0000-0000262D0000}"/>
    <cellStyle name="20 % - Markeringsfarve4 3 2 4 3 2 3" xfId="24324" xr:uid="{00000000-0005-0000-0000-0000272D0000}"/>
    <cellStyle name="20 % - Markeringsfarve4 3 2 4 3 2 4" xfId="39311" xr:uid="{00000000-0005-0000-0000-0000282D0000}"/>
    <cellStyle name="20 % - Markeringsfarve4 3 2 4 3 3" xfId="11047" xr:uid="{00000000-0005-0000-0000-0000292D0000}"/>
    <cellStyle name="20 % - Markeringsfarve4 3 2 4 3 3 2" xfId="27367" xr:uid="{00000000-0005-0000-0000-00002A2D0000}"/>
    <cellStyle name="20 % - Markeringsfarve4 3 2 4 3 3 3" xfId="42333" xr:uid="{00000000-0005-0000-0000-00002B2D0000}"/>
    <cellStyle name="20 % - Markeringsfarve4 3 2 4 3 4" xfId="20345" xr:uid="{00000000-0005-0000-0000-00002C2D0000}"/>
    <cellStyle name="20 % - Markeringsfarve4 3 2 4 3 5" xfId="35334" xr:uid="{00000000-0005-0000-0000-00002D2D0000}"/>
    <cellStyle name="20 % - Markeringsfarve4 3 2 4 4" xfId="2488" xr:uid="{00000000-0005-0000-0000-00002E2D0000}"/>
    <cellStyle name="20 % - Markeringsfarve4 3 2 4 4 2" xfId="8593" xr:uid="{00000000-0005-0000-0000-00002F2D0000}"/>
    <cellStyle name="20 % - Markeringsfarve4 3 2 4 4 2 2" xfId="16477" xr:uid="{00000000-0005-0000-0000-0000302D0000}"/>
    <cellStyle name="20 % - Markeringsfarve4 3 2 4 4 2 2 2" xfId="32792" xr:uid="{00000000-0005-0000-0000-0000312D0000}"/>
    <cellStyle name="20 % - Markeringsfarve4 3 2 4 4 2 2 3" xfId="47756" xr:uid="{00000000-0005-0000-0000-0000322D0000}"/>
    <cellStyle name="20 % - Markeringsfarve4 3 2 4 4 2 3" xfId="25770" xr:uid="{00000000-0005-0000-0000-0000332D0000}"/>
    <cellStyle name="20 % - Markeringsfarve4 3 2 4 4 2 4" xfId="40757" xr:uid="{00000000-0005-0000-0000-0000342D0000}"/>
    <cellStyle name="20 % - Markeringsfarve4 3 2 4 4 3" xfId="11048" xr:uid="{00000000-0005-0000-0000-0000352D0000}"/>
    <cellStyle name="20 % - Markeringsfarve4 3 2 4 4 3 2" xfId="27368" xr:uid="{00000000-0005-0000-0000-0000362D0000}"/>
    <cellStyle name="20 % - Markeringsfarve4 3 2 4 4 3 3" xfId="42334" xr:uid="{00000000-0005-0000-0000-0000372D0000}"/>
    <cellStyle name="20 % - Markeringsfarve4 3 2 4 4 4" xfId="20346" xr:uid="{00000000-0005-0000-0000-0000382D0000}"/>
    <cellStyle name="20 % - Markeringsfarve4 3 2 4 4 5" xfId="35335" xr:uid="{00000000-0005-0000-0000-0000392D0000}"/>
    <cellStyle name="20 % - Markeringsfarve4 3 2 4 5" xfId="5542" xr:uid="{00000000-0005-0000-0000-00003A2D0000}"/>
    <cellStyle name="20 % - Markeringsfarve4 3 2 4 5 2" xfId="13461" xr:uid="{00000000-0005-0000-0000-00003B2D0000}"/>
    <cellStyle name="20 % - Markeringsfarve4 3 2 4 5 2 2" xfId="29776" xr:uid="{00000000-0005-0000-0000-00003C2D0000}"/>
    <cellStyle name="20 % - Markeringsfarve4 3 2 4 5 2 3" xfId="44740" xr:uid="{00000000-0005-0000-0000-00003D2D0000}"/>
    <cellStyle name="20 % - Markeringsfarve4 3 2 4 5 3" xfId="22754" xr:uid="{00000000-0005-0000-0000-00003E2D0000}"/>
    <cellStyle name="20 % - Markeringsfarve4 3 2 4 5 4" xfId="37741" xr:uid="{00000000-0005-0000-0000-00003F2D0000}"/>
    <cellStyle name="20 % - Markeringsfarve4 3 2 4 6" xfId="11044" xr:uid="{00000000-0005-0000-0000-0000402D0000}"/>
    <cellStyle name="20 % - Markeringsfarve4 3 2 4 6 2" xfId="27364" xr:uid="{00000000-0005-0000-0000-0000412D0000}"/>
    <cellStyle name="20 % - Markeringsfarve4 3 2 4 6 3" xfId="42330" xr:uid="{00000000-0005-0000-0000-0000422D0000}"/>
    <cellStyle name="20 % - Markeringsfarve4 3 2 4 7" xfId="20342" xr:uid="{00000000-0005-0000-0000-0000432D0000}"/>
    <cellStyle name="20 % - Markeringsfarve4 3 2 4 8" xfId="35331" xr:uid="{00000000-0005-0000-0000-0000442D0000}"/>
    <cellStyle name="20 % - Markeringsfarve4 3 2 5" xfId="2489" xr:uid="{00000000-0005-0000-0000-0000452D0000}"/>
    <cellStyle name="20 % - Markeringsfarve4 3 2 5 2" xfId="2490" xr:uid="{00000000-0005-0000-0000-0000462D0000}"/>
    <cellStyle name="20 % - Markeringsfarve4 3 2 5 2 2" xfId="2491" xr:uid="{00000000-0005-0000-0000-0000472D0000}"/>
    <cellStyle name="20 % - Markeringsfarve4 3 2 5 2 2 2" xfId="7961" xr:uid="{00000000-0005-0000-0000-0000482D0000}"/>
    <cellStyle name="20 % - Markeringsfarve4 3 2 5 2 2 2 2" xfId="15863" xr:uid="{00000000-0005-0000-0000-0000492D0000}"/>
    <cellStyle name="20 % - Markeringsfarve4 3 2 5 2 2 2 2 2" xfId="32178" xr:uid="{00000000-0005-0000-0000-00004A2D0000}"/>
    <cellStyle name="20 % - Markeringsfarve4 3 2 5 2 2 2 2 3" xfId="47142" xr:uid="{00000000-0005-0000-0000-00004B2D0000}"/>
    <cellStyle name="20 % - Markeringsfarve4 3 2 5 2 2 2 3" xfId="25156" xr:uid="{00000000-0005-0000-0000-00004C2D0000}"/>
    <cellStyle name="20 % - Markeringsfarve4 3 2 5 2 2 2 4" xfId="40143" xr:uid="{00000000-0005-0000-0000-00004D2D0000}"/>
    <cellStyle name="20 % - Markeringsfarve4 3 2 5 2 2 3" xfId="11051" xr:uid="{00000000-0005-0000-0000-00004E2D0000}"/>
    <cellStyle name="20 % - Markeringsfarve4 3 2 5 2 2 3 2" xfId="27371" xr:uid="{00000000-0005-0000-0000-00004F2D0000}"/>
    <cellStyle name="20 % - Markeringsfarve4 3 2 5 2 2 3 3" xfId="42337" xr:uid="{00000000-0005-0000-0000-0000502D0000}"/>
    <cellStyle name="20 % - Markeringsfarve4 3 2 5 2 2 4" xfId="20349" xr:uid="{00000000-0005-0000-0000-0000512D0000}"/>
    <cellStyle name="20 % - Markeringsfarve4 3 2 5 2 2 5" xfId="35338" xr:uid="{00000000-0005-0000-0000-0000522D0000}"/>
    <cellStyle name="20 % - Markeringsfarve4 3 2 5 2 3" xfId="6481" xr:uid="{00000000-0005-0000-0000-0000532D0000}"/>
    <cellStyle name="20 % - Markeringsfarve4 3 2 5 2 3 2" xfId="14396" xr:uid="{00000000-0005-0000-0000-0000542D0000}"/>
    <cellStyle name="20 % - Markeringsfarve4 3 2 5 2 3 2 2" xfId="30711" xr:uid="{00000000-0005-0000-0000-0000552D0000}"/>
    <cellStyle name="20 % - Markeringsfarve4 3 2 5 2 3 2 3" xfId="45675" xr:uid="{00000000-0005-0000-0000-0000562D0000}"/>
    <cellStyle name="20 % - Markeringsfarve4 3 2 5 2 3 3" xfId="23689" xr:uid="{00000000-0005-0000-0000-0000572D0000}"/>
    <cellStyle name="20 % - Markeringsfarve4 3 2 5 2 3 4" xfId="38676" xr:uid="{00000000-0005-0000-0000-0000582D0000}"/>
    <cellStyle name="20 % - Markeringsfarve4 3 2 5 2 4" xfId="11050" xr:uid="{00000000-0005-0000-0000-0000592D0000}"/>
    <cellStyle name="20 % - Markeringsfarve4 3 2 5 2 4 2" xfId="27370" xr:uid="{00000000-0005-0000-0000-00005A2D0000}"/>
    <cellStyle name="20 % - Markeringsfarve4 3 2 5 2 4 3" xfId="42336" xr:uid="{00000000-0005-0000-0000-00005B2D0000}"/>
    <cellStyle name="20 % - Markeringsfarve4 3 2 5 2 5" xfId="20348" xr:uid="{00000000-0005-0000-0000-00005C2D0000}"/>
    <cellStyle name="20 % - Markeringsfarve4 3 2 5 2 6" xfId="35337" xr:uid="{00000000-0005-0000-0000-00005D2D0000}"/>
    <cellStyle name="20 % - Markeringsfarve4 3 2 5 3" xfId="2492" xr:uid="{00000000-0005-0000-0000-00005E2D0000}"/>
    <cellStyle name="20 % - Markeringsfarve4 3 2 5 3 2" xfId="7237" xr:uid="{00000000-0005-0000-0000-00005F2D0000}"/>
    <cellStyle name="20 % - Markeringsfarve4 3 2 5 3 2 2" xfId="15148" xr:uid="{00000000-0005-0000-0000-0000602D0000}"/>
    <cellStyle name="20 % - Markeringsfarve4 3 2 5 3 2 2 2" xfId="31463" xr:uid="{00000000-0005-0000-0000-0000612D0000}"/>
    <cellStyle name="20 % - Markeringsfarve4 3 2 5 3 2 2 3" xfId="46427" xr:uid="{00000000-0005-0000-0000-0000622D0000}"/>
    <cellStyle name="20 % - Markeringsfarve4 3 2 5 3 2 3" xfId="24441" xr:uid="{00000000-0005-0000-0000-0000632D0000}"/>
    <cellStyle name="20 % - Markeringsfarve4 3 2 5 3 2 4" xfId="39428" xr:uid="{00000000-0005-0000-0000-0000642D0000}"/>
    <cellStyle name="20 % - Markeringsfarve4 3 2 5 3 3" xfId="11052" xr:uid="{00000000-0005-0000-0000-0000652D0000}"/>
    <cellStyle name="20 % - Markeringsfarve4 3 2 5 3 3 2" xfId="27372" xr:uid="{00000000-0005-0000-0000-0000662D0000}"/>
    <cellStyle name="20 % - Markeringsfarve4 3 2 5 3 3 3" xfId="42338" xr:uid="{00000000-0005-0000-0000-0000672D0000}"/>
    <cellStyle name="20 % - Markeringsfarve4 3 2 5 3 4" xfId="20350" xr:uid="{00000000-0005-0000-0000-0000682D0000}"/>
    <cellStyle name="20 % - Markeringsfarve4 3 2 5 3 5" xfId="35339" xr:uid="{00000000-0005-0000-0000-0000692D0000}"/>
    <cellStyle name="20 % - Markeringsfarve4 3 2 5 4" xfId="2493" xr:uid="{00000000-0005-0000-0000-00006A2D0000}"/>
    <cellStyle name="20 % - Markeringsfarve4 3 2 5 4 2" xfId="8242" xr:uid="{00000000-0005-0000-0000-00006B2D0000}"/>
    <cellStyle name="20 % - Markeringsfarve4 3 2 5 4 2 2" xfId="16137" xr:uid="{00000000-0005-0000-0000-00006C2D0000}"/>
    <cellStyle name="20 % - Markeringsfarve4 3 2 5 4 2 2 2" xfId="32452" xr:uid="{00000000-0005-0000-0000-00006D2D0000}"/>
    <cellStyle name="20 % - Markeringsfarve4 3 2 5 4 2 2 3" xfId="47416" xr:uid="{00000000-0005-0000-0000-00006E2D0000}"/>
    <cellStyle name="20 % - Markeringsfarve4 3 2 5 4 2 3" xfId="25430" xr:uid="{00000000-0005-0000-0000-00006F2D0000}"/>
    <cellStyle name="20 % - Markeringsfarve4 3 2 5 4 2 4" xfId="40417" xr:uid="{00000000-0005-0000-0000-0000702D0000}"/>
    <cellStyle name="20 % - Markeringsfarve4 3 2 5 4 3" xfId="11053" xr:uid="{00000000-0005-0000-0000-0000712D0000}"/>
    <cellStyle name="20 % - Markeringsfarve4 3 2 5 4 3 2" xfId="27373" xr:uid="{00000000-0005-0000-0000-0000722D0000}"/>
    <cellStyle name="20 % - Markeringsfarve4 3 2 5 4 3 3" xfId="42339" xr:uid="{00000000-0005-0000-0000-0000732D0000}"/>
    <cellStyle name="20 % - Markeringsfarve4 3 2 5 4 4" xfId="20351" xr:uid="{00000000-0005-0000-0000-0000742D0000}"/>
    <cellStyle name="20 % - Markeringsfarve4 3 2 5 4 5" xfId="35340" xr:uid="{00000000-0005-0000-0000-0000752D0000}"/>
    <cellStyle name="20 % - Markeringsfarve4 3 2 5 5" xfId="5543" xr:uid="{00000000-0005-0000-0000-0000762D0000}"/>
    <cellStyle name="20 % - Markeringsfarve4 3 2 5 5 2" xfId="13462" xr:uid="{00000000-0005-0000-0000-0000772D0000}"/>
    <cellStyle name="20 % - Markeringsfarve4 3 2 5 5 2 2" xfId="29777" xr:uid="{00000000-0005-0000-0000-0000782D0000}"/>
    <cellStyle name="20 % - Markeringsfarve4 3 2 5 5 2 3" xfId="44741" xr:uid="{00000000-0005-0000-0000-0000792D0000}"/>
    <cellStyle name="20 % - Markeringsfarve4 3 2 5 5 3" xfId="22755" xr:uid="{00000000-0005-0000-0000-00007A2D0000}"/>
    <cellStyle name="20 % - Markeringsfarve4 3 2 5 5 4" xfId="37742" xr:uid="{00000000-0005-0000-0000-00007B2D0000}"/>
    <cellStyle name="20 % - Markeringsfarve4 3 2 5 6" xfId="11049" xr:uid="{00000000-0005-0000-0000-00007C2D0000}"/>
    <cellStyle name="20 % - Markeringsfarve4 3 2 5 6 2" xfId="27369" xr:uid="{00000000-0005-0000-0000-00007D2D0000}"/>
    <cellStyle name="20 % - Markeringsfarve4 3 2 5 6 3" xfId="42335" xr:uid="{00000000-0005-0000-0000-00007E2D0000}"/>
    <cellStyle name="20 % - Markeringsfarve4 3 2 5 7" xfId="20347" xr:uid="{00000000-0005-0000-0000-00007F2D0000}"/>
    <cellStyle name="20 % - Markeringsfarve4 3 2 5 8" xfId="35336" xr:uid="{00000000-0005-0000-0000-0000802D0000}"/>
    <cellStyle name="20 % - Markeringsfarve4 3 2 6" xfId="2494" xr:uid="{00000000-0005-0000-0000-0000812D0000}"/>
    <cellStyle name="20 % - Markeringsfarve4 3 2 6 2" xfId="2495" xr:uid="{00000000-0005-0000-0000-0000822D0000}"/>
    <cellStyle name="20 % - Markeringsfarve4 3 2 6 2 2" xfId="2496" xr:uid="{00000000-0005-0000-0000-0000832D0000}"/>
    <cellStyle name="20 % - Markeringsfarve4 3 2 6 2 2 2" xfId="8051" xr:uid="{00000000-0005-0000-0000-0000842D0000}"/>
    <cellStyle name="20 % - Markeringsfarve4 3 2 6 2 2 2 2" xfId="15953" xr:uid="{00000000-0005-0000-0000-0000852D0000}"/>
    <cellStyle name="20 % - Markeringsfarve4 3 2 6 2 2 2 2 2" xfId="32268" xr:uid="{00000000-0005-0000-0000-0000862D0000}"/>
    <cellStyle name="20 % - Markeringsfarve4 3 2 6 2 2 2 2 3" xfId="47232" xr:uid="{00000000-0005-0000-0000-0000872D0000}"/>
    <cellStyle name="20 % - Markeringsfarve4 3 2 6 2 2 2 3" xfId="25246" xr:uid="{00000000-0005-0000-0000-0000882D0000}"/>
    <cellStyle name="20 % - Markeringsfarve4 3 2 6 2 2 2 4" xfId="40233" xr:uid="{00000000-0005-0000-0000-0000892D0000}"/>
    <cellStyle name="20 % - Markeringsfarve4 3 2 6 2 2 3" xfId="11056" xr:uid="{00000000-0005-0000-0000-00008A2D0000}"/>
    <cellStyle name="20 % - Markeringsfarve4 3 2 6 2 2 3 2" xfId="27376" xr:uid="{00000000-0005-0000-0000-00008B2D0000}"/>
    <cellStyle name="20 % - Markeringsfarve4 3 2 6 2 2 3 3" xfId="42342" xr:uid="{00000000-0005-0000-0000-00008C2D0000}"/>
    <cellStyle name="20 % - Markeringsfarve4 3 2 6 2 2 4" xfId="20354" xr:uid="{00000000-0005-0000-0000-00008D2D0000}"/>
    <cellStyle name="20 % - Markeringsfarve4 3 2 6 2 2 5" xfId="35343" xr:uid="{00000000-0005-0000-0000-00008E2D0000}"/>
    <cellStyle name="20 % - Markeringsfarve4 3 2 6 2 3" xfId="6562" xr:uid="{00000000-0005-0000-0000-00008F2D0000}"/>
    <cellStyle name="20 % - Markeringsfarve4 3 2 6 2 3 2" xfId="14477" xr:uid="{00000000-0005-0000-0000-0000902D0000}"/>
    <cellStyle name="20 % - Markeringsfarve4 3 2 6 2 3 2 2" xfId="30792" xr:uid="{00000000-0005-0000-0000-0000912D0000}"/>
    <cellStyle name="20 % - Markeringsfarve4 3 2 6 2 3 2 3" xfId="45756" xr:uid="{00000000-0005-0000-0000-0000922D0000}"/>
    <cellStyle name="20 % - Markeringsfarve4 3 2 6 2 3 3" xfId="23770" xr:uid="{00000000-0005-0000-0000-0000932D0000}"/>
    <cellStyle name="20 % - Markeringsfarve4 3 2 6 2 3 4" xfId="38757" xr:uid="{00000000-0005-0000-0000-0000942D0000}"/>
    <cellStyle name="20 % - Markeringsfarve4 3 2 6 2 4" xfId="11055" xr:uid="{00000000-0005-0000-0000-0000952D0000}"/>
    <cellStyle name="20 % - Markeringsfarve4 3 2 6 2 4 2" xfId="27375" xr:uid="{00000000-0005-0000-0000-0000962D0000}"/>
    <cellStyle name="20 % - Markeringsfarve4 3 2 6 2 4 3" xfId="42341" xr:uid="{00000000-0005-0000-0000-0000972D0000}"/>
    <cellStyle name="20 % - Markeringsfarve4 3 2 6 2 5" xfId="20353" xr:uid="{00000000-0005-0000-0000-0000982D0000}"/>
    <cellStyle name="20 % - Markeringsfarve4 3 2 6 2 6" xfId="35342" xr:uid="{00000000-0005-0000-0000-0000992D0000}"/>
    <cellStyle name="20 % - Markeringsfarve4 3 2 6 3" xfId="2497" xr:uid="{00000000-0005-0000-0000-00009A2D0000}"/>
    <cellStyle name="20 % - Markeringsfarve4 3 2 6 3 2" xfId="7328" xr:uid="{00000000-0005-0000-0000-00009B2D0000}"/>
    <cellStyle name="20 % - Markeringsfarve4 3 2 6 3 2 2" xfId="15239" xr:uid="{00000000-0005-0000-0000-00009C2D0000}"/>
    <cellStyle name="20 % - Markeringsfarve4 3 2 6 3 2 2 2" xfId="31554" xr:uid="{00000000-0005-0000-0000-00009D2D0000}"/>
    <cellStyle name="20 % - Markeringsfarve4 3 2 6 3 2 2 3" xfId="46518" xr:uid="{00000000-0005-0000-0000-00009E2D0000}"/>
    <cellStyle name="20 % - Markeringsfarve4 3 2 6 3 2 3" xfId="24532" xr:uid="{00000000-0005-0000-0000-00009F2D0000}"/>
    <cellStyle name="20 % - Markeringsfarve4 3 2 6 3 2 4" xfId="39519" xr:uid="{00000000-0005-0000-0000-0000A02D0000}"/>
    <cellStyle name="20 % - Markeringsfarve4 3 2 6 3 3" xfId="11057" xr:uid="{00000000-0005-0000-0000-0000A12D0000}"/>
    <cellStyle name="20 % - Markeringsfarve4 3 2 6 3 3 2" xfId="27377" xr:uid="{00000000-0005-0000-0000-0000A22D0000}"/>
    <cellStyle name="20 % - Markeringsfarve4 3 2 6 3 3 3" xfId="42343" xr:uid="{00000000-0005-0000-0000-0000A32D0000}"/>
    <cellStyle name="20 % - Markeringsfarve4 3 2 6 3 4" xfId="20355" xr:uid="{00000000-0005-0000-0000-0000A42D0000}"/>
    <cellStyle name="20 % - Markeringsfarve4 3 2 6 3 5" xfId="35344" xr:uid="{00000000-0005-0000-0000-0000A52D0000}"/>
    <cellStyle name="20 % - Markeringsfarve4 3 2 6 4" xfId="2498" xr:uid="{00000000-0005-0000-0000-0000A62D0000}"/>
    <cellStyle name="20 % - Markeringsfarve4 3 2 6 4 2" xfId="8529" xr:uid="{00000000-0005-0000-0000-0000A72D0000}"/>
    <cellStyle name="20 % - Markeringsfarve4 3 2 6 4 2 2" xfId="16417" xr:uid="{00000000-0005-0000-0000-0000A82D0000}"/>
    <cellStyle name="20 % - Markeringsfarve4 3 2 6 4 2 2 2" xfId="32732" xr:uid="{00000000-0005-0000-0000-0000A92D0000}"/>
    <cellStyle name="20 % - Markeringsfarve4 3 2 6 4 2 2 3" xfId="47696" xr:uid="{00000000-0005-0000-0000-0000AA2D0000}"/>
    <cellStyle name="20 % - Markeringsfarve4 3 2 6 4 2 3" xfId="25710" xr:uid="{00000000-0005-0000-0000-0000AB2D0000}"/>
    <cellStyle name="20 % - Markeringsfarve4 3 2 6 4 2 4" xfId="40697" xr:uid="{00000000-0005-0000-0000-0000AC2D0000}"/>
    <cellStyle name="20 % - Markeringsfarve4 3 2 6 4 3" xfId="11058" xr:uid="{00000000-0005-0000-0000-0000AD2D0000}"/>
    <cellStyle name="20 % - Markeringsfarve4 3 2 6 4 3 2" xfId="27378" xr:uid="{00000000-0005-0000-0000-0000AE2D0000}"/>
    <cellStyle name="20 % - Markeringsfarve4 3 2 6 4 3 3" xfId="42344" xr:uid="{00000000-0005-0000-0000-0000AF2D0000}"/>
    <cellStyle name="20 % - Markeringsfarve4 3 2 6 4 4" xfId="20356" xr:uid="{00000000-0005-0000-0000-0000B02D0000}"/>
    <cellStyle name="20 % - Markeringsfarve4 3 2 6 4 5" xfId="35345" xr:uid="{00000000-0005-0000-0000-0000B12D0000}"/>
    <cellStyle name="20 % - Markeringsfarve4 3 2 6 5" xfId="5544" xr:uid="{00000000-0005-0000-0000-0000B22D0000}"/>
    <cellStyle name="20 % - Markeringsfarve4 3 2 6 5 2" xfId="13463" xr:uid="{00000000-0005-0000-0000-0000B32D0000}"/>
    <cellStyle name="20 % - Markeringsfarve4 3 2 6 5 2 2" xfId="29778" xr:uid="{00000000-0005-0000-0000-0000B42D0000}"/>
    <cellStyle name="20 % - Markeringsfarve4 3 2 6 5 2 3" xfId="44742" xr:uid="{00000000-0005-0000-0000-0000B52D0000}"/>
    <cellStyle name="20 % - Markeringsfarve4 3 2 6 5 3" xfId="22756" xr:uid="{00000000-0005-0000-0000-0000B62D0000}"/>
    <cellStyle name="20 % - Markeringsfarve4 3 2 6 5 4" xfId="37743" xr:uid="{00000000-0005-0000-0000-0000B72D0000}"/>
    <cellStyle name="20 % - Markeringsfarve4 3 2 6 6" xfId="11054" xr:uid="{00000000-0005-0000-0000-0000B82D0000}"/>
    <cellStyle name="20 % - Markeringsfarve4 3 2 6 6 2" xfId="27374" xr:uid="{00000000-0005-0000-0000-0000B92D0000}"/>
    <cellStyle name="20 % - Markeringsfarve4 3 2 6 6 3" xfId="42340" xr:uid="{00000000-0005-0000-0000-0000BA2D0000}"/>
    <cellStyle name="20 % - Markeringsfarve4 3 2 6 7" xfId="20352" xr:uid="{00000000-0005-0000-0000-0000BB2D0000}"/>
    <cellStyle name="20 % - Markeringsfarve4 3 2 6 8" xfId="35341" xr:uid="{00000000-0005-0000-0000-0000BC2D0000}"/>
    <cellStyle name="20 % - Markeringsfarve4 3 2 7" xfId="2499" xr:uid="{00000000-0005-0000-0000-0000BD2D0000}"/>
    <cellStyle name="20 % - Markeringsfarve4 3 2 7 2" xfId="2500" xr:uid="{00000000-0005-0000-0000-0000BE2D0000}"/>
    <cellStyle name="20 % - Markeringsfarve4 3 2 7 2 2" xfId="7487" xr:uid="{00000000-0005-0000-0000-0000BF2D0000}"/>
    <cellStyle name="20 % - Markeringsfarve4 3 2 7 2 2 2" xfId="15389" xr:uid="{00000000-0005-0000-0000-0000C02D0000}"/>
    <cellStyle name="20 % - Markeringsfarve4 3 2 7 2 2 2 2" xfId="31704" xr:uid="{00000000-0005-0000-0000-0000C12D0000}"/>
    <cellStyle name="20 % - Markeringsfarve4 3 2 7 2 2 2 3" xfId="46668" xr:uid="{00000000-0005-0000-0000-0000C22D0000}"/>
    <cellStyle name="20 % - Markeringsfarve4 3 2 7 2 2 3" xfId="24682" xr:uid="{00000000-0005-0000-0000-0000C32D0000}"/>
    <cellStyle name="20 % - Markeringsfarve4 3 2 7 2 2 4" xfId="39669" xr:uid="{00000000-0005-0000-0000-0000C42D0000}"/>
    <cellStyle name="20 % - Markeringsfarve4 3 2 7 2 3" xfId="11060" xr:uid="{00000000-0005-0000-0000-0000C52D0000}"/>
    <cellStyle name="20 % - Markeringsfarve4 3 2 7 2 3 2" xfId="27380" xr:uid="{00000000-0005-0000-0000-0000C62D0000}"/>
    <cellStyle name="20 % - Markeringsfarve4 3 2 7 2 3 3" xfId="42346" xr:uid="{00000000-0005-0000-0000-0000C72D0000}"/>
    <cellStyle name="20 % - Markeringsfarve4 3 2 7 2 4" xfId="20358" xr:uid="{00000000-0005-0000-0000-0000C82D0000}"/>
    <cellStyle name="20 % - Markeringsfarve4 3 2 7 2 5" xfId="35347" xr:uid="{00000000-0005-0000-0000-0000C92D0000}"/>
    <cellStyle name="20 % - Markeringsfarve4 3 2 7 3" xfId="6081" xr:uid="{00000000-0005-0000-0000-0000CA2D0000}"/>
    <cellStyle name="20 % - Markeringsfarve4 3 2 7 3 2" xfId="13999" xr:uid="{00000000-0005-0000-0000-0000CB2D0000}"/>
    <cellStyle name="20 % - Markeringsfarve4 3 2 7 3 2 2" xfId="30314" xr:uid="{00000000-0005-0000-0000-0000CC2D0000}"/>
    <cellStyle name="20 % - Markeringsfarve4 3 2 7 3 2 3" xfId="45278" xr:uid="{00000000-0005-0000-0000-0000CD2D0000}"/>
    <cellStyle name="20 % - Markeringsfarve4 3 2 7 3 3" xfId="23292" xr:uid="{00000000-0005-0000-0000-0000CE2D0000}"/>
    <cellStyle name="20 % - Markeringsfarve4 3 2 7 3 4" xfId="38279" xr:uid="{00000000-0005-0000-0000-0000CF2D0000}"/>
    <cellStyle name="20 % - Markeringsfarve4 3 2 7 4" xfId="11059" xr:uid="{00000000-0005-0000-0000-0000D02D0000}"/>
    <cellStyle name="20 % - Markeringsfarve4 3 2 7 4 2" xfId="27379" xr:uid="{00000000-0005-0000-0000-0000D12D0000}"/>
    <cellStyle name="20 % - Markeringsfarve4 3 2 7 4 3" xfId="42345" xr:uid="{00000000-0005-0000-0000-0000D22D0000}"/>
    <cellStyle name="20 % - Markeringsfarve4 3 2 7 5" xfId="20357" xr:uid="{00000000-0005-0000-0000-0000D32D0000}"/>
    <cellStyle name="20 % - Markeringsfarve4 3 2 7 6" xfId="35346" xr:uid="{00000000-0005-0000-0000-0000D42D0000}"/>
    <cellStyle name="20 % - Markeringsfarve4 3 2 8" xfId="2501" xr:uid="{00000000-0005-0000-0000-0000D52D0000}"/>
    <cellStyle name="20 % - Markeringsfarve4 3 2 8 2" xfId="6715" xr:uid="{00000000-0005-0000-0000-0000D62D0000}"/>
    <cellStyle name="20 % - Markeringsfarve4 3 2 8 2 2" xfId="14627" xr:uid="{00000000-0005-0000-0000-0000D72D0000}"/>
    <cellStyle name="20 % - Markeringsfarve4 3 2 8 2 2 2" xfId="30942" xr:uid="{00000000-0005-0000-0000-0000D82D0000}"/>
    <cellStyle name="20 % - Markeringsfarve4 3 2 8 2 2 3" xfId="45906" xr:uid="{00000000-0005-0000-0000-0000D92D0000}"/>
    <cellStyle name="20 % - Markeringsfarve4 3 2 8 2 3" xfId="23920" xr:uid="{00000000-0005-0000-0000-0000DA2D0000}"/>
    <cellStyle name="20 % - Markeringsfarve4 3 2 8 2 4" xfId="38907" xr:uid="{00000000-0005-0000-0000-0000DB2D0000}"/>
    <cellStyle name="20 % - Markeringsfarve4 3 2 8 3" xfId="11061" xr:uid="{00000000-0005-0000-0000-0000DC2D0000}"/>
    <cellStyle name="20 % - Markeringsfarve4 3 2 8 3 2" xfId="27381" xr:uid="{00000000-0005-0000-0000-0000DD2D0000}"/>
    <cellStyle name="20 % - Markeringsfarve4 3 2 8 3 3" xfId="42347" xr:uid="{00000000-0005-0000-0000-0000DE2D0000}"/>
    <cellStyle name="20 % - Markeringsfarve4 3 2 8 4" xfId="20359" xr:uid="{00000000-0005-0000-0000-0000DF2D0000}"/>
    <cellStyle name="20 % - Markeringsfarve4 3 2 8 5" xfId="35348" xr:uid="{00000000-0005-0000-0000-0000E02D0000}"/>
    <cellStyle name="20 % - Markeringsfarve4 3 2 9" xfId="2502" xr:uid="{00000000-0005-0000-0000-0000E12D0000}"/>
    <cellStyle name="20 % - Markeringsfarve4 3 2 9 2" xfId="8386" xr:uid="{00000000-0005-0000-0000-0000E22D0000}"/>
    <cellStyle name="20 % - Markeringsfarve4 3 2 9 2 2" xfId="16279" xr:uid="{00000000-0005-0000-0000-0000E32D0000}"/>
    <cellStyle name="20 % - Markeringsfarve4 3 2 9 2 2 2" xfId="32594" xr:uid="{00000000-0005-0000-0000-0000E42D0000}"/>
    <cellStyle name="20 % - Markeringsfarve4 3 2 9 2 2 3" xfId="47558" xr:uid="{00000000-0005-0000-0000-0000E52D0000}"/>
    <cellStyle name="20 % - Markeringsfarve4 3 2 9 2 3" xfId="25572" xr:uid="{00000000-0005-0000-0000-0000E62D0000}"/>
    <cellStyle name="20 % - Markeringsfarve4 3 2 9 2 4" xfId="40559" xr:uid="{00000000-0005-0000-0000-0000E72D0000}"/>
    <cellStyle name="20 % - Markeringsfarve4 3 2 9 3" xfId="11062" xr:uid="{00000000-0005-0000-0000-0000E82D0000}"/>
    <cellStyle name="20 % - Markeringsfarve4 3 2 9 3 2" xfId="27382" xr:uid="{00000000-0005-0000-0000-0000E92D0000}"/>
    <cellStyle name="20 % - Markeringsfarve4 3 2 9 3 3" xfId="42348" xr:uid="{00000000-0005-0000-0000-0000EA2D0000}"/>
    <cellStyle name="20 % - Markeringsfarve4 3 2 9 4" xfId="20360" xr:uid="{00000000-0005-0000-0000-0000EB2D0000}"/>
    <cellStyle name="20 % - Markeringsfarve4 3 2 9 5" xfId="35349" xr:uid="{00000000-0005-0000-0000-0000EC2D0000}"/>
    <cellStyle name="20 % - Markeringsfarve4 3 3" xfId="2503" xr:uid="{00000000-0005-0000-0000-0000ED2D0000}"/>
    <cellStyle name="20 % - Markeringsfarve4 3 3 10" xfId="5545" xr:uid="{00000000-0005-0000-0000-0000EE2D0000}"/>
    <cellStyle name="20 % - Markeringsfarve4 3 3 10 2" xfId="13464" xr:uid="{00000000-0005-0000-0000-0000EF2D0000}"/>
    <cellStyle name="20 % - Markeringsfarve4 3 3 10 2 2" xfId="29779" xr:uid="{00000000-0005-0000-0000-0000F02D0000}"/>
    <cellStyle name="20 % - Markeringsfarve4 3 3 10 2 3" xfId="44743" xr:uid="{00000000-0005-0000-0000-0000F12D0000}"/>
    <cellStyle name="20 % - Markeringsfarve4 3 3 10 3" xfId="22757" xr:uid="{00000000-0005-0000-0000-0000F22D0000}"/>
    <cellStyle name="20 % - Markeringsfarve4 3 3 10 4" xfId="37744" xr:uid="{00000000-0005-0000-0000-0000F32D0000}"/>
    <cellStyle name="20 % - Markeringsfarve4 3 3 11" xfId="11063" xr:uid="{00000000-0005-0000-0000-0000F42D0000}"/>
    <cellStyle name="20 % - Markeringsfarve4 3 3 11 2" xfId="27383" xr:uid="{00000000-0005-0000-0000-0000F52D0000}"/>
    <cellStyle name="20 % - Markeringsfarve4 3 3 11 3" xfId="42349" xr:uid="{00000000-0005-0000-0000-0000F62D0000}"/>
    <cellStyle name="20 % - Markeringsfarve4 3 3 12" xfId="20361" xr:uid="{00000000-0005-0000-0000-0000F72D0000}"/>
    <cellStyle name="20 % - Markeringsfarve4 3 3 13" xfId="35350" xr:uid="{00000000-0005-0000-0000-0000F82D0000}"/>
    <cellStyle name="20 % - Markeringsfarve4 3 3 14" xfId="56481" xr:uid="{00000000-0005-0000-0000-0000F92D0000}"/>
    <cellStyle name="20 % - Markeringsfarve4 3 3 2" xfId="2504" xr:uid="{00000000-0005-0000-0000-0000FA2D0000}"/>
    <cellStyle name="20 % - Markeringsfarve4 3 3 2 2" xfId="2505" xr:uid="{00000000-0005-0000-0000-0000FB2D0000}"/>
    <cellStyle name="20 % - Markeringsfarve4 3 3 2 2 2" xfId="2506" xr:uid="{00000000-0005-0000-0000-0000FC2D0000}"/>
    <cellStyle name="20 % - Markeringsfarve4 3 3 2 2 2 2" xfId="7645" xr:uid="{00000000-0005-0000-0000-0000FD2D0000}"/>
    <cellStyle name="20 % - Markeringsfarve4 3 3 2 2 2 2 2" xfId="15547" xr:uid="{00000000-0005-0000-0000-0000FE2D0000}"/>
    <cellStyle name="20 % - Markeringsfarve4 3 3 2 2 2 2 2 2" xfId="31862" xr:uid="{00000000-0005-0000-0000-0000FF2D0000}"/>
    <cellStyle name="20 % - Markeringsfarve4 3 3 2 2 2 2 2 3" xfId="46826" xr:uid="{00000000-0005-0000-0000-0000002E0000}"/>
    <cellStyle name="20 % - Markeringsfarve4 3 3 2 2 2 2 3" xfId="24840" xr:uid="{00000000-0005-0000-0000-0000012E0000}"/>
    <cellStyle name="20 % - Markeringsfarve4 3 3 2 2 2 2 4" xfId="39827" xr:uid="{00000000-0005-0000-0000-0000022E0000}"/>
    <cellStyle name="20 % - Markeringsfarve4 3 3 2 2 2 3" xfId="11066" xr:uid="{00000000-0005-0000-0000-0000032E0000}"/>
    <cellStyle name="20 % - Markeringsfarve4 3 3 2 2 2 3 2" xfId="27386" xr:uid="{00000000-0005-0000-0000-0000042E0000}"/>
    <cellStyle name="20 % - Markeringsfarve4 3 3 2 2 2 3 3" xfId="42352" xr:uid="{00000000-0005-0000-0000-0000052E0000}"/>
    <cellStyle name="20 % - Markeringsfarve4 3 3 2 2 2 4" xfId="20364" xr:uid="{00000000-0005-0000-0000-0000062E0000}"/>
    <cellStyle name="20 % - Markeringsfarve4 3 3 2 2 2 5" xfId="35353" xr:uid="{00000000-0005-0000-0000-0000072E0000}"/>
    <cellStyle name="20 % - Markeringsfarve4 3 3 2 2 3" xfId="6213" xr:uid="{00000000-0005-0000-0000-0000082E0000}"/>
    <cellStyle name="20 % - Markeringsfarve4 3 3 2 2 3 2" xfId="14131" xr:uid="{00000000-0005-0000-0000-0000092E0000}"/>
    <cellStyle name="20 % - Markeringsfarve4 3 3 2 2 3 2 2" xfId="30446" xr:uid="{00000000-0005-0000-0000-00000A2E0000}"/>
    <cellStyle name="20 % - Markeringsfarve4 3 3 2 2 3 2 3" xfId="45410" xr:uid="{00000000-0005-0000-0000-00000B2E0000}"/>
    <cellStyle name="20 % - Markeringsfarve4 3 3 2 2 3 3" xfId="23424" xr:uid="{00000000-0005-0000-0000-00000C2E0000}"/>
    <cellStyle name="20 % - Markeringsfarve4 3 3 2 2 3 4" xfId="38411" xr:uid="{00000000-0005-0000-0000-00000D2E0000}"/>
    <cellStyle name="20 % - Markeringsfarve4 3 3 2 2 4" xfId="11065" xr:uid="{00000000-0005-0000-0000-00000E2E0000}"/>
    <cellStyle name="20 % - Markeringsfarve4 3 3 2 2 4 2" xfId="27385" xr:uid="{00000000-0005-0000-0000-00000F2E0000}"/>
    <cellStyle name="20 % - Markeringsfarve4 3 3 2 2 4 3" xfId="42351" xr:uid="{00000000-0005-0000-0000-0000102E0000}"/>
    <cellStyle name="20 % - Markeringsfarve4 3 3 2 2 5" xfId="20363" xr:uid="{00000000-0005-0000-0000-0000112E0000}"/>
    <cellStyle name="20 % - Markeringsfarve4 3 3 2 2 6" xfId="35352" xr:uid="{00000000-0005-0000-0000-0000122E0000}"/>
    <cellStyle name="20 % - Markeringsfarve4 3 3 2 3" xfId="2507" xr:uid="{00000000-0005-0000-0000-0000132E0000}"/>
    <cellStyle name="20 % - Markeringsfarve4 3 3 2 3 2" xfId="6875" xr:uid="{00000000-0005-0000-0000-0000142E0000}"/>
    <cellStyle name="20 % - Markeringsfarve4 3 3 2 3 2 2" xfId="14787" xr:uid="{00000000-0005-0000-0000-0000152E0000}"/>
    <cellStyle name="20 % - Markeringsfarve4 3 3 2 3 2 2 2" xfId="31102" xr:uid="{00000000-0005-0000-0000-0000162E0000}"/>
    <cellStyle name="20 % - Markeringsfarve4 3 3 2 3 2 2 3" xfId="46066" xr:uid="{00000000-0005-0000-0000-0000172E0000}"/>
    <cellStyle name="20 % - Markeringsfarve4 3 3 2 3 2 3" xfId="24080" xr:uid="{00000000-0005-0000-0000-0000182E0000}"/>
    <cellStyle name="20 % - Markeringsfarve4 3 3 2 3 2 4" xfId="39067" xr:uid="{00000000-0005-0000-0000-0000192E0000}"/>
    <cellStyle name="20 % - Markeringsfarve4 3 3 2 3 3" xfId="11067" xr:uid="{00000000-0005-0000-0000-00001A2E0000}"/>
    <cellStyle name="20 % - Markeringsfarve4 3 3 2 3 3 2" xfId="27387" xr:uid="{00000000-0005-0000-0000-00001B2E0000}"/>
    <cellStyle name="20 % - Markeringsfarve4 3 3 2 3 3 3" xfId="42353" xr:uid="{00000000-0005-0000-0000-00001C2E0000}"/>
    <cellStyle name="20 % - Markeringsfarve4 3 3 2 3 4" xfId="20365" xr:uid="{00000000-0005-0000-0000-00001D2E0000}"/>
    <cellStyle name="20 % - Markeringsfarve4 3 3 2 3 5" xfId="35354" xr:uid="{00000000-0005-0000-0000-00001E2E0000}"/>
    <cellStyle name="20 % - Markeringsfarve4 3 3 2 4" xfId="2508" xr:uid="{00000000-0005-0000-0000-00001F2E0000}"/>
    <cellStyle name="20 % - Markeringsfarve4 3 3 2 4 2" xfId="7439" xr:uid="{00000000-0005-0000-0000-0000202E0000}"/>
    <cellStyle name="20 % - Markeringsfarve4 3 3 2 4 2 2" xfId="15341" xr:uid="{00000000-0005-0000-0000-0000212E0000}"/>
    <cellStyle name="20 % - Markeringsfarve4 3 3 2 4 2 2 2" xfId="31656" xr:uid="{00000000-0005-0000-0000-0000222E0000}"/>
    <cellStyle name="20 % - Markeringsfarve4 3 3 2 4 2 2 3" xfId="46620" xr:uid="{00000000-0005-0000-0000-0000232E0000}"/>
    <cellStyle name="20 % - Markeringsfarve4 3 3 2 4 2 3" xfId="24634" xr:uid="{00000000-0005-0000-0000-0000242E0000}"/>
    <cellStyle name="20 % - Markeringsfarve4 3 3 2 4 2 4" xfId="39621" xr:uid="{00000000-0005-0000-0000-0000252E0000}"/>
    <cellStyle name="20 % - Markeringsfarve4 3 3 2 4 3" xfId="11068" xr:uid="{00000000-0005-0000-0000-0000262E0000}"/>
    <cellStyle name="20 % - Markeringsfarve4 3 3 2 4 3 2" xfId="27388" xr:uid="{00000000-0005-0000-0000-0000272E0000}"/>
    <cellStyle name="20 % - Markeringsfarve4 3 3 2 4 3 3" xfId="42354" xr:uid="{00000000-0005-0000-0000-0000282E0000}"/>
    <cellStyle name="20 % - Markeringsfarve4 3 3 2 4 4" xfId="20366" xr:uid="{00000000-0005-0000-0000-0000292E0000}"/>
    <cellStyle name="20 % - Markeringsfarve4 3 3 2 4 5" xfId="35355" xr:uid="{00000000-0005-0000-0000-00002A2E0000}"/>
    <cellStyle name="20 % - Markeringsfarve4 3 3 2 5" xfId="5546" xr:uid="{00000000-0005-0000-0000-00002B2E0000}"/>
    <cellStyle name="20 % - Markeringsfarve4 3 3 2 5 2" xfId="13465" xr:uid="{00000000-0005-0000-0000-00002C2E0000}"/>
    <cellStyle name="20 % - Markeringsfarve4 3 3 2 5 2 2" xfId="29780" xr:uid="{00000000-0005-0000-0000-00002D2E0000}"/>
    <cellStyle name="20 % - Markeringsfarve4 3 3 2 5 2 3" xfId="44744" xr:uid="{00000000-0005-0000-0000-00002E2E0000}"/>
    <cellStyle name="20 % - Markeringsfarve4 3 3 2 5 3" xfId="22758" xr:uid="{00000000-0005-0000-0000-00002F2E0000}"/>
    <cellStyle name="20 % - Markeringsfarve4 3 3 2 5 4" xfId="37745" xr:uid="{00000000-0005-0000-0000-0000302E0000}"/>
    <cellStyle name="20 % - Markeringsfarve4 3 3 2 6" xfId="11064" xr:uid="{00000000-0005-0000-0000-0000312E0000}"/>
    <cellStyle name="20 % - Markeringsfarve4 3 3 2 6 2" xfId="27384" xr:uid="{00000000-0005-0000-0000-0000322E0000}"/>
    <cellStyle name="20 % - Markeringsfarve4 3 3 2 6 3" xfId="42350" xr:uid="{00000000-0005-0000-0000-0000332E0000}"/>
    <cellStyle name="20 % - Markeringsfarve4 3 3 2 7" xfId="20362" xr:uid="{00000000-0005-0000-0000-0000342E0000}"/>
    <cellStyle name="20 % - Markeringsfarve4 3 3 2 8" xfId="35351" xr:uid="{00000000-0005-0000-0000-0000352E0000}"/>
    <cellStyle name="20 % - Markeringsfarve4 3 3 3" xfId="2509" xr:uid="{00000000-0005-0000-0000-0000362E0000}"/>
    <cellStyle name="20 % - Markeringsfarve4 3 3 3 2" xfId="2510" xr:uid="{00000000-0005-0000-0000-0000372E0000}"/>
    <cellStyle name="20 % - Markeringsfarve4 3 3 3 2 2" xfId="2511" xr:uid="{00000000-0005-0000-0000-0000382E0000}"/>
    <cellStyle name="20 % - Markeringsfarve4 3 3 3 2 2 2" xfId="7697" xr:uid="{00000000-0005-0000-0000-0000392E0000}"/>
    <cellStyle name="20 % - Markeringsfarve4 3 3 3 2 2 2 2" xfId="15599" xr:uid="{00000000-0005-0000-0000-00003A2E0000}"/>
    <cellStyle name="20 % - Markeringsfarve4 3 3 3 2 2 2 2 2" xfId="31914" xr:uid="{00000000-0005-0000-0000-00003B2E0000}"/>
    <cellStyle name="20 % - Markeringsfarve4 3 3 3 2 2 2 2 3" xfId="46878" xr:uid="{00000000-0005-0000-0000-00003C2E0000}"/>
    <cellStyle name="20 % - Markeringsfarve4 3 3 3 2 2 2 3" xfId="24892" xr:uid="{00000000-0005-0000-0000-00003D2E0000}"/>
    <cellStyle name="20 % - Markeringsfarve4 3 3 3 2 2 2 4" xfId="39879" xr:uid="{00000000-0005-0000-0000-00003E2E0000}"/>
    <cellStyle name="20 % - Markeringsfarve4 3 3 3 2 2 3" xfId="11071" xr:uid="{00000000-0005-0000-0000-00003F2E0000}"/>
    <cellStyle name="20 % - Markeringsfarve4 3 3 3 2 2 3 2" xfId="27391" xr:uid="{00000000-0005-0000-0000-0000402E0000}"/>
    <cellStyle name="20 % - Markeringsfarve4 3 3 3 2 2 3 3" xfId="42357" xr:uid="{00000000-0005-0000-0000-0000412E0000}"/>
    <cellStyle name="20 % - Markeringsfarve4 3 3 3 2 2 4" xfId="20369" xr:uid="{00000000-0005-0000-0000-0000422E0000}"/>
    <cellStyle name="20 % - Markeringsfarve4 3 3 3 2 2 5" xfId="35358" xr:uid="{00000000-0005-0000-0000-0000432E0000}"/>
    <cellStyle name="20 % - Markeringsfarve4 3 3 3 2 3" xfId="6261" xr:uid="{00000000-0005-0000-0000-0000442E0000}"/>
    <cellStyle name="20 % - Markeringsfarve4 3 3 3 2 3 2" xfId="14179" xr:uid="{00000000-0005-0000-0000-0000452E0000}"/>
    <cellStyle name="20 % - Markeringsfarve4 3 3 3 2 3 2 2" xfId="30494" xr:uid="{00000000-0005-0000-0000-0000462E0000}"/>
    <cellStyle name="20 % - Markeringsfarve4 3 3 3 2 3 2 3" xfId="45458" xr:uid="{00000000-0005-0000-0000-0000472E0000}"/>
    <cellStyle name="20 % - Markeringsfarve4 3 3 3 2 3 3" xfId="23472" xr:uid="{00000000-0005-0000-0000-0000482E0000}"/>
    <cellStyle name="20 % - Markeringsfarve4 3 3 3 2 3 4" xfId="38459" xr:uid="{00000000-0005-0000-0000-0000492E0000}"/>
    <cellStyle name="20 % - Markeringsfarve4 3 3 3 2 4" xfId="11070" xr:uid="{00000000-0005-0000-0000-00004A2E0000}"/>
    <cellStyle name="20 % - Markeringsfarve4 3 3 3 2 4 2" xfId="27390" xr:uid="{00000000-0005-0000-0000-00004B2E0000}"/>
    <cellStyle name="20 % - Markeringsfarve4 3 3 3 2 4 3" xfId="42356" xr:uid="{00000000-0005-0000-0000-00004C2E0000}"/>
    <cellStyle name="20 % - Markeringsfarve4 3 3 3 2 5" xfId="20368" xr:uid="{00000000-0005-0000-0000-00004D2E0000}"/>
    <cellStyle name="20 % - Markeringsfarve4 3 3 3 2 6" xfId="35357" xr:uid="{00000000-0005-0000-0000-00004E2E0000}"/>
    <cellStyle name="20 % - Markeringsfarve4 3 3 3 3" xfId="2512" xr:uid="{00000000-0005-0000-0000-00004F2E0000}"/>
    <cellStyle name="20 % - Markeringsfarve4 3 3 3 3 2" xfId="6927" xr:uid="{00000000-0005-0000-0000-0000502E0000}"/>
    <cellStyle name="20 % - Markeringsfarve4 3 3 3 3 2 2" xfId="14839" xr:uid="{00000000-0005-0000-0000-0000512E0000}"/>
    <cellStyle name="20 % - Markeringsfarve4 3 3 3 3 2 2 2" xfId="31154" xr:uid="{00000000-0005-0000-0000-0000522E0000}"/>
    <cellStyle name="20 % - Markeringsfarve4 3 3 3 3 2 2 3" xfId="46118" xr:uid="{00000000-0005-0000-0000-0000532E0000}"/>
    <cellStyle name="20 % - Markeringsfarve4 3 3 3 3 2 3" xfId="24132" xr:uid="{00000000-0005-0000-0000-0000542E0000}"/>
    <cellStyle name="20 % - Markeringsfarve4 3 3 3 3 2 4" xfId="39119" xr:uid="{00000000-0005-0000-0000-0000552E0000}"/>
    <cellStyle name="20 % - Markeringsfarve4 3 3 3 3 3" xfId="11072" xr:uid="{00000000-0005-0000-0000-0000562E0000}"/>
    <cellStyle name="20 % - Markeringsfarve4 3 3 3 3 3 2" xfId="27392" xr:uid="{00000000-0005-0000-0000-0000572E0000}"/>
    <cellStyle name="20 % - Markeringsfarve4 3 3 3 3 3 3" xfId="42358" xr:uid="{00000000-0005-0000-0000-0000582E0000}"/>
    <cellStyle name="20 % - Markeringsfarve4 3 3 3 3 4" xfId="20370" xr:uid="{00000000-0005-0000-0000-0000592E0000}"/>
    <cellStyle name="20 % - Markeringsfarve4 3 3 3 3 5" xfId="35359" xr:uid="{00000000-0005-0000-0000-00005A2E0000}"/>
    <cellStyle name="20 % - Markeringsfarve4 3 3 3 4" xfId="2513" xr:uid="{00000000-0005-0000-0000-00005B2E0000}"/>
    <cellStyle name="20 % - Markeringsfarve4 3 3 3 4 2" xfId="7025" xr:uid="{00000000-0005-0000-0000-00005C2E0000}"/>
    <cellStyle name="20 % - Markeringsfarve4 3 3 3 4 2 2" xfId="14937" xr:uid="{00000000-0005-0000-0000-00005D2E0000}"/>
    <cellStyle name="20 % - Markeringsfarve4 3 3 3 4 2 2 2" xfId="31252" xr:uid="{00000000-0005-0000-0000-00005E2E0000}"/>
    <cellStyle name="20 % - Markeringsfarve4 3 3 3 4 2 2 3" xfId="46216" xr:uid="{00000000-0005-0000-0000-00005F2E0000}"/>
    <cellStyle name="20 % - Markeringsfarve4 3 3 3 4 2 3" xfId="24230" xr:uid="{00000000-0005-0000-0000-0000602E0000}"/>
    <cellStyle name="20 % - Markeringsfarve4 3 3 3 4 2 4" xfId="39217" xr:uid="{00000000-0005-0000-0000-0000612E0000}"/>
    <cellStyle name="20 % - Markeringsfarve4 3 3 3 4 3" xfId="11073" xr:uid="{00000000-0005-0000-0000-0000622E0000}"/>
    <cellStyle name="20 % - Markeringsfarve4 3 3 3 4 3 2" xfId="27393" xr:uid="{00000000-0005-0000-0000-0000632E0000}"/>
    <cellStyle name="20 % - Markeringsfarve4 3 3 3 4 3 3" xfId="42359" xr:uid="{00000000-0005-0000-0000-0000642E0000}"/>
    <cellStyle name="20 % - Markeringsfarve4 3 3 3 4 4" xfId="20371" xr:uid="{00000000-0005-0000-0000-0000652E0000}"/>
    <cellStyle name="20 % - Markeringsfarve4 3 3 3 4 5" xfId="35360" xr:uid="{00000000-0005-0000-0000-0000662E0000}"/>
    <cellStyle name="20 % - Markeringsfarve4 3 3 3 5" xfId="5547" xr:uid="{00000000-0005-0000-0000-0000672E0000}"/>
    <cellStyle name="20 % - Markeringsfarve4 3 3 3 5 2" xfId="13466" xr:uid="{00000000-0005-0000-0000-0000682E0000}"/>
    <cellStyle name="20 % - Markeringsfarve4 3 3 3 5 2 2" xfId="29781" xr:uid="{00000000-0005-0000-0000-0000692E0000}"/>
    <cellStyle name="20 % - Markeringsfarve4 3 3 3 5 2 3" xfId="44745" xr:uid="{00000000-0005-0000-0000-00006A2E0000}"/>
    <cellStyle name="20 % - Markeringsfarve4 3 3 3 5 3" xfId="22759" xr:uid="{00000000-0005-0000-0000-00006B2E0000}"/>
    <cellStyle name="20 % - Markeringsfarve4 3 3 3 5 4" xfId="37746" xr:uid="{00000000-0005-0000-0000-00006C2E0000}"/>
    <cellStyle name="20 % - Markeringsfarve4 3 3 3 6" xfId="11069" xr:uid="{00000000-0005-0000-0000-00006D2E0000}"/>
    <cellStyle name="20 % - Markeringsfarve4 3 3 3 6 2" xfId="27389" xr:uid="{00000000-0005-0000-0000-00006E2E0000}"/>
    <cellStyle name="20 % - Markeringsfarve4 3 3 3 6 3" xfId="42355" xr:uid="{00000000-0005-0000-0000-00006F2E0000}"/>
    <cellStyle name="20 % - Markeringsfarve4 3 3 3 7" xfId="20367" xr:uid="{00000000-0005-0000-0000-0000702E0000}"/>
    <cellStyle name="20 % - Markeringsfarve4 3 3 3 8" xfId="35356" xr:uid="{00000000-0005-0000-0000-0000712E0000}"/>
    <cellStyle name="20 % - Markeringsfarve4 3 3 4" xfId="2514" xr:uid="{00000000-0005-0000-0000-0000722E0000}"/>
    <cellStyle name="20 % - Markeringsfarve4 3 3 4 2" xfId="2515" xr:uid="{00000000-0005-0000-0000-0000732E0000}"/>
    <cellStyle name="20 % - Markeringsfarve4 3 3 4 2 2" xfId="2516" xr:uid="{00000000-0005-0000-0000-0000742E0000}"/>
    <cellStyle name="20 % - Markeringsfarve4 3 3 4 2 2 2" xfId="7883" xr:uid="{00000000-0005-0000-0000-0000752E0000}"/>
    <cellStyle name="20 % - Markeringsfarve4 3 3 4 2 2 2 2" xfId="15785" xr:uid="{00000000-0005-0000-0000-0000762E0000}"/>
    <cellStyle name="20 % - Markeringsfarve4 3 3 4 2 2 2 2 2" xfId="32100" xr:uid="{00000000-0005-0000-0000-0000772E0000}"/>
    <cellStyle name="20 % - Markeringsfarve4 3 3 4 2 2 2 2 3" xfId="47064" xr:uid="{00000000-0005-0000-0000-0000782E0000}"/>
    <cellStyle name="20 % - Markeringsfarve4 3 3 4 2 2 2 3" xfId="25078" xr:uid="{00000000-0005-0000-0000-0000792E0000}"/>
    <cellStyle name="20 % - Markeringsfarve4 3 3 4 2 2 2 4" xfId="40065" xr:uid="{00000000-0005-0000-0000-00007A2E0000}"/>
    <cellStyle name="20 % - Markeringsfarve4 3 3 4 2 2 3" xfId="11076" xr:uid="{00000000-0005-0000-0000-00007B2E0000}"/>
    <cellStyle name="20 % - Markeringsfarve4 3 3 4 2 2 3 2" xfId="27396" xr:uid="{00000000-0005-0000-0000-00007C2E0000}"/>
    <cellStyle name="20 % - Markeringsfarve4 3 3 4 2 2 3 3" xfId="42362" xr:uid="{00000000-0005-0000-0000-00007D2E0000}"/>
    <cellStyle name="20 % - Markeringsfarve4 3 3 4 2 2 4" xfId="20374" xr:uid="{00000000-0005-0000-0000-00007E2E0000}"/>
    <cellStyle name="20 % - Markeringsfarve4 3 3 4 2 2 5" xfId="35363" xr:uid="{00000000-0005-0000-0000-00007F2E0000}"/>
    <cellStyle name="20 % - Markeringsfarve4 3 3 4 2 3" xfId="6415" xr:uid="{00000000-0005-0000-0000-0000802E0000}"/>
    <cellStyle name="20 % - Markeringsfarve4 3 3 4 2 3 2" xfId="14330" xr:uid="{00000000-0005-0000-0000-0000812E0000}"/>
    <cellStyle name="20 % - Markeringsfarve4 3 3 4 2 3 2 2" xfId="30645" xr:uid="{00000000-0005-0000-0000-0000822E0000}"/>
    <cellStyle name="20 % - Markeringsfarve4 3 3 4 2 3 2 3" xfId="45609" xr:uid="{00000000-0005-0000-0000-0000832E0000}"/>
    <cellStyle name="20 % - Markeringsfarve4 3 3 4 2 3 3" xfId="23623" xr:uid="{00000000-0005-0000-0000-0000842E0000}"/>
    <cellStyle name="20 % - Markeringsfarve4 3 3 4 2 3 4" xfId="38610" xr:uid="{00000000-0005-0000-0000-0000852E0000}"/>
    <cellStyle name="20 % - Markeringsfarve4 3 3 4 2 4" xfId="11075" xr:uid="{00000000-0005-0000-0000-0000862E0000}"/>
    <cellStyle name="20 % - Markeringsfarve4 3 3 4 2 4 2" xfId="27395" xr:uid="{00000000-0005-0000-0000-0000872E0000}"/>
    <cellStyle name="20 % - Markeringsfarve4 3 3 4 2 4 3" xfId="42361" xr:uid="{00000000-0005-0000-0000-0000882E0000}"/>
    <cellStyle name="20 % - Markeringsfarve4 3 3 4 2 5" xfId="20373" xr:uid="{00000000-0005-0000-0000-0000892E0000}"/>
    <cellStyle name="20 % - Markeringsfarve4 3 3 4 2 6" xfId="35362" xr:uid="{00000000-0005-0000-0000-00008A2E0000}"/>
    <cellStyle name="20 % - Markeringsfarve4 3 3 4 3" xfId="2517" xr:uid="{00000000-0005-0000-0000-00008B2E0000}"/>
    <cellStyle name="20 % - Markeringsfarve4 3 3 4 3 2" xfId="7159" xr:uid="{00000000-0005-0000-0000-00008C2E0000}"/>
    <cellStyle name="20 % - Markeringsfarve4 3 3 4 3 2 2" xfId="15070" xr:uid="{00000000-0005-0000-0000-00008D2E0000}"/>
    <cellStyle name="20 % - Markeringsfarve4 3 3 4 3 2 2 2" xfId="31385" xr:uid="{00000000-0005-0000-0000-00008E2E0000}"/>
    <cellStyle name="20 % - Markeringsfarve4 3 3 4 3 2 2 3" xfId="46349" xr:uid="{00000000-0005-0000-0000-00008F2E0000}"/>
    <cellStyle name="20 % - Markeringsfarve4 3 3 4 3 2 3" xfId="24363" xr:uid="{00000000-0005-0000-0000-0000902E0000}"/>
    <cellStyle name="20 % - Markeringsfarve4 3 3 4 3 2 4" xfId="39350" xr:uid="{00000000-0005-0000-0000-0000912E0000}"/>
    <cellStyle name="20 % - Markeringsfarve4 3 3 4 3 3" xfId="11077" xr:uid="{00000000-0005-0000-0000-0000922E0000}"/>
    <cellStyle name="20 % - Markeringsfarve4 3 3 4 3 3 2" xfId="27397" xr:uid="{00000000-0005-0000-0000-0000932E0000}"/>
    <cellStyle name="20 % - Markeringsfarve4 3 3 4 3 3 3" xfId="42363" xr:uid="{00000000-0005-0000-0000-0000942E0000}"/>
    <cellStyle name="20 % - Markeringsfarve4 3 3 4 3 4" xfId="20375" xr:uid="{00000000-0005-0000-0000-0000952E0000}"/>
    <cellStyle name="20 % - Markeringsfarve4 3 3 4 3 5" xfId="35364" xr:uid="{00000000-0005-0000-0000-0000962E0000}"/>
    <cellStyle name="20 % - Markeringsfarve4 3 3 4 4" xfId="2518" xr:uid="{00000000-0005-0000-0000-0000972E0000}"/>
    <cellStyle name="20 % - Markeringsfarve4 3 3 4 4 2" xfId="8723" xr:uid="{00000000-0005-0000-0000-0000982E0000}"/>
    <cellStyle name="20 % - Markeringsfarve4 3 3 4 4 2 2" xfId="16600" xr:uid="{00000000-0005-0000-0000-0000992E0000}"/>
    <cellStyle name="20 % - Markeringsfarve4 3 3 4 4 2 2 2" xfId="32915" xr:uid="{00000000-0005-0000-0000-00009A2E0000}"/>
    <cellStyle name="20 % - Markeringsfarve4 3 3 4 4 2 2 3" xfId="47879" xr:uid="{00000000-0005-0000-0000-00009B2E0000}"/>
    <cellStyle name="20 % - Markeringsfarve4 3 3 4 4 2 3" xfId="25893" xr:uid="{00000000-0005-0000-0000-00009C2E0000}"/>
    <cellStyle name="20 % - Markeringsfarve4 3 3 4 4 2 4" xfId="40880" xr:uid="{00000000-0005-0000-0000-00009D2E0000}"/>
    <cellStyle name="20 % - Markeringsfarve4 3 3 4 4 3" xfId="11078" xr:uid="{00000000-0005-0000-0000-00009E2E0000}"/>
    <cellStyle name="20 % - Markeringsfarve4 3 3 4 4 3 2" xfId="27398" xr:uid="{00000000-0005-0000-0000-00009F2E0000}"/>
    <cellStyle name="20 % - Markeringsfarve4 3 3 4 4 3 3" xfId="42364" xr:uid="{00000000-0005-0000-0000-0000A02E0000}"/>
    <cellStyle name="20 % - Markeringsfarve4 3 3 4 4 4" xfId="20376" xr:uid="{00000000-0005-0000-0000-0000A12E0000}"/>
    <cellStyle name="20 % - Markeringsfarve4 3 3 4 4 5" xfId="35365" xr:uid="{00000000-0005-0000-0000-0000A22E0000}"/>
    <cellStyle name="20 % - Markeringsfarve4 3 3 4 5" xfId="5548" xr:uid="{00000000-0005-0000-0000-0000A32E0000}"/>
    <cellStyle name="20 % - Markeringsfarve4 3 3 4 5 2" xfId="13467" xr:uid="{00000000-0005-0000-0000-0000A42E0000}"/>
    <cellStyle name="20 % - Markeringsfarve4 3 3 4 5 2 2" xfId="29782" xr:uid="{00000000-0005-0000-0000-0000A52E0000}"/>
    <cellStyle name="20 % - Markeringsfarve4 3 3 4 5 2 3" xfId="44746" xr:uid="{00000000-0005-0000-0000-0000A62E0000}"/>
    <cellStyle name="20 % - Markeringsfarve4 3 3 4 5 3" xfId="22760" xr:uid="{00000000-0005-0000-0000-0000A72E0000}"/>
    <cellStyle name="20 % - Markeringsfarve4 3 3 4 5 4" xfId="37747" xr:uid="{00000000-0005-0000-0000-0000A82E0000}"/>
    <cellStyle name="20 % - Markeringsfarve4 3 3 4 6" xfId="11074" xr:uid="{00000000-0005-0000-0000-0000A92E0000}"/>
    <cellStyle name="20 % - Markeringsfarve4 3 3 4 6 2" xfId="27394" xr:uid="{00000000-0005-0000-0000-0000AA2E0000}"/>
    <cellStyle name="20 % - Markeringsfarve4 3 3 4 6 3" xfId="42360" xr:uid="{00000000-0005-0000-0000-0000AB2E0000}"/>
    <cellStyle name="20 % - Markeringsfarve4 3 3 4 7" xfId="20372" xr:uid="{00000000-0005-0000-0000-0000AC2E0000}"/>
    <cellStyle name="20 % - Markeringsfarve4 3 3 4 8" xfId="35361" xr:uid="{00000000-0005-0000-0000-0000AD2E0000}"/>
    <cellStyle name="20 % - Markeringsfarve4 3 3 5" xfId="2519" xr:uid="{00000000-0005-0000-0000-0000AE2E0000}"/>
    <cellStyle name="20 % - Markeringsfarve4 3 3 5 2" xfId="2520" xr:uid="{00000000-0005-0000-0000-0000AF2E0000}"/>
    <cellStyle name="20 % - Markeringsfarve4 3 3 5 2 2" xfId="2521" xr:uid="{00000000-0005-0000-0000-0000B02E0000}"/>
    <cellStyle name="20 % - Markeringsfarve4 3 3 5 2 2 2" xfId="8000" xr:uid="{00000000-0005-0000-0000-0000B12E0000}"/>
    <cellStyle name="20 % - Markeringsfarve4 3 3 5 2 2 2 2" xfId="15902" xr:uid="{00000000-0005-0000-0000-0000B22E0000}"/>
    <cellStyle name="20 % - Markeringsfarve4 3 3 5 2 2 2 2 2" xfId="32217" xr:uid="{00000000-0005-0000-0000-0000B32E0000}"/>
    <cellStyle name="20 % - Markeringsfarve4 3 3 5 2 2 2 2 3" xfId="47181" xr:uid="{00000000-0005-0000-0000-0000B42E0000}"/>
    <cellStyle name="20 % - Markeringsfarve4 3 3 5 2 2 2 3" xfId="25195" xr:uid="{00000000-0005-0000-0000-0000B52E0000}"/>
    <cellStyle name="20 % - Markeringsfarve4 3 3 5 2 2 2 4" xfId="40182" xr:uid="{00000000-0005-0000-0000-0000B62E0000}"/>
    <cellStyle name="20 % - Markeringsfarve4 3 3 5 2 2 3" xfId="11081" xr:uid="{00000000-0005-0000-0000-0000B72E0000}"/>
    <cellStyle name="20 % - Markeringsfarve4 3 3 5 2 2 3 2" xfId="27401" xr:uid="{00000000-0005-0000-0000-0000B82E0000}"/>
    <cellStyle name="20 % - Markeringsfarve4 3 3 5 2 2 3 3" xfId="42367" xr:uid="{00000000-0005-0000-0000-0000B92E0000}"/>
    <cellStyle name="20 % - Markeringsfarve4 3 3 5 2 2 4" xfId="20379" xr:uid="{00000000-0005-0000-0000-0000BA2E0000}"/>
    <cellStyle name="20 % - Markeringsfarve4 3 3 5 2 2 5" xfId="35368" xr:uid="{00000000-0005-0000-0000-0000BB2E0000}"/>
    <cellStyle name="20 % - Markeringsfarve4 3 3 5 2 3" xfId="6514" xr:uid="{00000000-0005-0000-0000-0000BC2E0000}"/>
    <cellStyle name="20 % - Markeringsfarve4 3 3 5 2 3 2" xfId="14429" xr:uid="{00000000-0005-0000-0000-0000BD2E0000}"/>
    <cellStyle name="20 % - Markeringsfarve4 3 3 5 2 3 2 2" xfId="30744" xr:uid="{00000000-0005-0000-0000-0000BE2E0000}"/>
    <cellStyle name="20 % - Markeringsfarve4 3 3 5 2 3 2 3" xfId="45708" xr:uid="{00000000-0005-0000-0000-0000BF2E0000}"/>
    <cellStyle name="20 % - Markeringsfarve4 3 3 5 2 3 3" xfId="23722" xr:uid="{00000000-0005-0000-0000-0000C02E0000}"/>
    <cellStyle name="20 % - Markeringsfarve4 3 3 5 2 3 4" xfId="38709" xr:uid="{00000000-0005-0000-0000-0000C12E0000}"/>
    <cellStyle name="20 % - Markeringsfarve4 3 3 5 2 4" xfId="11080" xr:uid="{00000000-0005-0000-0000-0000C22E0000}"/>
    <cellStyle name="20 % - Markeringsfarve4 3 3 5 2 4 2" xfId="27400" xr:uid="{00000000-0005-0000-0000-0000C32E0000}"/>
    <cellStyle name="20 % - Markeringsfarve4 3 3 5 2 4 3" xfId="42366" xr:uid="{00000000-0005-0000-0000-0000C42E0000}"/>
    <cellStyle name="20 % - Markeringsfarve4 3 3 5 2 5" xfId="20378" xr:uid="{00000000-0005-0000-0000-0000C52E0000}"/>
    <cellStyle name="20 % - Markeringsfarve4 3 3 5 2 6" xfId="35367" xr:uid="{00000000-0005-0000-0000-0000C62E0000}"/>
    <cellStyle name="20 % - Markeringsfarve4 3 3 5 3" xfId="2522" xr:uid="{00000000-0005-0000-0000-0000C72E0000}"/>
    <cellStyle name="20 % - Markeringsfarve4 3 3 5 3 2" xfId="7276" xr:uid="{00000000-0005-0000-0000-0000C82E0000}"/>
    <cellStyle name="20 % - Markeringsfarve4 3 3 5 3 2 2" xfId="15187" xr:uid="{00000000-0005-0000-0000-0000C92E0000}"/>
    <cellStyle name="20 % - Markeringsfarve4 3 3 5 3 2 2 2" xfId="31502" xr:uid="{00000000-0005-0000-0000-0000CA2E0000}"/>
    <cellStyle name="20 % - Markeringsfarve4 3 3 5 3 2 2 3" xfId="46466" xr:uid="{00000000-0005-0000-0000-0000CB2E0000}"/>
    <cellStyle name="20 % - Markeringsfarve4 3 3 5 3 2 3" xfId="24480" xr:uid="{00000000-0005-0000-0000-0000CC2E0000}"/>
    <cellStyle name="20 % - Markeringsfarve4 3 3 5 3 2 4" xfId="39467" xr:uid="{00000000-0005-0000-0000-0000CD2E0000}"/>
    <cellStyle name="20 % - Markeringsfarve4 3 3 5 3 3" xfId="11082" xr:uid="{00000000-0005-0000-0000-0000CE2E0000}"/>
    <cellStyle name="20 % - Markeringsfarve4 3 3 5 3 3 2" xfId="27402" xr:uid="{00000000-0005-0000-0000-0000CF2E0000}"/>
    <cellStyle name="20 % - Markeringsfarve4 3 3 5 3 3 3" xfId="42368" xr:uid="{00000000-0005-0000-0000-0000D02E0000}"/>
    <cellStyle name="20 % - Markeringsfarve4 3 3 5 3 4" xfId="20380" xr:uid="{00000000-0005-0000-0000-0000D12E0000}"/>
    <cellStyle name="20 % - Markeringsfarve4 3 3 5 3 5" xfId="35369" xr:uid="{00000000-0005-0000-0000-0000D22E0000}"/>
    <cellStyle name="20 % - Markeringsfarve4 3 3 5 4" xfId="2523" xr:uid="{00000000-0005-0000-0000-0000D32E0000}"/>
    <cellStyle name="20 % - Markeringsfarve4 3 3 5 4 2" xfId="8443" xr:uid="{00000000-0005-0000-0000-0000D42E0000}"/>
    <cellStyle name="20 % - Markeringsfarve4 3 3 5 4 2 2" xfId="16333" xr:uid="{00000000-0005-0000-0000-0000D52E0000}"/>
    <cellStyle name="20 % - Markeringsfarve4 3 3 5 4 2 2 2" xfId="32648" xr:uid="{00000000-0005-0000-0000-0000D62E0000}"/>
    <cellStyle name="20 % - Markeringsfarve4 3 3 5 4 2 2 3" xfId="47612" xr:uid="{00000000-0005-0000-0000-0000D72E0000}"/>
    <cellStyle name="20 % - Markeringsfarve4 3 3 5 4 2 3" xfId="25626" xr:uid="{00000000-0005-0000-0000-0000D82E0000}"/>
    <cellStyle name="20 % - Markeringsfarve4 3 3 5 4 2 4" xfId="40613" xr:uid="{00000000-0005-0000-0000-0000D92E0000}"/>
    <cellStyle name="20 % - Markeringsfarve4 3 3 5 4 3" xfId="11083" xr:uid="{00000000-0005-0000-0000-0000DA2E0000}"/>
    <cellStyle name="20 % - Markeringsfarve4 3 3 5 4 3 2" xfId="27403" xr:uid="{00000000-0005-0000-0000-0000DB2E0000}"/>
    <cellStyle name="20 % - Markeringsfarve4 3 3 5 4 3 3" xfId="42369" xr:uid="{00000000-0005-0000-0000-0000DC2E0000}"/>
    <cellStyle name="20 % - Markeringsfarve4 3 3 5 4 4" xfId="20381" xr:uid="{00000000-0005-0000-0000-0000DD2E0000}"/>
    <cellStyle name="20 % - Markeringsfarve4 3 3 5 4 5" xfId="35370" xr:uid="{00000000-0005-0000-0000-0000DE2E0000}"/>
    <cellStyle name="20 % - Markeringsfarve4 3 3 5 5" xfId="5549" xr:uid="{00000000-0005-0000-0000-0000DF2E0000}"/>
    <cellStyle name="20 % - Markeringsfarve4 3 3 5 5 2" xfId="13468" xr:uid="{00000000-0005-0000-0000-0000E02E0000}"/>
    <cellStyle name="20 % - Markeringsfarve4 3 3 5 5 2 2" xfId="29783" xr:uid="{00000000-0005-0000-0000-0000E12E0000}"/>
    <cellStyle name="20 % - Markeringsfarve4 3 3 5 5 2 3" xfId="44747" xr:uid="{00000000-0005-0000-0000-0000E22E0000}"/>
    <cellStyle name="20 % - Markeringsfarve4 3 3 5 5 3" xfId="22761" xr:uid="{00000000-0005-0000-0000-0000E32E0000}"/>
    <cellStyle name="20 % - Markeringsfarve4 3 3 5 5 4" xfId="37748" xr:uid="{00000000-0005-0000-0000-0000E42E0000}"/>
    <cellStyle name="20 % - Markeringsfarve4 3 3 5 6" xfId="11079" xr:uid="{00000000-0005-0000-0000-0000E52E0000}"/>
    <cellStyle name="20 % - Markeringsfarve4 3 3 5 6 2" xfId="27399" xr:uid="{00000000-0005-0000-0000-0000E62E0000}"/>
    <cellStyle name="20 % - Markeringsfarve4 3 3 5 6 3" xfId="42365" xr:uid="{00000000-0005-0000-0000-0000E72E0000}"/>
    <cellStyle name="20 % - Markeringsfarve4 3 3 5 7" xfId="20377" xr:uid="{00000000-0005-0000-0000-0000E82E0000}"/>
    <cellStyle name="20 % - Markeringsfarve4 3 3 5 8" xfId="35366" xr:uid="{00000000-0005-0000-0000-0000E92E0000}"/>
    <cellStyle name="20 % - Markeringsfarve4 3 3 6" xfId="2524" xr:uid="{00000000-0005-0000-0000-0000EA2E0000}"/>
    <cellStyle name="20 % - Markeringsfarve4 3 3 6 2" xfId="2525" xr:uid="{00000000-0005-0000-0000-0000EB2E0000}"/>
    <cellStyle name="20 % - Markeringsfarve4 3 3 6 2 2" xfId="2526" xr:uid="{00000000-0005-0000-0000-0000EC2E0000}"/>
    <cellStyle name="20 % - Markeringsfarve4 3 3 6 2 2 2" xfId="8052" xr:uid="{00000000-0005-0000-0000-0000ED2E0000}"/>
    <cellStyle name="20 % - Markeringsfarve4 3 3 6 2 2 2 2" xfId="15954" xr:uid="{00000000-0005-0000-0000-0000EE2E0000}"/>
    <cellStyle name="20 % - Markeringsfarve4 3 3 6 2 2 2 2 2" xfId="32269" xr:uid="{00000000-0005-0000-0000-0000EF2E0000}"/>
    <cellStyle name="20 % - Markeringsfarve4 3 3 6 2 2 2 2 3" xfId="47233" xr:uid="{00000000-0005-0000-0000-0000F02E0000}"/>
    <cellStyle name="20 % - Markeringsfarve4 3 3 6 2 2 2 3" xfId="25247" xr:uid="{00000000-0005-0000-0000-0000F12E0000}"/>
    <cellStyle name="20 % - Markeringsfarve4 3 3 6 2 2 2 4" xfId="40234" xr:uid="{00000000-0005-0000-0000-0000F22E0000}"/>
    <cellStyle name="20 % - Markeringsfarve4 3 3 6 2 2 3" xfId="11086" xr:uid="{00000000-0005-0000-0000-0000F32E0000}"/>
    <cellStyle name="20 % - Markeringsfarve4 3 3 6 2 2 3 2" xfId="27406" xr:uid="{00000000-0005-0000-0000-0000F42E0000}"/>
    <cellStyle name="20 % - Markeringsfarve4 3 3 6 2 2 3 3" xfId="42372" xr:uid="{00000000-0005-0000-0000-0000F52E0000}"/>
    <cellStyle name="20 % - Markeringsfarve4 3 3 6 2 2 4" xfId="20384" xr:uid="{00000000-0005-0000-0000-0000F62E0000}"/>
    <cellStyle name="20 % - Markeringsfarve4 3 3 6 2 2 5" xfId="35373" xr:uid="{00000000-0005-0000-0000-0000F72E0000}"/>
    <cellStyle name="20 % - Markeringsfarve4 3 3 6 2 3" xfId="6563" xr:uid="{00000000-0005-0000-0000-0000F82E0000}"/>
    <cellStyle name="20 % - Markeringsfarve4 3 3 6 2 3 2" xfId="14478" xr:uid="{00000000-0005-0000-0000-0000F92E0000}"/>
    <cellStyle name="20 % - Markeringsfarve4 3 3 6 2 3 2 2" xfId="30793" xr:uid="{00000000-0005-0000-0000-0000FA2E0000}"/>
    <cellStyle name="20 % - Markeringsfarve4 3 3 6 2 3 2 3" xfId="45757" xr:uid="{00000000-0005-0000-0000-0000FB2E0000}"/>
    <cellStyle name="20 % - Markeringsfarve4 3 3 6 2 3 3" xfId="23771" xr:uid="{00000000-0005-0000-0000-0000FC2E0000}"/>
    <cellStyle name="20 % - Markeringsfarve4 3 3 6 2 3 4" xfId="38758" xr:uid="{00000000-0005-0000-0000-0000FD2E0000}"/>
    <cellStyle name="20 % - Markeringsfarve4 3 3 6 2 4" xfId="11085" xr:uid="{00000000-0005-0000-0000-0000FE2E0000}"/>
    <cellStyle name="20 % - Markeringsfarve4 3 3 6 2 4 2" xfId="27405" xr:uid="{00000000-0005-0000-0000-0000FF2E0000}"/>
    <cellStyle name="20 % - Markeringsfarve4 3 3 6 2 4 3" xfId="42371" xr:uid="{00000000-0005-0000-0000-0000002F0000}"/>
    <cellStyle name="20 % - Markeringsfarve4 3 3 6 2 5" xfId="20383" xr:uid="{00000000-0005-0000-0000-0000012F0000}"/>
    <cellStyle name="20 % - Markeringsfarve4 3 3 6 2 6" xfId="35372" xr:uid="{00000000-0005-0000-0000-0000022F0000}"/>
    <cellStyle name="20 % - Markeringsfarve4 3 3 6 3" xfId="2527" xr:uid="{00000000-0005-0000-0000-0000032F0000}"/>
    <cellStyle name="20 % - Markeringsfarve4 3 3 6 3 2" xfId="7329" xr:uid="{00000000-0005-0000-0000-0000042F0000}"/>
    <cellStyle name="20 % - Markeringsfarve4 3 3 6 3 2 2" xfId="15240" xr:uid="{00000000-0005-0000-0000-0000052F0000}"/>
    <cellStyle name="20 % - Markeringsfarve4 3 3 6 3 2 2 2" xfId="31555" xr:uid="{00000000-0005-0000-0000-0000062F0000}"/>
    <cellStyle name="20 % - Markeringsfarve4 3 3 6 3 2 2 3" xfId="46519" xr:uid="{00000000-0005-0000-0000-0000072F0000}"/>
    <cellStyle name="20 % - Markeringsfarve4 3 3 6 3 2 3" xfId="24533" xr:uid="{00000000-0005-0000-0000-0000082F0000}"/>
    <cellStyle name="20 % - Markeringsfarve4 3 3 6 3 2 4" xfId="39520" xr:uid="{00000000-0005-0000-0000-0000092F0000}"/>
    <cellStyle name="20 % - Markeringsfarve4 3 3 6 3 3" xfId="11087" xr:uid="{00000000-0005-0000-0000-00000A2F0000}"/>
    <cellStyle name="20 % - Markeringsfarve4 3 3 6 3 3 2" xfId="27407" xr:uid="{00000000-0005-0000-0000-00000B2F0000}"/>
    <cellStyle name="20 % - Markeringsfarve4 3 3 6 3 3 3" xfId="42373" xr:uid="{00000000-0005-0000-0000-00000C2F0000}"/>
    <cellStyle name="20 % - Markeringsfarve4 3 3 6 3 4" xfId="20385" xr:uid="{00000000-0005-0000-0000-00000D2F0000}"/>
    <cellStyle name="20 % - Markeringsfarve4 3 3 6 3 5" xfId="35374" xr:uid="{00000000-0005-0000-0000-00000E2F0000}"/>
    <cellStyle name="20 % - Markeringsfarve4 3 3 6 4" xfId="2528" xr:uid="{00000000-0005-0000-0000-00000F2F0000}"/>
    <cellStyle name="20 % - Markeringsfarve4 3 3 6 4 2" xfId="8646" xr:uid="{00000000-0005-0000-0000-0000102F0000}"/>
    <cellStyle name="20 % - Markeringsfarve4 3 3 6 4 2 2" xfId="16527" xr:uid="{00000000-0005-0000-0000-0000112F0000}"/>
    <cellStyle name="20 % - Markeringsfarve4 3 3 6 4 2 2 2" xfId="32842" xr:uid="{00000000-0005-0000-0000-0000122F0000}"/>
    <cellStyle name="20 % - Markeringsfarve4 3 3 6 4 2 2 3" xfId="47806" xr:uid="{00000000-0005-0000-0000-0000132F0000}"/>
    <cellStyle name="20 % - Markeringsfarve4 3 3 6 4 2 3" xfId="25820" xr:uid="{00000000-0005-0000-0000-0000142F0000}"/>
    <cellStyle name="20 % - Markeringsfarve4 3 3 6 4 2 4" xfId="40807" xr:uid="{00000000-0005-0000-0000-0000152F0000}"/>
    <cellStyle name="20 % - Markeringsfarve4 3 3 6 4 3" xfId="11088" xr:uid="{00000000-0005-0000-0000-0000162F0000}"/>
    <cellStyle name="20 % - Markeringsfarve4 3 3 6 4 3 2" xfId="27408" xr:uid="{00000000-0005-0000-0000-0000172F0000}"/>
    <cellStyle name="20 % - Markeringsfarve4 3 3 6 4 3 3" xfId="42374" xr:uid="{00000000-0005-0000-0000-0000182F0000}"/>
    <cellStyle name="20 % - Markeringsfarve4 3 3 6 4 4" xfId="20386" xr:uid="{00000000-0005-0000-0000-0000192F0000}"/>
    <cellStyle name="20 % - Markeringsfarve4 3 3 6 4 5" xfId="35375" xr:uid="{00000000-0005-0000-0000-00001A2F0000}"/>
    <cellStyle name="20 % - Markeringsfarve4 3 3 6 5" xfId="5550" xr:uid="{00000000-0005-0000-0000-00001B2F0000}"/>
    <cellStyle name="20 % - Markeringsfarve4 3 3 6 5 2" xfId="13469" xr:uid="{00000000-0005-0000-0000-00001C2F0000}"/>
    <cellStyle name="20 % - Markeringsfarve4 3 3 6 5 2 2" xfId="29784" xr:uid="{00000000-0005-0000-0000-00001D2F0000}"/>
    <cellStyle name="20 % - Markeringsfarve4 3 3 6 5 2 3" xfId="44748" xr:uid="{00000000-0005-0000-0000-00001E2F0000}"/>
    <cellStyle name="20 % - Markeringsfarve4 3 3 6 5 3" xfId="22762" xr:uid="{00000000-0005-0000-0000-00001F2F0000}"/>
    <cellStyle name="20 % - Markeringsfarve4 3 3 6 5 4" xfId="37749" xr:uid="{00000000-0005-0000-0000-0000202F0000}"/>
    <cellStyle name="20 % - Markeringsfarve4 3 3 6 6" xfId="11084" xr:uid="{00000000-0005-0000-0000-0000212F0000}"/>
    <cellStyle name="20 % - Markeringsfarve4 3 3 6 6 2" xfId="27404" xr:uid="{00000000-0005-0000-0000-0000222F0000}"/>
    <cellStyle name="20 % - Markeringsfarve4 3 3 6 6 3" xfId="42370" xr:uid="{00000000-0005-0000-0000-0000232F0000}"/>
    <cellStyle name="20 % - Markeringsfarve4 3 3 6 7" xfId="20382" xr:uid="{00000000-0005-0000-0000-0000242F0000}"/>
    <cellStyle name="20 % - Markeringsfarve4 3 3 6 8" xfId="35371" xr:uid="{00000000-0005-0000-0000-0000252F0000}"/>
    <cellStyle name="20 % - Markeringsfarve4 3 3 7" xfId="2529" xr:uid="{00000000-0005-0000-0000-0000262F0000}"/>
    <cellStyle name="20 % - Markeringsfarve4 3 3 7 2" xfId="2530" xr:uid="{00000000-0005-0000-0000-0000272F0000}"/>
    <cellStyle name="20 % - Markeringsfarve4 3 3 7 2 2" xfId="7526" xr:uid="{00000000-0005-0000-0000-0000282F0000}"/>
    <cellStyle name="20 % - Markeringsfarve4 3 3 7 2 2 2" xfId="15428" xr:uid="{00000000-0005-0000-0000-0000292F0000}"/>
    <cellStyle name="20 % - Markeringsfarve4 3 3 7 2 2 2 2" xfId="31743" xr:uid="{00000000-0005-0000-0000-00002A2F0000}"/>
    <cellStyle name="20 % - Markeringsfarve4 3 3 7 2 2 2 3" xfId="46707" xr:uid="{00000000-0005-0000-0000-00002B2F0000}"/>
    <cellStyle name="20 % - Markeringsfarve4 3 3 7 2 2 3" xfId="24721" xr:uid="{00000000-0005-0000-0000-00002C2F0000}"/>
    <cellStyle name="20 % - Markeringsfarve4 3 3 7 2 2 4" xfId="39708" xr:uid="{00000000-0005-0000-0000-00002D2F0000}"/>
    <cellStyle name="20 % - Markeringsfarve4 3 3 7 2 3" xfId="11090" xr:uid="{00000000-0005-0000-0000-00002E2F0000}"/>
    <cellStyle name="20 % - Markeringsfarve4 3 3 7 2 3 2" xfId="27410" xr:uid="{00000000-0005-0000-0000-00002F2F0000}"/>
    <cellStyle name="20 % - Markeringsfarve4 3 3 7 2 3 3" xfId="42376" xr:uid="{00000000-0005-0000-0000-0000302F0000}"/>
    <cellStyle name="20 % - Markeringsfarve4 3 3 7 2 4" xfId="20388" xr:uid="{00000000-0005-0000-0000-0000312F0000}"/>
    <cellStyle name="20 % - Markeringsfarve4 3 3 7 2 5" xfId="35377" xr:uid="{00000000-0005-0000-0000-0000322F0000}"/>
    <cellStyle name="20 % - Markeringsfarve4 3 3 7 3" xfId="6114" xr:uid="{00000000-0005-0000-0000-0000332F0000}"/>
    <cellStyle name="20 % - Markeringsfarve4 3 3 7 3 2" xfId="14032" xr:uid="{00000000-0005-0000-0000-0000342F0000}"/>
    <cellStyle name="20 % - Markeringsfarve4 3 3 7 3 2 2" xfId="30347" xr:uid="{00000000-0005-0000-0000-0000352F0000}"/>
    <cellStyle name="20 % - Markeringsfarve4 3 3 7 3 2 3" xfId="45311" xr:uid="{00000000-0005-0000-0000-0000362F0000}"/>
    <cellStyle name="20 % - Markeringsfarve4 3 3 7 3 3" xfId="23325" xr:uid="{00000000-0005-0000-0000-0000372F0000}"/>
    <cellStyle name="20 % - Markeringsfarve4 3 3 7 3 4" xfId="38312" xr:uid="{00000000-0005-0000-0000-0000382F0000}"/>
    <cellStyle name="20 % - Markeringsfarve4 3 3 7 4" xfId="11089" xr:uid="{00000000-0005-0000-0000-0000392F0000}"/>
    <cellStyle name="20 % - Markeringsfarve4 3 3 7 4 2" xfId="27409" xr:uid="{00000000-0005-0000-0000-00003A2F0000}"/>
    <cellStyle name="20 % - Markeringsfarve4 3 3 7 4 3" xfId="42375" xr:uid="{00000000-0005-0000-0000-00003B2F0000}"/>
    <cellStyle name="20 % - Markeringsfarve4 3 3 7 5" xfId="20387" xr:uid="{00000000-0005-0000-0000-00003C2F0000}"/>
    <cellStyle name="20 % - Markeringsfarve4 3 3 7 6" xfId="35376" xr:uid="{00000000-0005-0000-0000-00003D2F0000}"/>
    <cellStyle name="20 % - Markeringsfarve4 3 3 8" xfId="2531" xr:uid="{00000000-0005-0000-0000-00003E2F0000}"/>
    <cellStyle name="20 % - Markeringsfarve4 3 3 8 2" xfId="6754" xr:uid="{00000000-0005-0000-0000-00003F2F0000}"/>
    <cellStyle name="20 % - Markeringsfarve4 3 3 8 2 2" xfId="14666" xr:uid="{00000000-0005-0000-0000-0000402F0000}"/>
    <cellStyle name="20 % - Markeringsfarve4 3 3 8 2 2 2" xfId="30981" xr:uid="{00000000-0005-0000-0000-0000412F0000}"/>
    <cellStyle name="20 % - Markeringsfarve4 3 3 8 2 2 3" xfId="45945" xr:uid="{00000000-0005-0000-0000-0000422F0000}"/>
    <cellStyle name="20 % - Markeringsfarve4 3 3 8 2 3" xfId="23959" xr:uid="{00000000-0005-0000-0000-0000432F0000}"/>
    <cellStyle name="20 % - Markeringsfarve4 3 3 8 2 4" xfId="38946" xr:uid="{00000000-0005-0000-0000-0000442F0000}"/>
    <cellStyle name="20 % - Markeringsfarve4 3 3 8 3" xfId="11091" xr:uid="{00000000-0005-0000-0000-0000452F0000}"/>
    <cellStyle name="20 % - Markeringsfarve4 3 3 8 3 2" xfId="27411" xr:uid="{00000000-0005-0000-0000-0000462F0000}"/>
    <cellStyle name="20 % - Markeringsfarve4 3 3 8 3 3" xfId="42377" xr:uid="{00000000-0005-0000-0000-0000472F0000}"/>
    <cellStyle name="20 % - Markeringsfarve4 3 3 8 4" xfId="20389" xr:uid="{00000000-0005-0000-0000-0000482F0000}"/>
    <cellStyle name="20 % - Markeringsfarve4 3 3 8 5" xfId="35378" xr:uid="{00000000-0005-0000-0000-0000492F0000}"/>
    <cellStyle name="20 % - Markeringsfarve4 3 3 9" xfId="2532" xr:uid="{00000000-0005-0000-0000-00004A2F0000}"/>
    <cellStyle name="20 % - Markeringsfarve4 3 3 9 2" xfId="8179" xr:uid="{00000000-0005-0000-0000-00004B2F0000}"/>
    <cellStyle name="20 % - Markeringsfarve4 3 3 9 2 2" xfId="16077" xr:uid="{00000000-0005-0000-0000-00004C2F0000}"/>
    <cellStyle name="20 % - Markeringsfarve4 3 3 9 2 2 2" xfId="32392" xr:uid="{00000000-0005-0000-0000-00004D2F0000}"/>
    <cellStyle name="20 % - Markeringsfarve4 3 3 9 2 2 3" xfId="47356" xr:uid="{00000000-0005-0000-0000-00004E2F0000}"/>
    <cellStyle name="20 % - Markeringsfarve4 3 3 9 2 3" xfId="25370" xr:uid="{00000000-0005-0000-0000-00004F2F0000}"/>
    <cellStyle name="20 % - Markeringsfarve4 3 3 9 2 4" xfId="40357" xr:uid="{00000000-0005-0000-0000-0000502F0000}"/>
    <cellStyle name="20 % - Markeringsfarve4 3 3 9 3" xfId="11092" xr:uid="{00000000-0005-0000-0000-0000512F0000}"/>
    <cellStyle name="20 % - Markeringsfarve4 3 3 9 3 2" xfId="27412" xr:uid="{00000000-0005-0000-0000-0000522F0000}"/>
    <cellStyle name="20 % - Markeringsfarve4 3 3 9 3 3" xfId="42378" xr:uid="{00000000-0005-0000-0000-0000532F0000}"/>
    <cellStyle name="20 % - Markeringsfarve4 3 3 9 4" xfId="20390" xr:uid="{00000000-0005-0000-0000-0000542F0000}"/>
    <cellStyle name="20 % - Markeringsfarve4 3 3 9 5" xfId="35379" xr:uid="{00000000-0005-0000-0000-0000552F0000}"/>
    <cellStyle name="20 % - Markeringsfarve4 3 4" xfId="2533" xr:uid="{00000000-0005-0000-0000-0000562F0000}"/>
    <cellStyle name="20 % - Markeringsfarve4 3 4 2" xfId="2534" xr:uid="{00000000-0005-0000-0000-0000572F0000}"/>
    <cellStyle name="20 % - Markeringsfarve4 3 4 2 2" xfId="2535" xr:uid="{00000000-0005-0000-0000-0000582F0000}"/>
    <cellStyle name="20 % - Markeringsfarve4 3 4 2 2 2" xfId="7567" xr:uid="{00000000-0005-0000-0000-0000592F0000}"/>
    <cellStyle name="20 % - Markeringsfarve4 3 4 2 2 2 2" xfId="15469" xr:uid="{00000000-0005-0000-0000-00005A2F0000}"/>
    <cellStyle name="20 % - Markeringsfarve4 3 4 2 2 2 2 2" xfId="31784" xr:uid="{00000000-0005-0000-0000-00005B2F0000}"/>
    <cellStyle name="20 % - Markeringsfarve4 3 4 2 2 2 2 3" xfId="46748" xr:uid="{00000000-0005-0000-0000-00005C2F0000}"/>
    <cellStyle name="20 % - Markeringsfarve4 3 4 2 2 2 3" xfId="24762" xr:uid="{00000000-0005-0000-0000-00005D2F0000}"/>
    <cellStyle name="20 % - Markeringsfarve4 3 4 2 2 2 4" xfId="39749" xr:uid="{00000000-0005-0000-0000-00005E2F0000}"/>
    <cellStyle name="20 % - Markeringsfarve4 3 4 2 2 3" xfId="11095" xr:uid="{00000000-0005-0000-0000-00005F2F0000}"/>
    <cellStyle name="20 % - Markeringsfarve4 3 4 2 2 3 2" xfId="27415" xr:uid="{00000000-0005-0000-0000-0000602F0000}"/>
    <cellStyle name="20 % - Markeringsfarve4 3 4 2 2 3 3" xfId="42381" xr:uid="{00000000-0005-0000-0000-0000612F0000}"/>
    <cellStyle name="20 % - Markeringsfarve4 3 4 2 2 4" xfId="20393" xr:uid="{00000000-0005-0000-0000-0000622F0000}"/>
    <cellStyle name="20 % - Markeringsfarve4 3 4 2 2 5" xfId="35382" xr:uid="{00000000-0005-0000-0000-0000632F0000}"/>
    <cellStyle name="20 % - Markeringsfarve4 3 4 2 3" xfId="6147" xr:uid="{00000000-0005-0000-0000-0000642F0000}"/>
    <cellStyle name="20 % - Markeringsfarve4 3 4 2 3 2" xfId="14065" xr:uid="{00000000-0005-0000-0000-0000652F0000}"/>
    <cellStyle name="20 % - Markeringsfarve4 3 4 2 3 2 2" xfId="30380" xr:uid="{00000000-0005-0000-0000-0000662F0000}"/>
    <cellStyle name="20 % - Markeringsfarve4 3 4 2 3 2 3" xfId="45344" xr:uid="{00000000-0005-0000-0000-0000672F0000}"/>
    <cellStyle name="20 % - Markeringsfarve4 3 4 2 3 3" xfId="23358" xr:uid="{00000000-0005-0000-0000-0000682F0000}"/>
    <cellStyle name="20 % - Markeringsfarve4 3 4 2 3 4" xfId="38345" xr:uid="{00000000-0005-0000-0000-0000692F0000}"/>
    <cellStyle name="20 % - Markeringsfarve4 3 4 2 4" xfId="11094" xr:uid="{00000000-0005-0000-0000-00006A2F0000}"/>
    <cellStyle name="20 % - Markeringsfarve4 3 4 2 4 2" xfId="27414" xr:uid="{00000000-0005-0000-0000-00006B2F0000}"/>
    <cellStyle name="20 % - Markeringsfarve4 3 4 2 4 3" xfId="42380" xr:uid="{00000000-0005-0000-0000-00006C2F0000}"/>
    <cellStyle name="20 % - Markeringsfarve4 3 4 2 5" xfId="20392" xr:uid="{00000000-0005-0000-0000-00006D2F0000}"/>
    <cellStyle name="20 % - Markeringsfarve4 3 4 2 6" xfId="35381" xr:uid="{00000000-0005-0000-0000-00006E2F0000}"/>
    <cellStyle name="20 % - Markeringsfarve4 3 4 3" xfId="2536" xr:uid="{00000000-0005-0000-0000-00006F2F0000}"/>
    <cellStyle name="20 % - Markeringsfarve4 3 4 3 2" xfId="6797" xr:uid="{00000000-0005-0000-0000-0000702F0000}"/>
    <cellStyle name="20 % - Markeringsfarve4 3 4 3 2 2" xfId="14709" xr:uid="{00000000-0005-0000-0000-0000712F0000}"/>
    <cellStyle name="20 % - Markeringsfarve4 3 4 3 2 2 2" xfId="31024" xr:uid="{00000000-0005-0000-0000-0000722F0000}"/>
    <cellStyle name="20 % - Markeringsfarve4 3 4 3 2 2 3" xfId="45988" xr:uid="{00000000-0005-0000-0000-0000732F0000}"/>
    <cellStyle name="20 % - Markeringsfarve4 3 4 3 2 3" xfId="24002" xr:uid="{00000000-0005-0000-0000-0000742F0000}"/>
    <cellStyle name="20 % - Markeringsfarve4 3 4 3 2 4" xfId="38989" xr:uid="{00000000-0005-0000-0000-0000752F0000}"/>
    <cellStyle name="20 % - Markeringsfarve4 3 4 3 3" xfId="11096" xr:uid="{00000000-0005-0000-0000-0000762F0000}"/>
    <cellStyle name="20 % - Markeringsfarve4 3 4 3 3 2" xfId="27416" xr:uid="{00000000-0005-0000-0000-0000772F0000}"/>
    <cellStyle name="20 % - Markeringsfarve4 3 4 3 3 3" xfId="42382" xr:uid="{00000000-0005-0000-0000-0000782F0000}"/>
    <cellStyle name="20 % - Markeringsfarve4 3 4 3 4" xfId="20394" xr:uid="{00000000-0005-0000-0000-0000792F0000}"/>
    <cellStyle name="20 % - Markeringsfarve4 3 4 3 5" xfId="35383" xr:uid="{00000000-0005-0000-0000-00007A2F0000}"/>
    <cellStyle name="20 % - Markeringsfarve4 3 4 4" xfId="2537" xr:uid="{00000000-0005-0000-0000-00007B2F0000}"/>
    <cellStyle name="20 % - Markeringsfarve4 3 4 4 2" xfId="8371" xr:uid="{00000000-0005-0000-0000-00007C2F0000}"/>
    <cellStyle name="20 % - Markeringsfarve4 3 4 4 2 2" xfId="16264" xr:uid="{00000000-0005-0000-0000-00007D2F0000}"/>
    <cellStyle name="20 % - Markeringsfarve4 3 4 4 2 2 2" xfId="32579" xr:uid="{00000000-0005-0000-0000-00007E2F0000}"/>
    <cellStyle name="20 % - Markeringsfarve4 3 4 4 2 2 3" xfId="47543" xr:uid="{00000000-0005-0000-0000-00007F2F0000}"/>
    <cellStyle name="20 % - Markeringsfarve4 3 4 4 2 3" xfId="25557" xr:uid="{00000000-0005-0000-0000-0000802F0000}"/>
    <cellStyle name="20 % - Markeringsfarve4 3 4 4 2 4" xfId="40544" xr:uid="{00000000-0005-0000-0000-0000812F0000}"/>
    <cellStyle name="20 % - Markeringsfarve4 3 4 4 3" xfId="11097" xr:uid="{00000000-0005-0000-0000-0000822F0000}"/>
    <cellStyle name="20 % - Markeringsfarve4 3 4 4 3 2" xfId="27417" xr:uid="{00000000-0005-0000-0000-0000832F0000}"/>
    <cellStyle name="20 % - Markeringsfarve4 3 4 4 3 3" xfId="42383" xr:uid="{00000000-0005-0000-0000-0000842F0000}"/>
    <cellStyle name="20 % - Markeringsfarve4 3 4 4 4" xfId="20395" xr:uid="{00000000-0005-0000-0000-0000852F0000}"/>
    <cellStyle name="20 % - Markeringsfarve4 3 4 4 5" xfId="35384" xr:uid="{00000000-0005-0000-0000-0000862F0000}"/>
    <cellStyle name="20 % - Markeringsfarve4 3 4 5" xfId="5551" xr:uid="{00000000-0005-0000-0000-0000872F0000}"/>
    <cellStyle name="20 % - Markeringsfarve4 3 4 5 2" xfId="13470" xr:uid="{00000000-0005-0000-0000-0000882F0000}"/>
    <cellStyle name="20 % - Markeringsfarve4 3 4 5 2 2" xfId="29785" xr:uid="{00000000-0005-0000-0000-0000892F0000}"/>
    <cellStyle name="20 % - Markeringsfarve4 3 4 5 2 3" xfId="44749" xr:uid="{00000000-0005-0000-0000-00008A2F0000}"/>
    <cellStyle name="20 % - Markeringsfarve4 3 4 5 3" xfId="22763" xr:uid="{00000000-0005-0000-0000-00008B2F0000}"/>
    <cellStyle name="20 % - Markeringsfarve4 3 4 5 4" xfId="37750" xr:uid="{00000000-0005-0000-0000-00008C2F0000}"/>
    <cellStyle name="20 % - Markeringsfarve4 3 4 6" xfId="11093" xr:uid="{00000000-0005-0000-0000-00008D2F0000}"/>
    <cellStyle name="20 % - Markeringsfarve4 3 4 6 2" xfId="27413" xr:uid="{00000000-0005-0000-0000-00008E2F0000}"/>
    <cellStyle name="20 % - Markeringsfarve4 3 4 6 3" xfId="42379" xr:uid="{00000000-0005-0000-0000-00008F2F0000}"/>
    <cellStyle name="20 % - Markeringsfarve4 3 4 7" xfId="20391" xr:uid="{00000000-0005-0000-0000-0000902F0000}"/>
    <cellStyle name="20 % - Markeringsfarve4 3 4 8" xfId="35380" xr:uid="{00000000-0005-0000-0000-0000912F0000}"/>
    <cellStyle name="20 % - Markeringsfarve4 3 5" xfId="2538" xr:uid="{00000000-0005-0000-0000-0000922F0000}"/>
    <cellStyle name="20 % - Markeringsfarve4 3 5 2" xfId="2539" xr:uid="{00000000-0005-0000-0000-0000932F0000}"/>
    <cellStyle name="20 % - Markeringsfarve4 3 5 2 2" xfId="2540" xr:uid="{00000000-0005-0000-0000-0000942F0000}"/>
    <cellStyle name="20 % - Markeringsfarve4 3 5 2 2 2" xfId="7695" xr:uid="{00000000-0005-0000-0000-0000952F0000}"/>
    <cellStyle name="20 % - Markeringsfarve4 3 5 2 2 2 2" xfId="15597" xr:uid="{00000000-0005-0000-0000-0000962F0000}"/>
    <cellStyle name="20 % - Markeringsfarve4 3 5 2 2 2 2 2" xfId="31912" xr:uid="{00000000-0005-0000-0000-0000972F0000}"/>
    <cellStyle name="20 % - Markeringsfarve4 3 5 2 2 2 2 3" xfId="46876" xr:uid="{00000000-0005-0000-0000-0000982F0000}"/>
    <cellStyle name="20 % - Markeringsfarve4 3 5 2 2 2 3" xfId="24890" xr:uid="{00000000-0005-0000-0000-0000992F0000}"/>
    <cellStyle name="20 % - Markeringsfarve4 3 5 2 2 2 4" xfId="39877" xr:uid="{00000000-0005-0000-0000-00009A2F0000}"/>
    <cellStyle name="20 % - Markeringsfarve4 3 5 2 2 3" xfId="11100" xr:uid="{00000000-0005-0000-0000-00009B2F0000}"/>
    <cellStyle name="20 % - Markeringsfarve4 3 5 2 2 3 2" xfId="27420" xr:uid="{00000000-0005-0000-0000-00009C2F0000}"/>
    <cellStyle name="20 % - Markeringsfarve4 3 5 2 2 3 3" xfId="42386" xr:uid="{00000000-0005-0000-0000-00009D2F0000}"/>
    <cellStyle name="20 % - Markeringsfarve4 3 5 2 2 4" xfId="20398" xr:uid="{00000000-0005-0000-0000-00009E2F0000}"/>
    <cellStyle name="20 % - Markeringsfarve4 3 5 2 2 5" xfId="35387" xr:uid="{00000000-0005-0000-0000-00009F2F0000}"/>
    <cellStyle name="20 % - Markeringsfarve4 3 5 2 3" xfId="6259" xr:uid="{00000000-0005-0000-0000-0000A02F0000}"/>
    <cellStyle name="20 % - Markeringsfarve4 3 5 2 3 2" xfId="14177" xr:uid="{00000000-0005-0000-0000-0000A12F0000}"/>
    <cellStyle name="20 % - Markeringsfarve4 3 5 2 3 2 2" xfId="30492" xr:uid="{00000000-0005-0000-0000-0000A22F0000}"/>
    <cellStyle name="20 % - Markeringsfarve4 3 5 2 3 2 3" xfId="45456" xr:uid="{00000000-0005-0000-0000-0000A32F0000}"/>
    <cellStyle name="20 % - Markeringsfarve4 3 5 2 3 3" xfId="23470" xr:uid="{00000000-0005-0000-0000-0000A42F0000}"/>
    <cellStyle name="20 % - Markeringsfarve4 3 5 2 3 4" xfId="38457" xr:uid="{00000000-0005-0000-0000-0000A52F0000}"/>
    <cellStyle name="20 % - Markeringsfarve4 3 5 2 4" xfId="11099" xr:uid="{00000000-0005-0000-0000-0000A62F0000}"/>
    <cellStyle name="20 % - Markeringsfarve4 3 5 2 4 2" xfId="27419" xr:uid="{00000000-0005-0000-0000-0000A72F0000}"/>
    <cellStyle name="20 % - Markeringsfarve4 3 5 2 4 3" xfId="42385" xr:uid="{00000000-0005-0000-0000-0000A82F0000}"/>
    <cellStyle name="20 % - Markeringsfarve4 3 5 2 5" xfId="20397" xr:uid="{00000000-0005-0000-0000-0000A92F0000}"/>
    <cellStyle name="20 % - Markeringsfarve4 3 5 2 6" xfId="35386" xr:uid="{00000000-0005-0000-0000-0000AA2F0000}"/>
    <cellStyle name="20 % - Markeringsfarve4 3 5 3" xfId="2541" xr:uid="{00000000-0005-0000-0000-0000AB2F0000}"/>
    <cellStyle name="20 % - Markeringsfarve4 3 5 3 2" xfId="6925" xr:uid="{00000000-0005-0000-0000-0000AC2F0000}"/>
    <cellStyle name="20 % - Markeringsfarve4 3 5 3 2 2" xfId="14837" xr:uid="{00000000-0005-0000-0000-0000AD2F0000}"/>
    <cellStyle name="20 % - Markeringsfarve4 3 5 3 2 2 2" xfId="31152" xr:uid="{00000000-0005-0000-0000-0000AE2F0000}"/>
    <cellStyle name="20 % - Markeringsfarve4 3 5 3 2 2 3" xfId="46116" xr:uid="{00000000-0005-0000-0000-0000AF2F0000}"/>
    <cellStyle name="20 % - Markeringsfarve4 3 5 3 2 3" xfId="24130" xr:uid="{00000000-0005-0000-0000-0000B02F0000}"/>
    <cellStyle name="20 % - Markeringsfarve4 3 5 3 2 4" xfId="39117" xr:uid="{00000000-0005-0000-0000-0000B12F0000}"/>
    <cellStyle name="20 % - Markeringsfarve4 3 5 3 3" xfId="11101" xr:uid="{00000000-0005-0000-0000-0000B22F0000}"/>
    <cellStyle name="20 % - Markeringsfarve4 3 5 3 3 2" xfId="27421" xr:uid="{00000000-0005-0000-0000-0000B32F0000}"/>
    <cellStyle name="20 % - Markeringsfarve4 3 5 3 3 3" xfId="42387" xr:uid="{00000000-0005-0000-0000-0000B42F0000}"/>
    <cellStyle name="20 % - Markeringsfarve4 3 5 3 4" xfId="20399" xr:uid="{00000000-0005-0000-0000-0000B52F0000}"/>
    <cellStyle name="20 % - Markeringsfarve4 3 5 3 5" xfId="35388" xr:uid="{00000000-0005-0000-0000-0000B62F0000}"/>
    <cellStyle name="20 % - Markeringsfarve4 3 5 4" xfId="2542" xr:uid="{00000000-0005-0000-0000-0000B72F0000}"/>
    <cellStyle name="20 % - Markeringsfarve4 3 5 4 2" xfId="8607" xr:uid="{00000000-0005-0000-0000-0000B82F0000}"/>
    <cellStyle name="20 % - Markeringsfarve4 3 5 4 2 2" xfId="16490" xr:uid="{00000000-0005-0000-0000-0000B92F0000}"/>
    <cellStyle name="20 % - Markeringsfarve4 3 5 4 2 2 2" xfId="32805" xr:uid="{00000000-0005-0000-0000-0000BA2F0000}"/>
    <cellStyle name="20 % - Markeringsfarve4 3 5 4 2 2 3" xfId="47769" xr:uid="{00000000-0005-0000-0000-0000BB2F0000}"/>
    <cellStyle name="20 % - Markeringsfarve4 3 5 4 2 3" xfId="25783" xr:uid="{00000000-0005-0000-0000-0000BC2F0000}"/>
    <cellStyle name="20 % - Markeringsfarve4 3 5 4 2 4" xfId="40770" xr:uid="{00000000-0005-0000-0000-0000BD2F0000}"/>
    <cellStyle name="20 % - Markeringsfarve4 3 5 4 3" xfId="11102" xr:uid="{00000000-0005-0000-0000-0000BE2F0000}"/>
    <cellStyle name="20 % - Markeringsfarve4 3 5 4 3 2" xfId="27422" xr:uid="{00000000-0005-0000-0000-0000BF2F0000}"/>
    <cellStyle name="20 % - Markeringsfarve4 3 5 4 3 3" xfId="42388" xr:uid="{00000000-0005-0000-0000-0000C02F0000}"/>
    <cellStyle name="20 % - Markeringsfarve4 3 5 4 4" xfId="20400" xr:uid="{00000000-0005-0000-0000-0000C12F0000}"/>
    <cellStyle name="20 % - Markeringsfarve4 3 5 4 5" xfId="35389" xr:uid="{00000000-0005-0000-0000-0000C22F0000}"/>
    <cellStyle name="20 % - Markeringsfarve4 3 5 5" xfId="5552" xr:uid="{00000000-0005-0000-0000-0000C32F0000}"/>
    <cellStyle name="20 % - Markeringsfarve4 3 5 5 2" xfId="13471" xr:uid="{00000000-0005-0000-0000-0000C42F0000}"/>
    <cellStyle name="20 % - Markeringsfarve4 3 5 5 2 2" xfId="29786" xr:uid="{00000000-0005-0000-0000-0000C52F0000}"/>
    <cellStyle name="20 % - Markeringsfarve4 3 5 5 2 3" xfId="44750" xr:uid="{00000000-0005-0000-0000-0000C62F0000}"/>
    <cellStyle name="20 % - Markeringsfarve4 3 5 5 3" xfId="22764" xr:uid="{00000000-0005-0000-0000-0000C72F0000}"/>
    <cellStyle name="20 % - Markeringsfarve4 3 5 5 4" xfId="37751" xr:uid="{00000000-0005-0000-0000-0000C82F0000}"/>
    <cellStyle name="20 % - Markeringsfarve4 3 5 6" xfId="11098" xr:uid="{00000000-0005-0000-0000-0000C92F0000}"/>
    <cellStyle name="20 % - Markeringsfarve4 3 5 6 2" xfId="27418" xr:uid="{00000000-0005-0000-0000-0000CA2F0000}"/>
    <cellStyle name="20 % - Markeringsfarve4 3 5 6 3" xfId="42384" xr:uid="{00000000-0005-0000-0000-0000CB2F0000}"/>
    <cellStyle name="20 % - Markeringsfarve4 3 5 7" xfId="20396" xr:uid="{00000000-0005-0000-0000-0000CC2F0000}"/>
    <cellStyle name="20 % - Markeringsfarve4 3 5 8" xfId="35385" xr:uid="{00000000-0005-0000-0000-0000CD2F0000}"/>
    <cellStyle name="20 % - Markeringsfarve4 3 6" xfId="2543" xr:uid="{00000000-0005-0000-0000-0000CE2F0000}"/>
    <cellStyle name="20 % - Markeringsfarve4 3 6 2" xfId="2544" xr:uid="{00000000-0005-0000-0000-0000CF2F0000}"/>
    <cellStyle name="20 % - Markeringsfarve4 3 6 2 2" xfId="2545" xr:uid="{00000000-0005-0000-0000-0000D02F0000}"/>
    <cellStyle name="20 % - Markeringsfarve4 3 6 2 2 2" xfId="7805" xr:uid="{00000000-0005-0000-0000-0000D12F0000}"/>
    <cellStyle name="20 % - Markeringsfarve4 3 6 2 2 2 2" xfId="15707" xr:uid="{00000000-0005-0000-0000-0000D22F0000}"/>
    <cellStyle name="20 % - Markeringsfarve4 3 6 2 2 2 2 2" xfId="32022" xr:uid="{00000000-0005-0000-0000-0000D32F0000}"/>
    <cellStyle name="20 % - Markeringsfarve4 3 6 2 2 2 2 3" xfId="46986" xr:uid="{00000000-0005-0000-0000-0000D42F0000}"/>
    <cellStyle name="20 % - Markeringsfarve4 3 6 2 2 2 3" xfId="25000" xr:uid="{00000000-0005-0000-0000-0000D52F0000}"/>
    <cellStyle name="20 % - Markeringsfarve4 3 6 2 2 2 4" xfId="39987" xr:uid="{00000000-0005-0000-0000-0000D62F0000}"/>
    <cellStyle name="20 % - Markeringsfarve4 3 6 2 2 3" xfId="11105" xr:uid="{00000000-0005-0000-0000-0000D72F0000}"/>
    <cellStyle name="20 % - Markeringsfarve4 3 6 2 2 3 2" xfId="27425" xr:uid="{00000000-0005-0000-0000-0000D82F0000}"/>
    <cellStyle name="20 % - Markeringsfarve4 3 6 2 2 3 3" xfId="42391" xr:uid="{00000000-0005-0000-0000-0000D92F0000}"/>
    <cellStyle name="20 % - Markeringsfarve4 3 6 2 2 4" xfId="20403" xr:uid="{00000000-0005-0000-0000-0000DA2F0000}"/>
    <cellStyle name="20 % - Markeringsfarve4 3 6 2 2 5" xfId="35392" xr:uid="{00000000-0005-0000-0000-0000DB2F0000}"/>
    <cellStyle name="20 % - Markeringsfarve4 3 6 2 3" xfId="6349" xr:uid="{00000000-0005-0000-0000-0000DC2F0000}"/>
    <cellStyle name="20 % - Markeringsfarve4 3 6 2 3 2" xfId="14264" xr:uid="{00000000-0005-0000-0000-0000DD2F0000}"/>
    <cellStyle name="20 % - Markeringsfarve4 3 6 2 3 2 2" xfId="30579" xr:uid="{00000000-0005-0000-0000-0000DE2F0000}"/>
    <cellStyle name="20 % - Markeringsfarve4 3 6 2 3 2 3" xfId="45543" xr:uid="{00000000-0005-0000-0000-0000DF2F0000}"/>
    <cellStyle name="20 % - Markeringsfarve4 3 6 2 3 3" xfId="23557" xr:uid="{00000000-0005-0000-0000-0000E02F0000}"/>
    <cellStyle name="20 % - Markeringsfarve4 3 6 2 3 4" xfId="38544" xr:uid="{00000000-0005-0000-0000-0000E12F0000}"/>
    <cellStyle name="20 % - Markeringsfarve4 3 6 2 4" xfId="11104" xr:uid="{00000000-0005-0000-0000-0000E22F0000}"/>
    <cellStyle name="20 % - Markeringsfarve4 3 6 2 4 2" xfId="27424" xr:uid="{00000000-0005-0000-0000-0000E32F0000}"/>
    <cellStyle name="20 % - Markeringsfarve4 3 6 2 4 3" xfId="42390" xr:uid="{00000000-0005-0000-0000-0000E42F0000}"/>
    <cellStyle name="20 % - Markeringsfarve4 3 6 2 5" xfId="20402" xr:uid="{00000000-0005-0000-0000-0000E52F0000}"/>
    <cellStyle name="20 % - Markeringsfarve4 3 6 2 6" xfId="35391" xr:uid="{00000000-0005-0000-0000-0000E62F0000}"/>
    <cellStyle name="20 % - Markeringsfarve4 3 6 3" xfId="2546" xr:uid="{00000000-0005-0000-0000-0000E72F0000}"/>
    <cellStyle name="20 % - Markeringsfarve4 3 6 3 2" xfId="7081" xr:uid="{00000000-0005-0000-0000-0000E82F0000}"/>
    <cellStyle name="20 % - Markeringsfarve4 3 6 3 2 2" xfId="14992" xr:uid="{00000000-0005-0000-0000-0000E92F0000}"/>
    <cellStyle name="20 % - Markeringsfarve4 3 6 3 2 2 2" xfId="31307" xr:uid="{00000000-0005-0000-0000-0000EA2F0000}"/>
    <cellStyle name="20 % - Markeringsfarve4 3 6 3 2 2 3" xfId="46271" xr:uid="{00000000-0005-0000-0000-0000EB2F0000}"/>
    <cellStyle name="20 % - Markeringsfarve4 3 6 3 2 3" xfId="24285" xr:uid="{00000000-0005-0000-0000-0000EC2F0000}"/>
    <cellStyle name="20 % - Markeringsfarve4 3 6 3 2 4" xfId="39272" xr:uid="{00000000-0005-0000-0000-0000ED2F0000}"/>
    <cellStyle name="20 % - Markeringsfarve4 3 6 3 3" xfId="11106" xr:uid="{00000000-0005-0000-0000-0000EE2F0000}"/>
    <cellStyle name="20 % - Markeringsfarve4 3 6 3 3 2" xfId="27426" xr:uid="{00000000-0005-0000-0000-0000EF2F0000}"/>
    <cellStyle name="20 % - Markeringsfarve4 3 6 3 3 3" xfId="42392" xr:uid="{00000000-0005-0000-0000-0000F02F0000}"/>
    <cellStyle name="20 % - Markeringsfarve4 3 6 3 4" xfId="20404" xr:uid="{00000000-0005-0000-0000-0000F12F0000}"/>
    <cellStyle name="20 % - Markeringsfarve4 3 6 3 5" xfId="35393" xr:uid="{00000000-0005-0000-0000-0000F22F0000}"/>
    <cellStyle name="20 % - Markeringsfarve4 3 6 4" xfId="2547" xr:uid="{00000000-0005-0000-0000-0000F32F0000}"/>
    <cellStyle name="20 % - Markeringsfarve4 3 6 4 2" xfId="8329" xr:uid="{00000000-0005-0000-0000-0000F42F0000}"/>
    <cellStyle name="20 % - Markeringsfarve4 3 6 4 2 2" xfId="16223" xr:uid="{00000000-0005-0000-0000-0000F52F0000}"/>
    <cellStyle name="20 % - Markeringsfarve4 3 6 4 2 2 2" xfId="32538" xr:uid="{00000000-0005-0000-0000-0000F62F0000}"/>
    <cellStyle name="20 % - Markeringsfarve4 3 6 4 2 2 3" xfId="47502" xr:uid="{00000000-0005-0000-0000-0000F72F0000}"/>
    <cellStyle name="20 % - Markeringsfarve4 3 6 4 2 3" xfId="25516" xr:uid="{00000000-0005-0000-0000-0000F82F0000}"/>
    <cellStyle name="20 % - Markeringsfarve4 3 6 4 2 4" xfId="40503" xr:uid="{00000000-0005-0000-0000-0000F92F0000}"/>
    <cellStyle name="20 % - Markeringsfarve4 3 6 4 3" xfId="11107" xr:uid="{00000000-0005-0000-0000-0000FA2F0000}"/>
    <cellStyle name="20 % - Markeringsfarve4 3 6 4 3 2" xfId="27427" xr:uid="{00000000-0005-0000-0000-0000FB2F0000}"/>
    <cellStyle name="20 % - Markeringsfarve4 3 6 4 3 3" xfId="42393" xr:uid="{00000000-0005-0000-0000-0000FC2F0000}"/>
    <cellStyle name="20 % - Markeringsfarve4 3 6 4 4" xfId="20405" xr:uid="{00000000-0005-0000-0000-0000FD2F0000}"/>
    <cellStyle name="20 % - Markeringsfarve4 3 6 4 5" xfId="35394" xr:uid="{00000000-0005-0000-0000-0000FE2F0000}"/>
    <cellStyle name="20 % - Markeringsfarve4 3 6 5" xfId="5553" xr:uid="{00000000-0005-0000-0000-0000FF2F0000}"/>
    <cellStyle name="20 % - Markeringsfarve4 3 6 5 2" xfId="13472" xr:uid="{00000000-0005-0000-0000-000000300000}"/>
    <cellStyle name="20 % - Markeringsfarve4 3 6 5 2 2" xfId="29787" xr:uid="{00000000-0005-0000-0000-000001300000}"/>
    <cellStyle name="20 % - Markeringsfarve4 3 6 5 2 3" xfId="44751" xr:uid="{00000000-0005-0000-0000-000002300000}"/>
    <cellStyle name="20 % - Markeringsfarve4 3 6 5 3" xfId="22765" xr:uid="{00000000-0005-0000-0000-000003300000}"/>
    <cellStyle name="20 % - Markeringsfarve4 3 6 5 4" xfId="37752" xr:uid="{00000000-0005-0000-0000-000004300000}"/>
    <cellStyle name="20 % - Markeringsfarve4 3 6 6" xfId="11103" xr:uid="{00000000-0005-0000-0000-000005300000}"/>
    <cellStyle name="20 % - Markeringsfarve4 3 6 6 2" xfId="27423" xr:uid="{00000000-0005-0000-0000-000006300000}"/>
    <cellStyle name="20 % - Markeringsfarve4 3 6 6 3" xfId="42389" xr:uid="{00000000-0005-0000-0000-000007300000}"/>
    <cellStyle name="20 % - Markeringsfarve4 3 6 7" xfId="20401" xr:uid="{00000000-0005-0000-0000-000008300000}"/>
    <cellStyle name="20 % - Markeringsfarve4 3 6 8" xfId="35390" xr:uid="{00000000-0005-0000-0000-000009300000}"/>
    <cellStyle name="20 % - Markeringsfarve4 3 7" xfId="2548" xr:uid="{00000000-0005-0000-0000-00000A300000}"/>
    <cellStyle name="20 % - Markeringsfarve4 3 7 2" xfId="2549" xr:uid="{00000000-0005-0000-0000-00000B300000}"/>
    <cellStyle name="20 % - Markeringsfarve4 3 7 2 2" xfId="2550" xr:uid="{00000000-0005-0000-0000-00000C300000}"/>
    <cellStyle name="20 % - Markeringsfarve4 3 7 2 2 2" xfId="7922" xr:uid="{00000000-0005-0000-0000-00000D300000}"/>
    <cellStyle name="20 % - Markeringsfarve4 3 7 2 2 2 2" xfId="15824" xr:uid="{00000000-0005-0000-0000-00000E300000}"/>
    <cellStyle name="20 % - Markeringsfarve4 3 7 2 2 2 2 2" xfId="32139" xr:uid="{00000000-0005-0000-0000-00000F300000}"/>
    <cellStyle name="20 % - Markeringsfarve4 3 7 2 2 2 2 3" xfId="47103" xr:uid="{00000000-0005-0000-0000-000010300000}"/>
    <cellStyle name="20 % - Markeringsfarve4 3 7 2 2 2 3" xfId="25117" xr:uid="{00000000-0005-0000-0000-000011300000}"/>
    <cellStyle name="20 % - Markeringsfarve4 3 7 2 2 2 4" xfId="40104" xr:uid="{00000000-0005-0000-0000-000012300000}"/>
    <cellStyle name="20 % - Markeringsfarve4 3 7 2 2 3" xfId="11110" xr:uid="{00000000-0005-0000-0000-000013300000}"/>
    <cellStyle name="20 % - Markeringsfarve4 3 7 2 2 3 2" xfId="27430" xr:uid="{00000000-0005-0000-0000-000014300000}"/>
    <cellStyle name="20 % - Markeringsfarve4 3 7 2 2 3 3" xfId="42396" xr:uid="{00000000-0005-0000-0000-000015300000}"/>
    <cellStyle name="20 % - Markeringsfarve4 3 7 2 2 4" xfId="20408" xr:uid="{00000000-0005-0000-0000-000016300000}"/>
    <cellStyle name="20 % - Markeringsfarve4 3 7 2 2 5" xfId="35397" xr:uid="{00000000-0005-0000-0000-000017300000}"/>
    <cellStyle name="20 % - Markeringsfarve4 3 7 2 3" xfId="6448" xr:uid="{00000000-0005-0000-0000-000018300000}"/>
    <cellStyle name="20 % - Markeringsfarve4 3 7 2 3 2" xfId="14363" xr:uid="{00000000-0005-0000-0000-000019300000}"/>
    <cellStyle name="20 % - Markeringsfarve4 3 7 2 3 2 2" xfId="30678" xr:uid="{00000000-0005-0000-0000-00001A300000}"/>
    <cellStyle name="20 % - Markeringsfarve4 3 7 2 3 2 3" xfId="45642" xr:uid="{00000000-0005-0000-0000-00001B300000}"/>
    <cellStyle name="20 % - Markeringsfarve4 3 7 2 3 3" xfId="23656" xr:uid="{00000000-0005-0000-0000-00001C300000}"/>
    <cellStyle name="20 % - Markeringsfarve4 3 7 2 3 4" xfId="38643" xr:uid="{00000000-0005-0000-0000-00001D300000}"/>
    <cellStyle name="20 % - Markeringsfarve4 3 7 2 4" xfId="11109" xr:uid="{00000000-0005-0000-0000-00001E300000}"/>
    <cellStyle name="20 % - Markeringsfarve4 3 7 2 4 2" xfId="27429" xr:uid="{00000000-0005-0000-0000-00001F300000}"/>
    <cellStyle name="20 % - Markeringsfarve4 3 7 2 4 3" xfId="42395" xr:uid="{00000000-0005-0000-0000-000020300000}"/>
    <cellStyle name="20 % - Markeringsfarve4 3 7 2 5" xfId="20407" xr:uid="{00000000-0005-0000-0000-000021300000}"/>
    <cellStyle name="20 % - Markeringsfarve4 3 7 2 6" xfId="35396" xr:uid="{00000000-0005-0000-0000-000022300000}"/>
    <cellStyle name="20 % - Markeringsfarve4 3 7 3" xfId="2551" xr:uid="{00000000-0005-0000-0000-000023300000}"/>
    <cellStyle name="20 % - Markeringsfarve4 3 7 3 2" xfId="7198" xr:uid="{00000000-0005-0000-0000-000024300000}"/>
    <cellStyle name="20 % - Markeringsfarve4 3 7 3 2 2" xfId="15109" xr:uid="{00000000-0005-0000-0000-000025300000}"/>
    <cellStyle name="20 % - Markeringsfarve4 3 7 3 2 2 2" xfId="31424" xr:uid="{00000000-0005-0000-0000-000026300000}"/>
    <cellStyle name="20 % - Markeringsfarve4 3 7 3 2 2 3" xfId="46388" xr:uid="{00000000-0005-0000-0000-000027300000}"/>
    <cellStyle name="20 % - Markeringsfarve4 3 7 3 2 3" xfId="24402" xr:uid="{00000000-0005-0000-0000-000028300000}"/>
    <cellStyle name="20 % - Markeringsfarve4 3 7 3 2 4" xfId="39389" xr:uid="{00000000-0005-0000-0000-000029300000}"/>
    <cellStyle name="20 % - Markeringsfarve4 3 7 3 3" xfId="11111" xr:uid="{00000000-0005-0000-0000-00002A300000}"/>
    <cellStyle name="20 % - Markeringsfarve4 3 7 3 3 2" xfId="27431" xr:uid="{00000000-0005-0000-0000-00002B300000}"/>
    <cellStyle name="20 % - Markeringsfarve4 3 7 3 3 3" xfId="42397" xr:uid="{00000000-0005-0000-0000-00002C300000}"/>
    <cellStyle name="20 % - Markeringsfarve4 3 7 3 4" xfId="20409" xr:uid="{00000000-0005-0000-0000-00002D300000}"/>
    <cellStyle name="20 % - Markeringsfarve4 3 7 3 5" xfId="35398" xr:uid="{00000000-0005-0000-0000-00002E300000}"/>
    <cellStyle name="20 % - Markeringsfarve4 3 7 4" xfId="2552" xr:uid="{00000000-0005-0000-0000-00002F300000}"/>
    <cellStyle name="20 % - Markeringsfarve4 3 7 4 2" xfId="8590" xr:uid="{00000000-0005-0000-0000-000030300000}"/>
    <cellStyle name="20 % - Markeringsfarve4 3 7 4 2 2" xfId="16474" xr:uid="{00000000-0005-0000-0000-000031300000}"/>
    <cellStyle name="20 % - Markeringsfarve4 3 7 4 2 2 2" xfId="32789" xr:uid="{00000000-0005-0000-0000-000032300000}"/>
    <cellStyle name="20 % - Markeringsfarve4 3 7 4 2 2 3" xfId="47753" xr:uid="{00000000-0005-0000-0000-000033300000}"/>
    <cellStyle name="20 % - Markeringsfarve4 3 7 4 2 3" xfId="25767" xr:uid="{00000000-0005-0000-0000-000034300000}"/>
    <cellStyle name="20 % - Markeringsfarve4 3 7 4 2 4" xfId="40754" xr:uid="{00000000-0005-0000-0000-000035300000}"/>
    <cellStyle name="20 % - Markeringsfarve4 3 7 4 3" xfId="11112" xr:uid="{00000000-0005-0000-0000-000036300000}"/>
    <cellStyle name="20 % - Markeringsfarve4 3 7 4 3 2" xfId="27432" xr:uid="{00000000-0005-0000-0000-000037300000}"/>
    <cellStyle name="20 % - Markeringsfarve4 3 7 4 3 3" xfId="42398" xr:uid="{00000000-0005-0000-0000-000038300000}"/>
    <cellStyle name="20 % - Markeringsfarve4 3 7 4 4" xfId="20410" xr:uid="{00000000-0005-0000-0000-000039300000}"/>
    <cellStyle name="20 % - Markeringsfarve4 3 7 4 5" xfId="35399" xr:uid="{00000000-0005-0000-0000-00003A300000}"/>
    <cellStyle name="20 % - Markeringsfarve4 3 7 5" xfId="5554" xr:uid="{00000000-0005-0000-0000-00003B300000}"/>
    <cellStyle name="20 % - Markeringsfarve4 3 7 5 2" xfId="13473" xr:uid="{00000000-0005-0000-0000-00003C300000}"/>
    <cellStyle name="20 % - Markeringsfarve4 3 7 5 2 2" xfId="29788" xr:uid="{00000000-0005-0000-0000-00003D300000}"/>
    <cellStyle name="20 % - Markeringsfarve4 3 7 5 2 3" xfId="44752" xr:uid="{00000000-0005-0000-0000-00003E300000}"/>
    <cellStyle name="20 % - Markeringsfarve4 3 7 5 3" xfId="22766" xr:uid="{00000000-0005-0000-0000-00003F300000}"/>
    <cellStyle name="20 % - Markeringsfarve4 3 7 5 4" xfId="37753" xr:uid="{00000000-0005-0000-0000-000040300000}"/>
    <cellStyle name="20 % - Markeringsfarve4 3 7 6" xfId="11108" xr:uid="{00000000-0005-0000-0000-000041300000}"/>
    <cellStyle name="20 % - Markeringsfarve4 3 7 6 2" xfId="27428" xr:uid="{00000000-0005-0000-0000-000042300000}"/>
    <cellStyle name="20 % - Markeringsfarve4 3 7 6 3" xfId="42394" xr:uid="{00000000-0005-0000-0000-000043300000}"/>
    <cellStyle name="20 % - Markeringsfarve4 3 7 7" xfId="20406" xr:uid="{00000000-0005-0000-0000-000044300000}"/>
    <cellStyle name="20 % - Markeringsfarve4 3 7 8" xfId="35395" xr:uid="{00000000-0005-0000-0000-000045300000}"/>
    <cellStyle name="20 % - Markeringsfarve4 3 8" xfId="2553" xr:uid="{00000000-0005-0000-0000-000046300000}"/>
    <cellStyle name="20 % - Markeringsfarve4 3 8 2" xfId="2554" xr:uid="{00000000-0005-0000-0000-000047300000}"/>
    <cellStyle name="20 % - Markeringsfarve4 3 8 2 2" xfId="2555" xr:uid="{00000000-0005-0000-0000-000048300000}"/>
    <cellStyle name="20 % - Markeringsfarve4 3 8 2 2 2" xfId="8050" xr:uid="{00000000-0005-0000-0000-000049300000}"/>
    <cellStyle name="20 % - Markeringsfarve4 3 8 2 2 2 2" xfId="15952" xr:uid="{00000000-0005-0000-0000-00004A300000}"/>
    <cellStyle name="20 % - Markeringsfarve4 3 8 2 2 2 2 2" xfId="32267" xr:uid="{00000000-0005-0000-0000-00004B300000}"/>
    <cellStyle name="20 % - Markeringsfarve4 3 8 2 2 2 2 3" xfId="47231" xr:uid="{00000000-0005-0000-0000-00004C300000}"/>
    <cellStyle name="20 % - Markeringsfarve4 3 8 2 2 2 3" xfId="25245" xr:uid="{00000000-0005-0000-0000-00004D300000}"/>
    <cellStyle name="20 % - Markeringsfarve4 3 8 2 2 2 4" xfId="40232" xr:uid="{00000000-0005-0000-0000-00004E300000}"/>
    <cellStyle name="20 % - Markeringsfarve4 3 8 2 2 3" xfId="11115" xr:uid="{00000000-0005-0000-0000-00004F300000}"/>
    <cellStyle name="20 % - Markeringsfarve4 3 8 2 2 3 2" xfId="27435" xr:uid="{00000000-0005-0000-0000-000050300000}"/>
    <cellStyle name="20 % - Markeringsfarve4 3 8 2 2 3 3" xfId="42401" xr:uid="{00000000-0005-0000-0000-000051300000}"/>
    <cellStyle name="20 % - Markeringsfarve4 3 8 2 2 4" xfId="20413" xr:uid="{00000000-0005-0000-0000-000052300000}"/>
    <cellStyle name="20 % - Markeringsfarve4 3 8 2 2 5" xfId="35402" xr:uid="{00000000-0005-0000-0000-000053300000}"/>
    <cellStyle name="20 % - Markeringsfarve4 3 8 2 3" xfId="6561" xr:uid="{00000000-0005-0000-0000-000054300000}"/>
    <cellStyle name="20 % - Markeringsfarve4 3 8 2 3 2" xfId="14476" xr:uid="{00000000-0005-0000-0000-000055300000}"/>
    <cellStyle name="20 % - Markeringsfarve4 3 8 2 3 2 2" xfId="30791" xr:uid="{00000000-0005-0000-0000-000056300000}"/>
    <cellStyle name="20 % - Markeringsfarve4 3 8 2 3 2 3" xfId="45755" xr:uid="{00000000-0005-0000-0000-000057300000}"/>
    <cellStyle name="20 % - Markeringsfarve4 3 8 2 3 3" xfId="23769" xr:uid="{00000000-0005-0000-0000-000058300000}"/>
    <cellStyle name="20 % - Markeringsfarve4 3 8 2 3 4" xfId="38756" xr:uid="{00000000-0005-0000-0000-000059300000}"/>
    <cellStyle name="20 % - Markeringsfarve4 3 8 2 4" xfId="11114" xr:uid="{00000000-0005-0000-0000-00005A300000}"/>
    <cellStyle name="20 % - Markeringsfarve4 3 8 2 4 2" xfId="27434" xr:uid="{00000000-0005-0000-0000-00005B300000}"/>
    <cellStyle name="20 % - Markeringsfarve4 3 8 2 4 3" xfId="42400" xr:uid="{00000000-0005-0000-0000-00005C300000}"/>
    <cellStyle name="20 % - Markeringsfarve4 3 8 2 5" xfId="20412" xr:uid="{00000000-0005-0000-0000-00005D300000}"/>
    <cellStyle name="20 % - Markeringsfarve4 3 8 2 6" xfId="35401" xr:uid="{00000000-0005-0000-0000-00005E300000}"/>
    <cellStyle name="20 % - Markeringsfarve4 3 8 3" xfId="2556" xr:uid="{00000000-0005-0000-0000-00005F300000}"/>
    <cellStyle name="20 % - Markeringsfarve4 3 8 3 2" xfId="7327" xr:uid="{00000000-0005-0000-0000-000060300000}"/>
    <cellStyle name="20 % - Markeringsfarve4 3 8 3 2 2" xfId="15238" xr:uid="{00000000-0005-0000-0000-000061300000}"/>
    <cellStyle name="20 % - Markeringsfarve4 3 8 3 2 2 2" xfId="31553" xr:uid="{00000000-0005-0000-0000-000062300000}"/>
    <cellStyle name="20 % - Markeringsfarve4 3 8 3 2 2 3" xfId="46517" xr:uid="{00000000-0005-0000-0000-000063300000}"/>
    <cellStyle name="20 % - Markeringsfarve4 3 8 3 2 3" xfId="24531" xr:uid="{00000000-0005-0000-0000-000064300000}"/>
    <cellStyle name="20 % - Markeringsfarve4 3 8 3 2 4" xfId="39518" xr:uid="{00000000-0005-0000-0000-000065300000}"/>
    <cellStyle name="20 % - Markeringsfarve4 3 8 3 3" xfId="11116" xr:uid="{00000000-0005-0000-0000-000066300000}"/>
    <cellStyle name="20 % - Markeringsfarve4 3 8 3 3 2" xfId="27436" xr:uid="{00000000-0005-0000-0000-000067300000}"/>
    <cellStyle name="20 % - Markeringsfarve4 3 8 3 3 3" xfId="42402" xr:uid="{00000000-0005-0000-0000-000068300000}"/>
    <cellStyle name="20 % - Markeringsfarve4 3 8 3 4" xfId="20414" xr:uid="{00000000-0005-0000-0000-000069300000}"/>
    <cellStyle name="20 % - Markeringsfarve4 3 8 3 5" xfId="35403" xr:uid="{00000000-0005-0000-0000-00006A300000}"/>
    <cellStyle name="20 % - Markeringsfarve4 3 8 4" xfId="2557" xr:uid="{00000000-0005-0000-0000-00006B300000}"/>
    <cellStyle name="20 % - Markeringsfarve4 3 8 4 2" xfId="8239" xr:uid="{00000000-0005-0000-0000-00006C300000}"/>
    <cellStyle name="20 % - Markeringsfarve4 3 8 4 2 2" xfId="16134" xr:uid="{00000000-0005-0000-0000-00006D300000}"/>
    <cellStyle name="20 % - Markeringsfarve4 3 8 4 2 2 2" xfId="32449" xr:uid="{00000000-0005-0000-0000-00006E300000}"/>
    <cellStyle name="20 % - Markeringsfarve4 3 8 4 2 2 3" xfId="47413" xr:uid="{00000000-0005-0000-0000-00006F300000}"/>
    <cellStyle name="20 % - Markeringsfarve4 3 8 4 2 3" xfId="25427" xr:uid="{00000000-0005-0000-0000-000070300000}"/>
    <cellStyle name="20 % - Markeringsfarve4 3 8 4 2 4" xfId="40414" xr:uid="{00000000-0005-0000-0000-000071300000}"/>
    <cellStyle name="20 % - Markeringsfarve4 3 8 4 3" xfId="11117" xr:uid="{00000000-0005-0000-0000-000072300000}"/>
    <cellStyle name="20 % - Markeringsfarve4 3 8 4 3 2" xfId="27437" xr:uid="{00000000-0005-0000-0000-000073300000}"/>
    <cellStyle name="20 % - Markeringsfarve4 3 8 4 3 3" xfId="42403" xr:uid="{00000000-0005-0000-0000-000074300000}"/>
    <cellStyle name="20 % - Markeringsfarve4 3 8 4 4" xfId="20415" xr:uid="{00000000-0005-0000-0000-000075300000}"/>
    <cellStyle name="20 % - Markeringsfarve4 3 8 4 5" xfId="35404" xr:uid="{00000000-0005-0000-0000-000076300000}"/>
    <cellStyle name="20 % - Markeringsfarve4 3 8 5" xfId="5555" xr:uid="{00000000-0005-0000-0000-000077300000}"/>
    <cellStyle name="20 % - Markeringsfarve4 3 8 5 2" xfId="13474" xr:uid="{00000000-0005-0000-0000-000078300000}"/>
    <cellStyle name="20 % - Markeringsfarve4 3 8 5 2 2" xfId="29789" xr:uid="{00000000-0005-0000-0000-000079300000}"/>
    <cellStyle name="20 % - Markeringsfarve4 3 8 5 2 3" xfId="44753" xr:uid="{00000000-0005-0000-0000-00007A300000}"/>
    <cellStyle name="20 % - Markeringsfarve4 3 8 5 3" xfId="22767" xr:uid="{00000000-0005-0000-0000-00007B300000}"/>
    <cellStyle name="20 % - Markeringsfarve4 3 8 5 4" xfId="37754" xr:uid="{00000000-0005-0000-0000-00007C300000}"/>
    <cellStyle name="20 % - Markeringsfarve4 3 8 6" xfId="11113" xr:uid="{00000000-0005-0000-0000-00007D300000}"/>
    <cellStyle name="20 % - Markeringsfarve4 3 8 6 2" xfId="27433" xr:uid="{00000000-0005-0000-0000-00007E300000}"/>
    <cellStyle name="20 % - Markeringsfarve4 3 8 6 3" xfId="42399" xr:uid="{00000000-0005-0000-0000-00007F300000}"/>
    <cellStyle name="20 % - Markeringsfarve4 3 8 7" xfId="20411" xr:uid="{00000000-0005-0000-0000-000080300000}"/>
    <cellStyle name="20 % - Markeringsfarve4 3 8 8" xfId="35400" xr:uid="{00000000-0005-0000-0000-000081300000}"/>
    <cellStyle name="20 % - Markeringsfarve4 3 9" xfId="2558" xr:uid="{00000000-0005-0000-0000-000082300000}"/>
    <cellStyle name="20 % - Markeringsfarve4 3 9 2" xfId="2559" xr:uid="{00000000-0005-0000-0000-000083300000}"/>
    <cellStyle name="20 % - Markeringsfarve4 3 9 2 2" xfId="7448" xr:uid="{00000000-0005-0000-0000-000084300000}"/>
    <cellStyle name="20 % - Markeringsfarve4 3 9 2 2 2" xfId="15350" xr:uid="{00000000-0005-0000-0000-000085300000}"/>
    <cellStyle name="20 % - Markeringsfarve4 3 9 2 2 2 2" xfId="31665" xr:uid="{00000000-0005-0000-0000-000086300000}"/>
    <cellStyle name="20 % - Markeringsfarve4 3 9 2 2 2 3" xfId="46629" xr:uid="{00000000-0005-0000-0000-000087300000}"/>
    <cellStyle name="20 % - Markeringsfarve4 3 9 2 2 3" xfId="24643" xr:uid="{00000000-0005-0000-0000-000088300000}"/>
    <cellStyle name="20 % - Markeringsfarve4 3 9 2 2 4" xfId="39630" xr:uid="{00000000-0005-0000-0000-000089300000}"/>
    <cellStyle name="20 % - Markeringsfarve4 3 9 2 3" xfId="11119" xr:uid="{00000000-0005-0000-0000-00008A300000}"/>
    <cellStyle name="20 % - Markeringsfarve4 3 9 2 3 2" xfId="27439" xr:uid="{00000000-0005-0000-0000-00008B300000}"/>
    <cellStyle name="20 % - Markeringsfarve4 3 9 2 3 3" xfId="42405" xr:uid="{00000000-0005-0000-0000-00008C300000}"/>
    <cellStyle name="20 % - Markeringsfarve4 3 9 2 4" xfId="20417" xr:uid="{00000000-0005-0000-0000-00008D300000}"/>
    <cellStyle name="20 % - Markeringsfarve4 3 9 2 5" xfId="35406" xr:uid="{00000000-0005-0000-0000-00008E300000}"/>
    <cellStyle name="20 % - Markeringsfarve4 3 9 3" xfId="6048" xr:uid="{00000000-0005-0000-0000-00008F300000}"/>
    <cellStyle name="20 % - Markeringsfarve4 3 9 3 2" xfId="13966" xr:uid="{00000000-0005-0000-0000-000090300000}"/>
    <cellStyle name="20 % - Markeringsfarve4 3 9 3 2 2" xfId="30281" xr:uid="{00000000-0005-0000-0000-000091300000}"/>
    <cellStyle name="20 % - Markeringsfarve4 3 9 3 2 3" xfId="45245" xr:uid="{00000000-0005-0000-0000-000092300000}"/>
    <cellStyle name="20 % - Markeringsfarve4 3 9 3 3" xfId="23259" xr:uid="{00000000-0005-0000-0000-000093300000}"/>
    <cellStyle name="20 % - Markeringsfarve4 3 9 3 4" xfId="38246" xr:uid="{00000000-0005-0000-0000-000094300000}"/>
    <cellStyle name="20 % - Markeringsfarve4 3 9 4" xfId="11118" xr:uid="{00000000-0005-0000-0000-000095300000}"/>
    <cellStyle name="20 % - Markeringsfarve4 3 9 4 2" xfId="27438" xr:uid="{00000000-0005-0000-0000-000096300000}"/>
    <cellStyle name="20 % - Markeringsfarve4 3 9 4 3" xfId="42404" xr:uid="{00000000-0005-0000-0000-000097300000}"/>
    <cellStyle name="20 % - Markeringsfarve4 3 9 5" xfId="20416" xr:uid="{00000000-0005-0000-0000-000098300000}"/>
    <cellStyle name="20 % - Markeringsfarve4 3 9 6" xfId="35405" xr:uid="{00000000-0005-0000-0000-000099300000}"/>
    <cellStyle name="20 % - Markeringsfarve4 4" xfId="2560" xr:uid="{00000000-0005-0000-0000-00009A300000}"/>
    <cellStyle name="20 % - Markeringsfarve4 4 10" xfId="5556" xr:uid="{00000000-0005-0000-0000-00009B300000}"/>
    <cellStyle name="20 % - Markeringsfarve4 4 10 2" xfId="13475" xr:uid="{00000000-0005-0000-0000-00009C300000}"/>
    <cellStyle name="20 % - Markeringsfarve4 4 10 2 2" xfId="29790" xr:uid="{00000000-0005-0000-0000-00009D300000}"/>
    <cellStyle name="20 % - Markeringsfarve4 4 10 2 3" xfId="44754" xr:uid="{00000000-0005-0000-0000-00009E300000}"/>
    <cellStyle name="20 % - Markeringsfarve4 4 10 3" xfId="22768" xr:uid="{00000000-0005-0000-0000-00009F300000}"/>
    <cellStyle name="20 % - Markeringsfarve4 4 10 4" xfId="37755" xr:uid="{00000000-0005-0000-0000-0000A0300000}"/>
    <cellStyle name="20 % - Markeringsfarve4 4 11" xfId="11120" xr:uid="{00000000-0005-0000-0000-0000A1300000}"/>
    <cellStyle name="20 % - Markeringsfarve4 4 11 2" xfId="27440" xr:uid="{00000000-0005-0000-0000-0000A2300000}"/>
    <cellStyle name="20 % - Markeringsfarve4 4 11 3" xfId="42406" xr:uid="{00000000-0005-0000-0000-0000A3300000}"/>
    <cellStyle name="20 % - Markeringsfarve4 4 12" xfId="20418" xr:uid="{00000000-0005-0000-0000-0000A4300000}"/>
    <cellStyle name="20 % - Markeringsfarve4 4 13" xfId="35407" xr:uid="{00000000-0005-0000-0000-0000A5300000}"/>
    <cellStyle name="20 % - Markeringsfarve4 4 14" xfId="53299" xr:uid="{00000000-0005-0000-0000-0000A6300000}"/>
    <cellStyle name="20 % - Markeringsfarve4 4 2" xfId="2561" xr:uid="{00000000-0005-0000-0000-0000A7300000}"/>
    <cellStyle name="20 % - Markeringsfarve4 4 2 2" xfId="2562" xr:uid="{00000000-0005-0000-0000-0000A8300000}"/>
    <cellStyle name="20 % - Markeringsfarve4 4 2 2 2" xfId="2563" xr:uid="{00000000-0005-0000-0000-0000A9300000}"/>
    <cellStyle name="20 % - Markeringsfarve4 4 2 2 2 2" xfId="7592" xr:uid="{00000000-0005-0000-0000-0000AA300000}"/>
    <cellStyle name="20 % - Markeringsfarve4 4 2 2 2 2 2" xfId="15494" xr:uid="{00000000-0005-0000-0000-0000AB300000}"/>
    <cellStyle name="20 % - Markeringsfarve4 4 2 2 2 2 2 2" xfId="31809" xr:uid="{00000000-0005-0000-0000-0000AC300000}"/>
    <cellStyle name="20 % - Markeringsfarve4 4 2 2 2 2 2 3" xfId="46773" xr:uid="{00000000-0005-0000-0000-0000AD300000}"/>
    <cellStyle name="20 % - Markeringsfarve4 4 2 2 2 2 3" xfId="24787" xr:uid="{00000000-0005-0000-0000-0000AE300000}"/>
    <cellStyle name="20 % - Markeringsfarve4 4 2 2 2 2 4" xfId="39774" xr:uid="{00000000-0005-0000-0000-0000AF300000}"/>
    <cellStyle name="20 % - Markeringsfarve4 4 2 2 2 3" xfId="11123" xr:uid="{00000000-0005-0000-0000-0000B0300000}"/>
    <cellStyle name="20 % - Markeringsfarve4 4 2 2 2 3 2" xfId="27443" xr:uid="{00000000-0005-0000-0000-0000B1300000}"/>
    <cellStyle name="20 % - Markeringsfarve4 4 2 2 2 3 3" xfId="42409" xr:uid="{00000000-0005-0000-0000-0000B2300000}"/>
    <cellStyle name="20 % - Markeringsfarve4 4 2 2 2 4" xfId="20421" xr:uid="{00000000-0005-0000-0000-0000B3300000}"/>
    <cellStyle name="20 % - Markeringsfarve4 4 2 2 2 5" xfId="35410" xr:uid="{00000000-0005-0000-0000-0000B4300000}"/>
    <cellStyle name="20 % - Markeringsfarve4 4 2 2 3" xfId="6168" xr:uid="{00000000-0005-0000-0000-0000B5300000}"/>
    <cellStyle name="20 % - Markeringsfarve4 4 2 2 3 2" xfId="14086" xr:uid="{00000000-0005-0000-0000-0000B6300000}"/>
    <cellStyle name="20 % - Markeringsfarve4 4 2 2 3 2 2" xfId="30401" xr:uid="{00000000-0005-0000-0000-0000B7300000}"/>
    <cellStyle name="20 % - Markeringsfarve4 4 2 2 3 2 3" xfId="45365" xr:uid="{00000000-0005-0000-0000-0000B8300000}"/>
    <cellStyle name="20 % - Markeringsfarve4 4 2 2 3 3" xfId="23379" xr:uid="{00000000-0005-0000-0000-0000B9300000}"/>
    <cellStyle name="20 % - Markeringsfarve4 4 2 2 3 4" xfId="38366" xr:uid="{00000000-0005-0000-0000-0000BA300000}"/>
    <cellStyle name="20 % - Markeringsfarve4 4 2 2 4" xfId="11122" xr:uid="{00000000-0005-0000-0000-0000BB300000}"/>
    <cellStyle name="20 % - Markeringsfarve4 4 2 2 4 2" xfId="27442" xr:uid="{00000000-0005-0000-0000-0000BC300000}"/>
    <cellStyle name="20 % - Markeringsfarve4 4 2 2 4 3" xfId="42408" xr:uid="{00000000-0005-0000-0000-0000BD300000}"/>
    <cellStyle name="20 % - Markeringsfarve4 4 2 2 5" xfId="20420" xr:uid="{00000000-0005-0000-0000-0000BE300000}"/>
    <cellStyle name="20 % - Markeringsfarve4 4 2 2 6" xfId="35409" xr:uid="{00000000-0005-0000-0000-0000BF300000}"/>
    <cellStyle name="20 % - Markeringsfarve4 4 2 2 7" xfId="57103" xr:uid="{00000000-0005-0000-0000-0000C0300000}"/>
    <cellStyle name="20 % - Markeringsfarve4 4 2 3" xfId="2564" xr:uid="{00000000-0005-0000-0000-0000C1300000}"/>
    <cellStyle name="20 % - Markeringsfarve4 4 2 3 2" xfId="6822" xr:uid="{00000000-0005-0000-0000-0000C2300000}"/>
    <cellStyle name="20 % - Markeringsfarve4 4 2 3 2 2" xfId="14734" xr:uid="{00000000-0005-0000-0000-0000C3300000}"/>
    <cellStyle name="20 % - Markeringsfarve4 4 2 3 2 2 2" xfId="31049" xr:uid="{00000000-0005-0000-0000-0000C4300000}"/>
    <cellStyle name="20 % - Markeringsfarve4 4 2 3 2 2 3" xfId="46013" xr:uid="{00000000-0005-0000-0000-0000C5300000}"/>
    <cellStyle name="20 % - Markeringsfarve4 4 2 3 2 3" xfId="24027" xr:uid="{00000000-0005-0000-0000-0000C6300000}"/>
    <cellStyle name="20 % - Markeringsfarve4 4 2 3 2 4" xfId="39014" xr:uid="{00000000-0005-0000-0000-0000C7300000}"/>
    <cellStyle name="20 % - Markeringsfarve4 4 2 3 3" xfId="11124" xr:uid="{00000000-0005-0000-0000-0000C8300000}"/>
    <cellStyle name="20 % - Markeringsfarve4 4 2 3 3 2" xfId="27444" xr:uid="{00000000-0005-0000-0000-0000C9300000}"/>
    <cellStyle name="20 % - Markeringsfarve4 4 2 3 3 3" xfId="42410" xr:uid="{00000000-0005-0000-0000-0000CA300000}"/>
    <cellStyle name="20 % - Markeringsfarve4 4 2 3 4" xfId="20422" xr:uid="{00000000-0005-0000-0000-0000CB300000}"/>
    <cellStyle name="20 % - Markeringsfarve4 4 2 3 5" xfId="35411" xr:uid="{00000000-0005-0000-0000-0000CC300000}"/>
    <cellStyle name="20 % - Markeringsfarve4 4 2 4" xfId="2565" xr:uid="{00000000-0005-0000-0000-0000CD300000}"/>
    <cellStyle name="20 % - Markeringsfarve4 4 2 4 2" xfId="8164" xr:uid="{00000000-0005-0000-0000-0000CE300000}"/>
    <cellStyle name="20 % - Markeringsfarve4 4 2 4 2 2" xfId="16062" xr:uid="{00000000-0005-0000-0000-0000CF300000}"/>
    <cellStyle name="20 % - Markeringsfarve4 4 2 4 2 2 2" xfId="32377" xr:uid="{00000000-0005-0000-0000-0000D0300000}"/>
    <cellStyle name="20 % - Markeringsfarve4 4 2 4 2 2 3" xfId="47341" xr:uid="{00000000-0005-0000-0000-0000D1300000}"/>
    <cellStyle name="20 % - Markeringsfarve4 4 2 4 2 3" xfId="25355" xr:uid="{00000000-0005-0000-0000-0000D2300000}"/>
    <cellStyle name="20 % - Markeringsfarve4 4 2 4 2 4" xfId="40342" xr:uid="{00000000-0005-0000-0000-0000D3300000}"/>
    <cellStyle name="20 % - Markeringsfarve4 4 2 4 3" xfId="11125" xr:uid="{00000000-0005-0000-0000-0000D4300000}"/>
    <cellStyle name="20 % - Markeringsfarve4 4 2 4 3 2" xfId="27445" xr:uid="{00000000-0005-0000-0000-0000D5300000}"/>
    <cellStyle name="20 % - Markeringsfarve4 4 2 4 3 3" xfId="42411" xr:uid="{00000000-0005-0000-0000-0000D6300000}"/>
    <cellStyle name="20 % - Markeringsfarve4 4 2 4 4" xfId="20423" xr:uid="{00000000-0005-0000-0000-0000D7300000}"/>
    <cellStyle name="20 % - Markeringsfarve4 4 2 4 5" xfId="35412" xr:uid="{00000000-0005-0000-0000-0000D8300000}"/>
    <cellStyle name="20 % - Markeringsfarve4 4 2 5" xfId="5557" xr:uid="{00000000-0005-0000-0000-0000D9300000}"/>
    <cellStyle name="20 % - Markeringsfarve4 4 2 5 2" xfId="13476" xr:uid="{00000000-0005-0000-0000-0000DA300000}"/>
    <cellStyle name="20 % - Markeringsfarve4 4 2 5 2 2" xfId="29791" xr:uid="{00000000-0005-0000-0000-0000DB300000}"/>
    <cellStyle name="20 % - Markeringsfarve4 4 2 5 2 3" xfId="44755" xr:uid="{00000000-0005-0000-0000-0000DC300000}"/>
    <cellStyle name="20 % - Markeringsfarve4 4 2 5 3" xfId="22769" xr:uid="{00000000-0005-0000-0000-0000DD300000}"/>
    <cellStyle name="20 % - Markeringsfarve4 4 2 5 4" xfId="37756" xr:uid="{00000000-0005-0000-0000-0000DE300000}"/>
    <cellStyle name="20 % - Markeringsfarve4 4 2 6" xfId="11121" xr:uid="{00000000-0005-0000-0000-0000DF300000}"/>
    <cellStyle name="20 % - Markeringsfarve4 4 2 6 2" xfId="27441" xr:uid="{00000000-0005-0000-0000-0000E0300000}"/>
    <cellStyle name="20 % - Markeringsfarve4 4 2 6 3" xfId="42407" xr:uid="{00000000-0005-0000-0000-0000E1300000}"/>
    <cellStyle name="20 % - Markeringsfarve4 4 2 7" xfId="20419" xr:uid="{00000000-0005-0000-0000-0000E2300000}"/>
    <cellStyle name="20 % - Markeringsfarve4 4 2 8" xfId="35408" xr:uid="{00000000-0005-0000-0000-0000E3300000}"/>
    <cellStyle name="20 % - Markeringsfarve4 4 2 9" xfId="53936" xr:uid="{00000000-0005-0000-0000-0000E4300000}"/>
    <cellStyle name="20 % - Markeringsfarve4 4 3" xfId="2566" xr:uid="{00000000-0005-0000-0000-0000E5300000}"/>
    <cellStyle name="20 % - Markeringsfarve4 4 3 2" xfId="2567" xr:uid="{00000000-0005-0000-0000-0000E6300000}"/>
    <cellStyle name="20 % - Markeringsfarve4 4 3 2 2" xfId="2568" xr:uid="{00000000-0005-0000-0000-0000E7300000}"/>
    <cellStyle name="20 % - Markeringsfarve4 4 3 2 2 2" xfId="7698" xr:uid="{00000000-0005-0000-0000-0000E8300000}"/>
    <cellStyle name="20 % - Markeringsfarve4 4 3 2 2 2 2" xfId="15600" xr:uid="{00000000-0005-0000-0000-0000E9300000}"/>
    <cellStyle name="20 % - Markeringsfarve4 4 3 2 2 2 2 2" xfId="31915" xr:uid="{00000000-0005-0000-0000-0000EA300000}"/>
    <cellStyle name="20 % - Markeringsfarve4 4 3 2 2 2 2 3" xfId="46879" xr:uid="{00000000-0005-0000-0000-0000EB300000}"/>
    <cellStyle name="20 % - Markeringsfarve4 4 3 2 2 2 3" xfId="24893" xr:uid="{00000000-0005-0000-0000-0000EC300000}"/>
    <cellStyle name="20 % - Markeringsfarve4 4 3 2 2 2 4" xfId="39880" xr:uid="{00000000-0005-0000-0000-0000ED300000}"/>
    <cellStyle name="20 % - Markeringsfarve4 4 3 2 2 3" xfId="11128" xr:uid="{00000000-0005-0000-0000-0000EE300000}"/>
    <cellStyle name="20 % - Markeringsfarve4 4 3 2 2 3 2" xfId="27448" xr:uid="{00000000-0005-0000-0000-0000EF300000}"/>
    <cellStyle name="20 % - Markeringsfarve4 4 3 2 2 3 3" xfId="42414" xr:uid="{00000000-0005-0000-0000-0000F0300000}"/>
    <cellStyle name="20 % - Markeringsfarve4 4 3 2 2 4" xfId="20426" xr:uid="{00000000-0005-0000-0000-0000F1300000}"/>
    <cellStyle name="20 % - Markeringsfarve4 4 3 2 2 5" xfId="35415" xr:uid="{00000000-0005-0000-0000-0000F2300000}"/>
    <cellStyle name="20 % - Markeringsfarve4 4 3 2 3" xfId="6262" xr:uid="{00000000-0005-0000-0000-0000F3300000}"/>
    <cellStyle name="20 % - Markeringsfarve4 4 3 2 3 2" xfId="14180" xr:uid="{00000000-0005-0000-0000-0000F4300000}"/>
    <cellStyle name="20 % - Markeringsfarve4 4 3 2 3 2 2" xfId="30495" xr:uid="{00000000-0005-0000-0000-0000F5300000}"/>
    <cellStyle name="20 % - Markeringsfarve4 4 3 2 3 2 3" xfId="45459" xr:uid="{00000000-0005-0000-0000-0000F6300000}"/>
    <cellStyle name="20 % - Markeringsfarve4 4 3 2 3 3" xfId="23473" xr:uid="{00000000-0005-0000-0000-0000F7300000}"/>
    <cellStyle name="20 % - Markeringsfarve4 4 3 2 3 4" xfId="38460" xr:uid="{00000000-0005-0000-0000-0000F8300000}"/>
    <cellStyle name="20 % - Markeringsfarve4 4 3 2 4" xfId="11127" xr:uid="{00000000-0005-0000-0000-0000F9300000}"/>
    <cellStyle name="20 % - Markeringsfarve4 4 3 2 4 2" xfId="27447" xr:uid="{00000000-0005-0000-0000-0000FA300000}"/>
    <cellStyle name="20 % - Markeringsfarve4 4 3 2 4 3" xfId="42413" xr:uid="{00000000-0005-0000-0000-0000FB300000}"/>
    <cellStyle name="20 % - Markeringsfarve4 4 3 2 5" xfId="20425" xr:uid="{00000000-0005-0000-0000-0000FC300000}"/>
    <cellStyle name="20 % - Markeringsfarve4 4 3 2 6" xfId="35414" xr:uid="{00000000-0005-0000-0000-0000FD300000}"/>
    <cellStyle name="20 % - Markeringsfarve4 4 3 3" xfId="2569" xr:uid="{00000000-0005-0000-0000-0000FE300000}"/>
    <cellStyle name="20 % - Markeringsfarve4 4 3 3 2" xfId="6928" xr:uid="{00000000-0005-0000-0000-0000FF300000}"/>
    <cellStyle name="20 % - Markeringsfarve4 4 3 3 2 2" xfId="14840" xr:uid="{00000000-0005-0000-0000-000000310000}"/>
    <cellStyle name="20 % - Markeringsfarve4 4 3 3 2 2 2" xfId="31155" xr:uid="{00000000-0005-0000-0000-000001310000}"/>
    <cellStyle name="20 % - Markeringsfarve4 4 3 3 2 2 3" xfId="46119" xr:uid="{00000000-0005-0000-0000-000002310000}"/>
    <cellStyle name="20 % - Markeringsfarve4 4 3 3 2 3" xfId="24133" xr:uid="{00000000-0005-0000-0000-000003310000}"/>
    <cellStyle name="20 % - Markeringsfarve4 4 3 3 2 4" xfId="39120" xr:uid="{00000000-0005-0000-0000-000004310000}"/>
    <cellStyle name="20 % - Markeringsfarve4 4 3 3 3" xfId="11129" xr:uid="{00000000-0005-0000-0000-000005310000}"/>
    <cellStyle name="20 % - Markeringsfarve4 4 3 3 3 2" xfId="27449" xr:uid="{00000000-0005-0000-0000-000006310000}"/>
    <cellStyle name="20 % - Markeringsfarve4 4 3 3 3 3" xfId="42415" xr:uid="{00000000-0005-0000-0000-000007310000}"/>
    <cellStyle name="20 % - Markeringsfarve4 4 3 3 4" xfId="20427" xr:uid="{00000000-0005-0000-0000-000008310000}"/>
    <cellStyle name="20 % - Markeringsfarve4 4 3 3 5" xfId="35416" xr:uid="{00000000-0005-0000-0000-000009310000}"/>
    <cellStyle name="20 % - Markeringsfarve4 4 3 4" xfId="2570" xr:uid="{00000000-0005-0000-0000-00000A310000}"/>
    <cellStyle name="20 % - Markeringsfarve4 4 3 4 2" xfId="8501" xr:uid="{00000000-0005-0000-0000-00000B310000}"/>
    <cellStyle name="20 % - Markeringsfarve4 4 3 4 2 2" xfId="16389" xr:uid="{00000000-0005-0000-0000-00000C310000}"/>
    <cellStyle name="20 % - Markeringsfarve4 4 3 4 2 2 2" xfId="32704" xr:uid="{00000000-0005-0000-0000-00000D310000}"/>
    <cellStyle name="20 % - Markeringsfarve4 4 3 4 2 2 3" xfId="47668" xr:uid="{00000000-0005-0000-0000-00000E310000}"/>
    <cellStyle name="20 % - Markeringsfarve4 4 3 4 2 3" xfId="25682" xr:uid="{00000000-0005-0000-0000-00000F310000}"/>
    <cellStyle name="20 % - Markeringsfarve4 4 3 4 2 4" xfId="40669" xr:uid="{00000000-0005-0000-0000-000010310000}"/>
    <cellStyle name="20 % - Markeringsfarve4 4 3 4 3" xfId="11130" xr:uid="{00000000-0005-0000-0000-000011310000}"/>
    <cellStyle name="20 % - Markeringsfarve4 4 3 4 3 2" xfId="27450" xr:uid="{00000000-0005-0000-0000-000012310000}"/>
    <cellStyle name="20 % - Markeringsfarve4 4 3 4 3 3" xfId="42416" xr:uid="{00000000-0005-0000-0000-000013310000}"/>
    <cellStyle name="20 % - Markeringsfarve4 4 3 4 4" xfId="20428" xr:uid="{00000000-0005-0000-0000-000014310000}"/>
    <cellStyle name="20 % - Markeringsfarve4 4 3 4 5" xfId="35417" xr:uid="{00000000-0005-0000-0000-000015310000}"/>
    <cellStyle name="20 % - Markeringsfarve4 4 3 5" xfId="5558" xr:uid="{00000000-0005-0000-0000-000016310000}"/>
    <cellStyle name="20 % - Markeringsfarve4 4 3 5 2" xfId="13477" xr:uid="{00000000-0005-0000-0000-000017310000}"/>
    <cellStyle name="20 % - Markeringsfarve4 4 3 5 2 2" xfId="29792" xr:uid="{00000000-0005-0000-0000-000018310000}"/>
    <cellStyle name="20 % - Markeringsfarve4 4 3 5 2 3" xfId="44756" xr:uid="{00000000-0005-0000-0000-000019310000}"/>
    <cellStyle name="20 % - Markeringsfarve4 4 3 5 3" xfId="22770" xr:uid="{00000000-0005-0000-0000-00001A310000}"/>
    <cellStyle name="20 % - Markeringsfarve4 4 3 5 4" xfId="37757" xr:uid="{00000000-0005-0000-0000-00001B310000}"/>
    <cellStyle name="20 % - Markeringsfarve4 4 3 6" xfId="11126" xr:uid="{00000000-0005-0000-0000-00001C310000}"/>
    <cellStyle name="20 % - Markeringsfarve4 4 3 6 2" xfId="27446" xr:uid="{00000000-0005-0000-0000-00001D310000}"/>
    <cellStyle name="20 % - Markeringsfarve4 4 3 6 3" xfId="42412" xr:uid="{00000000-0005-0000-0000-00001E310000}"/>
    <cellStyle name="20 % - Markeringsfarve4 4 3 7" xfId="20424" xr:uid="{00000000-0005-0000-0000-00001F310000}"/>
    <cellStyle name="20 % - Markeringsfarve4 4 3 8" xfId="35413" xr:uid="{00000000-0005-0000-0000-000020310000}"/>
    <cellStyle name="20 % - Markeringsfarve4 4 3 9" xfId="56480" xr:uid="{00000000-0005-0000-0000-000021310000}"/>
    <cellStyle name="20 % - Markeringsfarve4 4 4" xfId="2571" xr:uid="{00000000-0005-0000-0000-000022310000}"/>
    <cellStyle name="20 % - Markeringsfarve4 4 4 2" xfId="2572" xr:uid="{00000000-0005-0000-0000-000023310000}"/>
    <cellStyle name="20 % - Markeringsfarve4 4 4 2 2" xfId="2573" xr:uid="{00000000-0005-0000-0000-000024310000}"/>
    <cellStyle name="20 % - Markeringsfarve4 4 4 2 2 2" xfId="7830" xr:uid="{00000000-0005-0000-0000-000025310000}"/>
    <cellStyle name="20 % - Markeringsfarve4 4 4 2 2 2 2" xfId="15732" xr:uid="{00000000-0005-0000-0000-000026310000}"/>
    <cellStyle name="20 % - Markeringsfarve4 4 4 2 2 2 2 2" xfId="32047" xr:uid="{00000000-0005-0000-0000-000027310000}"/>
    <cellStyle name="20 % - Markeringsfarve4 4 4 2 2 2 2 3" xfId="47011" xr:uid="{00000000-0005-0000-0000-000028310000}"/>
    <cellStyle name="20 % - Markeringsfarve4 4 4 2 2 2 3" xfId="25025" xr:uid="{00000000-0005-0000-0000-000029310000}"/>
    <cellStyle name="20 % - Markeringsfarve4 4 4 2 2 2 4" xfId="40012" xr:uid="{00000000-0005-0000-0000-00002A310000}"/>
    <cellStyle name="20 % - Markeringsfarve4 4 4 2 2 3" xfId="11133" xr:uid="{00000000-0005-0000-0000-00002B310000}"/>
    <cellStyle name="20 % - Markeringsfarve4 4 4 2 2 3 2" xfId="27453" xr:uid="{00000000-0005-0000-0000-00002C310000}"/>
    <cellStyle name="20 % - Markeringsfarve4 4 4 2 2 3 3" xfId="42419" xr:uid="{00000000-0005-0000-0000-00002D310000}"/>
    <cellStyle name="20 % - Markeringsfarve4 4 4 2 2 4" xfId="20431" xr:uid="{00000000-0005-0000-0000-00002E310000}"/>
    <cellStyle name="20 % - Markeringsfarve4 4 4 2 2 5" xfId="35420" xr:uid="{00000000-0005-0000-0000-00002F310000}"/>
    <cellStyle name="20 % - Markeringsfarve4 4 4 2 3" xfId="6370" xr:uid="{00000000-0005-0000-0000-000030310000}"/>
    <cellStyle name="20 % - Markeringsfarve4 4 4 2 3 2" xfId="14285" xr:uid="{00000000-0005-0000-0000-000031310000}"/>
    <cellStyle name="20 % - Markeringsfarve4 4 4 2 3 2 2" xfId="30600" xr:uid="{00000000-0005-0000-0000-000032310000}"/>
    <cellStyle name="20 % - Markeringsfarve4 4 4 2 3 2 3" xfId="45564" xr:uid="{00000000-0005-0000-0000-000033310000}"/>
    <cellStyle name="20 % - Markeringsfarve4 4 4 2 3 3" xfId="23578" xr:uid="{00000000-0005-0000-0000-000034310000}"/>
    <cellStyle name="20 % - Markeringsfarve4 4 4 2 3 4" xfId="38565" xr:uid="{00000000-0005-0000-0000-000035310000}"/>
    <cellStyle name="20 % - Markeringsfarve4 4 4 2 4" xfId="11132" xr:uid="{00000000-0005-0000-0000-000036310000}"/>
    <cellStyle name="20 % - Markeringsfarve4 4 4 2 4 2" xfId="27452" xr:uid="{00000000-0005-0000-0000-000037310000}"/>
    <cellStyle name="20 % - Markeringsfarve4 4 4 2 4 3" xfId="42418" xr:uid="{00000000-0005-0000-0000-000038310000}"/>
    <cellStyle name="20 % - Markeringsfarve4 4 4 2 5" xfId="20430" xr:uid="{00000000-0005-0000-0000-000039310000}"/>
    <cellStyle name="20 % - Markeringsfarve4 4 4 2 6" xfId="35419" xr:uid="{00000000-0005-0000-0000-00003A310000}"/>
    <cellStyle name="20 % - Markeringsfarve4 4 4 3" xfId="2574" xr:uid="{00000000-0005-0000-0000-00003B310000}"/>
    <cellStyle name="20 % - Markeringsfarve4 4 4 3 2" xfId="7106" xr:uid="{00000000-0005-0000-0000-00003C310000}"/>
    <cellStyle name="20 % - Markeringsfarve4 4 4 3 2 2" xfId="15017" xr:uid="{00000000-0005-0000-0000-00003D310000}"/>
    <cellStyle name="20 % - Markeringsfarve4 4 4 3 2 2 2" xfId="31332" xr:uid="{00000000-0005-0000-0000-00003E310000}"/>
    <cellStyle name="20 % - Markeringsfarve4 4 4 3 2 2 3" xfId="46296" xr:uid="{00000000-0005-0000-0000-00003F310000}"/>
    <cellStyle name="20 % - Markeringsfarve4 4 4 3 2 3" xfId="24310" xr:uid="{00000000-0005-0000-0000-000040310000}"/>
    <cellStyle name="20 % - Markeringsfarve4 4 4 3 2 4" xfId="39297" xr:uid="{00000000-0005-0000-0000-000041310000}"/>
    <cellStyle name="20 % - Markeringsfarve4 4 4 3 3" xfId="11134" xr:uid="{00000000-0005-0000-0000-000042310000}"/>
    <cellStyle name="20 % - Markeringsfarve4 4 4 3 3 2" xfId="27454" xr:uid="{00000000-0005-0000-0000-000043310000}"/>
    <cellStyle name="20 % - Markeringsfarve4 4 4 3 3 3" xfId="42420" xr:uid="{00000000-0005-0000-0000-000044310000}"/>
    <cellStyle name="20 % - Markeringsfarve4 4 4 3 4" xfId="20432" xr:uid="{00000000-0005-0000-0000-000045310000}"/>
    <cellStyle name="20 % - Markeringsfarve4 4 4 3 5" xfId="35421" xr:uid="{00000000-0005-0000-0000-000046310000}"/>
    <cellStyle name="20 % - Markeringsfarve4 4 4 4" xfId="2575" xr:uid="{00000000-0005-0000-0000-000047310000}"/>
    <cellStyle name="20 % - Markeringsfarve4 4 4 4 2" xfId="8725" xr:uid="{00000000-0005-0000-0000-000048310000}"/>
    <cellStyle name="20 % - Markeringsfarve4 4 4 4 2 2" xfId="16602" xr:uid="{00000000-0005-0000-0000-000049310000}"/>
    <cellStyle name="20 % - Markeringsfarve4 4 4 4 2 2 2" xfId="32917" xr:uid="{00000000-0005-0000-0000-00004A310000}"/>
    <cellStyle name="20 % - Markeringsfarve4 4 4 4 2 2 3" xfId="47881" xr:uid="{00000000-0005-0000-0000-00004B310000}"/>
    <cellStyle name="20 % - Markeringsfarve4 4 4 4 2 3" xfId="25895" xr:uid="{00000000-0005-0000-0000-00004C310000}"/>
    <cellStyle name="20 % - Markeringsfarve4 4 4 4 2 4" xfId="40882" xr:uid="{00000000-0005-0000-0000-00004D310000}"/>
    <cellStyle name="20 % - Markeringsfarve4 4 4 4 3" xfId="11135" xr:uid="{00000000-0005-0000-0000-00004E310000}"/>
    <cellStyle name="20 % - Markeringsfarve4 4 4 4 3 2" xfId="27455" xr:uid="{00000000-0005-0000-0000-00004F310000}"/>
    <cellStyle name="20 % - Markeringsfarve4 4 4 4 3 3" xfId="42421" xr:uid="{00000000-0005-0000-0000-000050310000}"/>
    <cellStyle name="20 % - Markeringsfarve4 4 4 4 4" xfId="20433" xr:uid="{00000000-0005-0000-0000-000051310000}"/>
    <cellStyle name="20 % - Markeringsfarve4 4 4 4 5" xfId="35422" xr:uid="{00000000-0005-0000-0000-000052310000}"/>
    <cellStyle name="20 % - Markeringsfarve4 4 4 5" xfId="5559" xr:uid="{00000000-0005-0000-0000-000053310000}"/>
    <cellStyle name="20 % - Markeringsfarve4 4 4 5 2" xfId="13478" xr:uid="{00000000-0005-0000-0000-000054310000}"/>
    <cellStyle name="20 % - Markeringsfarve4 4 4 5 2 2" xfId="29793" xr:uid="{00000000-0005-0000-0000-000055310000}"/>
    <cellStyle name="20 % - Markeringsfarve4 4 4 5 2 3" xfId="44757" xr:uid="{00000000-0005-0000-0000-000056310000}"/>
    <cellStyle name="20 % - Markeringsfarve4 4 4 5 3" xfId="22771" xr:uid="{00000000-0005-0000-0000-000057310000}"/>
    <cellStyle name="20 % - Markeringsfarve4 4 4 5 4" xfId="37758" xr:uid="{00000000-0005-0000-0000-000058310000}"/>
    <cellStyle name="20 % - Markeringsfarve4 4 4 6" xfId="11131" xr:uid="{00000000-0005-0000-0000-000059310000}"/>
    <cellStyle name="20 % - Markeringsfarve4 4 4 6 2" xfId="27451" xr:uid="{00000000-0005-0000-0000-00005A310000}"/>
    <cellStyle name="20 % - Markeringsfarve4 4 4 6 3" xfId="42417" xr:uid="{00000000-0005-0000-0000-00005B310000}"/>
    <cellStyle name="20 % - Markeringsfarve4 4 4 7" xfId="20429" xr:uid="{00000000-0005-0000-0000-00005C310000}"/>
    <cellStyle name="20 % - Markeringsfarve4 4 4 8" xfId="35418" xr:uid="{00000000-0005-0000-0000-00005D310000}"/>
    <cellStyle name="20 % - Markeringsfarve4 4 5" xfId="2576" xr:uid="{00000000-0005-0000-0000-00005E310000}"/>
    <cellStyle name="20 % - Markeringsfarve4 4 5 2" xfId="2577" xr:uid="{00000000-0005-0000-0000-00005F310000}"/>
    <cellStyle name="20 % - Markeringsfarve4 4 5 2 2" xfId="2578" xr:uid="{00000000-0005-0000-0000-000060310000}"/>
    <cellStyle name="20 % - Markeringsfarve4 4 5 2 2 2" xfId="7947" xr:uid="{00000000-0005-0000-0000-000061310000}"/>
    <cellStyle name="20 % - Markeringsfarve4 4 5 2 2 2 2" xfId="15849" xr:uid="{00000000-0005-0000-0000-000062310000}"/>
    <cellStyle name="20 % - Markeringsfarve4 4 5 2 2 2 2 2" xfId="32164" xr:uid="{00000000-0005-0000-0000-000063310000}"/>
    <cellStyle name="20 % - Markeringsfarve4 4 5 2 2 2 2 3" xfId="47128" xr:uid="{00000000-0005-0000-0000-000064310000}"/>
    <cellStyle name="20 % - Markeringsfarve4 4 5 2 2 2 3" xfId="25142" xr:uid="{00000000-0005-0000-0000-000065310000}"/>
    <cellStyle name="20 % - Markeringsfarve4 4 5 2 2 2 4" xfId="40129" xr:uid="{00000000-0005-0000-0000-000066310000}"/>
    <cellStyle name="20 % - Markeringsfarve4 4 5 2 2 3" xfId="11138" xr:uid="{00000000-0005-0000-0000-000067310000}"/>
    <cellStyle name="20 % - Markeringsfarve4 4 5 2 2 3 2" xfId="27458" xr:uid="{00000000-0005-0000-0000-000068310000}"/>
    <cellStyle name="20 % - Markeringsfarve4 4 5 2 2 3 3" xfId="42424" xr:uid="{00000000-0005-0000-0000-000069310000}"/>
    <cellStyle name="20 % - Markeringsfarve4 4 5 2 2 4" xfId="20436" xr:uid="{00000000-0005-0000-0000-00006A310000}"/>
    <cellStyle name="20 % - Markeringsfarve4 4 5 2 2 5" xfId="35425" xr:uid="{00000000-0005-0000-0000-00006B310000}"/>
    <cellStyle name="20 % - Markeringsfarve4 4 5 2 3" xfId="6469" xr:uid="{00000000-0005-0000-0000-00006C310000}"/>
    <cellStyle name="20 % - Markeringsfarve4 4 5 2 3 2" xfId="14384" xr:uid="{00000000-0005-0000-0000-00006D310000}"/>
    <cellStyle name="20 % - Markeringsfarve4 4 5 2 3 2 2" xfId="30699" xr:uid="{00000000-0005-0000-0000-00006E310000}"/>
    <cellStyle name="20 % - Markeringsfarve4 4 5 2 3 2 3" xfId="45663" xr:uid="{00000000-0005-0000-0000-00006F310000}"/>
    <cellStyle name="20 % - Markeringsfarve4 4 5 2 3 3" xfId="23677" xr:uid="{00000000-0005-0000-0000-000070310000}"/>
    <cellStyle name="20 % - Markeringsfarve4 4 5 2 3 4" xfId="38664" xr:uid="{00000000-0005-0000-0000-000071310000}"/>
    <cellStyle name="20 % - Markeringsfarve4 4 5 2 4" xfId="11137" xr:uid="{00000000-0005-0000-0000-000072310000}"/>
    <cellStyle name="20 % - Markeringsfarve4 4 5 2 4 2" xfId="27457" xr:uid="{00000000-0005-0000-0000-000073310000}"/>
    <cellStyle name="20 % - Markeringsfarve4 4 5 2 4 3" xfId="42423" xr:uid="{00000000-0005-0000-0000-000074310000}"/>
    <cellStyle name="20 % - Markeringsfarve4 4 5 2 5" xfId="20435" xr:uid="{00000000-0005-0000-0000-000075310000}"/>
    <cellStyle name="20 % - Markeringsfarve4 4 5 2 6" xfId="35424" xr:uid="{00000000-0005-0000-0000-000076310000}"/>
    <cellStyle name="20 % - Markeringsfarve4 4 5 3" xfId="2579" xr:uid="{00000000-0005-0000-0000-000077310000}"/>
    <cellStyle name="20 % - Markeringsfarve4 4 5 3 2" xfId="7223" xr:uid="{00000000-0005-0000-0000-000078310000}"/>
    <cellStyle name="20 % - Markeringsfarve4 4 5 3 2 2" xfId="15134" xr:uid="{00000000-0005-0000-0000-000079310000}"/>
    <cellStyle name="20 % - Markeringsfarve4 4 5 3 2 2 2" xfId="31449" xr:uid="{00000000-0005-0000-0000-00007A310000}"/>
    <cellStyle name="20 % - Markeringsfarve4 4 5 3 2 2 3" xfId="46413" xr:uid="{00000000-0005-0000-0000-00007B310000}"/>
    <cellStyle name="20 % - Markeringsfarve4 4 5 3 2 3" xfId="24427" xr:uid="{00000000-0005-0000-0000-00007C310000}"/>
    <cellStyle name="20 % - Markeringsfarve4 4 5 3 2 4" xfId="39414" xr:uid="{00000000-0005-0000-0000-00007D310000}"/>
    <cellStyle name="20 % - Markeringsfarve4 4 5 3 3" xfId="11139" xr:uid="{00000000-0005-0000-0000-00007E310000}"/>
    <cellStyle name="20 % - Markeringsfarve4 4 5 3 3 2" xfId="27459" xr:uid="{00000000-0005-0000-0000-00007F310000}"/>
    <cellStyle name="20 % - Markeringsfarve4 4 5 3 3 3" xfId="42425" xr:uid="{00000000-0005-0000-0000-000080310000}"/>
    <cellStyle name="20 % - Markeringsfarve4 4 5 3 4" xfId="20437" xr:uid="{00000000-0005-0000-0000-000081310000}"/>
    <cellStyle name="20 % - Markeringsfarve4 4 5 3 5" xfId="35426" xr:uid="{00000000-0005-0000-0000-000082310000}"/>
    <cellStyle name="20 % - Markeringsfarve4 4 5 4" xfId="2580" xr:uid="{00000000-0005-0000-0000-000083310000}"/>
    <cellStyle name="20 % - Markeringsfarve4 4 5 4 2" xfId="8445" xr:uid="{00000000-0005-0000-0000-000084310000}"/>
    <cellStyle name="20 % - Markeringsfarve4 4 5 4 2 2" xfId="16335" xr:uid="{00000000-0005-0000-0000-000085310000}"/>
    <cellStyle name="20 % - Markeringsfarve4 4 5 4 2 2 2" xfId="32650" xr:uid="{00000000-0005-0000-0000-000086310000}"/>
    <cellStyle name="20 % - Markeringsfarve4 4 5 4 2 2 3" xfId="47614" xr:uid="{00000000-0005-0000-0000-000087310000}"/>
    <cellStyle name="20 % - Markeringsfarve4 4 5 4 2 3" xfId="25628" xr:uid="{00000000-0005-0000-0000-000088310000}"/>
    <cellStyle name="20 % - Markeringsfarve4 4 5 4 2 4" xfId="40615" xr:uid="{00000000-0005-0000-0000-000089310000}"/>
    <cellStyle name="20 % - Markeringsfarve4 4 5 4 3" xfId="11140" xr:uid="{00000000-0005-0000-0000-00008A310000}"/>
    <cellStyle name="20 % - Markeringsfarve4 4 5 4 3 2" xfId="27460" xr:uid="{00000000-0005-0000-0000-00008B310000}"/>
    <cellStyle name="20 % - Markeringsfarve4 4 5 4 3 3" xfId="42426" xr:uid="{00000000-0005-0000-0000-00008C310000}"/>
    <cellStyle name="20 % - Markeringsfarve4 4 5 4 4" xfId="20438" xr:uid="{00000000-0005-0000-0000-00008D310000}"/>
    <cellStyle name="20 % - Markeringsfarve4 4 5 4 5" xfId="35427" xr:uid="{00000000-0005-0000-0000-00008E310000}"/>
    <cellStyle name="20 % - Markeringsfarve4 4 5 5" xfId="5560" xr:uid="{00000000-0005-0000-0000-00008F310000}"/>
    <cellStyle name="20 % - Markeringsfarve4 4 5 5 2" xfId="13479" xr:uid="{00000000-0005-0000-0000-000090310000}"/>
    <cellStyle name="20 % - Markeringsfarve4 4 5 5 2 2" xfId="29794" xr:uid="{00000000-0005-0000-0000-000091310000}"/>
    <cellStyle name="20 % - Markeringsfarve4 4 5 5 2 3" xfId="44758" xr:uid="{00000000-0005-0000-0000-000092310000}"/>
    <cellStyle name="20 % - Markeringsfarve4 4 5 5 3" xfId="22772" xr:uid="{00000000-0005-0000-0000-000093310000}"/>
    <cellStyle name="20 % - Markeringsfarve4 4 5 5 4" xfId="37759" xr:uid="{00000000-0005-0000-0000-000094310000}"/>
    <cellStyle name="20 % - Markeringsfarve4 4 5 6" xfId="11136" xr:uid="{00000000-0005-0000-0000-000095310000}"/>
    <cellStyle name="20 % - Markeringsfarve4 4 5 6 2" xfId="27456" xr:uid="{00000000-0005-0000-0000-000096310000}"/>
    <cellStyle name="20 % - Markeringsfarve4 4 5 6 3" xfId="42422" xr:uid="{00000000-0005-0000-0000-000097310000}"/>
    <cellStyle name="20 % - Markeringsfarve4 4 5 7" xfId="20434" xr:uid="{00000000-0005-0000-0000-000098310000}"/>
    <cellStyle name="20 % - Markeringsfarve4 4 5 8" xfId="35423" xr:uid="{00000000-0005-0000-0000-000099310000}"/>
    <cellStyle name="20 % - Markeringsfarve4 4 6" xfId="2581" xr:uid="{00000000-0005-0000-0000-00009A310000}"/>
    <cellStyle name="20 % - Markeringsfarve4 4 6 2" xfId="2582" xr:uid="{00000000-0005-0000-0000-00009B310000}"/>
    <cellStyle name="20 % - Markeringsfarve4 4 6 2 2" xfId="2583" xr:uid="{00000000-0005-0000-0000-00009C310000}"/>
    <cellStyle name="20 % - Markeringsfarve4 4 6 2 2 2" xfId="8053" xr:uid="{00000000-0005-0000-0000-00009D310000}"/>
    <cellStyle name="20 % - Markeringsfarve4 4 6 2 2 2 2" xfId="15955" xr:uid="{00000000-0005-0000-0000-00009E310000}"/>
    <cellStyle name="20 % - Markeringsfarve4 4 6 2 2 2 2 2" xfId="32270" xr:uid="{00000000-0005-0000-0000-00009F310000}"/>
    <cellStyle name="20 % - Markeringsfarve4 4 6 2 2 2 2 3" xfId="47234" xr:uid="{00000000-0005-0000-0000-0000A0310000}"/>
    <cellStyle name="20 % - Markeringsfarve4 4 6 2 2 2 3" xfId="25248" xr:uid="{00000000-0005-0000-0000-0000A1310000}"/>
    <cellStyle name="20 % - Markeringsfarve4 4 6 2 2 2 4" xfId="40235" xr:uid="{00000000-0005-0000-0000-0000A2310000}"/>
    <cellStyle name="20 % - Markeringsfarve4 4 6 2 2 3" xfId="11143" xr:uid="{00000000-0005-0000-0000-0000A3310000}"/>
    <cellStyle name="20 % - Markeringsfarve4 4 6 2 2 3 2" xfId="27463" xr:uid="{00000000-0005-0000-0000-0000A4310000}"/>
    <cellStyle name="20 % - Markeringsfarve4 4 6 2 2 3 3" xfId="42429" xr:uid="{00000000-0005-0000-0000-0000A5310000}"/>
    <cellStyle name="20 % - Markeringsfarve4 4 6 2 2 4" xfId="20441" xr:uid="{00000000-0005-0000-0000-0000A6310000}"/>
    <cellStyle name="20 % - Markeringsfarve4 4 6 2 2 5" xfId="35430" xr:uid="{00000000-0005-0000-0000-0000A7310000}"/>
    <cellStyle name="20 % - Markeringsfarve4 4 6 2 3" xfId="6564" xr:uid="{00000000-0005-0000-0000-0000A8310000}"/>
    <cellStyle name="20 % - Markeringsfarve4 4 6 2 3 2" xfId="14479" xr:uid="{00000000-0005-0000-0000-0000A9310000}"/>
    <cellStyle name="20 % - Markeringsfarve4 4 6 2 3 2 2" xfId="30794" xr:uid="{00000000-0005-0000-0000-0000AA310000}"/>
    <cellStyle name="20 % - Markeringsfarve4 4 6 2 3 2 3" xfId="45758" xr:uid="{00000000-0005-0000-0000-0000AB310000}"/>
    <cellStyle name="20 % - Markeringsfarve4 4 6 2 3 3" xfId="23772" xr:uid="{00000000-0005-0000-0000-0000AC310000}"/>
    <cellStyle name="20 % - Markeringsfarve4 4 6 2 3 4" xfId="38759" xr:uid="{00000000-0005-0000-0000-0000AD310000}"/>
    <cellStyle name="20 % - Markeringsfarve4 4 6 2 4" xfId="11142" xr:uid="{00000000-0005-0000-0000-0000AE310000}"/>
    <cellStyle name="20 % - Markeringsfarve4 4 6 2 4 2" xfId="27462" xr:uid="{00000000-0005-0000-0000-0000AF310000}"/>
    <cellStyle name="20 % - Markeringsfarve4 4 6 2 4 3" xfId="42428" xr:uid="{00000000-0005-0000-0000-0000B0310000}"/>
    <cellStyle name="20 % - Markeringsfarve4 4 6 2 5" xfId="20440" xr:uid="{00000000-0005-0000-0000-0000B1310000}"/>
    <cellStyle name="20 % - Markeringsfarve4 4 6 2 6" xfId="35429" xr:uid="{00000000-0005-0000-0000-0000B2310000}"/>
    <cellStyle name="20 % - Markeringsfarve4 4 6 3" xfId="2584" xr:uid="{00000000-0005-0000-0000-0000B3310000}"/>
    <cellStyle name="20 % - Markeringsfarve4 4 6 3 2" xfId="7330" xr:uid="{00000000-0005-0000-0000-0000B4310000}"/>
    <cellStyle name="20 % - Markeringsfarve4 4 6 3 2 2" xfId="15241" xr:uid="{00000000-0005-0000-0000-0000B5310000}"/>
    <cellStyle name="20 % - Markeringsfarve4 4 6 3 2 2 2" xfId="31556" xr:uid="{00000000-0005-0000-0000-0000B6310000}"/>
    <cellStyle name="20 % - Markeringsfarve4 4 6 3 2 2 3" xfId="46520" xr:uid="{00000000-0005-0000-0000-0000B7310000}"/>
    <cellStyle name="20 % - Markeringsfarve4 4 6 3 2 3" xfId="24534" xr:uid="{00000000-0005-0000-0000-0000B8310000}"/>
    <cellStyle name="20 % - Markeringsfarve4 4 6 3 2 4" xfId="39521" xr:uid="{00000000-0005-0000-0000-0000B9310000}"/>
    <cellStyle name="20 % - Markeringsfarve4 4 6 3 3" xfId="11144" xr:uid="{00000000-0005-0000-0000-0000BA310000}"/>
    <cellStyle name="20 % - Markeringsfarve4 4 6 3 3 2" xfId="27464" xr:uid="{00000000-0005-0000-0000-0000BB310000}"/>
    <cellStyle name="20 % - Markeringsfarve4 4 6 3 3 3" xfId="42430" xr:uid="{00000000-0005-0000-0000-0000BC310000}"/>
    <cellStyle name="20 % - Markeringsfarve4 4 6 3 4" xfId="20442" xr:uid="{00000000-0005-0000-0000-0000BD310000}"/>
    <cellStyle name="20 % - Markeringsfarve4 4 6 3 5" xfId="35431" xr:uid="{00000000-0005-0000-0000-0000BE310000}"/>
    <cellStyle name="20 % - Markeringsfarve4 4 6 4" xfId="2585" xr:uid="{00000000-0005-0000-0000-0000BF310000}"/>
    <cellStyle name="20 % - Markeringsfarve4 4 6 4 2" xfId="8674" xr:uid="{00000000-0005-0000-0000-0000C0310000}"/>
    <cellStyle name="20 % - Markeringsfarve4 4 6 4 2 2" xfId="16554" xr:uid="{00000000-0005-0000-0000-0000C1310000}"/>
    <cellStyle name="20 % - Markeringsfarve4 4 6 4 2 2 2" xfId="32869" xr:uid="{00000000-0005-0000-0000-0000C2310000}"/>
    <cellStyle name="20 % - Markeringsfarve4 4 6 4 2 2 3" xfId="47833" xr:uid="{00000000-0005-0000-0000-0000C3310000}"/>
    <cellStyle name="20 % - Markeringsfarve4 4 6 4 2 3" xfId="25847" xr:uid="{00000000-0005-0000-0000-0000C4310000}"/>
    <cellStyle name="20 % - Markeringsfarve4 4 6 4 2 4" xfId="40834" xr:uid="{00000000-0005-0000-0000-0000C5310000}"/>
    <cellStyle name="20 % - Markeringsfarve4 4 6 4 3" xfId="11145" xr:uid="{00000000-0005-0000-0000-0000C6310000}"/>
    <cellStyle name="20 % - Markeringsfarve4 4 6 4 3 2" xfId="27465" xr:uid="{00000000-0005-0000-0000-0000C7310000}"/>
    <cellStyle name="20 % - Markeringsfarve4 4 6 4 3 3" xfId="42431" xr:uid="{00000000-0005-0000-0000-0000C8310000}"/>
    <cellStyle name="20 % - Markeringsfarve4 4 6 4 4" xfId="20443" xr:uid="{00000000-0005-0000-0000-0000C9310000}"/>
    <cellStyle name="20 % - Markeringsfarve4 4 6 4 5" xfId="35432" xr:uid="{00000000-0005-0000-0000-0000CA310000}"/>
    <cellStyle name="20 % - Markeringsfarve4 4 6 5" xfId="5561" xr:uid="{00000000-0005-0000-0000-0000CB310000}"/>
    <cellStyle name="20 % - Markeringsfarve4 4 6 5 2" xfId="13480" xr:uid="{00000000-0005-0000-0000-0000CC310000}"/>
    <cellStyle name="20 % - Markeringsfarve4 4 6 5 2 2" xfId="29795" xr:uid="{00000000-0005-0000-0000-0000CD310000}"/>
    <cellStyle name="20 % - Markeringsfarve4 4 6 5 2 3" xfId="44759" xr:uid="{00000000-0005-0000-0000-0000CE310000}"/>
    <cellStyle name="20 % - Markeringsfarve4 4 6 5 3" xfId="22773" xr:uid="{00000000-0005-0000-0000-0000CF310000}"/>
    <cellStyle name="20 % - Markeringsfarve4 4 6 5 4" xfId="37760" xr:uid="{00000000-0005-0000-0000-0000D0310000}"/>
    <cellStyle name="20 % - Markeringsfarve4 4 6 6" xfId="11141" xr:uid="{00000000-0005-0000-0000-0000D1310000}"/>
    <cellStyle name="20 % - Markeringsfarve4 4 6 6 2" xfId="27461" xr:uid="{00000000-0005-0000-0000-0000D2310000}"/>
    <cellStyle name="20 % - Markeringsfarve4 4 6 6 3" xfId="42427" xr:uid="{00000000-0005-0000-0000-0000D3310000}"/>
    <cellStyle name="20 % - Markeringsfarve4 4 6 7" xfId="20439" xr:uid="{00000000-0005-0000-0000-0000D4310000}"/>
    <cellStyle name="20 % - Markeringsfarve4 4 6 8" xfId="35428" xr:uid="{00000000-0005-0000-0000-0000D5310000}"/>
    <cellStyle name="20 % - Markeringsfarve4 4 7" xfId="2586" xr:uid="{00000000-0005-0000-0000-0000D6310000}"/>
    <cellStyle name="20 % - Markeringsfarve4 4 7 2" xfId="2587" xr:uid="{00000000-0005-0000-0000-0000D7310000}"/>
    <cellStyle name="20 % - Markeringsfarve4 4 7 2 2" xfId="7473" xr:uid="{00000000-0005-0000-0000-0000D8310000}"/>
    <cellStyle name="20 % - Markeringsfarve4 4 7 2 2 2" xfId="15375" xr:uid="{00000000-0005-0000-0000-0000D9310000}"/>
    <cellStyle name="20 % - Markeringsfarve4 4 7 2 2 2 2" xfId="31690" xr:uid="{00000000-0005-0000-0000-0000DA310000}"/>
    <cellStyle name="20 % - Markeringsfarve4 4 7 2 2 2 3" xfId="46654" xr:uid="{00000000-0005-0000-0000-0000DB310000}"/>
    <cellStyle name="20 % - Markeringsfarve4 4 7 2 2 3" xfId="24668" xr:uid="{00000000-0005-0000-0000-0000DC310000}"/>
    <cellStyle name="20 % - Markeringsfarve4 4 7 2 2 4" xfId="39655" xr:uid="{00000000-0005-0000-0000-0000DD310000}"/>
    <cellStyle name="20 % - Markeringsfarve4 4 7 2 3" xfId="11147" xr:uid="{00000000-0005-0000-0000-0000DE310000}"/>
    <cellStyle name="20 % - Markeringsfarve4 4 7 2 3 2" xfId="27467" xr:uid="{00000000-0005-0000-0000-0000DF310000}"/>
    <cellStyle name="20 % - Markeringsfarve4 4 7 2 3 3" xfId="42433" xr:uid="{00000000-0005-0000-0000-0000E0310000}"/>
    <cellStyle name="20 % - Markeringsfarve4 4 7 2 4" xfId="20445" xr:uid="{00000000-0005-0000-0000-0000E1310000}"/>
    <cellStyle name="20 % - Markeringsfarve4 4 7 2 5" xfId="35434" xr:uid="{00000000-0005-0000-0000-0000E2310000}"/>
    <cellStyle name="20 % - Markeringsfarve4 4 7 3" xfId="6069" xr:uid="{00000000-0005-0000-0000-0000E3310000}"/>
    <cellStyle name="20 % - Markeringsfarve4 4 7 3 2" xfId="13987" xr:uid="{00000000-0005-0000-0000-0000E4310000}"/>
    <cellStyle name="20 % - Markeringsfarve4 4 7 3 2 2" xfId="30302" xr:uid="{00000000-0005-0000-0000-0000E5310000}"/>
    <cellStyle name="20 % - Markeringsfarve4 4 7 3 2 3" xfId="45266" xr:uid="{00000000-0005-0000-0000-0000E6310000}"/>
    <cellStyle name="20 % - Markeringsfarve4 4 7 3 3" xfId="23280" xr:uid="{00000000-0005-0000-0000-0000E7310000}"/>
    <cellStyle name="20 % - Markeringsfarve4 4 7 3 4" xfId="38267" xr:uid="{00000000-0005-0000-0000-0000E8310000}"/>
    <cellStyle name="20 % - Markeringsfarve4 4 7 4" xfId="11146" xr:uid="{00000000-0005-0000-0000-0000E9310000}"/>
    <cellStyle name="20 % - Markeringsfarve4 4 7 4 2" xfId="27466" xr:uid="{00000000-0005-0000-0000-0000EA310000}"/>
    <cellStyle name="20 % - Markeringsfarve4 4 7 4 3" xfId="42432" xr:uid="{00000000-0005-0000-0000-0000EB310000}"/>
    <cellStyle name="20 % - Markeringsfarve4 4 7 5" xfId="20444" xr:uid="{00000000-0005-0000-0000-0000EC310000}"/>
    <cellStyle name="20 % - Markeringsfarve4 4 7 6" xfId="35433" xr:uid="{00000000-0005-0000-0000-0000ED310000}"/>
    <cellStyle name="20 % - Markeringsfarve4 4 8" xfId="2588" xr:uid="{00000000-0005-0000-0000-0000EE310000}"/>
    <cellStyle name="20 % - Markeringsfarve4 4 8 2" xfId="6701" xr:uid="{00000000-0005-0000-0000-0000EF310000}"/>
    <cellStyle name="20 % - Markeringsfarve4 4 8 2 2" xfId="14613" xr:uid="{00000000-0005-0000-0000-0000F0310000}"/>
    <cellStyle name="20 % - Markeringsfarve4 4 8 2 2 2" xfId="30928" xr:uid="{00000000-0005-0000-0000-0000F1310000}"/>
    <cellStyle name="20 % - Markeringsfarve4 4 8 2 2 3" xfId="45892" xr:uid="{00000000-0005-0000-0000-0000F2310000}"/>
    <cellStyle name="20 % - Markeringsfarve4 4 8 2 3" xfId="23906" xr:uid="{00000000-0005-0000-0000-0000F3310000}"/>
    <cellStyle name="20 % - Markeringsfarve4 4 8 2 4" xfId="38893" xr:uid="{00000000-0005-0000-0000-0000F4310000}"/>
    <cellStyle name="20 % - Markeringsfarve4 4 8 3" xfId="11148" xr:uid="{00000000-0005-0000-0000-0000F5310000}"/>
    <cellStyle name="20 % - Markeringsfarve4 4 8 3 2" xfId="27468" xr:uid="{00000000-0005-0000-0000-0000F6310000}"/>
    <cellStyle name="20 % - Markeringsfarve4 4 8 3 3" xfId="42434" xr:uid="{00000000-0005-0000-0000-0000F7310000}"/>
    <cellStyle name="20 % - Markeringsfarve4 4 8 4" xfId="20446" xr:uid="{00000000-0005-0000-0000-0000F8310000}"/>
    <cellStyle name="20 % - Markeringsfarve4 4 8 5" xfId="35435" xr:uid="{00000000-0005-0000-0000-0000F9310000}"/>
    <cellStyle name="20 % - Markeringsfarve4 4 9" xfId="2589" xr:uid="{00000000-0005-0000-0000-0000FA310000}"/>
    <cellStyle name="20 % - Markeringsfarve4 4 9 2" xfId="8515" xr:uid="{00000000-0005-0000-0000-0000FB310000}"/>
    <cellStyle name="20 % - Markeringsfarve4 4 9 2 2" xfId="16403" xr:uid="{00000000-0005-0000-0000-0000FC310000}"/>
    <cellStyle name="20 % - Markeringsfarve4 4 9 2 2 2" xfId="32718" xr:uid="{00000000-0005-0000-0000-0000FD310000}"/>
    <cellStyle name="20 % - Markeringsfarve4 4 9 2 2 3" xfId="47682" xr:uid="{00000000-0005-0000-0000-0000FE310000}"/>
    <cellStyle name="20 % - Markeringsfarve4 4 9 2 3" xfId="25696" xr:uid="{00000000-0005-0000-0000-0000FF310000}"/>
    <cellStyle name="20 % - Markeringsfarve4 4 9 2 4" xfId="40683" xr:uid="{00000000-0005-0000-0000-000000320000}"/>
    <cellStyle name="20 % - Markeringsfarve4 4 9 3" xfId="11149" xr:uid="{00000000-0005-0000-0000-000001320000}"/>
    <cellStyle name="20 % - Markeringsfarve4 4 9 3 2" xfId="27469" xr:uid="{00000000-0005-0000-0000-000002320000}"/>
    <cellStyle name="20 % - Markeringsfarve4 4 9 3 3" xfId="42435" xr:uid="{00000000-0005-0000-0000-000003320000}"/>
    <cellStyle name="20 % - Markeringsfarve4 4 9 4" xfId="20447" xr:uid="{00000000-0005-0000-0000-000004320000}"/>
    <cellStyle name="20 % - Markeringsfarve4 4 9 5" xfId="35436" xr:uid="{00000000-0005-0000-0000-000005320000}"/>
    <cellStyle name="20 % - Markeringsfarve4 5" xfId="2590" xr:uid="{00000000-0005-0000-0000-000006320000}"/>
    <cellStyle name="20 % - Markeringsfarve4 5 10" xfId="5562" xr:uid="{00000000-0005-0000-0000-000007320000}"/>
    <cellStyle name="20 % - Markeringsfarve4 5 10 2" xfId="13481" xr:uid="{00000000-0005-0000-0000-000008320000}"/>
    <cellStyle name="20 % - Markeringsfarve4 5 10 2 2" xfId="29796" xr:uid="{00000000-0005-0000-0000-000009320000}"/>
    <cellStyle name="20 % - Markeringsfarve4 5 10 2 3" xfId="44760" xr:uid="{00000000-0005-0000-0000-00000A320000}"/>
    <cellStyle name="20 % - Markeringsfarve4 5 10 3" xfId="22774" xr:uid="{00000000-0005-0000-0000-00000B320000}"/>
    <cellStyle name="20 % - Markeringsfarve4 5 10 4" xfId="37761" xr:uid="{00000000-0005-0000-0000-00000C320000}"/>
    <cellStyle name="20 % - Markeringsfarve4 5 11" xfId="11150" xr:uid="{00000000-0005-0000-0000-00000D320000}"/>
    <cellStyle name="20 % - Markeringsfarve4 5 11 2" xfId="27470" xr:uid="{00000000-0005-0000-0000-00000E320000}"/>
    <cellStyle name="20 % - Markeringsfarve4 5 11 3" xfId="42436" xr:uid="{00000000-0005-0000-0000-00000F320000}"/>
    <cellStyle name="20 % - Markeringsfarve4 5 12" xfId="20448" xr:uid="{00000000-0005-0000-0000-000010320000}"/>
    <cellStyle name="20 % - Markeringsfarve4 5 13" xfId="35437" xr:uid="{00000000-0005-0000-0000-000011320000}"/>
    <cellStyle name="20 % - Markeringsfarve4 5 14" xfId="53298" xr:uid="{00000000-0005-0000-0000-000012320000}"/>
    <cellStyle name="20 % - Markeringsfarve4 5 2" xfId="2591" xr:uid="{00000000-0005-0000-0000-000013320000}"/>
    <cellStyle name="20 % - Markeringsfarve4 5 2 2" xfId="2592" xr:uid="{00000000-0005-0000-0000-000014320000}"/>
    <cellStyle name="20 % - Markeringsfarve4 5 2 2 2" xfId="2593" xr:uid="{00000000-0005-0000-0000-000015320000}"/>
    <cellStyle name="20 % - Markeringsfarve4 5 2 2 2 2" xfId="7631" xr:uid="{00000000-0005-0000-0000-000016320000}"/>
    <cellStyle name="20 % - Markeringsfarve4 5 2 2 2 2 2" xfId="15533" xr:uid="{00000000-0005-0000-0000-000017320000}"/>
    <cellStyle name="20 % - Markeringsfarve4 5 2 2 2 2 2 2" xfId="31848" xr:uid="{00000000-0005-0000-0000-000018320000}"/>
    <cellStyle name="20 % - Markeringsfarve4 5 2 2 2 2 2 3" xfId="46812" xr:uid="{00000000-0005-0000-0000-000019320000}"/>
    <cellStyle name="20 % - Markeringsfarve4 5 2 2 2 2 3" xfId="24826" xr:uid="{00000000-0005-0000-0000-00001A320000}"/>
    <cellStyle name="20 % - Markeringsfarve4 5 2 2 2 2 4" xfId="39813" xr:uid="{00000000-0005-0000-0000-00001B320000}"/>
    <cellStyle name="20 % - Markeringsfarve4 5 2 2 2 3" xfId="11153" xr:uid="{00000000-0005-0000-0000-00001C320000}"/>
    <cellStyle name="20 % - Markeringsfarve4 5 2 2 2 3 2" xfId="27473" xr:uid="{00000000-0005-0000-0000-00001D320000}"/>
    <cellStyle name="20 % - Markeringsfarve4 5 2 2 2 3 3" xfId="42439" xr:uid="{00000000-0005-0000-0000-00001E320000}"/>
    <cellStyle name="20 % - Markeringsfarve4 5 2 2 2 4" xfId="20451" xr:uid="{00000000-0005-0000-0000-00001F320000}"/>
    <cellStyle name="20 % - Markeringsfarve4 5 2 2 2 5" xfId="35440" xr:uid="{00000000-0005-0000-0000-000020320000}"/>
    <cellStyle name="20 % - Markeringsfarve4 5 2 2 3" xfId="6201" xr:uid="{00000000-0005-0000-0000-000021320000}"/>
    <cellStyle name="20 % - Markeringsfarve4 5 2 2 3 2" xfId="14119" xr:uid="{00000000-0005-0000-0000-000022320000}"/>
    <cellStyle name="20 % - Markeringsfarve4 5 2 2 3 2 2" xfId="30434" xr:uid="{00000000-0005-0000-0000-000023320000}"/>
    <cellStyle name="20 % - Markeringsfarve4 5 2 2 3 2 3" xfId="45398" xr:uid="{00000000-0005-0000-0000-000024320000}"/>
    <cellStyle name="20 % - Markeringsfarve4 5 2 2 3 3" xfId="23412" xr:uid="{00000000-0005-0000-0000-000025320000}"/>
    <cellStyle name="20 % - Markeringsfarve4 5 2 2 3 4" xfId="38399" xr:uid="{00000000-0005-0000-0000-000026320000}"/>
    <cellStyle name="20 % - Markeringsfarve4 5 2 2 4" xfId="11152" xr:uid="{00000000-0005-0000-0000-000027320000}"/>
    <cellStyle name="20 % - Markeringsfarve4 5 2 2 4 2" xfId="27472" xr:uid="{00000000-0005-0000-0000-000028320000}"/>
    <cellStyle name="20 % - Markeringsfarve4 5 2 2 4 3" xfId="42438" xr:uid="{00000000-0005-0000-0000-000029320000}"/>
    <cellStyle name="20 % - Markeringsfarve4 5 2 2 5" xfId="20450" xr:uid="{00000000-0005-0000-0000-00002A320000}"/>
    <cellStyle name="20 % - Markeringsfarve4 5 2 2 6" xfId="35439" xr:uid="{00000000-0005-0000-0000-00002B320000}"/>
    <cellStyle name="20 % - Markeringsfarve4 5 2 2 7" xfId="57102" xr:uid="{00000000-0005-0000-0000-00002C320000}"/>
    <cellStyle name="20 % - Markeringsfarve4 5 2 3" xfId="2594" xr:uid="{00000000-0005-0000-0000-00002D320000}"/>
    <cellStyle name="20 % - Markeringsfarve4 5 2 3 2" xfId="6861" xr:uid="{00000000-0005-0000-0000-00002E320000}"/>
    <cellStyle name="20 % - Markeringsfarve4 5 2 3 2 2" xfId="14773" xr:uid="{00000000-0005-0000-0000-00002F320000}"/>
    <cellStyle name="20 % - Markeringsfarve4 5 2 3 2 2 2" xfId="31088" xr:uid="{00000000-0005-0000-0000-000030320000}"/>
    <cellStyle name="20 % - Markeringsfarve4 5 2 3 2 2 3" xfId="46052" xr:uid="{00000000-0005-0000-0000-000031320000}"/>
    <cellStyle name="20 % - Markeringsfarve4 5 2 3 2 3" xfId="24066" xr:uid="{00000000-0005-0000-0000-000032320000}"/>
    <cellStyle name="20 % - Markeringsfarve4 5 2 3 2 4" xfId="39053" xr:uid="{00000000-0005-0000-0000-000033320000}"/>
    <cellStyle name="20 % - Markeringsfarve4 5 2 3 3" xfId="11154" xr:uid="{00000000-0005-0000-0000-000034320000}"/>
    <cellStyle name="20 % - Markeringsfarve4 5 2 3 3 2" xfId="27474" xr:uid="{00000000-0005-0000-0000-000035320000}"/>
    <cellStyle name="20 % - Markeringsfarve4 5 2 3 3 3" xfId="42440" xr:uid="{00000000-0005-0000-0000-000036320000}"/>
    <cellStyle name="20 % - Markeringsfarve4 5 2 3 4" xfId="20452" xr:uid="{00000000-0005-0000-0000-000037320000}"/>
    <cellStyle name="20 % - Markeringsfarve4 5 2 3 5" xfId="35441" xr:uid="{00000000-0005-0000-0000-000038320000}"/>
    <cellStyle name="20 % - Markeringsfarve4 5 2 4" xfId="2595" xr:uid="{00000000-0005-0000-0000-000039320000}"/>
    <cellStyle name="20 % - Markeringsfarve4 5 2 4 2" xfId="8633" xr:uid="{00000000-0005-0000-0000-00003A320000}"/>
    <cellStyle name="20 % - Markeringsfarve4 5 2 4 2 2" xfId="16515" xr:uid="{00000000-0005-0000-0000-00003B320000}"/>
    <cellStyle name="20 % - Markeringsfarve4 5 2 4 2 2 2" xfId="32830" xr:uid="{00000000-0005-0000-0000-00003C320000}"/>
    <cellStyle name="20 % - Markeringsfarve4 5 2 4 2 2 3" xfId="47794" xr:uid="{00000000-0005-0000-0000-00003D320000}"/>
    <cellStyle name="20 % - Markeringsfarve4 5 2 4 2 3" xfId="25808" xr:uid="{00000000-0005-0000-0000-00003E320000}"/>
    <cellStyle name="20 % - Markeringsfarve4 5 2 4 2 4" xfId="40795" xr:uid="{00000000-0005-0000-0000-00003F320000}"/>
    <cellStyle name="20 % - Markeringsfarve4 5 2 4 3" xfId="11155" xr:uid="{00000000-0005-0000-0000-000040320000}"/>
    <cellStyle name="20 % - Markeringsfarve4 5 2 4 3 2" xfId="27475" xr:uid="{00000000-0005-0000-0000-000041320000}"/>
    <cellStyle name="20 % - Markeringsfarve4 5 2 4 3 3" xfId="42441" xr:uid="{00000000-0005-0000-0000-000042320000}"/>
    <cellStyle name="20 % - Markeringsfarve4 5 2 4 4" xfId="20453" xr:uid="{00000000-0005-0000-0000-000043320000}"/>
    <cellStyle name="20 % - Markeringsfarve4 5 2 4 5" xfId="35442" xr:uid="{00000000-0005-0000-0000-000044320000}"/>
    <cellStyle name="20 % - Markeringsfarve4 5 2 5" xfId="5563" xr:uid="{00000000-0005-0000-0000-000045320000}"/>
    <cellStyle name="20 % - Markeringsfarve4 5 2 5 2" xfId="13482" xr:uid="{00000000-0005-0000-0000-000046320000}"/>
    <cellStyle name="20 % - Markeringsfarve4 5 2 5 2 2" xfId="29797" xr:uid="{00000000-0005-0000-0000-000047320000}"/>
    <cellStyle name="20 % - Markeringsfarve4 5 2 5 2 3" xfId="44761" xr:uid="{00000000-0005-0000-0000-000048320000}"/>
    <cellStyle name="20 % - Markeringsfarve4 5 2 5 3" xfId="22775" xr:uid="{00000000-0005-0000-0000-000049320000}"/>
    <cellStyle name="20 % - Markeringsfarve4 5 2 5 4" xfId="37762" xr:uid="{00000000-0005-0000-0000-00004A320000}"/>
    <cellStyle name="20 % - Markeringsfarve4 5 2 6" xfId="11151" xr:uid="{00000000-0005-0000-0000-00004B320000}"/>
    <cellStyle name="20 % - Markeringsfarve4 5 2 6 2" xfId="27471" xr:uid="{00000000-0005-0000-0000-00004C320000}"/>
    <cellStyle name="20 % - Markeringsfarve4 5 2 6 3" xfId="42437" xr:uid="{00000000-0005-0000-0000-00004D320000}"/>
    <cellStyle name="20 % - Markeringsfarve4 5 2 7" xfId="20449" xr:uid="{00000000-0005-0000-0000-00004E320000}"/>
    <cellStyle name="20 % - Markeringsfarve4 5 2 8" xfId="35438" xr:uid="{00000000-0005-0000-0000-00004F320000}"/>
    <cellStyle name="20 % - Markeringsfarve4 5 2 9" xfId="53935" xr:uid="{00000000-0005-0000-0000-000050320000}"/>
    <cellStyle name="20 % - Markeringsfarve4 5 3" xfId="2596" xr:uid="{00000000-0005-0000-0000-000051320000}"/>
    <cellStyle name="20 % - Markeringsfarve4 5 3 2" xfId="2597" xr:uid="{00000000-0005-0000-0000-000052320000}"/>
    <cellStyle name="20 % - Markeringsfarve4 5 3 2 2" xfId="2598" xr:uid="{00000000-0005-0000-0000-000053320000}"/>
    <cellStyle name="20 % - Markeringsfarve4 5 3 2 2 2" xfId="7699" xr:uid="{00000000-0005-0000-0000-000054320000}"/>
    <cellStyle name="20 % - Markeringsfarve4 5 3 2 2 2 2" xfId="15601" xr:uid="{00000000-0005-0000-0000-000055320000}"/>
    <cellStyle name="20 % - Markeringsfarve4 5 3 2 2 2 2 2" xfId="31916" xr:uid="{00000000-0005-0000-0000-000056320000}"/>
    <cellStyle name="20 % - Markeringsfarve4 5 3 2 2 2 2 3" xfId="46880" xr:uid="{00000000-0005-0000-0000-000057320000}"/>
    <cellStyle name="20 % - Markeringsfarve4 5 3 2 2 2 3" xfId="24894" xr:uid="{00000000-0005-0000-0000-000058320000}"/>
    <cellStyle name="20 % - Markeringsfarve4 5 3 2 2 2 4" xfId="39881" xr:uid="{00000000-0005-0000-0000-000059320000}"/>
    <cellStyle name="20 % - Markeringsfarve4 5 3 2 2 3" xfId="11158" xr:uid="{00000000-0005-0000-0000-00005A320000}"/>
    <cellStyle name="20 % - Markeringsfarve4 5 3 2 2 3 2" xfId="27478" xr:uid="{00000000-0005-0000-0000-00005B320000}"/>
    <cellStyle name="20 % - Markeringsfarve4 5 3 2 2 3 3" xfId="42444" xr:uid="{00000000-0005-0000-0000-00005C320000}"/>
    <cellStyle name="20 % - Markeringsfarve4 5 3 2 2 4" xfId="20456" xr:uid="{00000000-0005-0000-0000-00005D320000}"/>
    <cellStyle name="20 % - Markeringsfarve4 5 3 2 2 5" xfId="35445" xr:uid="{00000000-0005-0000-0000-00005E320000}"/>
    <cellStyle name="20 % - Markeringsfarve4 5 3 2 3" xfId="6263" xr:uid="{00000000-0005-0000-0000-00005F320000}"/>
    <cellStyle name="20 % - Markeringsfarve4 5 3 2 3 2" xfId="14181" xr:uid="{00000000-0005-0000-0000-000060320000}"/>
    <cellStyle name="20 % - Markeringsfarve4 5 3 2 3 2 2" xfId="30496" xr:uid="{00000000-0005-0000-0000-000061320000}"/>
    <cellStyle name="20 % - Markeringsfarve4 5 3 2 3 2 3" xfId="45460" xr:uid="{00000000-0005-0000-0000-000062320000}"/>
    <cellStyle name="20 % - Markeringsfarve4 5 3 2 3 3" xfId="23474" xr:uid="{00000000-0005-0000-0000-000063320000}"/>
    <cellStyle name="20 % - Markeringsfarve4 5 3 2 3 4" xfId="38461" xr:uid="{00000000-0005-0000-0000-000064320000}"/>
    <cellStyle name="20 % - Markeringsfarve4 5 3 2 4" xfId="11157" xr:uid="{00000000-0005-0000-0000-000065320000}"/>
    <cellStyle name="20 % - Markeringsfarve4 5 3 2 4 2" xfId="27477" xr:uid="{00000000-0005-0000-0000-000066320000}"/>
    <cellStyle name="20 % - Markeringsfarve4 5 3 2 4 3" xfId="42443" xr:uid="{00000000-0005-0000-0000-000067320000}"/>
    <cellStyle name="20 % - Markeringsfarve4 5 3 2 5" xfId="20455" xr:uid="{00000000-0005-0000-0000-000068320000}"/>
    <cellStyle name="20 % - Markeringsfarve4 5 3 2 6" xfId="35444" xr:uid="{00000000-0005-0000-0000-000069320000}"/>
    <cellStyle name="20 % - Markeringsfarve4 5 3 3" xfId="2599" xr:uid="{00000000-0005-0000-0000-00006A320000}"/>
    <cellStyle name="20 % - Markeringsfarve4 5 3 3 2" xfId="6929" xr:uid="{00000000-0005-0000-0000-00006B320000}"/>
    <cellStyle name="20 % - Markeringsfarve4 5 3 3 2 2" xfId="14841" xr:uid="{00000000-0005-0000-0000-00006C320000}"/>
    <cellStyle name="20 % - Markeringsfarve4 5 3 3 2 2 2" xfId="31156" xr:uid="{00000000-0005-0000-0000-00006D320000}"/>
    <cellStyle name="20 % - Markeringsfarve4 5 3 3 2 2 3" xfId="46120" xr:uid="{00000000-0005-0000-0000-00006E320000}"/>
    <cellStyle name="20 % - Markeringsfarve4 5 3 3 2 3" xfId="24134" xr:uid="{00000000-0005-0000-0000-00006F320000}"/>
    <cellStyle name="20 % - Markeringsfarve4 5 3 3 2 4" xfId="39121" xr:uid="{00000000-0005-0000-0000-000070320000}"/>
    <cellStyle name="20 % - Markeringsfarve4 5 3 3 3" xfId="11159" xr:uid="{00000000-0005-0000-0000-000071320000}"/>
    <cellStyle name="20 % - Markeringsfarve4 5 3 3 3 2" xfId="27479" xr:uid="{00000000-0005-0000-0000-000072320000}"/>
    <cellStyle name="20 % - Markeringsfarve4 5 3 3 3 3" xfId="42445" xr:uid="{00000000-0005-0000-0000-000073320000}"/>
    <cellStyle name="20 % - Markeringsfarve4 5 3 3 4" xfId="20457" xr:uid="{00000000-0005-0000-0000-000074320000}"/>
    <cellStyle name="20 % - Markeringsfarve4 5 3 3 5" xfId="35446" xr:uid="{00000000-0005-0000-0000-000075320000}"/>
    <cellStyle name="20 % - Markeringsfarve4 5 3 4" xfId="2600" xr:uid="{00000000-0005-0000-0000-000076320000}"/>
    <cellStyle name="20 % - Markeringsfarve4 5 3 4 2" xfId="8358" xr:uid="{00000000-0005-0000-0000-000077320000}"/>
    <cellStyle name="20 % - Markeringsfarve4 5 3 4 2 2" xfId="16252" xr:uid="{00000000-0005-0000-0000-000078320000}"/>
    <cellStyle name="20 % - Markeringsfarve4 5 3 4 2 2 2" xfId="32567" xr:uid="{00000000-0005-0000-0000-000079320000}"/>
    <cellStyle name="20 % - Markeringsfarve4 5 3 4 2 2 3" xfId="47531" xr:uid="{00000000-0005-0000-0000-00007A320000}"/>
    <cellStyle name="20 % - Markeringsfarve4 5 3 4 2 3" xfId="25545" xr:uid="{00000000-0005-0000-0000-00007B320000}"/>
    <cellStyle name="20 % - Markeringsfarve4 5 3 4 2 4" xfId="40532" xr:uid="{00000000-0005-0000-0000-00007C320000}"/>
    <cellStyle name="20 % - Markeringsfarve4 5 3 4 3" xfId="11160" xr:uid="{00000000-0005-0000-0000-00007D320000}"/>
    <cellStyle name="20 % - Markeringsfarve4 5 3 4 3 2" xfId="27480" xr:uid="{00000000-0005-0000-0000-00007E320000}"/>
    <cellStyle name="20 % - Markeringsfarve4 5 3 4 3 3" xfId="42446" xr:uid="{00000000-0005-0000-0000-00007F320000}"/>
    <cellStyle name="20 % - Markeringsfarve4 5 3 4 4" xfId="20458" xr:uid="{00000000-0005-0000-0000-000080320000}"/>
    <cellStyle name="20 % - Markeringsfarve4 5 3 4 5" xfId="35447" xr:uid="{00000000-0005-0000-0000-000081320000}"/>
    <cellStyle name="20 % - Markeringsfarve4 5 3 5" xfId="5564" xr:uid="{00000000-0005-0000-0000-000082320000}"/>
    <cellStyle name="20 % - Markeringsfarve4 5 3 5 2" xfId="13483" xr:uid="{00000000-0005-0000-0000-000083320000}"/>
    <cellStyle name="20 % - Markeringsfarve4 5 3 5 2 2" xfId="29798" xr:uid="{00000000-0005-0000-0000-000084320000}"/>
    <cellStyle name="20 % - Markeringsfarve4 5 3 5 2 3" xfId="44762" xr:uid="{00000000-0005-0000-0000-000085320000}"/>
    <cellStyle name="20 % - Markeringsfarve4 5 3 5 3" xfId="22776" xr:uid="{00000000-0005-0000-0000-000086320000}"/>
    <cellStyle name="20 % - Markeringsfarve4 5 3 5 4" xfId="37763" xr:uid="{00000000-0005-0000-0000-000087320000}"/>
    <cellStyle name="20 % - Markeringsfarve4 5 3 6" xfId="11156" xr:uid="{00000000-0005-0000-0000-000088320000}"/>
    <cellStyle name="20 % - Markeringsfarve4 5 3 6 2" xfId="27476" xr:uid="{00000000-0005-0000-0000-000089320000}"/>
    <cellStyle name="20 % - Markeringsfarve4 5 3 6 3" xfId="42442" xr:uid="{00000000-0005-0000-0000-00008A320000}"/>
    <cellStyle name="20 % - Markeringsfarve4 5 3 7" xfId="20454" xr:uid="{00000000-0005-0000-0000-00008B320000}"/>
    <cellStyle name="20 % - Markeringsfarve4 5 3 8" xfId="35443" xr:uid="{00000000-0005-0000-0000-00008C320000}"/>
    <cellStyle name="20 % - Markeringsfarve4 5 3 9" xfId="56479" xr:uid="{00000000-0005-0000-0000-00008D320000}"/>
    <cellStyle name="20 % - Markeringsfarve4 5 4" xfId="2601" xr:uid="{00000000-0005-0000-0000-00008E320000}"/>
    <cellStyle name="20 % - Markeringsfarve4 5 4 2" xfId="2602" xr:uid="{00000000-0005-0000-0000-00008F320000}"/>
    <cellStyle name="20 % - Markeringsfarve4 5 4 2 2" xfId="2603" xr:uid="{00000000-0005-0000-0000-000090320000}"/>
    <cellStyle name="20 % - Markeringsfarve4 5 4 2 2 2" xfId="7869" xr:uid="{00000000-0005-0000-0000-000091320000}"/>
    <cellStyle name="20 % - Markeringsfarve4 5 4 2 2 2 2" xfId="15771" xr:uid="{00000000-0005-0000-0000-000092320000}"/>
    <cellStyle name="20 % - Markeringsfarve4 5 4 2 2 2 2 2" xfId="32086" xr:uid="{00000000-0005-0000-0000-000093320000}"/>
    <cellStyle name="20 % - Markeringsfarve4 5 4 2 2 2 2 3" xfId="47050" xr:uid="{00000000-0005-0000-0000-000094320000}"/>
    <cellStyle name="20 % - Markeringsfarve4 5 4 2 2 2 3" xfId="25064" xr:uid="{00000000-0005-0000-0000-000095320000}"/>
    <cellStyle name="20 % - Markeringsfarve4 5 4 2 2 2 4" xfId="40051" xr:uid="{00000000-0005-0000-0000-000096320000}"/>
    <cellStyle name="20 % - Markeringsfarve4 5 4 2 2 3" xfId="11163" xr:uid="{00000000-0005-0000-0000-000097320000}"/>
    <cellStyle name="20 % - Markeringsfarve4 5 4 2 2 3 2" xfId="27483" xr:uid="{00000000-0005-0000-0000-000098320000}"/>
    <cellStyle name="20 % - Markeringsfarve4 5 4 2 2 3 3" xfId="42449" xr:uid="{00000000-0005-0000-0000-000099320000}"/>
    <cellStyle name="20 % - Markeringsfarve4 5 4 2 2 4" xfId="20461" xr:uid="{00000000-0005-0000-0000-00009A320000}"/>
    <cellStyle name="20 % - Markeringsfarve4 5 4 2 2 5" xfId="35450" xr:uid="{00000000-0005-0000-0000-00009B320000}"/>
    <cellStyle name="20 % - Markeringsfarve4 5 4 2 3" xfId="6403" xr:uid="{00000000-0005-0000-0000-00009C320000}"/>
    <cellStyle name="20 % - Markeringsfarve4 5 4 2 3 2" xfId="14318" xr:uid="{00000000-0005-0000-0000-00009D320000}"/>
    <cellStyle name="20 % - Markeringsfarve4 5 4 2 3 2 2" xfId="30633" xr:uid="{00000000-0005-0000-0000-00009E320000}"/>
    <cellStyle name="20 % - Markeringsfarve4 5 4 2 3 2 3" xfId="45597" xr:uid="{00000000-0005-0000-0000-00009F320000}"/>
    <cellStyle name="20 % - Markeringsfarve4 5 4 2 3 3" xfId="23611" xr:uid="{00000000-0005-0000-0000-0000A0320000}"/>
    <cellStyle name="20 % - Markeringsfarve4 5 4 2 3 4" xfId="38598" xr:uid="{00000000-0005-0000-0000-0000A1320000}"/>
    <cellStyle name="20 % - Markeringsfarve4 5 4 2 4" xfId="11162" xr:uid="{00000000-0005-0000-0000-0000A2320000}"/>
    <cellStyle name="20 % - Markeringsfarve4 5 4 2 4 2" xfId="27482" xr:uid="{00000000-0005-0000-0000-0000A3320000}"/>
    <cellStyle name="20 % - Markeringsfarve4 5 4 2 4 3" xfId="42448" xr:uid="{00000000-0005-0000-0000-0000A4320000}"/>
    <cellStyle name="20 % - Markeringsfarve4 5 4 2 5" xfId="20460" xr:uid="{00000000-0005-0000-0000-0000A5320000}"/>
    <cellStyle name="20 % - Markeringsfarve4 5 4 2 6" xfId="35449" xr:uid="{00000000-0005-0000-0000-0000A6320000}"/>
    <cellStyle name="20 % - Markeringsfarve4 5 4 3" xfId="2604" xr:uid="{00000000-0005-0000-0000-0000A7320000}"/>
    <cellStyle name="20 % - Markeringsfarve4 5 4 3 2" xfId="7145" xr:uid="{00000000-0005-0000-0000-0000A8320000}"/>
    <cellStyle name="20 % - Markeringsfarve4 5 4 3 2 2" xfId="15056" xr:uid="{00000000-0005-0000-0000-0000A9320000}"/>
    <cellStyle name="20 % - Markeringsfarve4 5 4 3 2 2 2" xfId="31371" xr:uid="{00000000-0005-0000-0000-0000AA320000}"/>
    <cellStyle name="20 % - Markeringsfarve4 5 4 3 2 2 3" xfId="46335" xr:uid="{00000000-0005-0000-0000-0000AB320000}"/>
    <cellStyle name="20 % - Markeringsfarve4 5 4 3 2 3" xfId="24349" xr:uid="{00000000-0005-0000-0000-0000AC320000}"/>
    <cellStyle name="20 % - Markeringsfarve4 5 4 3 2 4" xfId="39336" xr:uid="{00000000-0005-0000-0000-0000AD320000}"/>
    <cellStyle name="20 % - Markeringsfarve4 5 4 3 3" xfId="11164" xr:uid="{00000000-0005-0000-0000-0000AE320000}"/>
    <cellStyle name="20 % - Markeringsfarve4 5 4 3 3 2" xfId="27484" xr:uid="{00000000-0005-0000-0000-0000AF320000}"/>
    <cellStyle name="20 % - Markeringsfarve4 5 4 3 3 3" xfId="42450" xr:uid="{00000000-0005-0000-0000-0000B0320000}"/>
    <cellStyle name="20 % - Markeringsfarve4 5 4 3 4" xfId="20462" xr:uid="{00000000-0005-0000-0000-0000B1320000}"/>
    <cellStyle name="20 % - Markeringsfarve4 5 4 3 5" xfId="35451" xr:uid="{00000000-0005-0000-0000-0000B2320000}"/>
    <cellStyle name="20 % - Markeringsfarve4 5 4 4" xfId="2605" xr:uid="{00000000-0005-0000-0000-0000B3320000}"/>
    <cellStyle name="20 % - Markeringsfarve4 5 4 4 2" xfId="8591" xr:uid="{00000000-0005-0000-0000-0000B4320000}"/>
    <cellStyle name="20 % - Markeringsfarve4 5 4 4 2 2" xfId="16475" xr:uid="{00000000-0005-0000-0000-0000B5320000}"/>
    <cellStyle name="20 % - Markeringsfarve4 5 4 4 2 2 2" xfId="32790" xr:uid="{00000000-0005-0000-0000-0000B6320000}"/>
    <cellStyle name="20 % - Markeringsfarve4 5 4 4 2 2 3" xfId="47754" xr:uid="{00000000-0005-0000-0000-0000B7320000}"/>
    <cellStyle name="20 % - Markeringsfarve4 5 4 4 2 3" xfId="25768" xr:uid="{00000000-0005-0000-0000-0000B8320000}"/>
    <cellStyle name="20 % - Markeringsfarve4 5 4 4 2 4" xfId="40755" xr:uid="{00000000-0005-0000-0000-0000B9320000}"/>
    <cellStyle name="20 % - Markeringsfarve4 5 4 4 3" xfId="11165" xr:uid="{00000000-0005-0000-0000-0000BA320000}"/>
    <cellStyle name="20 % - Markeringsfarve4 5 4 4 3 2" xfId="27485" xr:uid="{00000000-0005-0000-0000-0000BB320000}"/>
    <cellStyle name="20 % - Markeringsfarve4 5 4 4 3 3" xfId="42451" xr:uid="{00000000-0005-0000-0000-0000BC320000}"/>
    <cellStyle name="20 % - Markeringsfarve4 5 4 4 4" xfId="20463" xr:uid="{00000000-0005-0000-0000-0000BD320000}"/>
    <cellStyle name="20 % - Markeringsfarve4 5 4 4 5" xfId="35452" xr:uid="{00000000-0005-0000-0000-0000BE320000}"/>
    <cellStyle name="20 % - Markeringsfarve4 5 4 5" xfId="5565" xr:uid="{00000000-0005-0000-0000-0000BF320000}"/>
    <cellStyle name="20 % - Markeringsfarve4 5 4 5 2" xfId="13484" xr:uid="{00000000-0005-0000-0000-0000C0320000}"/>
    <cellStyle name="20 % - Markeringsfarve4 5 4 5 2 2" xfId="29799" xr:uid="{00000000-0005-0000-0000-0000C1320000}"/>
    <cellStyle name="20 % - Markeringsfarve4 5 4 5 2 3" xfId="44763" xr:uid="{00000000-0005-0000-0000-0000C2320000}"/>
    <cellStyle name="20 % - Markeringsfarve4 5 4 5 3" xfId="22777" xr:uid="{00000000-0005-0000-0000-0000C3320000}"/>
    <cellStyle name="20 % - Markeringsfarve4 5 4 5 4" xfId="37764" xr:uid="{00000000-0005-0000-0000-0000C4320000}"/>
    <cellStyle name="20 % - Markeringsfarve4 5 4 6" xfId="11161" xr:uid="{00000000-0005-0000-0000-0000C5320000}"/>
    <cellStyle name="20 % - Markeringsfarve4 5 4 6 2" xfId="27481" xr:uid="{00000000-0005-0000-0000-0000C6320000}"/>
    <cellStyle name="20 % - Markeringsfarve4 5 4 6 3" xfId="42447" xr:uid="{00000000-0005-0000-0000-0000C7320000}"/>
    <cellStyle name="20 % - Markeringsfarve4 5 4 7" xfId="20459" xr:uid="{00000000-0005-0000-0000-0000C8320000}"/>
    <cellStyle name="20 % - Markeringsfarve4 5 4 8" xfId="35448" xr:uid="{00000000-0005-0000-0000-0000C9320000}"/>
    <cellStyle name="20 % - Markeringsfarve4 5 5" xfId="2606" xr:uid="{00000000-0005-0000-0000-0000CA320000}"/>
    <cellStyle name="20 % - Markeringsfarve4 5 5 2" xfId="2607" xr:uid="{00000000-0005-0000-0000-0000CB320000}"/>
    <cellStyle name="20 % - Markeringsfarve4 5 5 2 2" xfId="2608" xr:uid="{00000000-0005-0000-0000-0000CC320000}"/>
    <cellStyle name="20 % - Markeringsfarve4 5 5 2 2 2" xfId="7986" xr:uid="{00000000-0005-0000-0000-0000CD320000}"/>
    <cellStyle name="20 % - Markeringsfarve4 5 5 2 2 2 2" xfId="15888" xr:uid="{00000000-0005-0000-0000-0000CE320000}"/>
    <cellStyle name="20 % - Markeringsfarve4 5 5 2 2 2 2 2" xfId="32203" xr:uid="{00000000-0005-0000-0000-0000CF320000}"/>
    <cellStyle name="20 % - Markeringsfarve4 5 5 2 2 2 2 3" xfId="47167" xr:uid="{00000000-0005-0000-0000-0000D0320000}"/>
    <cellStyle name="20 % - Markeringsfarve4 5 5 2 2 2 3" xfId="25181" xr:uid="{00000000-0005-0000-0000-0000D1320000}"/>
    <cellStyle name="20 % - Markeringsfarve4 5 5 2 2 2 4" xfId="40168" xr:uid="{00000000-0005-0000-0000-0000D2320000}"/>
    <cellStyle name="20 % - Markeringsfarve4 5 5 2 2 3" xfId="11168" xr:uid="{00000000-0005-0000-0000-0000D3320000}"/>
    <cellStyle name="20 % - Markeringsfarve4 5 5 2 2 3 2" xfId="27488" xr:uid="{00000000-0005-0000-0000-0000D4320000}"/>
    <cellStyle name="20 % - Markeringsfarve4 5 5 2 2 3 3" xfId="42454" xr:uid="{00000000-0005-0000-0000-0000D5320000}"/>
    <cellStyle name="20 % - Markeringsfarve4 5 5 2 2 4" xfId="20466" xr:uid="{00000000-0005-0000-0000-0000D6320000}"/>
    <cellStyle name="20 % - Markeringsfarve4 5 5 2 2 5" xfId="35455" xr:uid="{00000000-0005-0000-0000-0000D7320000}"/>
    <cellStyle name="20 % - Markeringsfarve4 5 5 2 3" xfId="6502" xr:uid="{00000000-0005-0000-0000-0000D8320000}"/>
    <cellStyle name="20 % - Markeringsfarve4 5 5 2 3 2" xfId="14417" xr:uid="{00000000-0005-0000-0000-0000D9320000}"/>
    <cellStyle name="20 % - Markeringsfarve4 5 5 2 3 2 2" xfId="30732" xr:uid="{00000000-0005-0000-0000-0000DA320000}"/>
    <cellStyle name="20 % - Markeringsfarve4 5 5 2 3 2 3" xfId="45696" xr:uid="{00000000-0005-0000-0000-0000DB320000}"/>
    <cellStyle name="20 % - Markeringsfarve4 5 5 2 3 3" xfId="23710" xr:uid="{00000000-0005-0000-0000-0000DC320000}"/>
    <cellStyle name="20 % - Markeringsfarve4 5 5 2 3 4" xfId="38697" xr:uid="{00000000-0005-0000-0000-0000DD320000}"/>
    <cellStyle name="20 % - Markeringsfarve4 5 5 2 4" xfId="11167" xr:uid="{00000000-0005-0000-0000-0000DE320000}"/>
    <cellStyle name="20 % - Markeringsfarve4 5 5 2 4 2" xfId="27487" xr:uid="{00000000-0005-0000-0000-0000DF320000}"/>
    <cellStyle name="20 % - Markeringsfarve4 5 5 2 4 3" xfId="42453" xr:uid="{00000000-0005-0000-0000-0000E0320000}"/>
    <cellStyle name="20 % - Markeringsfarve4 5 5 2 5" xfId="20465" xr:uid="{00000000-0005-0000-0000-0000E1320000}"/>
    <cellStyle name="20 % - Markeringsfarve4 5 5 2 6" xfId="35454" xr:uid="{00000000-0005-0000-0000-0000E2320000}"/>
    <cellStyle name="20 % - Markeringsfarve4 5 5 3" xfId="2609" xr:uid="{00000000-0005-0000-0000-0000E3320000}"/>
    <cellStyle name="20 % - Markeringsfarve4 5 5 3 2" xfId="7262" xr:uid="{00000000-0005-0000-0000-0000E4320000}"/>
    <cellStyle name="20 % - Markeringsfarve4 5 5 3 2 2" xfId="15173" xr:uid="{00000000-0005-0000-0000-0000E5320000}"/>
    <cellStyle name="20 % - Markeringsfarve4 5 5 3 2 2 2" xfId="31488" xr:uid="{00000000-0005-0000-0000-0000E6320000}"/>
    <cellStyle name="20 % - Markeringsfarve4 5 5 3 2 2 3" xfId="46452" xr:uid="{00000000-0005-0000-0000-0000E7320000}"/>
    <cellStyle name="20 % - Markeringsfarve4 5 5 3 2 3" xfId="24466" xr:uid="{00000000-0005-0000-0000-0000E8320000}"/>
    <cellStyle name="20 % - Markeringsfarve4 5 5 3 2 4" xfId="39453" xr:uid="{00000000-0005-0000-0000-0000E9320000}"/>
    <cellStyle name="20 % - Markeringsfarve4 5 5 3 3" xfId="11169" xr:uid="{00000000-0005-0000-0000-0000EA320000}"/>
    <cellStyle name="20 % - Markeringsfarve4 5 5 3 3 2" xfId="27489" xr:uid="{00000000-0005-0000-0000-0000EB320000}"/>
    <cellStyle name="20 % - Markeringsfarve4 5 5 3 3 3" xfId="42455" xr:uid="{00000000-0005-0000-0000-0000EC320000}"/>
    <cellStyle name="20 % - Markeringsfarve4 5 5 3 4" xfId="20467" xr:uid="{00000000-0005-0000-0000-0000ED320000}"/>
    <cellStyle name="20 % - Markeringsfarve4 5 5 3 5" xfId="35456" xr:uid="{00000000-0005-0000-0000-0000EE320000}"/>
    <cellStyle name="20 % - Markeringsfarve4 5 5 4" xfId="2610" xr:uid="{00000000-0005-0000-0000-0000EF320000}"/>
    <cellStyle name="20 % - Markeringsfarve4 5 5 4 2" xfId="8240" xr:uid="{00000000-0005-0000-0000-0000F0320000}"/>
    <cellStyle name="20 % - Markeringsfarve4 5 5 4 2 2" xfId="16135" xr:uid="{00000000-0005-0000-0000-0000F1320000}"/>
    <cellStyle name="20 % - Markeringsfarve4 5 5 4 2 2 2" xfId="32450" xr:uid="{00000000-0005-0000-0000-0000F2320000}"/>
    <cellStyle name="20 % - Markeringsfarve4 5 5 4 2 2 3" xfId="47414" xr:uid="{00000000-0005-0000-0000-0000F3320000}"/>
    <cellStyle name="20 % - Markeringsfarve4 5 5 4 2 3" xfId="25428" xr:uid="{00000000-0005-0000-0000-0000F4320000}"/>
    <cellStyle name="20 % - Markeringsfarve4 5 5 4 2 4" xfId="40415" xr:uid="{00000000-0005-0000-0000-0000F5320000}"/>
    <cellStyle name="20 % - Markeringsfarve4 5 5 4 3" xfId="11170" xr:uid="{00000000-0005-0000-0000-0000F6320000}"/>
    <cellStyle name="20 % - Markeringsfarve4 5 5 4 3 2" xfId="27490" xr:uid="{00000000-0005-0000-0000-0000F7320000}"/>
    <cellStyle name="20 % - Markeringsfarve4 5 5 4 3 3" xfId="42456" xr:uid="{00000000-0005-0000-0000-0000F8320000}"/>
    <cellStyle name="20 % - Markeringsfarve4 5 5 4 4" xfId="20468" xr:uid="{00000000-0005-0000-0000-0000F9320000}"/>
    <cellStyle name="20 % - Markeringsfarve4 5 5 4 5" xfId="35457" xr:uid="{00000000-0005-0000-0000-0000FA320000}"/>
    <cellStyle name="20 % - Markeringsfarve4 5 5 5" xfId="5566" xr:uid="{00000000-0005-0000-0000-0000FB320000}"/>
    <cellStyle name="20 % - Markeringsfarve4 5 5 5 2" xfId="13485" xr:uid="{00000000-0005-0000-0000-0000FC320000}"/>
    <cellStyle name="20 % - Markeringsfarve4 5 5 5 2 2" xfId="29800" xr:uid="{00000000-0005-0000-0000-0000FD320000}"/>
    <cellStyle name="20 % - Markeringsfarve4 5 5 5 2 3" xfId="44764" xr:uid="{00000000-0005-0000-0000-0000FE320000}"/>
    <cellStyle name="20 % - Markeringsfarve4 5 5 5 3" xfId="22778" xr:uid="{00000000-0005-0000-0000-0000FF320000}"/>
    <cellStyle name="20 % - Markeringsfarve4 5 5 5 4" xfId="37765" xr:uid="{00000000-0005-0000-0000-000000330000}"/>
    <cellStyle name="20 % - Markeringsfarve4 5 5 6" xfId="11166" xr:uid="{00000000-0005-0000-0000-000001330000}"/>
    <cellStyle name="20 % - Markeringsfarve4 5 5 6 2" xfId="27486" xr:uid="{00000000-0005-0000-0000-000002330000}"/>
    <cellStyle name="20 % - Markeringsfarve4 5 5 6 3" xfId="42452" xr:uid="{00000000-0005-0000-0000-000003330000}"/>
    <cellStyle name="20 % - Markeringsfarve4 5 5 7" xfId="20464" xr:uid="{00000000-0005-0000-0000-000004330000}"/>
    <cellStyle name="20 % - Markeringsfarve4 5 5 8" xfId="35453" xr:uid="{00000000-0005-0000-0000-000005330000}"/>
    <cellStyle name="20 % - Markeringsfarve4 5 6" xfId="2611" xr:uid="{00000000-0005-0000-0000-000006330000}"/>
    <cellStyle name="20 % - Markeringsfarve4 5 6 2" xfId="2612" xr:uid="{00000000-0005-0000-0000-000007330000}"/>
    <cellStyle name="20 % - Markeringsfarve4 5 6 2 2" xfId="2613" xr:uid="{00000000-0005-0000-0000-000008330000}"/>
    <cellStyle name="20 % - Markeringsfarve4 5 6 2 2 2" xfId="8054" xr:uid="{00000000-0005-0000-0000-000009330000}"/>
    <cellStyle name="20 % - Markeringsfarve4 5 6 2 2 2 2" xfId="15956" xr:uid="{00000000-0005-0000-0000-00000A330000}"/>
    <cellStyle name="20 % - Markeringsfarve4 5 6 2 2 2 2 2" xfId="32271" xr:uid="{00000000-0005-0000-0000-00000B330000}"/>
    <cellStyle name="20 % - Markeringsfarve4 5 6 2 2 2 2 3" xfId="47235" xr:uid="{00000000-0005-0000-0000-00000C330000}"/>
    <cellStyle name="20 % - Markeringsfarve4 5 6 2 2 2 3" xfId="25249" xr:uid="{00000000-0005-0000-0000-00000D330000}"/>
    <cellStyle name="20 % - Markeringsfarve4 5 6 2 2 2 4" xfId="40236" xr:uid="{00000000-0005-0000-0000-00000E330000}"/>
    <cellStyle name="20 % - Markeringsfarve4 5 6 2 2 3" xfId="11173" xr:uid="{00000000-0005-0000-0000-00000F330000}"/>
    <cellStyle name="20 % - Markeringsfarve4 5 6 2 2 3 2" xfId="27493" xr:uid="{00000000-0005-0000-0000-000010330000}"/>
    <cellStyle name="20 % - Markeringsfarve4 5 6 2 2 3 3" xfId="42459" xr:uid="{00000000-0005-0000-0000-000011330000}"/>
    <cellStyle name="20 % - Markeringsfarve4 5 6 2 2 4" xfId="20471" xr:uid="{00000000-0005-0000-0000-000012330000}"/>
    <cellStyle name="20 % - Markeringsfarve4 5 6 2 2 5" xfId="35460" xr:uid="{00000000-0005-0000-0000-000013330000}"/>
    <cellStyle name="20 % - Markeringsfarve4 5 6 2 3" xfId="6565" xr:uid="{00000000-0005-0000-0000-000014330000}"/>
    <cellStyle name="20 % - Markeringsfarve4 5 6 2 3 2" xfId="14480" xr:uid="{00000000-0005-0000-0000-000015330000}"/>
    <cellStyle name="20 % - Markeringsfarve4 5 6 2 3 2 2" xfId="30795" xr:uid="{00000000-0005-0000-0000-000016330000}"/>
    <cellStyle name="20 % - Markeringsfarve4 5 6 2 3 2 3" xfId="45759" xr:uid="{00000000-0005-0000-0000-000017330000}"/>
    <cellStyle name="20 % - Markeringsfarve4 5 6 2 3 3" xfId="23773" xr:uid="{00000000-0005-0000-0000-000018330000}"/>
    <cellStyle name="20 % - Markeringsfarve4 5 6 2 3 4" xfId="38760" xr:uid="{00000000-0005-0000-0000-000019330000}"/>
    <cellStyle name="20 % - Markeringsfarve4 5 6 2 4" xfId="11172" xr:uid="{00000000-0005-0000-0000-00001A330000}"/>
    <cellStyle name="20 % - Markeringsfarve4 5 6 2 4 2" xfId="27492" xr:uid="{00000000-0005-0000-0000-00001B330000}"/>
    <cellStyle name="20 % - Markeringsfarve4 5 6 2 4 3" xfId="42458" xr:uid="{00000000-0005-0000-0000-00001C330000}"/>
    <cellStyle name="20 % - Markeringsfarve4 5 6 2 5" xfId="20470" xr:uid="{00000000-0005-0000-0000-00001D330000}"/>
    <cellStyle name="20 % - Markeringsfarve4 5 6 2 6" xfId="35459" xr:uid="{00000000-0005-0000-0000-00001E330000}"/>
    <cellStyle name="20 % - Markeringsfarve4 5 6 3" xfId="2614" xr:uid="{00000000-0005-0000-0000-00001F330000}"/>
    <cellStyle name="20 % - Markeringsfarve4 5 6 3 2" xfId="7331" xr:uid="{00000000-0005-0000-0000-000020330000}"/>
    <cellStyle name="20 % - Markeringsfarve4 5 6 3 2 2" xfId="15242" xr:uid="{00000000-0005-0000-0000-000021330000}"/>
    <cellStyle name="20 % - Markeringsfarve4 5 6 3 2 2 2" xfId="31557" xr:uid="{00000000-0005-0000-0000-000022330000}"/>
    <cellStyle name="20 % - Markeringsfarve4 5 6 3 2 2 3" xfId="46521" xr:uid="{00000000-0005-0000-0000-000023330000}"/>
    <cellStyle name="20 % - Markeringsfarve4 5 6 3 2 3" xfId="24535" xr:uid="{00000000-0005-0000-0000-000024330000}"/>
    <cellStyle name="20 % - Markeringsfarve4 5 6 3 2 4" xfId="39522" xr:uid="{00000000-0005-0000-0000-000025330000}"/>
    <cellStyle name="20 % - Markeringsfarve4 5 6 3 3" xfId="11174" xr:uid="{00000000-0005-0000-0000-000026330000}"/>
    <cellStyle name="20 % - Markeringsfarve4 5 6 3 3 2" xfId="27494" xr:uid="{00000000-0005-0000-0000-000027330000}"/>
    <cellStyle name="20 % - Markeringsfarve4 5 6 3 3 3" xfId="42460" xr:uid="{00000000-0005-0000-0000-000028330000}"/>
    <cellStyle name="20 % - Markeringsfarve4 5 6 3 4" xfId="20472" xr:uid="{00000000-0005-0000-0000-000029330000}"/>
    <cellStyle name="20 % - Markeringsfarve4 5 6 3 5" xfId="35461" xr:uid="{00000000-0005-0000-0000-00002A330000}"/>
    <cellStyle name="20 % - Markeringsfarve4 5 6 4" xfId="2615" xr:uid="{00000000-0005-0000-0000-00002B330000}"/>
    <cellStyle name="20 % - Markeringsfarve4 5 6 4 2" xfId="8543" xr:uid="{00000000-0005-0000-0000-00002C330000}"/>
    <cellStyle name="20 % - Markeringsfarve4 5 6 4 2 2" xfId="16430" xr:uid="{00000000-0005-0000-0000-00002D330000}"/>
    <cellStyle name="20 % - Markeringsfarve4 5 6 4 2 2 2" xfId="32745" xr:uid="{00000000-0005-0000-0000-00002E330000}"/>
    <cellStyle name="20 % - Markeringsfarve4 5 6 4 2 2 3" xfId="47709" xr:uid="{00000000-0005-0000-0000-00002F330000}"/>
    <cellStyle name="20 % - Markeringsfarve4 5 6 4 2 3" xfId="25723" xr:uid="{00000000-0005-0000-0000-000030330000}"/>
    <cellStyle name="20 % - Markeringsfarve4 5 6 4 2 4" xfId="40710" xr:uid="{00000000-0005-0000-0000-000031330000}"/>
    <cellStyle name="20 % - Markeringsfarve4 5 6 4 3" xfId="11175" xr:uid="{00000000-0005-0000-0000-000032330000}"/>
    <cellStyle name="20 % - Markeringsfarve4 5 6 4 3 2" xfId="27495" xr:uid="{00000000-0005-0000-0000-000033330000}"/>
    <cellStyle name="20 % - Markeringsfarve4 5 6 4 3 3" xfId="42461" xr:uid="{00000000-0005-0000-0000-000034330000}"/>
    <cellStyle name="20 % - Markeringsfarve4 5 6 4 4" xfId="20473" xr:uid="{00000000-0005-0000-0000-000035330000}"/>
    <cellStyle name="20 % - Markeringsfarve4 5 6 4 5" xfId="35462" xr:uid="{00000000-0005-0000-0000-000036330000}"/>
    <cellStyle name="20 % - Markeringsfarve4 5 6 5" xfId="5567" xr:uid="{00000000-0005-0000-0000-000037330000}"/>
    <cellStyle name="20 % - Markeringsfarve4 5 6 5 2" xfId="13486" xr:uid="{00000000-0005-0000-0000-000038330000}"/>
    <cellStyle name="20 % - Markeringsfarve4 5 6 5 2 2" xfId="29801" xr:uid="{00000000-0005-0000-0000-000039330000}"/>
    <cellStyle name="20 % - Markeringsfarve4 5 6 5 2 3" xfId="44765" xr:uid="{00000000-0005-0000-0000-00003A330000}"/>
    <cellStyle name="20 % - Markeringsfarve4 5 6 5 3" xfId="22779" xr:uid="{00000000-0005-0000-0000-00003B330000}"/>
    <cellStyle name="20 % - Markeringsfarve4 5 6 5 4" xfId="37766" xr:uid="{00000000-0005-0000-0000-00003C330000}"/>
    <cellStyle name="20 % - Markeringsfarve4 5 6 6" xfId="11171" xr:uid="{00000000-0005-0000-0000-00003D330000}"/>
    <cellStyle name="20 % - Markeringsfarve4 5 6 6 2" xfId="27491" xr:uid="{00000000-0005-0000-0000-00003E330000}"/>
    <cellStyle name="20 % - Markeringsfarve4 5 6 6 3" xfId="42457" xr:uid="{00000000-0005-0000-0000-00003F330000}"/>
    <cellStyle name="20 % - Markeringsfarve4 5 6 7" xfId="20469" xr:uid="{00000000-0005-0000-0000-000040330000}"/>
    <cellStyle name="20 % - Markeringsfarve4 5 6 8" xfId="35458" xr:uid="{00000000-0005-0000-0000-000041330000}"/>
    <cellStyle name="20 % - Markeringsfarve4 5 7" xfId="2616" xr:uid="{00000000-0005-0000-0000-000042330000}"/>
    <cellStyle name="20 % - Markeringsfarve4 5 7 2" xfId="2617" xr:uid="{00000000-0005-0000-0000-000043330000}"/>
    <cellStyle name="20 % - Markeringsfarve4 5 7 2 2" xfId="7512" xr:uid="{00000000-0005-0000-0000-000044330000}"/>
    <cellStyle name="20 % - Markeringsfarve4 5 7 2 2 2" xfId="15414" xr:uid="{00000000-0005-0000-0000-000045330000}"/>
    <cellStyle name="20 % - Markeringsfarve4 5 7 2 2 2 2" xfId="31729" xr:uid="{00000000-0005-0000-0000-000046330000}"/>
    <cellStyle name="20 % - Markeringsfarve4 5 7 2 2 2 3" xfId="46693" xr:uid="{00000000-0005-0000-0000-000047330000}"/>
    <cellStyle name="20 % - Markeringsfarve4 5 7 2 2 3" xfId="24707" xr:uid="{00000000-0005-0000-0000-000048330000}"/>
    <cellStyle name="20 % - Markeringsfarve4 5 7 2 2 4" xfId="39694" xr:uid="{00000000-0005-0000-0000-000049330000}"/>
    <cellStyle name="20 % - Markeringsfarve4 5 7 2 3" xfId="11177" xr:uid="{00000000-0005-0000-0000-00004A330000}"/>
    <cellStyle name="20 % - Markeringsfarve4 5 7 2 3 2" xfId="27497" xr:uid="{00000000-0005-0000-0000-00004B330000}"/>
    <cellStyle name="20 % - Markeringsfarve4 5 7 2 3 3" xfId="42463" xr:uid="{00000000-0005-0000-0000-00004C330000}"/>
    <cellStyle name="20 % - Markeringsfarve4 5 7 2 4" xfId="20475" xr:uid="{00000000-0005-0000-0000-00004D330000}"/>
    <cellStyle name="20 % - Markeringsfarve4 5 7 2 5" xfId="35464" xr:uid="{00000000-0005-0000-0000-00004E330000}"/>
    <cellStyle name="20 % - Markeringsfarve4 5 7 3" xfId="6102" xr:uid="{00000000-0005-0000-0000-00004F330000}"/>
    <cellStyle name="20 % - Markeringsfarve4 5 7 3 2" xfId="14020" xr:uid="{00000000-0005-0000-0000-000050330000}"/>
    <cellStyle name="20 % - Markeringsfarve4 5 7 3 2 2" xfId="30335" xr:uid="{00000000-0005-0000-0000-000051330000}"/>
    <cellStyle name="20 % - Markeringsfarve4 5 7 3 2 3" xfId="45299" xr:uid="{00000000-0005-0000-0000-000052330000}"/>
    <cellStyle name="20 % - Markeringsfarve4 5 7 3 3" xfId="23313" xr:uid="{00000000-0005-0000-0000-000053330000}"/>
    <cellStyle name="20 % - Markeringsfarve4 5 7 3 4" xfId="38300" xr:uid="{00000000-0005-0000-0000-000054330000}"/>
    <cellStyle name="20 % - Markeringsfarve4 5 7 4" xfId="11176" xr:uid="{00000000-0005-0000-0000-000055330000}"/>
    <cellStyle name="20 % - Markeringsfarve4 5 7 4 2" xfId="27496" xr:uid="{00000000-0005-0000-0000-000056330000}"/>
    <cellStyle name="20 % - Markeringsfarve4 5 7 4 3" xfId="42462" xr:uid="{00000000-0005-0000-0000-000057330000}"/>
    <cellStyle name="20 % - Markeringsfarve4 5 7 5" xfId="20474" xr:uid="{00000000-0005-0000-0000-000058330000}"/>
    <cellStyle name="20 % - Markeringsfarve4 5 7 6" xfId="35463" xr:uid="{00000000-0005-0000-0000-000059330000}"/>
    <cellStyle name="20 % - Markeringsfarve4 5 8" xfId="2618" xr:uid="{00000000-0005-0000-0000-00005A330000}"/>
    <cellStyle name="20 % - Markeringsfarve4 5 8 2" xfId="6740" xr:uid="{00000000-0005-0000-0000-00005B330000}"/>
    <cellStyle name="20 % - Markeringsfarve4 5 8 2 2" xfId="14652" xr:uid="{00000000-0005-0000-0000-00005C330000}"/>
    <cellStyle name="20 % - Markeringsfarve4 5 8 2 2 2" xfId="30967" xr:uid="{00000000-0005-0000-0000-00005D330000}"/>
    <cellStyle name="20 % - Markeringsfarve4 5 8 2 2 3" xfId="45931" xr:uid="{00000000-0005-0000-0000-00005E330000}"/>
    <cellStyle name="20 % - Markeringsfarve4 5 8 2 3" xfId="23945" xr:uid="{00000000-0005-0000-0000-00005F330000}"/>
    <cellStyle name="20 % - Markeringsfarve4 5 8 2 4" xfId="38932" xr:uid="{00000000-0005-0000-0000-000060330000}"/>
    <cellStyle name="20 % - Markeringsfarve4 5 8 3" xfId="11178" xr:uid="{00000000-0005-0000-0000-000061330000}"/>
    <cellStyle name="20 % - Markeringsfarve4 5 8 3 2" xfId="27498" xr:uid="{00000000-0005-0000-0000-000062330000}"/>
    <cellStyle name="20 % - Markeringsfarve4 5 8 3 3" xfId="42464" xr:uid="{00000000-0005-0000-0000-000063330000}"/>
    <cellStyle name="20 % - Markeringsfarve4 5 8 4" xfId="20476" xr:uid="{00000000-0005-0000-0000-000064330000}"/>
    <cellStyle name="20 % - Markeringsfarve4 5 8 5" xfId="35465" xr:uid="{00000000-0005-0000-0000-000065330000}"/>
    <cellStyle name="20 % - Markeringsfarve4 5 9" xfId="2619" xr:uid="{00000000-0005-0000-0000-000066330000}"/>
    <cellStyle name="20 % - Markeringsfarve4 5 9 2" xfId="8398" xr:uid="{00000000-0005-0000-0000-000067330000}"/>
    <cellStyle name="20 % - Markeringsfarve4 5 9 2 2" xfId="16290" xr:uid="{00000000-0005-0000-0000-000068330000}"/>
    <cellStyle name="20 % - Markeringsfarve4 5 9 2 2 2" xfId="32605" xr:uid="{00000000-0005-0000-0000-000069330000}"/>
    <cellStyle name="20 % - Markeringsfarve4 5 9 2 2 3" xfId="47569" xr:uid="{00000000-0005-0000-0000-00006A330000}"/>
    <cellStyle name="20 % - Markeringsfarve4 5 9 2 3" xfId="25583" xr:uid="{00000000-0005-0000-0000-00006B330000}"/>
    <cellStyle name="20 % - Markeringsfarve4 5 9 2 4" xfId="40570" xr:uid="{00000000-0005-0000-0000-00006C330000}"/>
    <cellStyle name="20 % - Markeringsfarve4 5 9 3" xfId="11179" xr:uid="{00000000-0005-0000-0000-00006D330000}"/>
    <cellStyle name="20 % - Markeringsfarve4 5 9 3 2" xfId="27499" xr:uid="{00000000-0005-0000-0000-00006E330000}"/>
    <cellStyle name="20 % - Markeringsfarve4 5 9 3 3" xfId="42465" xr:uid="{00000000-0005-0000-0000-00006F330000}"/>
    <cellStyle name="20 % - Markeringsfarve4 5 9 4" xfId="20477" xr:uid="{00000000-0005-0000-0000-000070330000}"/>
    <cellStyle name="20 % - Markeringsfarve4 5 9 5" xfId="35466" xr:uid="{00000000-0005-0000-0000-000071330000}"/>
    <cellStyle name="20 % - Markeringsfarve4 6" xfId="2620" xr:uid="{00000000-0005-0000-0000-000072330000}"/>
    <cellStyle name="20 % - Markeringsfarve4 6 10" xfId="53297" xr:uid="{00000000-0005-0000-0000-000073330000}"/>
    <cellStyle name="20 % - Markeringsfarve4 6 2" xfId="2621" xr:uid="{00000000-0005-0000-0000-000074330000}"/>
    <cellStyle name="20 % - Markeringsfarve4 6 2 2" xfId="2622" xr:uid="{00000000-0005-0000-0000-000075330000}"/>
    <cellStyle name="20 % - Markeringsfarve4 6 2 2 2" xfId="2623" xr:uid="{00000000-0005-0000-0000-000076330000}"/>
    <cellStyle name="20 % - Markeringsfarve4 6 2 2 2 2" xfId="7700" xr:uid="{00000000-0005-0000-0000-000077330000}"/>
    <cellStyle name="20 % - Markeringsfarve4 6 2 2 2 2 2" xfId="15602" xr:uid="{00000000-0005-0000-0000-000078330000}"/>
    <cellStyle name="20 % - Markeringsfarve4 6 2 2 2 2 2 2" xfId="31917" xr:uid="{00000000-0005-0000-0000-000079330000}"/>
    <cellStyle name="20 % - Markeringsfarve4 6 2 2 2 2 2 3" xfId="46881" xr:uid="{00000000-0005-0000-0000-00007A330000}"/>
    <cellStyle name="20 % - Markeringsfarve4 6 2 2 2 2 3" xfId="24895" xr:uid="{00000000-0005-0000-0000-00007B330000}"/>
    <cellStyle name="20 % - Markeringsfarve4 6 2 2 2 2 4" xfId="39882" xr:uid="{00000000-0005-0000-0000-00007C330000}"/>
    <cellStyle name="20 % - Markeringsfarve4 6 2 2 2 3" xfId="11183" xr:uid="{00000000-0005-0000-0000-00007D330000}"/>
    <cellStyle name="20 % - Markeringsfarve4 6 2 2 2 3 2" xfId="27503" xr:uid="{00000000-0005-0000-0000-00007E330000}"/>
    <cellStyle name="20 % - Markeringsfarve4 6 2 2 2 3 3" xfId="42469" xr:uid="{00000000-0005-0000-0000-00007F330000}"/>
    <cellStyle name="20 % - Markeringsfarve4 6 2 2 2 4" xfId="20481" xr:uid="{00000000-0005-0000-0000-000080330000}"/>
    <cellStyle name="20 % - Markeringsfarve4 6 2 2 2 5" xfId="35470" xr:uid="{00000000-0005-0000-0000-000081330000}"/>
    <cellStyle name="20 % - Markeringsfarve4 6 2 2 3" xfId="6264" xr:uid="{00000000-0005-0000-0000-000082330000}"/>
    <cellStyle name="20 % - Markeringsfarve4 6 2 2 3 2" xfId="14182" xr:uid="{00000000-0005-0000-0000-000083330000}"/>
    <cellStyle name="20 % - Markeringsfarve4 6 2 2 3 2 2" xfId="30497" xr:uid="{00000000-0005-0000-0000-000084330000}"/>
    <cellStyle name="20 % - Markeringsfarve4 6 2 2 3 2 3" xfId="45461" xr:uid="{00000000-0005-0000-0000-000085330000}"/>
    <cellStyle name="20 % - Markeringsfarve4 6 2 2 3 3" xfId="23475" xr:uid="{00000000-0005-0000-0000-000086330000}"/>
    <cellStyle name="20 % - Markeringsfarve4 6 2 2 3 4" xfId="38462" xr:uid="{00000000-0005-0000-0000-000087330000}"/>
    <cellStyle name="20 % - Markeringsfarve4 6 2 2 4" xfId="11182" xr:uid="{00000000-0005-0000-0000-000088330000}"/>
    <cellStyle name="20 % - Markeringsfarve4 6 2 2 4 2" xfId="27502" xr:uid="{00000000-0005-0000-0000-000089330000}"/>
    <cellStyle name="20 % - Markeringsfarve4 6 2 2 4 3" xfId="42468" xr:uid="{00000000-0005-0000-0000-00008A330000}"/>
    <cellStyle name="20 % - Markeringsfarve4 6 2 2 5" xfId="20480" xr:uid="{00000000-0005-0000-0000-00008B330000}"/>
    <cellStyle name="20 % - Markeringsfarve4 6 2 2 6" xfId="35469" xr:uid="{00000000-0005-0000-0000-00008C330000}"/>
    <cellStyle name="20 % - Markeringsfarve4 6 2 2 7" xfId="57101" xr:uid="{00000000-0005-0000-0000-00008D330000}"/>
    <cellStyle name="20 % - Markeringsfarve4 6 2 3" xfId="2624" xr:uid="{00000000-0005-0000-0000-00008E330000}"/>
    <cellStyle name="20 % - Markeringsfarve4 6 2 3 2" xfId="6930" xr:uid="{00000000-0005-0000-0000-00008F330000}"/>
    <cellStyle name="20 % - Markeringsfarve4 6 2 3 2 2" xfId="14842" xr:uid="{00000000-0005-0000-0000-000090330000}"/>
    <cellStyle name="20 % - Markeringsfarve4 6 2 3 2 2 2" xfId="31157" xr:uid="{00000000-0005-0000-0000-000091330000}"/>
    <cellStyle name="20 % - Markeringsfarve4 6 2 3 2 2 3" xfId="46121" xr:uid="{00000000-0005-0000-0000-000092330000}"/>
    <cellStyle name="20 % - Markeringsfarve4 6 2 3 2 3" xfId="24135" xr:uid="{00000000-0005-0000-0000-000093330000}"/>
    <cellStyle name="20 % - Markeringsfarve4 6 2 3 2 4" xfId="39122" xr:uid="{00000000-0005-0000-0000-000094330000}"/>
    <cellStyle name="20 % - Markeringsfarve4 6 2 3 3" xfId="11184" xr:uid="{00000000-0005-0000-0000-000095330000}"/>
    <cellStyle name="20 % - Markeringsfarve4 6 2 3 3 2" xfId="27504" xr:uid="{00000000-0005-0000-0000-000096330000}"/>
    <cellStyle name="20 % - Markeringsfarve4 6 2 3 3 3" xfId="42470" xr:uid="{00000000-0005-0000-0000-000097330000}"/>
    <cellStyle name="20 % - Markeringsfarve4 6 2 3 4" xfId="20482" xr:uid="{00000000-0005-0000-0000-000098330000}"/>
    <cellStyle name="20 % - Markeringsfarve4 6 2 3 5" xfId="35471" xr:uid="{00000000-0005-0000-0000-000099330000}"/>
    <cellStyle name="20 % - Markeringsfarve4 6 2 4" xfId="2625" xr:uid="{00000000-0005-0000-0000-00009A330000}"/>
    <cellStyle name="20 % - Markeringsfarve4 6 2 4 2" xfId="8147" xr:uid="{00000000-0005-0000-0000-00009B330000}"/>
    <cellStyle name="20 % - Markeringsfarve4 6 2 4 2 2" xfId="16045" xr:uid="{00000000-0005-0000-0000-00009C330000}"/>
    <cellStyle name="20 % - Markeringsfarve4 6 2 4 2 2 2" xfId="32360" xr:uid="{00000000-0005-0000-0000-00009D330000}"/>
    <cellStyle name="20 % - Markeringsfarve4 6 2 4 2 2 3" xfId="47324" xr:uid="{00000000-0005-0000-0000-00009E330000}"/>
    <cellStyle name="20 % - Markeringsfarve4 6 2 4 2 3" xfId="25338" xr:uid="{00000000-0005-0000-0000-00009F330000}"/>
    <cellStyle name="20 % - Markeringsfarve4 6 2 4 2 4" xfId="40325" xr:uid="{00000000-0005-0000-0000-0000A0330000}"/>
    <cellStyle name="20 % - Markeringsfarve4 6 2 4 3" xfId="11185" xr:uid="{00000000-0005-0000-0000-0000A1330000}"/>
    <cellStyle name="20 % - Markeringsfarve4 6 2 4 3 2" xfId="27505" xr:uid="{00000000-0005-0000-0000-0000A2330000}"/>
    <cellStyle name="20 % - Markeringsfarve4 6 2 4 3 3" xfId="42471" xr:uid="{00000000-0005-0000-0000-0000A3330000}"/>
    <cellStyle name="20 % - Markeringsfarve4 6 2 4 4" xfId="20483" xr:uid="{00000000-0005-0000-0000-0000A4330000}"/>
    <cellStyle name="20 % - Markeringsfarve4 6 2 4 5" xfId="35472" xr:uid="{00000000-0005-0000-0000-0000A5330000}"/>
    <cellStyle name="20 % - Markeringsfarve4 6 2 5" xfId="5569" xr:uid="{00000000-0005-0000-0000-0000A6330000}"/>
    <cellStyle name="20 % - Markeringsfarve4 6 2 5 2" xfId="13488" xr:uid="{00000000-0005-0000-0000-0000A7330000}"/>
    <cellStyle name="20 % - Markeringsfarve4 6 2 5 2 2" xfId="29803" xr:uid="{00000000-0005-0000-0000-0000A8330000}"/>
    <cellStyle name="20 % - Markeringsfarve4 6 2 5 2 3" xfId="44767" xr:uid="{00000000-0005-0000-0000-0000A9330000}"/>
    <cellStyle name="20 % - Markeringsfarve4 6 2 5 3" xfId="22781" xr:uid="{00000000-0005-0000-0000-0000AA330000}"/>
    <cellStyle name="20 % - Markeringsfarve4 6 2 5 4" xfId="37768" xr:uid="{00000000-0005-0000-0000-0000AB330000}"/>
    <cellStyle name="20 % - Markeringsfarve4 6 2 6" xfId="11181" xr:uid="{00000000-0005-0000-0000-0000AC330000}"/>
    <cellStyle name="20 % - Markeringsfarve4 6 2 6 2" xfId="27501" xr:uid="{00000000-0005-0000-0000-0000AD330000}"/>
    <cellStyle name="20 % - Markeringsfarve4 6 2 6 3" xfId="42467" xr:uid="{00000000-0005-0000-0000-0000AE330000}"/>
    <cellStyle name="20 % - Markeringsfarve4 6 2 7" xfId="20479" xr:uid="{00000000-0005-0000-0000-0000AF330000}"/>
    <cellStyle name="20 % - Markeringsfarve4 6 2 8" xfId="35468" xr:uid="{00000000-0005-0000-0000-0000B0330000}"/>
    <cellStyle name="20 % - Markeringsfarve4 6 2 9" xfId="53934" xr:uid="{00000000-0005-0000-0000-0000B1330000}"/>
    <cellStyle name="20 % - Markeringsfarve4 6 3" xfId="2626" xr:uid="{00000000-0005-0000-0000-0000B2330000}"/>
    <cellStyle name="20 % - Markeringsfarve4 6 3 2" xfId="2627" xr:uid="{00000000-0005-0000-0000-0000B3330000}"/>
    <cellStyle name="20 % - Markeringsfarve4 6 3 2 2" xfId="7553" xr:uid="{00000000-0005-0000-0000-0000B4330000}"/>
    <cellStyle name="20 % - Markeringsfarve4 6 3 2 2 2" xfId="15455" xr:uid="{00000000-0005-0000-0000-0000B5330000}"/>
    <cellStyle name="20 % - Markeringsfarve4 6 3 2 2 2 2" xfId="31770" xr:uid="{00000000-0005-0000-0000-0000B6330000}"/>
    <cellStyle name="20 % - Markeringsfarve4 6 3 2 2 2 3" xfId="46734" xr:uid="{00000000-0005-0000-0000-0000B7330000}"/>
    <cellStyle name="20 % - Markeringsfarve4 6 3 2 2 3" xfId="24748" xr:uid="{00000000-0005-0000-0000-0000B8330000}"/>
    <cellStyle name="20 % - Markeringsfarve4 6 3 2 2 4" xfId="39735" xr:uid="{00000000-0005-0000-0000-0000B9330000}"/>
    <cellStyle name="20 % - Markeringsfarve4 6 3 2 3" xfId="11187" xr:uid="{00000000-0005-0000-0000-0000BA330000}"/>
    <cellStyle name="20 % - Markeringsfarve4 6 3 2 3 2" xfId="27507" xr:uid="{00000000-0005-0000-0000-0000BB330000}"/>
    <cellStyle name="20 % - Markeringsfarve4 6 3 2 3 3" xfId="42473" xr:uid="{00000000-0005-0000-0000-0000BC330000}"/>
    <cellStyle name="20 % - Markeringsfarve4 6 3 2 4" xfId="20485" xr:uid="{00000000-0005-0000-0000-0000BD330000}"/>
    <cellStyle name="20 % - Markeringsfarve4 6 3 2 5" xfId="35474" xr:uid="{00000000-0005-0000-0000-0000BE330000}"/>
    <cellStyle name="20 % - Markeringsfarve4 6 3 3" xfId="6135" xr:uid="{00000000-0005-0000-0000-0000BF330000}"/>
    <cellStyle name="20 % - Markeringsfarve4 6 3 3 2" xfId="14053" xr:uid="{00000000-0005-0000-0000-0000C0330000}"/>
    <cellStyle name="20 % - Markeringsfarve4 6 3 3 2 2" xfId="30368" xr:uid="{00000000-0005-0000-0000-0000C1330000}"/>
    <cellStyle name="20 % - Markeringsfarve4 6 3 3 2 3" xfId="45332" xr:uid="{00000000-0005-0000-0000-0000C2330000}"/>
    <cellStyle name="20 % - Markeringsfarve4 6 3 3 3" xfId="23346" xr:uid="{00000000-0005-0000-0000-0000C3330000}"/>
    <cellStyle name="20 % - Markeringsfarve4 6 3 3 4" xfId="38333" xr:uid="{00000000-0005-0000-0000-0000C4330000}"/>
    <cellStyle name="20 % - Markeringsfarve4 6 3 4" xfId="11186" xr:uid="{00000000-0005-0000-0000-0000C5330000}"/>
    <cellStyle name="20 % - Markeringsfarve4 6 3 4 2" xfId="27506" xr:uid="{00000000-0005-0000-0000-0000C6330000}"/>
    <cellStyle name="20 % - Markeringsfarve4 6 3 4 3" xfId="42472" xr:uid="{00000000-0005-0000-0000-0000C7330000}"/>
    <cellStyle name="20 % - Markeringsfarve4 6 3 5" xfId="20484" xr:uid="{00000000-0005-0000-0000-0000C8330000}"/>
    <cellStyle name="20 % - Markeringsfarve4 6 3 6" xfId="35473" xr:uid="{00000000-0005-0000-0000-0000C9330000}"/>
    <cellStyle name="20 % - Markeringsfarve4 6 3 7" xfId="56478" xr:uid="{00000000-0005-0000-0000-0000CA330000}"/>
    <cellStyle name="20 % - Markeringsfarve4 6 4" xfId="2628" xr:uid="{00000000-0005-0000-0000-0000CB330000}"/>
    <cellStyle name="20 % - Markeringsfarve4 6 4 2" xfId="6783" xr:uid="{00000000-0005-0000-0000-0000CC330000}"/>
    <cellStyle name="20 % - Markeringsfarve4 6 4 2 2" xfId="14695" xr:uid="{00000000-0005-0000-0000-0000CD330000}"/>
    <cellStyle name="20 % - Markeringsfarve4 6 4 2 2 2" xfId="31010" xr:uid="{00000000-0005-0000-0000-0000CE330000}"/>
    <cellStyle name="20 % - Markeringsfarve4 6 4 2 2 3" xfId="45974" xr:uid="{00000000-0005-0000-0000-0000CF330000}"/>
    <cellStyle name="20 % - Markeringsfarve4 6 4 2 3" xfId="23988" xr:uid="{00000000-0005-0000-0000-0000D0330000}"/>
    <cellStyle name="20 % - Markeringsfarve4 6 4 2 4" xfId="38975" xr:uid="{00000000-0005-0000-0000-0000D1330000}"/>
    <cellStyle name="20 % - Markeringsfarve4 6 4 3" xfId="11188" xr:uid="{00000000-0005-0000-0000-0000D2330000}"/>
    <cellStyle name="20 % - Markeringsfarve4 6 4 3 2" xfId="27508" xr:uid="{00000000-0005-0000-0000-0000D3330000}"/>
    <cellStyle name="20 % - Markeringsfarve4 6 4 3 3" xfId="42474" xr:uid="{00000000-0005-0000-0000-0000D4330000}"/>
    <cellStyle name="20 % - Markeringsfarve4 6 4 4" xfId="20486" xr:uid="{00000000-0005-0000-0000-0000D5330000}"/>
    <cellStyle name="20 % - Markeringsfarve4 6 4 5" xfId="35475" xr:uid="{00000000-0005-0000-0000-0000D6330000}"/>
    <cellStyle name="20 % - Markeringsfarve4 6 5" xfId="2629" xr:uid="{00000000-0005-0000-0000-0000D7330000}"/>
    <cellStyle name="20 % - Markeringsfarve4 6 5 2" xfId="8194" xr:uid="{00000000-0005-0000-0000-0000D8330000}"/>
    <cellStyle name="20 % - Markeringsfarve4 6 5 2 2" xfId="16091" xr:uid="{00000000-0005-0000-0000-0000D9330000}"/>
    <cellStyle name="20 % - Markeringsfarve4 6 5 2 2 2" xfId="32406" xr:uid="{00000000-0005-0000-0000-0000DA330000}"/>
    <cellStyle name="20 % - Markeringsfarve4 6 5 2 2 3" xfId="47370" xr:uid="{00000000-0005-0000-0000-0000DB330000}"/>
    <cellStyle name="20 % - Markeringsfarve4 6 5 2 3" xfId="25384" xr:uid="{00000000-0005-0000-0000-0000DC330000}"/>
    <cellStyle name="20 % - Markeringsfarve4 6 5 2 4" xfId="40371" xr:uid="{00000000-0005-0000-0000-0000DD330000}"/>
    <cellStyle name="20 % - Markeringsfarve4 6 5 3" xfId="11189" xr:uid="{00000000-0005-0000-0000-0000DE330000}"/>
    <cellStyle name="20 % - Markeringsfarve4 6 5 3 2" xfId="27509" xr:uid="{00000000-0005-0000-0000-0000DF330000}"/>
    <cellStyle name="20 % - Markeringsfarve4 6 5 3 3" xfId="42475" xr:uid="{00000000-0005-0000-0000-0000E0330000}"/>
    <cellStyle name="20 % - Markeringsfarve4 6 5 4" xfId="20487" xr:uid="{00000000-0005-0000-0000-0000E1330000}"/>
    <cellStyle name="20 % - Markeringsfarve4 6 5 5" xfId="35476" xr:uid="{00000000-0005-0000-0000-0000E2330000}"/>
    <cellStyle name="20 % - Markeringsfarve4 6 6" xfId="5568" xr:uid="{00000000-0005-0000-0000-0000E3330000}"/>
    <cellStyle name="20 % - Markeringsfarve4 6 6 2" xfId="13487" xr:uid="{00000000-0005-0000-0000-0000E4330000}"/>
    <cellStyle name="20 % - Markeringsfarve4 6 6 2 2" xfId="29802" xr:uid="{00000000-0005-0000-0000-0000E5330000}"/>
    <cellStyle name="20 % - Markeringsfarve4 6 6 2 3" xfId="44766" xr:uid="{00000000-0005-0000-0000-0000E6330000}"/>
    <cellStyle name="20 % - Markeringsfarve4 6 6 3" xfId="22780" xr:uid="{00000000-0005-0000-0000-0000E7330000}"/>
    <cellStyle name="20 % - Markeringsfarve4 6 6 4" xfId="37767" xr:uid="{00000000-0005-0000-0000-0000E8330000}"/>
    <cellStyle name="20 % - Markeringsfarve4 6 7" xfId="11180" xr:uid="{00000000-0005-0000-0000-0000E9330000}"/>
    <cellStyle name="20 % - Markeringsfarve4 6 7 2" xfId="27500" xr:uid="{00000000-0005-0000-0000-0000EA330000}"/>
    <cellStyle name="20 % - Markeringsfarve4 6 7 3" xfId="42466" xr:uid="{00000000-0005-0000-0000-0000EB330000}"/>
    <cellStyle name="20 % - Markeringsfarve4 6 8" xfId="20478" xr:uid="{00000000-0005-0000-0000-0000EC330000}"/>
    <cellStyle name="20 % - Markeringsfarve4 6 9" xfId="35467" xr:uid="{00000000-0005-0000-0000-0000ED330000}"/>
    <cellStyle name="20 % - Markeringsfarve4 7" xfId="2630" xr:uid="{00000000-0005-0000-0000-0000EE330000}"/>
    <cellStyle name="20 % - Markeringsfarve4 7 2" xfId="2631" xr:uid="{00000000-0005-0000-0000-0000EF330000}"/>
    <cellStyle name="20 % - Markeringsfarve4 7 2 2" xfId="2632" xr:uid="{00000000-0005-0000-0000-0000F0330000}"/>
    <cellStyle name="20 % - Markeringsfarve4 7 2 2 2" xfId="7791" xr:uid="{00000000-0005-0000-0000-0000F1330000}"/>
    <cellStyle name="20 % - Markeringsfarve4 7 2 2 2 2" xfId="15693" xr:uid="{00000000-0005-0000-0000-0000F2330000}"/>
    <cellStyle name="20 % - Markeringsfarve4 7 2 2 2 2 2" xfId="32008" xr:uid="{00000000-0005-0000-0000-0000F3330000}"/>
    <cellStyle name="20 % - Markeringsfarve4 7 2 2 2 2 3" xfId="46972" xr:uid="{00000000-0005-0000-0000-0000F4330000}"/>
    <cellStyle name="20 % - Markeringsfarve4 7 2 2 2 3" xfId="24986" xr:uid="{00000000-0005-0000-0000-0000F5330000}"/>
    <cellStyle name="20 % - Markeringsfarve4 7 2 2 2 4" xfId="39973" xr:uid="{00000000-0005-0000-0000-0000F6330000}"/>
    <cellStyle name="20 % - Markeringsfarve4 7 2 2 3" xfId="11192" xr:uid="{00000000-0005-0000-0000-0000F7330000}"/>
    <cellStyle name="20 % - Markeringsfarve4 7 2 2 3 2" xfId="27512" xr:uid="{00000000-0005-0000-0000-0000F8330000}"/>
    <cellStyle name="20 % - Markeringsfarve4 7 2 2 3 3" xfId="42478" xr:uid="{00000000-0005-0000-0000-0000F9330000}"/>
    <cellStyle name="20 % - Markeringsfarve4 7 2 2 4" xfId="20490" xr:uid="{00000000-0005-0000-0000-0000FA330000}"/>
    <cellStyle name="20 % - Markeringsfarve4 7 2 2 5" xfId="35479" xr:uid="{00000000-0005-0000-0000-0000FB330000}"/>
    <cellStyle name="20 % - Markeringsfarve4 7 2 3" xfId="6337" xr:uid="{00000000-0005-0000-0000-0000FC330000}"/>
    <cellStyle name="20 % - Markeringsfarve4 7 2 3 2" xfId="14252" xr:uid="{00000000-0005-0000-0000-0000FD330000}"/>
    <cellStyle name="20 % - Markeringsfarve4 7 2 3 2 2" xfId="30567" xr:uid="{00000000-0005-0000-0000-0000FE330000}"/>
    <cellStyle name="20 % - Markeringsfarve4 7 2 3 2 3" xfId="45531" xr:uid="{00000000-0005-0000-0000-0000FF330000}"/>
    <cellStyle name="20 % - Markeringsfarve4 7 2 3 3" xfId="23545" xr:uid="{00000000-0005-0000-0000-000000340000}"/>
    <cellStyle name="20 % - Markeringsfarve4 7 2 3 4" xfId="38532" xr:uid="{00000000-0005-0000-0000-000001340000}"/>
    <cellStyle name="20 % - Markeringsfarve4 7 2 4" xfId="11191" xr:uid="{00000000-0005-0000-0000-000002340000}"/>
    <cellStyle name="20 % - Markeringsfarve4 7 2 4 2" xfId="27511" xr:uid="{00000000-0005-0000-0000-000003340000}"/>
    <cellStyle name="20 % - Markeringsfarve4 7 2 4 3" xfId="42477" xr:uid="{00000000-0005-0000-0000-000004340000}"/>
    <cellStyle name="20 % - Markeringsfarve4 7 2 5" xfId="20489" xr:uid="{00000000-0005-0000-0000-000005340000}"/>
    <cellStyle name="20 % - Markeringsfarve4 7 2 6" xfId="35478" xr:uid="{00000000-0005-0000-0000-000006340000}"/>
    <cellStyle name="20 % - Markeringsfarve4 7 2 7" xfId="57060" xr:uid="{00000000-0005-0000-0000-000007340000}"/>
    <cellStyle name="20 % - Markeringsfarve4 7 3" xfId="2633" xr:uid="{00000000-0005-0000-0000-000008340000}"/>
    <cellStyle name="20 % - Markeringsfarve4 7 3 2" xfId="7067" xr:uid="{00000000-0005-0000-0000-000009340000}"/>
    <cellStyle name="20 % - Markeringsfarve4 7 3 2 2" xfId="14978" xr:uid="{00000000-0005-0000-0000-00000A340000}"/>
    <cellStyle name="20 % - Markeringsfarve4 7 3 2 2 2" xfId="31293" xr:uid="{00000000-0005-0000-0000-00000B340000}"/>
    <cellStyle name="20 % - Markeringsfarve4 7 3 2 2 3" xfId="46257" xr:uid="{00000000-0005-0000-0000-00000C340000}"/>
    <cellStyle name="20 % - Markeringsfarve4 7 3 2 3" xfId="24271" xr:uid="{00000000-0005-0000-0000-00000D340000}"/>
    <cellStyle name="20 % - Markeringsfarve4 7 3 2 4" xfId="39258" xr:uid="{00000000-0005-0000-0000-00000E340000}"/>
    <cellStyle name="20 % - Markeringsfarve4 7 3 3" xfId="11193" xr:uid="{00000000-0005-0000-0000-00000F340000}"/>
    <cellStyle name="20 % - Markeringsfarve4 7 3 3 2" xfId="27513" xr:uid="{00000000-0005-0000-0000-000010340000}"/>
    <cellStyle name="20 % - Markeringsfarve4 7 3 3 3" xfId="42479" xr:uid="{00000000-0005-0000-0000-000011340000}"/>
    <cellStyle name="20 % - Markeringsfarve4 7 3 4" xfId="20491" xr:uid="{00000000-0005-0000-0000-000012340000}"/>
    <cellStyle name="20 % - Markeringsfarve4 7 3 5" xfId="35480" xr:uid="{00000000-0005-0000-0000-000013340000}"/>
    <cellStyle name="20 % - Markeringsfarve4 7 4" xfId="2634" xr:uid="{00000000-0005-0000-0000-000014340000}"/>
    <cellStyle name="20 % - Markeringsfarve4 7 4 2" xfId="8488" xr:uid="{00000000-0005-0000-0000-000015340000}"/>
    <cellStyle name="20 % - Markeringsfarve4 7 4 2 2" xfId="16377" xr:uid="{00000000-0005-0000-0000-000016340000}"/>
    <cellStyle name="20 % - Markeringsfarve4 7 4 2 2 2" xfId="32692" xr:uid="{00000000-0005-0000-0000-000017340000}"/>
    <cellStyle name="20 % - Markeringsfarve4 7 4 2 2 3" xfId="47656" xr:uid="{00000000-0005-0000-0000-000018340000}"/>
    <cellStyle name="20 % - Markeringsfarve4 7 4 2 3" xfId="25670" xr:uid="{00000000-0005-0000-0000-000019340000}"/>
    <cellStyle name="20 % - Markeringsfarve4 7 4 2 4" xfId="40657" xr:uid="{00000000-0005-0000-0000-00001A340000}"/>
    <cellStyle name="20 % - Markeringsfarve4 7 4 3" xfId="11194" xr:uid="{00000000-0005-0000-0000-00001B340000}"/>
    <cellStyle name="20 % - Markeringsfarve4 7 4 3 2" xfId="27514" xr:uid="{00000000-0005-0000-0000-00001C340000}"/>
    <cellStyle name="20 % - Markeringsfarve4 7 4 3 3" xfId="42480" xr:uid="{00000000-0005-0000-0000-00001D340000}"/>
    <cellStyle name="20 % - Markeringsfarve4 7 4 4" xfId="20492" xr:uid="{00000000-0005-0000-0000-00001E340000}"/>
    <cellStyle name="20 % - Markeringsfarve4 7 4 5" xfId="35481" xr:uid="{00000000-0005-0000-0000-00001F340000}"/>
    <cellStyle name="20 % - Markeringsfarve4 7 5" xfId="5570" xr:uid="{00000000-0005-0000-0000-000020340000}"/>
    <cellStyle name="20 % - Markeringsfarve4 7 5 2" xfId="13489" xr:uid="{00000000-0005-0000-0000-000021340000}"/>
    <cellStyle name="20 % - Markeringsfarve4 7 5 2 2" xfId="29804" xr:uid="{00000000-0005-0000-0000-000022340000}"/>
    <cellStyle name="20 % - Markeringsfarve4 7 5 2 3" xfId="44768" xr:uid="{00000000-0005-0000-0000-000023340000}"/>
    <cellStyle name="20 % - Markeringsfarve4 7 5 3" xfId="22782" xr:uid="{00000000-0005-0000-0000-000024340000}"/>
    <cellStyle name="20 % - Markeringsfarve4 7 5 4" xfId="37769" xr:uid="{00000000-0005-0000-0000-000025340000}"/>
    <cellStyle name="20 % - Markeringsfarve4 7 6" xfId="11190" xr:uid="{00000000-0005-0000-0000-000026340000}"/>
    <cellStyle name="20 % - Markeringsfarve4 7 6 2" xfId="27510" xr:uid="{00000000-0005-0000-0000-000027340000}"/>
    <cellStyle name="20 % - Markeringsfarve4 7 6 3" xfId="42476" xr:uid="{00000000-0005-0000-0000-000028340000}"/>
    <cellStyle name="20 % - Markeringsfarve4 7 7" xfId="20488" xr:uid="{00000000-0005-0000-0000-000029340000}"/>
    <cellStyle name="20 % - Markeringsfarve4 7 8" xfId="35477" xr:uid="{00000000-0005-0000-0000-00002A340000}"/>
    <cellStyle name="20 % - Markeringsfarve4 7 9" xfId="53893" xr:uid="{00000000-0005-0000-0000-00002B340000}"/>
    <cellStyle name="20 % - Markeringsfarve4 8" xfId="2635" xr:uid="{00000000-0005-0000-0000-00002C340000}"/>
    <cellStyle name="20 % - Markeringsfarve4 8 2" xfId="2636" xr:uid="{00000000-0005-0000-0000-00002D340000}"/>
    <cellStyle name="20 % - Markeringsfarve4 8 2 2" xfId="2637" xr:uid="{00000000-0005-0000-0000-00002E340000}"/>
    <cellStyle name="20 % - Markeringsfarve4 8 2 2 2" xfId="7908" xr:uid="{00000000-0005-0000-0000-00002F340000}"/>
    <cellStyle name="20 % - Markeringsfarve4 8 2 2 2 2" xfId="15810" xr:uid="{00000000-0005-0000-0000-000030340000}"/>
    <cellStyle name="20 % - Markeringsfarve4 8 2 2 2 2 2" xfId="32125" xr:uid="{00000000-0005-0000-0000-000031340000}"/>
    <cellStyle name="20 % - Markeringsfarve4 8 2 2 2 2 3" xfId="47089" xr:uid="{00000000-0005-0000-0000-000032340000}"/>
    <cellStyle name="20 % - Markeringsfarve4 8 2 2 2 3" xfId="25103" xr:uid="{00000000-0005-0000-0000-000033340000}"/>
    <cellStyle name="20 % - Markeringsfarve4 8 2 2 2 4" xfId="40090" xr:uid="{00000000-0005-0000-0000-000034340000}"/>
    <cellStyle name="20 % - Markeringsfarve4 8 2 2 3" xfId="11197" xr:uid="{00000000-0005-0000-0000-000035340000}"/>
    <cellStyle name="20 % - Markeringsfarve4 8 2 2 3 2" xfId="27517" xr:uid="{00000000-0005-0000-0000-000036340000}"/>
    <cellStyle name="20 % - Markeringsfarve4 8 2 2 3 3" xfId="42483" xr:uid="{00000000-0005-0000-0000-000037340000}"/>
    <cellStyle name="20 % - Markeringsfarve4 8 2 2 4" xfId="20495" xr:uid="{00000000-0005-0000-0000-000038340000}"/>
    <cellStyle name="20 % - Markeringsfarve4 8 2 2 5" xfId="35484" xr:uid="{00000000-0005-0000-0000-000039340000}"/>
    <cellStyle name="20 % - Markeringsfarve4 8 2 3" xfId="6436" xr:uid="{00000000-0005-0000-0000-00003A340000}"/>
    <cellStyle name="20 % - Markeringsfarve4 8 2 3 2" xfId="14351" xr:uid="{00000000-0005-0000-0000-00003B340000}"/>
    <cellStyle name="20 % - Markeringsfarve4 8 2 3 2 2" xfId="30666" xr:uid="{00000000-0005-0000-0000-00003C340000}"/>
    <cellStyle name="20 % - Markeringsfarve4 8 2 3 2 3" xfId="45630" xr:uid="{00000000-0005-0000-0000-00003D340000}"/>
    <cellStyle name="20 % - Markeringsfarve4 8 2 3 3" xfId="23644" xr:uid="{00000000-0005-0000-0000-00003E340000}"/>
    <cellStyle name="20 % - Markeringsfarve4 8 2 3 4" xfId="38631" xr:uid="{00000000-0005-0000-0000-00003F340000}"/>
    <cellStyle name="20 % - Markeringsfarve4 8 2 4" xfId="11196" xr:uid="{00000000-0005-0000-0000-000040340000}"/>
    <cellStyle name="20 % - Markeringsfarve4 8 2 4 2" xfId="27516" xr:uid="{00000000-0005-0000-0000-000041340000}"/>
    <cellStyle name="20 % - Markeringsfarve4 8 2 4 3" xfId="42482" xr:uid="{00000000-0005-0000-0000-000042340000}"/>
    <cellStyle name="20 % - Markeringsfarve4 8 2 5" xfId="20494" xr:uid="{00000000-0005-0000-0000-000043340000}"/>
    <cellStyle name="20 % - Markeringsfarve4 8 2 6" xfId="35483" xr:uid="{00000000-0005-0000-0000-000044340000}"/>
    <cellStyle name="20 % - Markeringsfarve4 8 3" xfId="2638" xr:uid="{00000000-0005-0000-0000-000045340000}"/>
    <cellStyle name="20 % - Markeringsfarve4 8 3 2" xfId="7184" xr:uid="{00000000-0005-0000-0000-000046340000}"/>
    <cellStyle name="20 % - Markeringsfarve4 8 3 2 2" xfId="15095" xr:uid="{00000000-0005-0000-0000-000047340000}"/>
    <cellStyle name="20 % - Markeringsfarve4 8 3 2 2 2" xfId="31410" xr:uid="{00000000-0005-0000-0000-000048340000}"/>
    <cellStyle name="20 % - Markeringsfarve4 8 3 2 2 3" xfId="46374" xr:uid="{00000000-0005-0000-0000-000049340000}"/>
    <cellStyle name="20 % - Markeringsfarve4 8 3 2 3" xfId="24388" xr:uid="{00000000-0005-0000-0000-00004A340000}"/>
    <cellStyle name="20 % - Markeringsfarve4 8 3 2 4" xfId="39375" xr:uid="{00000000-0005-0000-0000-00004B340000}"/>
    <cellStyle name="20 % - Markeringsfarve4 8 3 3" xfId="11198" xr:uid="{00000000-0005-0000-0000-00004C340000}"/>
    <cellStyle name="20 % - Markeringsfarve4 8 3 3 2" xfId="27518" xr:uid="{00000000-0005-0000-0000-00004D340000}"/>
    <cellStyle name="20 % - Markeringsfarve4 8 3 3 3" xfId="42484" xr:uid="{00000000-0005-0000-0000-00004E340000}"/>
    <cellStyle name="20 % - Markeringsfarve4 8 3 4" xfId="20496" xr:uid="{00000000-0005-0000-0000-00004F340000}"/>
    <cellStyle name="20 % - Markeringsfarve4 8 3 5" xfId="35485" xr:uid="{00000000-0005-0000-0000-000050340000}"/>
    <cellStyle name="20 % - Markeringsfarve4 8 4" xfId="2639" xr:uid="{00000000-0005-0000-0000-000051340000}"/>
    <cellStyle name="20 % - Markeringsfarve4 8 4 2" xfId="8724" xr:uid="{00000000-0005-0000-0000-000052340000}"/>
    <cellStyle name="20 % - Markeringsfarve4 8 4 2 2" xfId="16601" xr:uid="{00000000-0005-0000-0000-000053340000}"/>
    <cellStyle name="20 % - Markeringsfarve4 8 4 2 2 2" xfId="32916" xr:uid="{00000000-0005-0000-0000-000054340000}"/>
    <cellStyle name="20 % - Markeringsfarve4 8 4 2 2 3" xfId="47880" xr:uid="{00000000-0005-0000-0000-000055340000}"/>
    <cellStyle name="20 % - Markeringsfarve4 8 4 2 3" xfId="25894" xr:uid="{00000000-0005-0000-0000-000056340000}"/>
    <cellStyle name="20 % - Markeringsfarve4 8 4 2 4" xfId="40881" xr:uid="{00000000-0005-0000-0000-000057340000}"/>
    <cellStyle name="20 % - Markeringsfarve4 8 4 3" xfId="11199" xr:uid="{00000000-0005-0000-0000-000058340000}"/>
    <cellStyle name="20 % - Markeringsfarve4 8 4 3 2" xfId="27519" xr:uid="{00000000-0005-0000-0000-000059340000}"/>
    <cellStyle name="20 % - Markeringsfarve4 8 4 3 3" xfId="42485" xr:uid="{00000000-0005-0000-0000-00005A340000}"/>
    <cellStyle name="20 % - Markeringsfarve4 8 4 4" xfId="20497" xr:uid="{00000000-0005-0000-0000-00005B340000}"/>
    <cellStyle name="20 % - Markeringsfarve4 8 4 5" xfId="35486" xr:uid="{00000000-0005-0000-0000-00005C340000}"/>
    <cellStyle name="20 % - Markeringsfarve4 8 5" xfId="5571" xr:uid="{00000000-0005-0000-0000-00005D340000}"/>
    <cellStyle name="20 % - Markeringsfarve4 8 5 2" xfId="13490" xr:uid="{00000000-0005-0000-0000-00005E340000}"/>
    <cellStyle name="20 % - Markeringsfarve4 8 5 2 2" xfId="29805" xr:uid="{00000000-0005-0000-0000-00005F340000}"/>
    <cellStyle name="20 % - Markeringsfarve4 8 5 2 3" xfId="44769" xr:uid="{00000000-0005-0000-0000-000060340000}"/>
    <cellStyle name="20 % - Markeringsfarve4 8 5 3" xfId="22783" xr:uid="{00000000-0005-0000-0000-000061340000}"/>
    <cellStyle name="20 % - Markeringsfarve4 8 5 4" xfId="37770" xr:uid="{00000000-0005-0000-0000-000062340000}"/>
    <cellStyle name="20 % - Markeringsfarve4 8 6" xfId="11195" xr:uid="{00000000-0005-0000-0000-000063340000}"/>
    <cellStyle name="20 % - Markeringsfarve4 8 6 2" xfId="27515" xr:uid="{00000000-0005-0000-0000-000064340000}"/>
    <cellStyle name="20 % - Markeringsfarve4 8 6 3" xfId="42481" xr:uid="{00000000-0005-0000-0000-000065340000}"/>
    <cellStyle name="20 % - Markeringsfarve4 8 7" xfId="20493" xr:uid="{00000000-0005-0000-0000-000066340000}"/>
    <cellStyle name="20 % - Markeringsfarve4 8 8" xfId="35482" xr:uid="{00000000-0005-0000-0000-000067340000}"/>
    <cellStyle name="20 % - Markeringsfarve4 9" xfId="2640" xr:uid="{00000000-0005-0000-0000-000068340000}"/>
    <cellStyle name="20 % - Markeringsfarve4 9 2" xfId="2641" xr:uid="{00000000-0005-0000-0000-000069340000}"/>
    <cellStyle name="20 % - Markeringsfarve4 9 2 2" xfId="2642" xr:uid="{00000000-0005-0000-0000-00006A340000}"/>
    <cellStyle name="20 % - Markeringsfarve4 9 2 2 2" xfId="8046" xr:uid="{00000000-0005-0000-0000-00006B340000}"/>
    <cellStyle name="20 % - Markeringsfarve4 9 2 2 2 2" xfId="15948" xr:uid="{00000000-0005-0000-0000-00006C340000}"/>
    <cellStyle name="20 % - Markeringsfarve4 9 2 2 2 2 2" xfId="32263" xr:uid="{00000000-0005-0000-0000-00006D340000}"/>
    <cellStyle name="20 % - Markeringsfarve4 9 2 2 2 2 3" xfId="47227" xr:uid="{00000000-0005-0000-0000-00006E340000}"/>
    <cellStyle name="20 % - Markeringsfarve4 9 2 2 2 3" xfId="25241" xr:uid="{00000000-0005-0000-0000-00006F340000}"/>
    <cellStyle name="20 % - Markeringsfarve4 9 2 2 2 4" xfId="40228" xr:uid="{00000000-0005-0000-0000-000070340000}"/>
    <cellStyle name="20 % - Markeringsfarve4 9 2 2 3" xfId="11202" xr:uid="{00000000-0005-0000-0000-000071340000}"/>
    <cellStyle name="20 % - Markeringsfarve4 9 2 2 3 2" xfId="27522" xr:uid="{00000000-0005-0000-0000-000072340000}"/>
    <cellStyle name="20 % - Markeringsfarve4 9 2 2 3 3" xfId="42488" xr:uid="{00000000-0005-0000-0000-000073340000}"/>
    <cellStyle name="20 % - Markeringsfarve4 9 2 2 4" xfId="20500" xr:uid="{00000000-0005-0000-0000-000074340000}"/>
    <cellStyle name="20 % - Markeringsfarve4 9 2 2 5" xfId="35489" xr:uid="{00000000-0005-0000-0000-000075340000}"/>
    <cellStyle name="20 % - Markeringsfarve4 9 2 3" xfId="6557" xr:uid="{00000000-0005-0000-0000-000076340000}"/>
    <cellStyle name="20 % - Markeringsfarve4 9 2 3 2" xfId="14472" xr:uid="{00000000-0005-0000-0000-000077340000}"/>
    <cellStyle name="20 % - Markeringsfarve4 9 2 3 2 2" xfId="30787" xr:uid="{00000000-0005-0000-0000-000078340000}"/>
    <cellStyle name="20 % - Markeringsfarve4 9 2 3 2 3" xfId="45751" xr:uid="{00000000-0005-0000-0000-000079340000}"/>
    <cellStyle name="20 % - Markeringsfarve4 9 2 3 3" xfId="23765" xr:uid="{00000000-0005-0000-0000-00007A340000}"/>
    <cellStyle name="20 % - Markeringsfarve4 9 2 3 4" xfId="38752" xr:uid="{00000000-0005-0000-0000-00007B340000}"/>
    <cellStyle name="20 % - Markeringsfarve4 9 2 4" xfId="11201" xr:uid="{00000000-0005-0000-0000-00007C340000}"/>
    <cellStyle name="20 % - Markeringsfarve4 9 2 4 2" xfId="27521" xr:uid="{00000000-0005-0000-0000-00007D340000}"/>
    <cellStyle name="20 % - Markeringsfarve4 9 2 4 3" xfId="42487" xr:uid="{00000000-0005-0000-0000-00007E340000}"/>
    <cellStyle name="20 % - Markeringsfarve4 9 2 5" xfId="20499" xr:uid="{00000000-0005-0000-0000-00007F340000}"/>
    <cellStyle name="20 % - Markeringsfarve4 9 2 6" xfId="35488" xr:uid="{00000000-0005-0000-0000-000080340000}"/>
    <cellStyle name="20 % - Markeringsfarve4 9 3" xfId="2643" xr:uid="{00000000-0005-0000-0000-000081340000}"/>
    <cellStyle name="20 % - Markeringsfarve4 9 3 2" xfId="7323" xr:uid="{00000000-0005-0000-0000-000082340000}"/>
    <cellStyle name="20 % - Markeringsfarve4 9 3 2 2" xfId="15234" xr:uid="{00000000-0005-0000-0000-000083340000}"/>
    <cellStyle name="20 % - Markeringsfarve4 9 3 2 2 2" xfId="31549" xr:uid="{00000000-0005-0000-0000-000084340000}"/>
    <cellStyle name="20 % - Markeringsfarve4 9 3 2 2 3" xfId="46513" xr:uid="{00000000-0005-0000-0000-000085340000}"/>
    <cellStyle name="20 % - Markeringsfarve4 9 3 2 3" xfId="24527" xr:uid="{00000000-0005-0000-0000-000086340000}"/>
    <cellStyle name="20 % - Markeringsfarve4 9 3 2 4" xfId="39514" xr:uid="{00000000-0005-0000-0000-000087340000}"/>
    <cellStyle name="20 % - Markeringsfarve4 9 3 3" xfId="11203" xr:uid="{00000000-0005-0000-0000-000088340000}"/>
    <cellStyle name="20 % - Markeringsfarve4 9 3 3 2" xfId="27523" xr:uid="{00000000-0005-0000-0000-000089340000}"/>
    <cellStyle name="20 % - Markeringsfarve4 9 3 3 3" xfId="42489" xr:uid="{00000000-0005-0000-0000-00008A340000}"/>
    <cellStyle name="20 % - Markeringsfarve4 9 3 4" xfId="20501" xr:uid="{00000000-0005-0000-0000-00008B340000}"/>
    <cellStyle name="20 % - Markeringsfarve4 9 3 5" xfId="35490" xr:uid="{00000000-0005-0000-0000-00008C340000}"/>
    <cellStyle name="20 % - Markeringsfarve4 9 4" xfId="2644" xr:uid="{00000000-0005-0000-0000-00008D340000}"/>
    <cellStyle name="20 % - Markeringsfarve4 9 4 2" xfId="8444" xr:uid="{00000000-0005-0000-0000-00008E340000}"/>
    <cellStyle name="20 % - Markeringsfarve4 9 4 2 2" xfId="16334" xr:uid="{00000000-0005-0000-0000-00008F340000}"/>
    <cellStyle name="20 % - Markeringsfarve4 9 4 2 2 2" xfId="32649" xr:uid="{00000000-0005-0000-0000-000090340000}"/>
    <cellStyle name="20 % - Markeringsfarve4 9 4 2 2 3" xfId="47613" xr:uid="{00000000-0005-0000-0000-000091340000}"/>
    <cellStyle name="20 % - Markeringsfarve4 9 4 2 3" xfId="25627" xr:uid="{00000000-0005-0000-0000-000092340000}"/>
    <cellStyle name="20 % - Markeringsfarve4 9 4 2 4" xfId="40614" xr:uid="{00000000-0005-0000-0000-000093340000}"/>
    <cellStyle name="20 % - Markeringsfarve4 9 4 3" xfId="11204" xr:uid="{00000000-0005-0000-0000-000094340000}"/>
    <cellStyle name="20 % - Markeringsfarve4 9 4 3 2" xfId="27524" xr:uid="{00000000-0005-0000-0000-000095340000}"/>
    <cellStyle name="20 % - Markeringsfarve4 9 4 3 3" xfId="42490" xr:uid="{00000000-0005-0000-0000-000096340000}"/>
    <cellStyle name="20 % - Markeringsfarve4 9 4 4" xfId="20502" xr:uid="{00000000-0005-0000-0000-000097340000}"/>
    <cellStyle name="20 % - Markeringsfarve4 9 4 5" xfId="35491" xr:uid="{00000000-0005-0000-0000-000098340000}"/>
    <cellStyle name="20 % - Markeringsfarve4 9 5" xfId="5572" xr:uid="{00000000-0005-0000-0000-000099340000}"/>
    <cellStyle name="20 % - Markeringsfarve4 9 5 2" xfId="13491" xr:uid="{00000000-0005-0000-0000-00009A340000}"/>
    <cellStyle name="20 % - Markeringsfarve4 9 5 2 2" xfId="29806" xr:uid="{00000000-0005-0000-0000-00009B340000}"/>
    <cellStyle name="20 % - Markeringsfarve4 9 5 2 3" xfId="44770" xr:uid="{00000000-0005-0000-0000-00009C340000}"/>
    <cellStyle name="20 % - Markeringsfarve4 9 5 3" xfId="22784" xr:uid="{00000000-0005-0000-0000-00009D340000}"/>
    <cellStyle name="20 % - Markeringsfarve4 9 5 4" xfId="37771" xr:uid="{00000000-0005-0000-0000-00009E340000}"/>
    <cellStyle name="20 % - Markeringsfarve4 9 6" xfId="11200" xr:uid="{00000000-0005-0000-0000-00009F340000}"/>
    <cellStyle name="20 % - Markeringsfarve4 9 6 2" xfId="27520" xr:uid="{00000000-0005-0000-0000-0000A0340000}"/>
    <cellStyle name="20 % - Markeringsfarve4 9 6 3" xfId="42486" xr:uid="{00000000-0005-0000-0000-0000A1340000}"/>
    <cellStyle name="20 % - Markeringsfarve4 9 7" xfId="20498" xr:uid="{00000000-0005-0000-0000-0000A2340000}"/>
    <cellStyle name="20 % - Markeringsfarve4 9 8" xfId="35487" xr:uid="{00000000-0005-0000-0000-0000A3340000}"/>
    <cellStyle name="20 % - Markeringsfarve5 10" xfId="2645" xr:uid="{00000000-0005-0000-0000-0000A4340000}"/>
    <cellStyle name="20 % - Markeringsfarve5 10 2" xfId="2646" xr:uid="{00000000-0005-0000-0000-0000A5340000}"/>
    <cellStyle name="20 % - Markeringsfarve5 10 2 2" xfId="8055" xr:uid="{00000000-0005-0000-0000-0000A6340000}"/>
    <cellStyle name="20 % - Markeringsfarve5 10 2 2 2" xfId="15957" xr:uid="{00000000-0005-0000-0000-0000A7340000}"/>
    <cellStyle name="20 % - Markeringsfarve5 10 2 2 2 2" xfId="32272" xr:uid="{00000000-0005-0000-0000-0000A8340000}"/>
    <cellStyle name="20 % - Markeringsfarve5 10 2 2 2 3" xfId="47236" xr:uid="{00000000-0005-0000-0000-0000A9340000}"/>
    <cellStyle name="20 % - Markeringsfarve5 10 2 2 3" xfId="25250" xr:uid="{00000000-0005-0000-0000-0000AA340000}"/>
    <cellStyle name="20 % - Markeringsfarve5 10 2 2 4" xfId="40237" xr:uid="{00000000-0005-0000-0000-0000AB340000}"/>
    <cellStyle name="20 % - Markeringsfarve5 10 2 3" xfId="11206" xr:uid="{00000000-0005-0000-0000-0000AC340000}"/>
    <cellStyle name="20 % - Markeringsfarve5 10 2 3 2" xfId="27526" xr:uid="{00000000-0005-0000-0000-0000AD340000}"/>
    <cellStyle name="20 % - Markeringsfarve5 10 2 3 3" xfId="42492" xr:uid="{00000000-0005-0000-0000-0000AE340000}"/>
    <cellStyle name="20 % - Markeringsfarve5 10 2 4" xfId="20504" xr:uid="{00000000-0005-0000-0000-0000AF340000}"/>
    <cellStyle name="20 % - Markeringsfarve5 10 2 5" xfId="35493" xr:uid="{00000000-0005-0000-0000-0000B0340000}"/>
    <cellStyle name="20 % - Markeringsfarve5 10 3" xfId="2647" xr:uid="{00000000-0005-0000-0000-0000B1340000}"/>
    <cellStyle name="20 % - Markeringsfarve5 10 3 2" xfId="7332" xr:uid="{00000000-0005-0000-0000-0000B2340000}"/>
    <cellStyle name="20 % - Markeringsfarve5 10 3 2 2" xfId="15243" xr:uid="{00000000-0005-0000-0000-0000B3340000}"/>
    <cellStyle name="20 % - Markeringsfarve5 10 3 2 2 2" xfId="31558" xr:uid="{00000000-0005-0000-0000-0000B4340000}"/>
    <cellStyle name="20 % - Markeringsfarve5 10 3 2 2 3" xfId="46522" xr:uid="{00000000-0005-0000-0000-0000B5340000}"/>
    <cellStyle name="20 % - Markeringsfarve5 10 3 2 3" xfId="24536" xr:uid="{00000000-0005-0000-0000-0000B6340000}"/>
    <cellStyle name="20 % - Markeringsfarve5 10 3 2 4" xfId="39523" xr:uid="{00000000-0005-0000-0000-0000B7340000}"/>
    <cellStyle name="20 % - Markeringsfarve5 10 3 3" xfId="11207" xr:uid="{00000000-0005-0000-0000-0000B8340000}"/>
    <cellStyle name="20 % - Markeringsfarve5 10 3 3 2" xfId="27527" xr:uid="{00000000-0005-0000-0000-0000B9340000}"/>
    <cellStyle name="20 % - Markeringsfarve5 10 3 3 3" xfId="42493" xr:uid="{00000000-0005-0000-0000-0000BA340000}"/>
    <cellStyle name="20 % - Markeringsfarve5 10 3 4" xfId="20505" xr:uid="{00000000-0005-0000-0000-0000BB340000}"/>
    <cellStyle name="20 % - Markeringsfarve5 10 3 5" xfId="35494" xr:uid="{00000000-0005-0000-0000-0000BC340000}"/>
    <cellStyle name="20 % - Markeringsfarve5 10 4" xfId="5573" xr:uid="{00000000-0005-0000-0000-0000BD340000}"/>
    <cellStyle name="20 % - Markeringsfarve5 10 4 2" xfId="13492" xr:uid="{00000000-0005-0000-0000-0000BE340000}"/>
    <cellStyle name="20 % - Markeringsfarve5 10 4 2 2" xfId="29807" xr:uid="{00000000-0005-0000-0000-0000BF340000}"/>
    <cellStyle name="20 % - Markeringsfarve5 10 4 2 3" xfId="44771" xr:uid="{00000000-0005-0000-0000-0000C0340000}"/>
    <cellStyle name="20 % - Markeringsfarve5 10 4 3" xfId="22785" xr:uid="{00000000-0005-0000-0000-0000C1340000}"/>
    <cellStyle name="20 % - Markeringsfarve5 10 4 4" xfId="37772" xr:uid="{00000000-0005-0000-0000-0000C2340000}"/>
    <cellStyle name="20 % - Markeringsfarve5 10 5" xfId="11205" xr:uid="{00000000-0005-0000-0000-0000C3340000}"/>
    <cellStyle name="20 % - Markeringsfarve5 10 5 2" xfId="27525" xr:uid="{00000000-0005-0000-0000-0000C4340000}"/>
    <cellStyle name="20 % - Markeringsfarve5 10 5 3" xfId="42491" xr:uid="{00000000-0005-0000-0000-0000C5340000}"/>
    <cellStyle name="20 % - Markeringsfarve5 10 6" xfId="20503" xr:uid="{00000000-0005-0000-0000-0000C6340000}"/>
    <cellStyle name="20 % - Markeringsfarve5 10 7" xfId="35492" xr:uid="{00000000-0005-0000-0000-0000C7340000}"/>
    <cellStyle name="20 % - Markeringsfarve5 11" xfId="2648" xr:uid="{00000000-0005-0000-0000-0000C8340000}"/>
    <cellStyle name="20 % - Markeringsfarve5 11 2" xfId="2649" xr:uid="{00000000-0005-0000-0000-0000C9340000}"/>
    <cellStyle name="20 % - Markeringsfarve5 11 2 2" xfId="7435" xr:uid="{00000000-0005-0000-0000-0000CA340000}"/>
    <cellStyle name="20 % - Markeringsfarve5 11 2 2 2" xfId="15337" xr:uid="{00000000-0005-0000-0000-0000CB340000}"/>
    <cellStyle name="20 % - Markeringsfarve5 11 2 2 2 2" xfId="31652" xr:uid="{00000000-0005-0000-0000-0000CC340000}"/>
    <cellStyle name="20 % - Markeringsfarve5 11 2 2 2 3" xfId="46616" xr:uid="{00000000-0005-0000-0000-0000CD340000}"/>
    <cellStyle name="20 % - Markeringsfarve5 11 2 2 3" xfId="24630" xr:uid="{00000000-0005-0000-0000-0000CE340000}"/>
    <cellStyle name="20 % - Markeringsfarve5 11 2 2 4" xfId="39617" xr:uid="{00000000-0005-0000-0000-0000CF340000}"/>
    <cellStyle name="20 % - Markeringsfarve5 11 2 3" xfId="11209" xr:uid="{00000000-0005-0000-0000-0000D0340000}"/>
    <cellStyle name="20 % - Markeringsfarve5 11 2 3 2" xfId="27529" xr:uid="{00000000-0005-0000-0000-0000D1340000}"/>
    <cellStyle name="20 % - Markeringsfarve5 11 2 3 3" xfId="42495" xr:uid="{00000000-0005-0000-0000-0000D2340000}"/>
    <cellStyle name="20 % - Markeringsfarve5 11 2 4" xfId="20507" xr:uid="{00000000-0005-0000-0000-0000D3340000}"/>
    <cellStyle name="20 % - Markeringsfarve5 11 2 5" xfId="35496" xr:uid="{00000000-0005-0000-0000-0000D4340000}"/>
    <cellStyle name="20 % - Markeringsfarve5 11 3" xfId="5574" xr:uid="{00000000-0005-0000-0000-0000D5340000}"/>
    <cellStyle name="20 % - Markeringsfarve5 11 3 2" xfId="13493" xr:uid="{00000000-0005-0000-0000-0000D6340000}"/>
    <cellStyle name="20 % - Markeringsfarve5 11 3 2 2" xfId="29808" xr:uid="{00000000-0005-0000-0000-0000D7340000}"/>
    <cellStyle name="20 % - Markeringsfarve5 11 3 2 3" xfId="44772" xr:uid="{00000000-0005-0000-0000-0000D8340000}"/>
    <cellStyle name="20 % - Markeringsfarve5 11 3 3" xfId="22786" xr:uid="{00000000-0005-0000-0000-0000D9340000}"/>
    <cellStyle name="20 % - Markeringsfarve5 11 3 4" xfId="37773" xr:uid="{00000000-0005-0000-0000-0000DA340000}"/>
    <cellStyle name="20 % - Markeringsfarve5 11 4" xfId="11208" xr:uid="{00000000-0005-0000-0000-0000DB340000}"/>
    <cellStyle name="20 % - Markeringsfarve5 11 4 2" xfId="27528" xr:uid="{00000000-0005-0000-0000-0000DC340000}"/>
    <cellStyle name="20 % - Markeringsfarve5 11 4 3" xfId="42494" xr:uid="{00000000-0005-0000-0000-0000DD340000}"/>
    <cellStyle name="20 % - Markeringsfarve5 11 5" xfId="20506" xr:uid="{00000000-0005-0000-0000-0000DE340000}"/>
    <cellStyle name="20 % - Markeringsfarve5 11 6" xfId="35495" xr:uid="{00000000-0005-0000-0000-0000DF340000}"/>
    <cellStyle name="20 % - Markeringsfarve5 12" xfId="2650" xr:uid="{00000000-0005-0000-0000-0000E0340000}"/>
    <cellStyle name="20 % - Markeringsfarve5 12 2" xfId="6659" xr:uid="{00000000-0005-0000-0000-0000E1340000}"/>
    <cellStyle name="20 % - Markeringsfarve5 12 2 2" xfId="14573" xr:uid="{00000000-0005-0000-0000-0000E2340000}"/>
    <cellStyle name="20 % - Markeringsfarve5 12 2 2 2" xfId="30888" xr:uid="{00000000-0005-0000-0000-0000E3340000}"/>
    <cellStyle name="20 % - Markeringsfarve5 12 2 2 3" xfId="45852" xr:uid="{00000000-0005-0000-0000-0000E4340000}"/>
    <cellStyle name="20 % - Markeringsfarve5 12 2 3" xfId="23866" xr:uid="{00000000-0005-0000-0000-0000E5340000}"/>
    <cellStyle name="20 % - Markeringsfarve5 12 2 4" xfId="38853" xr:uid="{00000000-0005-0000-0000-0000E6340000}"/>
    <cellStyle name="20 % - Markeringsfarve5 12 3" xfId="11210" xr:uid="{00000000-0005-0000-0000-0000E7340000}"/>
    <cellStyle name="20 % - Markeringsfarve5 12 3 2" xfId="27530" xr:uid="{00000000-0005-0000-0000-0000E8340000}"/>
    <cellStyle name="20 % - Markeringsfarve5 12 3 3" xfId="42496" xr:uid="{00000000-0005-0000-0000-0000E9340000}"/>
    <cellStyle name="20 % - Markeringsfarve5 12 4" xfId="20508" xr:uid="{00000000-0005-0000-0000-0000EA340000}"/>
    <cellStyle name="20 % - Markeringsfarve5 12 5" xfId="35497" xr:uid="{00000000-0005-0000-0000-0000EB340000}"/>
    <cellStyle name="20 % - Markeringsfarve5 13" xfId="5338" xr:uid="{00000000-0005-0000-0000-0000EC340000}"/>
    <cellStyle name="20 % - Markeringsfarve5 13 2" xfId="13260" xr:uid="{00000000-0005-0000-0000-0000ED340000}"/>
    <cellStyle name="20 % - Markeringsfarve5 13 2 2" xfId="29575" xr:uid="{00000000-0005-0000-0000-0000EE340000}"/>
    <cellStyle name="20 % - Markeringsfarve5 13 2 3" xfId="44539" xr:uid="{00000000-0005-0000-0000-0000EF340000}"/>
    <cellStyle name="20 % - Markeringsfarve5 13 3" xfId="22553" xr:uid="{00000000-0005-0000-0000-0000F0340000}"/>
    <cellStyle name="20 % - Markeringsfarve5 13 4" xfId="37540" xr:uid="{00000000-0005-0000-0000-0000F1340000}"/>
    <cellStyle name="20 % - Markeringsfarve5 2" xfId="2651" xr:uid="{00000000-0005-0000-0000-0000F2340000}"/>
    <cellStyle name="20 % - Markeringsfarve5 2 10" xfId="2652" xr:uid="{00000000-0005-0000-0000-0000F3340000}"/>
    <cellStyle name="20 % - Markeringsfarve5 2 10 2" xfId="6689" xr:uid="{00000000-0005-0000-0000-0000F4340000}"/>
    <cellStyle name="20 % - Markeringsfarve5 2 10 2 2" xfId="14601" xr:uid="{00000000-0005-0000-0000-0000F5340000}"/>
    <cellStyle name="20 % - Markeringsfarve5 2 10 2 2 2" xfId="30916" xr:uid="{00000000-0005-0000-0000-0000F6340000}"/>
    <cellStyle name="20 % - Markeringsfarve5 2 10 2 2 3" xfId="45880" xr:uid="{00000000-0005-0000-0000-0000F7340000}"/>
    <cellStyle name="20 % - Markeringsfarve5 2 10 2 3" xfId="23894" xr:uid="{00000000-0005-0000-0000-0000F8340000}"/>
    <cellStyle name="20 % - Markeringsfarve5 2 10 2 4" xfId="38881" xr:uid="{00000000-0005-0000-0000-0000F9340000}"/>
    <cellStyle name="20 % - Markeringsfarve5 2 10 3" xfId="11212" xr:uid="{00000000-0005-0000-0000-0000FA340000}"/>
    <cellStyle name="20 % - Markeringsfarve5 2 10 3 2" xfId="27532" xr:uid="{00000000-0005-0000-0000-0000FB340000}"/>
    <cellStyle name="20 % - Markeringsfarve5 2 10 3 3" xfId="42498" xr:uid="{00000000-0005-0000-0000-0000FC340000}"/>
    <cellStyle name="20 % - Markeringsfarve5 2 10 4" xfId="20510" xr:uid="{00000000-0005-0000-0000-0000FD340000}"/>
    <cellStyle name="20 % - Markeringsfarve5 2 10 5" xfId="35499" xr:uid="{00000000-0005-0000-0000-0000FE340000}"/>
    <cellStyle name="20 % - Markeringsfarve5 2 11" xfId="5575" xr:uid="{00000000-0005-0000-0000-0000FF340000}"/>
    <cellStyle name="20 % - Markeringsfarve5 2 11 2" xfId="13494" xr:uid="{00000000-0005-0000-0000-000000350000}"/>
    <cellStyle name="20 % - Markeringsfarve5 2 11 2 2" xfId="29809" xr:uid="{00000000-0005-0000-0000-000001350000}"/>
    <cellStyle name="20 % - Markeringsfarve5 2 11 2 3" xfId="44773" xr:uid="{00000000-0005-0000-0000-000002350000}"/>
    <cellStyle name="20 % - Markeringsfarve5 2 11 3" xfId="22787" xr:uid="{00000000-0005-0000-0000-000003350000}"/>
    <cellStyle name="20 % - Markeringsfarve5 2 11 4" xfId="37774" xr:uid="{00000000-0005-0000-0000-000004350000}"/>
    <cellStyle name="20 % - Markeringsfarve5 2 12" xfId="11211" xr:uid="{00000000-0005-0000-0000-000005350000}"/>
    <cellStyle name="20 % - Markeringsfarve5 2 12 2" xfId="27531" xr:uid="{00000000-0005-0000-0000-000006350000}"/>
    <cellStyle name="20 % - Markeringsfarve5 2 12 3" xfId="42497" xr:uid="{00000000-0005-0000-0000-000007350000}"/>
    <cellStyle name="20 % - Markeringsfarve5 2 13" xfId="20509" xr:uid="{00000000-0005-0000-0000-000008350000}"/>
    <cellStyle name="20 % - Markeringsfarve5 2 14" xfId="35498" xr:uid="{00000000-0005-0000-0000-000009350000}"/>
    <cellStyle name="20 % - Markeringsfarve5 2 15" xfId="53296" xr:uid="{00000000-0005-0000-0000-00000A350000}"/>
    <cellStyle name="20 % - Markeringsfarve5 2 2" xfId="2653" xr:uid="{00000000-0005-0000-0000-00000B350000}"/>
    <cellStyle name="20 % - Markeringsfarve5 2 2 10" xfId="11213" xr:uid="{00000000-0005-0000-0000-00000C350000}"/>
    <cellStyle name="20 % - Markeringsfarve5 2 2 10 2" xfId="27533" xr:uid="{00000000-0005-0000-0000-00000D350000}"/>
    <cellStyle name="20 % - Markeringsfarve5 2 2 10 3" xfId="42499" xr:uid="{00000000-0005-0000-0000-00000E350000}"/>
    <cellStyle name="20 % - Markeringsfarve5 2 2 11" xfId="20511" xr:uid="{00000000-0005-0000-0000-00000F350000}"/>
    <cellStyle name="20 % - Markeringsfarve5 2 2 12" xfId="35500" xr:uid="{00000000-0005-0000-0000-000010350000}"/>
    <cellStyle name="20 % - Markeringsfarve5 2 2 13" xfId="53295" xr:uid="{00000000-0005-0000-0000-000011350000}"/>
    <cellStyle name="20 % - Markeringsfarve5 2 2 2" xfId="2654" xr:uid="{00000000-0005-0000-0000-000012350000}"/>
    <cellStyle name="20 % - Markeringsfarve5 2 2 2 2" xfId="2655" xr:uid="{00000000-0005-0000-0000-000013350000}"/>
    <cellStyle name="20 % - Markeringsfarve5 2 2 2 2 2" xfId="7620" xr:uid="{00000000-0005-0000-0000-000014350000}"/>
    <cellStyle name="20 % - Markeringsfarve5 2 2 2 2 2 2" xfId="15522" xr:uid="{00000000-0005-0000-0000-000015350000}"/>
    <cellStyle name="20 % - Markeringsfarve5 2 2 2 2 2 2 2" xfId="31837" xr:uid="{00000000-0005-0000-0000-000016350000}"/>
    <cellStyle name="20 % - Markeringsfarve5 2 2 2 2 2 2 3" xfId="46801" xr:uid="{00000000-0005-0000-0000-000017350000}"/>
    <cellStyle name="20 % - Markeringsfarve5 2 2 2 2 2 3" xfId="24815" xr:uid="{00000000-0005-0000-0000-000018350000}"/>
    <cellStyle name="20 % - Markeringsfarve5 2 2 2 2 2 4" xfId="39802" xr:uid="{00000000-0005-0000-0000-000019350000}"/>
    <cellStyle name="20 % - Markeringsfarve5 2 2 2 2 3" xfId="11215" xr:uid="{00000000-0005-0000-0000-00001A350000}"/>
    <cellStyle name="20 % - Markeringsfarve5 2 2 2 2 3 2" xfId="27535" xr:uid="{00000000-0005-0000-0000-00001B350000}"/>
    <cellStyle name="20 % - Markeringsfarve5 2 2 2 2 3 3" xfId="42501" xr:uid="{00000000-0005-0000-0000-00001C350000}"/>
    <cellStyle name="20 % - Markeringsfarve5 2 2 2 2 4" xfId="20513" xr:uid="{00000000-0005-0000-0000-00001D350000}"/>
    <cellStyle name="20 % - Markeringsfarve5 2 2 2 2 5" xfId="35502" xr:uid="{00000000-0005-0000-0000-00001E350000}"/>
    <cellStyle name="20 % - Markeringsfarve5 2 2 2 2 6" xfId="57099" xr:uid="{00000000-0005-0000-0000-00001F350000}"/>
    <cellStyle name="20 % - Markeringsfarve5 2 2 2 3" xfId="2656" xr:uid="{00000000-0005-0000-0000-000020350000}"/>
    <cellStyle name="20 % - Markeringsfarve5 2 2 2 3 2" xfId="6850" xr:uid="{00000000-0005-0000-0000-000021350000}"/>
    <cellStyle name="20 % - Markeringsfarve5 2 2 2 3 2 2" xfId="14762" xr:uid="{00000000-0005-0000-0000-000022350000}"/>
    <cellStyle name="20 % - Markeringsfarve5 2 2 2 3 2 2 2" xfId="31077" xr:uid="{00000000-0005-0000-0000-000023350000}"/>
    <cellStyle name="20 % - Markeringsfarve5 2 2 2 3 2 2 3" xfId="46041" xr:uid="{00000000-0005-0000-0000-000024350000}"/>
    <cellStyle name="20 % - Markeringsfarve5 2 2 2 3 2 3" xfId="24055" xr:uid="{00000000-0005-0000-0000-000025350000}"/>
    <cellStyle name="20 % - Markeringsfarve5 2 2 2 3 2 4" xfId="39042" xr:uid="{00000000-0005-0000-0000-000026350000}"/>
    <cellStyle name="20 % - Markeringsfarve5 2 2 2 3 3" xfId="11216" xr:uid="{00000000-0005-0000-0000-000027350000}"/>
    <cellStyle name="20 % - Markeringsfarve5 2 2 2 3 3 2" xfId="27536" xr:uid="{00000000-0005-0000-0000-000028350000}"/>
    <cellStyle name="20 % - Markeringsfarve5 2 2 2 3 3 3" xfId="42502" xr:uid="{00000000-0005-0000-0000-000029350000}"/>
    <cellStyle name="20 % - Markeringsfarve5 2 2 2 3 4" xfId="20514" xr:uid="{00000000-0005-0000-0000-00002A350000}"/>
    <cellStyle name="20 % - Markeringsfarve5 2 2 2 3 5" xfId="35503" xr:uid="{00000000-0005-0000-0000-00002B350000}"/>
    <cellStyle name="20 % - Markeringsfarve5 2 2 2 4" xfId="5577" xr:uid="{00000000-0005-0000-0000-00002C350000}"/>
    <cellStyle name="20 % - Markeringsfarve5 2 2 2 4 2" xfId="13496" xr:uid="{00000000-0005-0000-0000-00002D350000}"/>
    <cellStyle name="20 % - Markeringsfarve5 2 2 2 4 2 2" xfId="29811" xr:uid="{00000000-0005-0000-0000-00002E350000}"/>
    <cellStyle name="20 % - Markeringsfarve5 2 2 2 4 2 3" xfId="44775" xr:uid="{00000000-0005-0000-0000-00002F350000}"/>
    <cellStyle name="20 % - Markeringsfarve5 2 2 2 4 3" xfId="22789" xr:uid="{00000000-0005-0000-0000-000030350000}"/>
    <cellStyle name="20 % - Markeringsfarve5 2 2 2 4 4" xfId="37776" xr:uid="{00000000-0005-0000-0000-000031350000}"/>
    <cellStyle name="20 % - Markeringsfarve5 2 2 2 5" xfId="11214" xr:uid="{00000000-0005-0000-0000-000032350000}"/>
    <cellStyle name="20 % - Markeringsfarve5 2 2 2 5 2" xfId="27534" xr:uid="{00000000-0005-0000-0000-000033350000}"/>
    <cellStyle name="20 % - Markeringsfarve5 2 2 2 5 3" xfId="42500" xr:uid="{00000000-0005-0000-0000-000034350000}"/>
    <cellStyle name="20 % - Markeringsfarve5 2 2 2 6" xfId="20512" xr:uid="{00000000-0005-0000-0000-000035350000}"/>
    <cellStyle name="20 % - Markeringsfarve5 2 2 2 7" xfId="35501" xr:uid="{00000000-0005-0000-0000-000036350000}"/>
    <cellStyle name="20 % - Markeringsfarve5 2 2 2 8" xfId="53932" xr:uid="{00000000-0005-0000-0000-000037350000}"/>
    <cellStyle name="20 % - Markeringsfarve5 2 2 3" xfId="2657" xr:uid="{00000000-0005-0000-0000-000038350000}"/>
    <cellStyle name="20 % - Markeringsfarve5 2 2 3 2" xfId="2658" xr:uid="{00000000-0005-0000-0000-000039350000}"/>
    <cellStyle name="20 % - Markeringsfarve5 2 2 3 2 2" xfId="7703" xr:uid="{00000000-0005-0000-0000-00003A350000}"/>
    <cellStyle name="20 % - Markeringsfarve5 2 2 3 2 2 2" xfId="15605" xr:uid="{00000000-0005-0000-0000-00003B350000}"/>
    <cellStyle name="20 % - Markeringsfarve5 2 2 3 2 2 2 2" xfId="31920" xr:uid="{00000000-0005-0000-0000-00003C350000}"/>
    <cellStyle name="20 % - Markeringsfarve5 2 2 3 2 2 2 3" xfId="46884" xr:uid="{00000000-0005-0000-0000-00003D350000}"/>
    <cellStyle name="20 % - Markeringsfarve5 2 2 3 2 2 3" xfId="24898" xr:uid="{00000000-0005-0000-0000-00003E350000}"/>
    <cellStyle name="20 % - Markeringsfarve5 2 2 3 2 2 4" xfId="39885" xr:uid="{00000000-0005-0000-0000-00003F350000}"/>
    <cellStyle name="20 % - Markeringsfarve5 2 2 3 2 3" xfId="11218" xr:uid="{00000000-0005-0000-0000-000040350000}"/>
    <cellStyle name="20 % - Markeringsfarve5 2 2 3 2 3 2" xfId="27538" xr:uid="{00000000-0005-0000-0000-000041350000}"/>
    <cellStyle name="20 % - Markeringsfarve5 2 2 3 2 3 3" xfId="42504" xr:uid="{00000000-0005-0000-0000-000042350000}"/>
    <cellStyle name="20 % - Markeringsfarve5 2 2 3 2 4" xfId="20516" xr:uid="{00000000-0005-0000-0000-000043350000}"/>
    <cellStyle name="20 % - Markeringsfarve5 2 2 3 2 5" xfId="35505" xr:uid="{00000000-0005-0000-0000-000044350000}"/>
    <cellStyle name="20 % - Markeringsfarve5 2 2 3 3" xfId="2659" xr:uid="{00000000-0005-0000-0000-000045350000}"/>
    <cellStyle name="20 % - Markeringsfarve5 2 2 3 3 2" xfId="6933" xr:uid="{00000000-0005-0000-0000-000046350000}"/>
    <cellStyle name="20 % - Markeringsfarve5 2 2 3 3 2 2" xfId="14845" xr:uid="{00000000-0005-0000-0000-000047350000}"/>
    <cellStyle name="20 % - Markeringsfarve5 2 2 3 3 2 2 2" xfId="31160" xr:uid="{00000000-0005-0000-0000-000048350000}"/>
    <cellStyle name="20 % - Markeringsfarve5 2 2 3 3 2 2 3" xfId="46124" xr:uid="{00000000-0005-0000-0000-000049350000}"/>
    <cellStyle name="20 % - Markeringsfarve5 2 2 3 3 2 3" xfId="24138" xr:uid="{00000000-0005-0000-0000-00004A350000}"/>
    <cellStyle name="20 % - Markeringsfarve5 2 2 3 3 2 4" xfId="39125" xr:uid="{00000000-0005-0000-0000-00004B350000}"/>
    <cellStyle name="20 % - Markeringsfarve5 2 2 3 3 3" xfId="11219" xr:uid="{00000000-0005-0000-0000-00004C350000}"/>
    <cellStyle name="20 % - Markeringsfarve5 2 2 3 3 3 2" xfId="27539" xr:uid="{00000000-0005-0000-0000-00004D350000}"/>
    <cellStyle name="20 % - Markeringsfarve5 2 2 3 3 3 3" xfId="42505" xr:uid="{00000000-0005-0000-0000-00004E350000}"/>
    <cellStyle name="20 % - Markeringsfarve5 2 2 3 3 4" xfId="20517" xr:uid="{00000000-0005-0000-0000-00004F350000}"/>
    <cellStyle name="20 % - Markeringsfarve5 2 2 3 3 5" xfId="35506" xr:uid="{00000000-0005-0000-0000-000050350000}"/>
    <cellStyle name="20 % - Markeringsfarve5 2 2 3 4" xfId="5578" xr:uid="{00000000-0005-0000-0000-000051350000}"/>
    <cellStyle name="20 % - Markeringsfarve5 2 2 3 4 2" xfId="13497" xr:uid="{00000000-0005-0000-0000-000052350000}"/>
    <cellStyle name="20 % - Markeringsfarve5 2 2 3 4 2 2" xfId="29812" xr:uid="{00000000-0005-0000-0000-000053350000}"/>
    <cellStyle name="20 % - Markeringsfarve5 2 2 3 4 2 3" xfId="44776" xr:uid="{00000000-0005-0000-0000-000054350000}"/>
    <cellStyle name="20 % - Markeringsfarve5 2 2 3 4 3" xfId="22790" xr:uid="{00000000-0005-0000-0000-000055350000}"/>
    <cellStyle name="20 % - Markeringsfarve5 2 2 3 4 4" xfId="37777" xr:uid="{00000000-0005-0000-0000-000056350000}"/>
    <cellStyle name="20 % - Markeringsfarve5 2 2 3 5" xfId="11217" xr:uid="{00000000-0005-0000-0000-000057350000}"/>
    <cellStyle name="20 % - Markeringsfarve5 2 2 3 5 2" xfId="27537" xr:uid="{00000000-0005-0000-0000-000058350000}"/>
    <cellStyle name="20 % - Markeringsfarve5 2 2 3 5 3" xfId="42503" xr:uid="{00000000-0005-0000-0000-000059350000}"/>
    <cellStyle name="20 % - Markeringsfarve5 2 2 3 6" xfId="20515" xr:uid="{00000000-0005-0000-0000-00005A350000}"/>
    <cellStyle name="20 % - Markeringsfarve5 2 2 3 7" xfId="35504" xr:uid="{00000000-0005-0000-0000-00005B350000}"/>
    <cellStyle name="20 % - Markeringsfarve5 2 2 3 8" xfId="56476" xr:uid="{00000000-0005-0000-0000-00005C350000}"/>
    <cellStyle name="20 % - Markeringsfarve5 2 2 4" xfId="2660" xr:uid="{00000000-0005-0000-0000-00005D350000}"/>
    <cellStyle name="20 % - Markeringsfarve5 2 2 4 2" xfId="2661" xr:uid="{00000000-0005-0000-0000-00005E350000}"/>
    <cellStyle name="20 % - Markeringsfarve5 2 2 4 2 2" xfId="7858" xr:uid="{00000000-0005-0000-0000-00005F350000}"/>
    <cellStyle name="20 % - Markeringsfarve5 2 2 4 2 2 2" xfId="15760" xr:uid="{00000000-0005-0000-0000-000060350000}"/>
    <cellStyle name="20 % - Markeringsfarve5 2 2 4 2 2 2 2" xfId="32075" xr:uid="{00000000-0005-0000-0000-000061350000}"/>
    <cellStyle name="20 % - Markeringsfarve5 2 2 4 2 2 2 3" xfId="47039" xr:uid="{00000000-0005-0000-0000-000062350000}"/>
    <cellStyle name="20 % - Markeringsfarve5 2 2 4 2 2 3" xfId="25053" xr:uid="{00000000-0005-0000-0000-000063350000}"/>
    <cellStyle name="20 % - Markeringsfarve5 2 2 4 2 2 4" xfId="40040" xr:uid="{00000000-0005-0000-0000-000064350000}"/>
    <cellStyle name="20 % - Markeringsfarve5 2 2 4 2 3" xfId="11221" xr:uid="{00000000-0005-0000-0000-000065350000}"/>
    <cellStyle name="20 % - Markeringsfarve5 2 2 4 2 3 2" xfId="27541" xr:uid="{00000000-0005-0000-0000-000066350000}"/>
    <cellStyle name="20 % - Markeringsfarve5 2 2 4 2 3 3" xfId="42507" xr:uid="{00000000-0005-0000-0000-000067350000}"/>
    <cellStyle name="20 % - Markeringsfarve5 2 2 4 2 4" xfId="20519" xr:uid="{00000000-0005-0000-0000-000068350000}"/>
    <cellStyle name="20 % - Markeringsfarve5 2 2 4 2 5" xfId="35508" xr:uid="{00000000-0005-0000-0000-000069350000}"/>
    <cellStyle name="20 % - Markeringsfarve5 2 2 4 3" xfId="2662" xr:uid="{00000000-0005-0000-0000-00006A350000}"/>
    <cellStyle name="20 % - Markeringsfarve5 2 2 4 3 2" xfId="7134" xr:uid="{00000000-0005-0000-0000-00006B350000}"/>
    <cellStyle name="20 % - Markeringsfarve5 2 2 4 3 2 2" xfId="15045" xr:uid="{00000000-0005-0000-0000-00006C350000}"/>
    <cellStyle name="20 % - Markeringsfarve5 2 2 4 3 2 2 2" xfId="31360" xr:uid="{00000000-0005-0000-0000-00006D350000}"/>
    <cellStyle name="20 % - Markeringsfarve5 2 2 4 3 2 2 3" xfId="46324" xr:uid="{00000000-0005-0000-0000-00006E350000}"/>
    <cellStyle name="20 % - Markeringsfarve5 2 2 4 3 2 3" xfId="24338" xr:uid="{00000000-0005-0000-0000-00006F350000}"/>
    <cellStyle name="20 % - Markeringsfarve5 2 2 4 3 2 4" xfId="39325" xr:uid="{00000000-0005-0000-0000-000070350000}"/>
    <cellStyle name="20 % - Markeringsfarve5 2 2 4 3 3" xfId="11222" xr:uid="{00000000-0005-0000-0000-000071350000}"/>
    <cellStyle name="20 % - Markeringsfarve5 2 2 4 3 3 2" xfId="27542" xr:uid="{00000000-0005-0000-0000-000072350000}"/>
    <cellStyle name="20 % - Markeringsfarve5 2 2 4 3 3 3" xfId="42508" xr:uid="{00000000-0005-0000-0000-000073350000}"/>
    <cellStyle name="20 % - Markeringsfarve5 2 2 4 3 4" xfId="20520" xr:uid="{00000000-0005-0000-0000-000074350000}"/>
    <cellStyle name="20 % - Markeringsfarve5 2 2 4 3 5" xfId="35509" xr:uid="{00000000-0005-0000-0000-000075350000}"/>
    <cellStyle name="20 % - Markeringsfarve5 2 2 4 4" xfId="5579" xr:uid="{00000000-0005-0000-0000-000076350000}"/>
    <cellStyle name="20 % - Markeringsfarve5 2 2 4 4 2" xfId="13498" xr:uid="{00000000-0005-0000-0000-000077350000}"/>
    <cellStyle name="20 % - Markeringsfarve5 2 2 4 4 2 2" xfId="29813" xr:uid="{00000000-0005-0000-0000-000078350000}"/>
    <cellStyle name="20 % - Markeringsfarve5 2 2 4 4 2 3" xfId="44777" xr:uid="{00000000-0005-0000-0000-000079350000}"/>
    <cellStyle name="20 % - Markeringsfarve5 2 2 4 4 3" xfId="22791" xr:uid="{00000000-0005-0000-0000-00007A350000}"/>
    <cellStyle name="20 % - Markeringsfarve5 2 2 4 4 4" xfId="37778" xr:uid="{00000000-0005-0000-0000-00007B350000}"/>
    <cellStyle name="20 % - Markeringsfarve5 2 2 4 5" xfId="11220" xr:uid="{00000000-0005-0000-0000-00007C350000}"/>
    <cellStyle name="20 % - Markeringsfarve5 2 2 4 5 2" xfId="27540" xr:uid="{00000000-0005-0000-0000-00007D350000}"/>
    <cellStyle name="20 % - Markeringsfarve5 2 2 4 5 3" xfId="42506" xr:uid="{00000000-0005-0000-0000-00007E350000}"/>
    <cellStyle name="20 % - Markeringsfarve5 2 2 4 6" xfId="20518" xr:uid="{00000000-0005-0000-0000-00007F350000}"/>
    <cellStyle name="20 % - Markeringsfarve5 2 2 4 7" xfId="35507" xr:uid="{00000000-0005-0000-0000-000080350000}"/>
    <cellStyle name="20 % - Markeringsfarve5 2 2 5" xfId="2663" xr:uid="{00000000-0005-0000-0000-000081350000}"/>
    <cellStyle name="20 % - Markeringsfarve5 2 2 5 2" xfId="2664" xr:uid="{00000000-0005-0000-0000-000082350000}"/>
    <cellStyle name="20 % - Markeringsfarve5 2 2 5 2 2" xfId="7975" xr:uid="{00000000-0005-0000-0000-000083350000}"/>
    <cellStyle name="20 % - Markeringsfarve5 2 2 5 2 2 2" xfId="15877" xr:uid="{00000000-0005-0000-0000-000084350000}"/>
    <cellStyle name="20 % - Markeringsfarve5 2 2 5 2 2 2 2" xfId="32192" xr:uid="{00000000-0005-0000-0000-000085350000}"/>
    <cellStyle name="20 % - Markeringsfarve5 2 2 5 2 2 2 3" xfId="47156" xr:uid="{00000000-0005-0000-0000-000086350000}"/>
    <cellStyle name="20 % - Markeringsfarve5 2 2 5 2 2 3" xfId="25170" xr:uid="{00000000-0005-0000-0000-000087350000}"/>
    <cellStyle name="20 % - Markeringsfarve5 2 2 5 2 2 4" xfId="40157" xr:uid="{00000000-0005-0000-0000-000088350000}"/>
    <cellStyle name="20 % - Markeringsfarve5 2 2 5 2 3" xfId="11224" xr:uid="{00000000-0005-0000-0000-000089350000}"/>
    <cellStyle name="20 % - Markeringsfarve5 2 2 5 2 3 2" xfId="27544" xr:uid="{00000000-0005-0000-0000-00008A350000}"/>
    <cellStyle name="20 % - Markeringsfarve5 2 2 5 2 3 3" xfId="42510" xr:uid="{00000000-0005-0000-0000-00008B350000}"/>
    <cellStyle name="20 % - Markeringsfarve5 2 2 5 2 4" xfId="20522" xr:uid="{00000000-0005-0000-0000-00008C350000}"/>
    <cellStyle name="20 % - Markeringsfarve5 2 2 5 2 5" xfId="35511" xr:uid="{00000000-0005-0000-0000-00008D350000}"/>
    <cellStyle name="20 % - Markeringsfarve5 2 2 5 3" xfId="2665" xr:uid="{00000000-0005-0000-0000-00008E350000}"/>
    <cellStyle name="20 % - Markeringsfarve5 2 2 5 3 2" xfId="7251" xr:uid="{00000000-0005-0000-0000-00008F350000}"/>
    <cellStyle name="20 % - Markeringsfarve5 2 2 5 3 2 2" xfId="15162" xr:uid="{00000000-0005-0000-0000-000090350000}"/>
    <cellStyle name="20 % - Markeringsfarve5 2 2 5 3 2 2 2" xfId="31477" xr:uid="{00000000-0005-0000-0000-000091350000}"/>
    <cellStyle name="20 % - Markeringsfarve5 2 2 5 3 2 2 3" xfId="46441" xr:uid="{00000000-0005-0000-0000-000092350000}"/>
    <cellStyle name="20 % - Markeringsfarve5 2 2 5 3 2 3" xfId="24455" xr:uid="{00000000-0005-0000-0000-000093350000}"/>
    <cellStyle name="20 % - Markeringsfarve5 2 2 5 3 2 4" xfId="39442" xr:uid="{00000000-0005-0000-0000-000094350000}"/>
    <cellStyle name="20 % - Markeringsfarve5 2 2 5 3 3" xfId="11225" xr:uid="{00000000-0005-0000-0000-000095350000}"/>
    <cellStyle name="20 % - Markeringsfarve5 2 2 5 3 3 2" xfId="27545" xr:uid="{00000000-0005-0000-0000-000096350000}"/>
    <cellStyle name="20 % - Markeringsfarve5 2 2 5 3 3 3" xfId="42511" xr:uid="{00000000-0005-0000-0000-000097350000}"/>
    <cellStyle name="20 % - Markeringsfarve5 2 2 5 3 4" xfId="20523" xr:uid="{00000000-0005-0000-0000-000098350000}"/>
    <cellStyle name="20 % - Markeringsfarve5 2 2 5 3 5" xfId="35512" xr:uid="{00000000-0005-0000-0000-000099350000}"/>
    <cellStyle name="20 % - Markeringsfarve5 2 2 5 4" xfId="5580" xr:uid="{00000000-0005-0000-0000-00009A350000}"/>
    <cellStyle name="20 % - Markeringsfarve5 2 2 5 4 2" xfId="13499" xr:uid="{00000000-0005-0000-0000-00009B350000}"/>
    <cellStyle name="20 % - Markeringsfarve5 2 2 5 4 2 2" xfId="29814" xr:uid="{00000000-0005-0000-0000-00009C350000}"/>
    <cellStyle name="20 % - Markeringsfarve5 2 2 5 4 2 3" xfId="44778" xr:uid="{00000000-0005-0000-0000-00009D350000}"/>
    <cellStyle name="20 % - Markeringsfarve5 2 2 5 4 3" xfId="22792" xr:uid="{00000000-0005-0000-0000-00009E350000}"/>
    <cellStyle name="20 % - Markeringsfarve5 2 2 5 4 4" xfId="37779" xr:uid="{00000000-0005-0000-0000-00009F350000}"/>
    <cellStyle name="20 % - Markeringsfarve5 2 2 5 5" xfId="11223" xr:uid="{00000000-0005-0000-0000-0000A0350000}"/>
    <cellStyle name="20 % - Markeringsfarve5 2 2 5 5 2" xfId="27543" xr:uid="{00000000-0005-0000-0000-0000A1350000}"/>
    <cellStyle name="20 % - Markeringsfarve5 2 2 5 5 3" xfId="42509" xr:uid="{00000000-0005-0000-0000-0000A2350000}"/>
    <cellStyle name="20 % - Markeringsfarve5 2 2 5 6" xfId="20521" xr:uid="{00000000-0005-0000-0000-0000A3350000}"/>
    <cellStyle name="20 % - Markeringsfarve5 2 2 5 7" xfId="35510" xr:uid="{00000000-0005-0000-0000-0000A4350000}"/>
    <cellStyle name="20 % - Markeringsfarve5 2 2 6" xfId="2666" xr:uid="{00000000-0005-0000-0000-0000A5350000}"/>
    <cellStyle name="20 % - Markeringsfarve5 2 2 6 2" xfId="2667" xr:uid="{00000000-0005-0000-0000-0000A6350000}"/>
    <cellStyle name="20 % - Markeringsfarve5 2 2 6 2 2" xfId="8057" xr:uid="{00000000-0005-0000-0000-0000A7350000}"/>
    <cellStyle name="20 % - Markeringsfarve5 2 2 6 2 2 2" xfId="15959" xr:uid="{00000000-0005-0000-0000-0000A8350000}"/>
    <cellStyle name="20 % - Markeringsfarve5 2 2 6 2 2 2 2" xfId="32274" xr:uid="{00000000-0005-0000-0000-0000A9350000}"/>
    <cellStyle name="20 % - Markeringsfarve5 2 2 6 2 2 2 3" xfId="47238" xr:uid="{00000000-0005-0000-0000-0000AA350000}"/>
    <cellStyle name="20 % - Markeringsfarve5 2 2 6 2 2 3" xfId="25252" xr:uid="{00000000-0005-0000-0000-0000AB350000}"/>
    <cellStyle name="20 % - Markeringsfarve5 2 2 6 2 2 4" xfId="40239" xr:uid="{00000000-0005-0000-0000-0000AC350000}"/>
    <cellStyle name="20 % - Markeringsfarve5 2 2 6 2 3" xfId="11227" xr:uid="{00000000-0005-0000-0000-0000AD350000}"/>
    <cellStyle name="20 % - Markeringsfarve5 2 2 6 2 3 2" xfId="27547" xr:uid="{00000000-0005-0000-0000-0000AE350000}"/>
    <cellStyle name="20 % - Markeringsfarve5 2 2 6 2 3 3" xfId="42513" xr:uid="{00000000-0005-0000-0000-0000AF350000}"/>
    <cellStyle name="20 % - Markeringsfarve5 2 2 6 2 4" xfId="20525" xr:uid="{00000000-0005-0000-0000-0000B0350000}"/>
    <cellStyle name="20 % - Markeringsfarve5 2 2 6 2 5" xfId="35514" xr:uid="{00000000-0005-0000-0000-0000B1350000}"/>
    <cellStyle name="20 % - Markeringsfarve5 2 2 6 3" xfId="2668" xr:uid="{00000000-0005-0000-0000-0000B2350000}"/>
    <cellStyle name="20 % - Markeringsfarve5 2 2 6 3 2" xfId="7334" xr:uid="{00000000-0005-0000-0000-0000B3350000}"/>
    <cellStyle name="20 % - Markeringsfarve5 2 2 6 3 2 2" xfId="15245" xr:uid="{00000000-0005-0000-0000-0000B4350000}"/>
    <cellStyle name="20 % - Markeringsfarve5 2 2 6 3 2 2 2" xfId="31560" xr:uid="{00000000-0005-0000-0000-0000B5350000}"/>
    <cellStyle name="20 % - Markeringsfarve5 2 2 6 3 2 2 3" xfId="46524" xr:uid="{00000000-0005-0000-0000-0000B6350000}"/>
    <cellStyle name="20 % - Markeringsfarve5 2 2 6 3 2 3" xfId="24538" xr:uid="{00000000-0005-0000-0000-0000B7350000}"/>
    <cellStyle name="20 % - Markeringsfarve5 2 2 6 3 2 4" xfId="39525" xr:uid="{00000000-0005-0000-0000-0000B8350000}"/>
    <cellStyle name="20 % - Markeringsfarve5 2 2 6 3 3" xfId="11228" xr:uid="{00000000-0005-0000-0000-0000B9350000}"/>
    <cellStyle name="20 % - Markeringsfarve5 2 2 6 3 3 2" xfId="27548" xr:uid="{00000000-0005-0000-0000-0000BA350000}"/>
    <cellStyle name="20 % - Markeringsfarve5 2 2 6 3 3 3" xfId="42514" xr:uid="{00000000-0005-0000-0000-0000BB350000}"/>
    <cellStyle name="20 % - Markeringsfarve5 2 2 6 3 4" xfId="20526" xr:uid="{00000000-0005-0000-0000-0000BC350000}"/>
    <cellStyle name="20 % - Markeringsfarve5 2 2 6 3 5" xfId="35515" xr:uid="{00000000-0005-0000-0000-0000BD350000}"/>
    <cellStyle name="20 % - Markeringsfarve5 2 2 6 4" xfId="5581" xr:uid="{00000000-0005-0000-0000-0000BE350000}"/>
    <cellStyle name="20 % - Markeringsfarve5 2 2 6 4 2" xfId="13500" xr:uid="{00000000-0005-0000-0000-0000BF350000}"/>
    <cellStyle name="20 % - Markeringsfarve5 2 2 6 4 2 2" xfId="29815" xr:uid="{00000000-0005-0000-0000-0000C0350000}"/>
    <cellStyle name="20 % - Markeringsfarve5 2 2 6 4 2 3" xfId="44779" xr:uid="{00000000-0005-0000-0000-0000C1350000}"/>
    <cellStyle name="20 % - Markeringsfarve5 2 2 6 4 3" xfId="22793" xr:uid="{00000000-0005-0000-0000-0000C2350000}"/>
    <cellStyle name="20 % - Markeringsfarve5 2 2 6 4 4" xfId="37780" xr:uid="{00000000-0005-0000-0000-0000C3350000}"/>
    <cellStyle name="20 % - Markeringsfarve5 2 2 6 5" xfId="11226" xr:uid="{00000000-0005-0000-0000-0000C4350000}"/>
    <cellStyle name="20 % - Markeringsfarve5 2 2 6 5 2" xfId="27546" xr:uid="{00000000-0005-0000-0000-0000C5350000}"/>
    <cellStyle name="20 % - Markeringsfarve5 2 2 6 5 3" xfId="42512" xr:uid="{00000000-0005-0000-0000-0000C6350000}"/>
    <cellStyle name="20 % - Markeringsfarve5 2 2 6 6" xfId="20524" xr:uid="{00000000-0005-0000-0000-0000C7350000}"/>
    <cellStyle name="20 % - Markeringsfarve5 2 2 6 7" xfId="35513" xr:uid="{00000000-0005-0000-0000-0000C8350000}"/>
    <cellStyle name="20 % - Markeringsfarve5 2 2 7" xfId="2669" xr:uid="{00000000-0005-0000-0000-0000C9350000}"/>
    <cellStyle name="20 % - Markeringsfarve5 2 2 7 2" xfId="7501" xr:uid="{00000000-0005-0000-0000-0000CA350000}"/>
    <cellStyle name="20 % - Markeringsfarve5 2 2 7 2 2" xfId="15403" xr:uid="{00000000-0005-0000-0000-0000CB350000}"/>
    <cellStyle name="20 % - Markeringsfarve5 2 2 7 2 2 2" xfId="31718" xr:uid="{00000000-0005-0000-0000-0000CC350000}"/>
    <cellStyle name="20 % - Markeringsfarve5 2 2 7 2 2 3" xfId="46682" xr:uid="{00000000-0005-0000-0000-0000CD350000}"/>
    <cellStyle name="20 % - Markeringsfarve5 2 2 7 2 3" xfId="24696" xr:uid="{00000000-0005-0000-0000-0000CE350000}"/>
    <cellStyle name="20 % - Markeringsfarve5 2 2 7 2 4" xfId="39683" xr:uid="{00000000-0005-0000-0000-0000CF350000}"/>
    <cellStyle name="20 % - Markeringsfarve5 2 2 7 3" xfId="11229" xr:uid="{00000000-0005-0000-0000-0000D0350000}"/>
    <cellStyle name="20 % - Markeringsfarve5 2 2 7 3 2" xfId="27549" xr:uid="{00000000-0005-0000-0000-0000D1350000}"/>
    <cellStyle name="20 % - Markeringsfarve5 2 2 7 3 3" xfId="42515" xr:uid="{00000000-0005-0000-0000-0000D2350000}"/>
    <cellStyle name="20 % - Markeringsfarve5 2 2 7 4" xfId="20527" xr:uid="{00000000-0005-0000-0000-0000D3350000}"/>
    <cellStyle name="20 % - Markeringsfarve5 2 2 7 5" xfId="35516" xr:uid="{00000000-0005-0000-0000-0000D4350000}"/>
    <cellStyle name="20 % - Markeringsfarve5 2 2 8" xfId="2670" xr:uid="{00000000-0005-0000-0000-0000D5350000}"/>
    <cellStyle name="20 % - Markeringsfarve5 2 2 8 2" xfId="6729" xr:uid="{00000000-0005-0000-0000-0000D6350000}"/>
    <cellStyle name="20 % - Markeringsfarve5 2 2 8 2 2" xfId="14641" xr:uid="{00000000-0005-0000-0000-0000D7350000}"/>
    <cellStyle name="20 % - Markeringsfarve5 2 2 8 2 2 2" xfId="30956" xr:uid="{00000000-0005-0000-0000-0000D8350000}"/>
    <cellStyle name="20 % - Markeringsfarve5 2 2 8 2 2 3" xfId="45920" xr:uid="{00000000-0005-0000-0000-0000D9350000}"/>
    <cellStyle name="20 % - Markeringsfarve5 2 2 8 2 3" xfId="23934" xr:uid="{00000000-0005-0000-0000-0000DA350000}"/>
    <cellStyle name="20 % - Markeringsfarve5 2 2 8 2 4" xfId="38921" xr:uid="{00000000-0005-0000-0000-0000DB350000}"/>
    <cellStyle name="20 % - Markeringsfarve5 2 2 8 3" xfId="11230" xr:uid="{00000000-0005-0000-0000-0000DC350000}"/>
    <cellStyle name="20 % - Markeringsfarve5 2 2 8 3 2" xfId="27550" xr:uid="{00000000-0005-0000-0000-0000DD350000}"/>
    <cellStyle name="20 % - Markeringsfarve5 2 2 8 3 3" xfId="42516" xr:uid="{00000000-0005-0000-0000-0000DE350000}"/>
    <cellStyle name="20 % - Markeringsfarve5 2 2 8 4" xfId="20528" xr:uid="{00000000-0005-0000-0000-0000DF350000}"/>
    <cellStyle name="20 % - Markeringsfarve5 2 2 8 5" xfId="35517" xr:uid="{00000000-0005-0000-0000-0000E0350000}"/>
    <cellStyle name="20 % - Markeringsfarve5 2 2 9" xfId="5576" xr:uid="{00000000-0005-0000-0000-0000E1350000}"/>
    <cellStyle name="20 % - Markeringsfarve5 2 2 9 2" xfId="13495" xr:uid="{00000000-0005-0000-0000-0000E2350000}"/>
    <cellStyle name="20 % - Markeringsfarve5 2 2 9 2 2" xfId="29810" xr:uid="{00000000-0005-0000-0000-0000E3350000}"/>
    <cellStyle name="20 % - Markeringsfarve5 2 2 9 2 3" xfId="44774" xr:uid="{00000000-0005-0000-0000-0000E4350000}"/>
    <cellStyle name="20 % - Markeringsfarve5 2 2 9 3" xfId="22788" xr:uid="{00000000-0005-0000-0000-0000E5350000}"/>
    <cellStyle name="20 % - Markeringsfarve5 2 2 9 4" xfId="37775" xr:uid="{00000000-0005-0000-0000-0000E6350000}"/>
    <cellStyle name="20 % - Markeringsfarve5 2 3" xfId="2671" xr:uid="{00000000-0005-0000-0000-0000E7350000}"/>
    <cellStyle name="20 % - Markeringsfarve5 2 3 10" xfId="11231" xr:uid="{00000000-0005-0000-0000-0000E8350000}"/>
    <cellStyle name="20 % - Markeringsfarve5 2 3 10 2" xfId="27551" xr:uid="{00000000-0005-0000-0000-0000E9350000}"/>
    <cellStyle name="20 % - Markeringsfarve5 2 3 10 3" xfId="42517" xr:uid="{00000000-0005-0000-0000-0000EA350000}"/>
    <cellStyle name="20 % - Markeringsfarve5 2 3 11" xfId="20529" xr:uid="{00000000-0005-0000-0000-0000EB350000}"/>
    <cellStyle name="20 % - Markeringsfarve5 2 3 12" xfId="35518" xr:uid="{00000000-0005-0000-0000-0000EC350000}"/>
    <cellStyle name="20 % - Markeringsfarve5 2 3 13" xfId="53294" xr:uid="{00000000-0005-0000-0000-0000ED350000}"/>
    <cellStyle name="20 % - Markeringsfarve5 2 3 2" xfId="2672" xr:uid="{00000000-0005-0000-0000-0000EE350000}"/>
    <cellStyle name="20 % - Markeringsfarve5 2 3 2 2" xfId="2673" xr:uid="{00000000-0005-0000-0000-0000EF350000}"/>
    <cellStyle name="20 % - Markeringsfarve5 2 3 2 2 2" xfId="7659" xr:uid="{00000000-0005-0000-0000-0000F0350000}"/>
    <cellStyle name="20 % - Markeringsfarve5 2 3 2 2 2 2" xfId="15561" xr:uid="{00000000-0005-0000-0000-0000F1350000}"/>
    <cellStyle name="20 % - Markeringsfarve5 2 3 2 2 2 2 2" xfId="31876" xr:uid="{00000000-0005-0000-0000-0000F2350000}"/>
    <cellStyle name="20 % - Markeringsfarve5 2 3 2 2 2 2 3" xfId="46840" xr:uid="{00000000-0005-0000-0000-0000F3350000}"/>
    <cellStyle name="20 % - Markeringsfarve5 2 3 2 2 2 3" xfId="24854" xr:uid="{00000000-0005-0000-0000-0000F4350000}"/>
    <cellStyle name="20 % - Markeringsfarve5 2 3 2 2 2 4" xfId="39841" xr:uid="{00000000-0005-0000-0000-0000F5350000}"/>
    <cellStyle name="20 % - Markeringsfarve5 2 3 2 2 3" xfId="11233" xr:uid="{00000000-0005-0000-0000-0000F6350000}"/>
    <cellStyle name="20 % - Markeringsfarve5 2 3 2 2 3 2" xfId="27553" xr:uid="{00000000-0005-0000-0000-0000F7350000}"/>
    <cellStyle name="20 % - Markeringsfarve5 2 3 2 2 3 3" xfId="42519" xr:uid="{00000000-0005-0000-0000-0000F8350000}"/>
    <cellStyle name="20 % - Markeringsfarve5 2 3 2 2 4" xfId="20531" xr:uid="{00000000-0005-0000-0000-0000F9350000}"/>
    <cellStyle name="20 % - Markeringsfarve5 2 3 2 2 5" xfId="35520" xr:uid="{00000000-0005-0000-0000-0000FA350000}"/>
    <cellStyle name="20 % - Markeringsfarve5 2 3 2 2 6" xfId="57098" xr:uid="{00000000-0005-0000-0000-0000FB350000}"/>
    <cellStyle name="20 % - Markeringsfarve5 2 3 2 3" xfId="2674" xr:uid="{00000000-0005-0000-0000-0000FC350000}"/>
    <cellStyle name="20 % - Markeringsfarve5 2 3 2 3 2" xfId="6889" xr:uid="{00000000-0005-0000-0000-0000FD350000}"/>
    <cellStyle name="20 % - Markeringsfarve5 2 3 2 3 2 2" xfId="14801" xr:uid="{00000000-0005-0000-0000-0000FE350000}"/>
    <cellStyle name="20 % - Markeringsfarve5 2 3 2 3 2 2 2" xfId="31116" xr:uid="{00000000-0005-0000-0000-0000FF350000}"/>
    <cellStyle name="20 % - Markeringsfarve5 2 3 2 3 2 2 3" xfId="46080" xr:uid="{00000000-0005-0000-0000-000000360000}"/>
    <cellStyle name="20 % - Markeringsfarve5 2 3 2 3 2 3" xfId="24094" xr:uid="{00000000-0005-0000-0000-000001360000}"/>
    <cellStyle name="20 % - Markeringsfarve5 2 3 2 3 2 4" xfId="39081" xr:uid="{00000000-0005-0000-0000-000002360000}"/>
    <cellStyle name="20 % - Markeringsfarve5 2 3 2 3 3" xfId="11234" xr:uid="{00000000-0005-0000-0000-000003360000}"/>
    <cellStyle name="20 % - Markeringsfarve5 2 3 2 3 3 2" xfId="27554" xr:uid="{00000000-0005-0000-0000-000004360000}"/>
    <cellStyle name="20 % - Markeringsfarve5 2 3 2 3 3 3" xfId="42520" xr:uid="{00000000-0005-0000-0000-000005360000}"/>
    <cellStyle name="20 % - Markeringsfarve5 2 3 2 3 4" xfId="20532" xr:uid="{00000000-0005-0000-0000-000006360000}"/>
    <cellStyle name="20 % - Markeringsfarve5 2 3 2 3 5" xfId="35521" xr:uid="{00000000-0005-0000-0000-000007360000}"/>
    <cellStyle name="20 % - Markeringsfarve5 2 3 2 4" xfId="5583" xr:uid="{00000000-0005-0000-0000-000008360000}"/>
    <cellStyle name="20 % - Markeringsfarve5 2 3 2 4 2" xfId="13502" xr:uid="{00000000-0005-0000-0000-000009360000}"/>
    <cellStyle name="20 % - Markeringsfarve5 2 3 2 4 2 2" xfId="29817" xr:uid="{00000000-0005-0000-0000-00000A360000}"/>
    <cellStyle name="20 % - Markeringsfarve5 2 3 2 4 2 3" xfId="44781" xr:uid="{00000000-0005-0000-0000-00000B360000}"/>
    <cellStyle name="20 % - Markeringsfarve5 2 3 2 4 3" xfId="22795" xr:uid="{00000000-0005-0000-0000-00000C360000}"/>
    <cellStyle name="20 % - Markeringsfarve5 2 3 2 4 4" xfId="37782" xr:uid="{00000000-0005-0000-0000-00000D360000}"/>
    <cellStyle name="20 % - Markeringsfarve5 2 3 2 5" xfId="11232" xr:uid="{00000000-0005-0000-0000-00000E360000}"/>
    <cellStyle name="20 % - Markeringsfarve5 2 3 2 5 2" xfId="27552" xr:uid="{00000000-0005-0000-0000-00000F360000}"/>
    <cellStyle name="20 % - Markeringsfarve5 2 3 2 5 3" xfId="42518" xr:uid="{00000000-0005-0000-0000-000010360000}"/>
    <cellStyle name="20 % - Markeringsfarve5 2 3 2 6" xfId="20530" xr:uid="{00000000-0005-0000-0000-000011360000}"/>
    <cellStyle name="20 % - Markeringsfarve5 2 3 2 7" xfId="35519" xr:uid="{00000000-0005-0000-0000-000012360000}"/>
    <cellStyle name="20 % - Markeringsfarve5 2 3 2 8" xfId="53931" xr:uid="{00000000-0005-0000-0000-000013360000}"/>
    <cellStyle name="20 % - Markeringsfarve5 2 3 3" xfId="2675" xr:uid="{00000000-0005-0000-0000-000014360000}"/>
    <cellStyle name="20 % - Markeringsfarve5 2 3 3 2" xfId="2676" xr:uid="{00000000-0005-0000-0000-000015360000}"/>
    <cellStyle name="20 % - Markeringsfarve5 2 3 3 2 2" xfId="7704" xr:uid="{00000000-0005-0000-0000-000016360000}"/>
    <cellStyle name="20 % - Markeringsfarve5 2 3 3 2 2 2" xfId="15606" xr:uid="{00000000-0005-0000-0000-000017360000}"/>
    <cellStyle name="20 % - Markeringsfarve5 2 3 3 2 2 2 2" xfId="31921" xr:uid="{00000000-0005-0000-0000-000018360000}"/>
    <cellStyle name="20 % - Markeringsfarve5 2 3 3 2 2 2 3" xfId="46885" xr:uid="{00000000-0005-0000-0000-000019360000}"/>
    <cellStyle name="20 % - Markeringsfarve5 2 3 3 2 2 3" xfId="24899" xr:uid="{00000000-0005-0000-0000-00001A360000}"/>
    <cellStyle name="20 % - Markeringsfarve5 2 3 3 2 2 4" xfId="39886" xr:uid="{00000000-0005-0000-0000-00001B360000}"/>
    <cellStyle name="20 % - Markeringsfarve5 2 3 3 2 3" xfId="11236" xr:uid="{00000000-0005-0000-0000-00001C360000}"/>
    <cellStyle name="20 % - Markeringsfarve5 2 3 3 2 3 2" xfId="27556" xr:uid="{00000000-0005-0000-0000-00001D360000}"/>
    <cellStyle name="20 % - Markeringsfarve5 2 3 3 2 3 3" xfId="42522" xr:uid="{00000000-0005-0000-0000-00001E360000}"/>
    <cellStyle name="20 % - Markeringsfarve5 2 3 3 2 4" xfId="20534" xr:uid="{00000000-0005-0000-0000-00001F360000}"/>
    <cellStyle name="20 % - Markeringsfarve5 2 3 3 2 5" xfId="35523" xr:uid="{00000000-0005-0000-0000-000020360000}"/>
    <cellStyle name="20 % - Markeringsfarve5 2 3 3 3" xfId="2677" xr:uid="{00000000-0005-0000-0000-000021360000}"/>
    <cellStyle name="20 % - Markeringsfarve5 2 3 3 3 2" xfId="6934" xr:uid="{00000000-0005-0000-0000-000022360000}"/>
    <cellStyle name="20 % - Markeringsfarve5 2 3 3 3 2 2" xfId="14846" xr:uid="{00000000-0005-0000-0000-000023360000}"/>
    <cellStyle name="20 % - Markeringsfarve5 2 3 3 3 2 2 2" xfId="31161" xr:uid="{00000000-0005-0000-0000-000024360000}"/>
    <cellStyle name="20 % - Markeringsfarve5 2 3 3 3 2 2 3" xfId="46125" xr:uid="{00000000-0005-0000-0000-000025360000}"/>
    <cellStyle name="20 % - Markeringsfarve5 2 3 3 3 2 3" xfId="24139" xr:uid="{00000000-0005-0000-0000-000026360000}"/>
    <cellStyle name="20 % - Markeringsfarve5 2 3 3 3 2 4" xfId="39126" xr:uid="{00000000-0005-0000-0000-000027360000}"/>
    <cellStyle name="20 % - Markeringsfarve5 2 3 3 3 3" xfId="11237" xr:uid="{00000000-0005-0000-0000-000028360000}"/>
    <cellStyle name="20 % - Markeringsfarve5 2 3 3 3 3 2" xfId="27557" xr:uid="{00000000-0005-0000-0000-000029360000}"/>
    <cellStyle name="20 % - Markeringsfarve5 2 3 3 3 3 3" xfId="42523" xr:uid="{00000000-0005-0000-0000-00002A360000}"/>
    <cellStyle name="20 % - Markeringsfarve5 2 3 3 3 4" xfId="20535" xr:uid="{00000000-0005-0000-0000-00002B360000}"/>
    <cellStyle name="20 % - Markeringsfarve5 2 3 3 3 5" xfId="35524" xr:uid="{00000000-0005-0000-0000-00002C360000}"/>
    <cellStyle name="20 % - Markeringsfarve5 2 3 3 4" xfId="5584" xr:uid="{00000000-0005-0000-0000-00002D360000}"/>
    <cellStyle name="20 % - Markeringsfarve5 2 3 3 4 2" xfId="13503" xr:uid="{00000000-0005-0000-0000-00002E360000}"/>
    <cellStyle name="20 % - Markeringsfarve5 2 3 3 4 2 2" xfId="29818" xr:uid="{00000000-0005-0000-0000-00002F360000}"/>
    <cellStyle name="20 % - Markeringsfarve5 2 3 3 4 2 3" xfId="44782" xr:uid="{00000000-0005-0000-0000-000030360000}"/>
    <cellStyle name="20 % - Markeringsfarve5 2 3 3 4 3" xfId="22796" xr:uid="{00000000-0005-0000-0000-000031360000}"/>
    <cellStyle name="20 % - Markeringsfarve5 2 3 3 4 4" xfId="37783" xr:uid="{00000000-0005-0000-0000-000032360000}"/>
    <cellStyle name="20 % - Markeringsfarve5 2 3 3 5" xfId="11235" xr:uid="{00000000-0005-0000-0000-000033360000}"/>
    <cellStyle name="20 % - Markeringsfarve5 2 3 3 5 2" xfId="27555" xr:uid="{00000000-0005-0000-0000-000034360000}"/>
    <cellStyle name="20 % - Markeringsfarve5 2 3 3 5 3" xfId="42521" xr:uid="{00000000-0005-0000-0000-000035360000}"/>
    <cellStyle name="20 % - Markeringsfarve5 2 3 3 6" xfId="20533" xr:uid="{00000000-0005-0000-0000-000036360000}"/>
    <cellStyle name="20 % - Markeringsfarve5 2 3 3 7" xfId="35522" xr:uid="{00000000-0005-0000-0000-000037360000}"/>
    <cellStyle name="20 % - Markeringsfarve5 2 3 3 8" xfId="56475" xr:uid="{00000000-0005-0000-0000-000038360000}"/>
    <cellStyle name="20 % - Markeringsfarve5 2 3 4" xfId="2678" xr:uid="{00000000-0005-0000-0000-000039360000}"/>
    <cellStyle name="20 % - Markeringsfarve5 2 3 4 2" xfId="2679" xr:uid="{00000000-0005-0000-0000-00003A360000}"/>
    <cellStyle name="20 % - Markeringsfarve5 2 3 4 2 2" xfId="7897" xr:uid="{00000000-0005-0000-0000-00003B360000}"/>
    <cellStyle name="20 % - Markeringsfarve5 2 3 4 2 2 2" xfId="15799" xr:uid="{00000000-0005-0000-0000-00003C360000}"/>
    <cellStyle name="20 % - Markeringsfarve5 2 3 4 2 2 2 2" xfId="32114" xr:uid="{00000000-0005-0000-0000-00003D360000}"/>
    <cellStyle name="20 % - Markeringsfarve5 2 3 4 2 2 2 3" xfId="47078" xr:uid="{00000000-0005-0000-0000-00003E360000}"/>
    <cellStyle name="20 % - Markeringsfarve5 2 3 4 2 2 3" xfId="25092" xr:uid="{00000000-0005-0000-0000-00003F360000}"/>
    <cellStyle name="20 % - Markeringsfarve5 2 3 4 2 2 4" xfId="40079" xr:uid="{00000000-0005-0000-0000-000040360000}"/>
    <cellStyle name="20 % - Markeringsfarve5 2 3 4 2 3" xfId="11239" xr:uid="{00000000-0005-0000-0000-000041360000}"/>
    <cellStyle name="20 % - Markeringsfarve5 2 3 4 2 3 2" xfId="27559" xr:uid="{00000000-0005-0000-0000-000042360000}"/>
    <cellStyle name="20 % - Markeringsfarve5 2 3 4 2 3 3" xfId="42525" xr:uid="{00000000-0005-0000-0000-000043360000}"/>
    <cellStyle name="20 % - Markeringsfarve5 2 3 4 2 4" xfId="20537" xr:uid="{00000000-0005-0000-0000-000044360000}"/>
    <cellStyle name="20 % - Markeringsfarve5 2 3 4 2 5" xfId="35526" xr:uid="{00000000-0005-0000-0000-000045360000}"/>
    <cellStyle name="20 % - Markeringsfarve5 2 3 4 3" xfId="2680" xr:uid="{00000000-0005-0000-0000-000046360000}"/>
    <cellStyle name="20 % - Markeringsfarve5 2 3 4 3 2" xfId="7173" xr:uid="{00000000-0005-0000-0000-000047360000}"/>
    <cellStyle name="20 % - Markeringsfarve5 2 3 4 3 2 2" xfId="15084" xr:uid="{00000000-0005-0000-0000-000048360000}"/>
    <cellStyle name="20 % - Markeringsfarve5 2 3 4 3 2 2 2" xfId="31399" xr:uid="{00000000-0005-0000-0000-000049360000}"/>
    <cellStyle name="20 % - Markeringsfarve5 2 3 4 3 2 2 3" xfId="46363" xr:uid="{00000000-0005-0000-0000-00004A360000}"/>
    <cellStyle name="20 % - Markeringsfarve5 2 3 4 3 2 3" xfId="24377" xr:uid="{00000000-0005-0000-0000-00004B360000}"/>
    <cellStyle name="20 % - Markeringsfarve5 2 3 4 3 2 4" xfId="39364" xr:uid="{00000000-0005-0000-0000-00004C360000}"/>
    <cellStyle name="20 % - Markeringsfarve5 2 3 4 3 3" xfId="11240" xr:uid="{00000000-0005-0000-0000-00004D360000}"/>
    <cellStyle name="20 % - Markeringsfarve5 2 3 4 3 3 2" xfId="27560" xr:uid="{00000000-0005-0000-0000-00004E360000}"/>
    <cellStyle name="20 % - Markeringsfarve5 2 3 4 3 3 3" xfId="42526" xr:uid="{00000000-0005-0000-0000-00004F360000}"/>
    <cellStyle name="20 % - Markeringsfarve5 2 3 4 3 4" xfId="20538" xr:uid="{00000000-0005-0000-0000-000050360000}"/>
    <cellStyle name="20 % - Markeringsfarve5 2 3 4 3 5" xfId="35527" xr:uid="{00000000-0005-0000-0000-000051360000}"/>
    <cellStyle name="20 % - Markeringsfarve5 2 3 4 4" xfId="5585" xr:uid="{00000000-0005-0000-0000-000052360000}"/>
    <cellStyle name="20 % - Markeringsfarve5 2 3 4 4 2" xfId="13504" xr:uid="{00000000-0005-0000-0000-000053360000}"/>
    <cellStyle name="20 % - Markeringsfarve5 2 3 4 4 2 2" xfId="29819" xr:uid="{00000000-0005-0000-0000-000054360000}"/>
    <cellStyle name="20 % - Markeringsfarve5 2 3 4 4 2 3" xfId="44783" xr:uid="{00000000-0005-0000-0000-000055360000}"/>
    <cellStyle name="20 % - Markeringsfarve5 2 3 4 4 3" xfId="22797" xr:uid="{00000000-0005-0000-0000-000056360000}"/>
    <cellStyle name="20 % - Markeringsfarve5 2 3 4 4 4" xfId="37784" xr:uid="{00000000-0005-0000-0000-000057360000}"/>
    <cellStyle name="20 % - Markeringsfarve5 2 3 4 5" xfId="11238" xr:uid="{00000000-0005-0000-0000-000058360000}"/>
    <cellStyle name="20 % - Markeringsfarve5 2 3 4 5 2" xfId="27558" xr:uid="{00000000-0005-0000-0000-000059360000}"/>
    <cellStyle name="20 % - Markeringsfarve5 2 3 4 5 3" xfId="42524" xr:uid="{00000000-0005-0000-0000-00005A360000}"/>
    <cellStyle name="20 % - Markeringsfarve5 2 3 4 6" xfId="20536" xr:uid="{00000000-0005-0000-0000-00005B360000}"/>
    <cellStyle name="20 % - Markeringsfarve5 2 3 4 7" xfId="35525" xr:uid="{00000000-0005-0000-0000-00005C360000}"/>
    <cellStyle name="20 % - Markeringsfarve5 2 3 5" xfId="2681" xr:uid="{00000000-0005-0000-0000-00005D360000}"/>
    <cellStyle name="20 % - Markeringsfarve5 2 3 5 2" xfId="2682" xr:uid="{00000000-0005-0000-0000-00005E360000}"/>
    <cellStyle name="20 % - Markeringsfarve5 2 3 5 2 2" xfId="8014" xr:uid="{00000000-0005-0000-0000-00005F360000}"/>
    <cellStyle name="20 % - Markeringsfarve5 2 3 5 2 2 2" xfId="15916" xr:uid="{00000000-0005-0000-0000-000060360000}"/>
    <cellStyle name="20 % - Markeringsfarve5 2 3 5 2 2 2 2" xfId="32231" xr:uid="{00000000-0005-0000-0000-000061360000}"/>
    <cellStyle name="20 % - Markeringsfarve5 2 3 5 2 2 2 3" xfId="47195" xr:uid="{00000000-0005-0000-0000-000062360000}"/>
    <cellStyle name="20 % - Markeringsfarve5 2 3 5 2 2 3" xfId="25209" xr:uid="{00000000-0005-0000-0000-000063360000}"/>
    <cellStyle name="20 % - Markeringsfarve5 2 3 5 2 2 4" xfId="40196" xr:uid="{00000000-0005-0000-0000-000064360000}"/>
    <cellStyle name="20 % - Markeringsfarve5 2 3 5 2 3" xfId="11242" xr:uid="{00000000-0005-0000-0000-000065360000}"/>
    <cellStyle name="20 % - Markeringsfarve5 2 3 5 2 3 2" xfId="27562" xr:uid="{00000000-0005-0000-0000-000066360000}"/>
    <cellStyle name="20 % - Markeringsfarve5 2 3 5 2 3 3" xfId="42528" xr:uid="{00000000-0005-0000-0000-000067360000}"/>
    <cellStyle name="20 % - Markeringsfarve5 2 3 5 2 4" xfId="20540" xr:uid="{00000000-0005-0000-0000-000068360000}"/>
    <cellStyle name="20 % - Markeringsfarve5 2 3 5 2 5" xfId="35529" xr:uid="{00000000-0005-0000-0000-000069360000}"/>
    <cellStyle name="20 % - Markeringsfarve5 2 3 5 3" xfId="2683" xr:uid="{00000000-0005-0000-0000-00006A360000}"/>
    <cellStyle name="20 % - Markeringsfarve5 2 3 5 3 2" xfId="7290" xr:uid="{00000000-0005-0000-0000-00006B360000}"/>
    <cellStyle name="20 % - Markeringsfarve5 2 3 5 3 2 2" xfId="15201" xr:uid="{00000000-0005-0000-0000-00006C360000}"/>
    <cellStyle name="20 % - Markeringsfarve5 2 3 5 3 2 2 2" xfId="31516" xr:uid="{00000000-0005-0000-0000-00006D360000}"/>
    <cellStyle name="20 % - Markeringsfarve5 2 3 5 3 2 2 3" xfId="46480" xr:uid="{00000000-0005-0000-0000-00006E360000}"/>
    <cellStyle name="20 % - Markeringsfarve5 2 3 5 3 2 3" xfId="24494" xr:uid="{00000000-0005-0000-0000-00006F360000}"/>
    <cellStyle name="20 % - Markeringsfarve5 2 3 5 3 2 4" xfId="39481" xr:uid="{00000000-0005-0000-0000-000070360000}"/>
    <cellStyle name="20 % - Markeringsfarve5 2 3 5 3 3" xfId="11243" xr:uid="{00000000-0005-0000-0000-000071360000}"/>
    <cellStyle name="20 % - Markeringsfarve5 2 3 5 3 3 2" xfId="27563" xr:uid="{00000000-0005-0000-0000-000072360000}"/>
    <cellStyle name="20 % - Markeringsfarve5 2 3 5 3 3 3" xfId="42529" xr:uid="{00000000-0005-0000-0000-000073360000}"/>
    <cellStyle name="20 % - Markeringsfarve5 2 3 5 3 4" xfId="20541" xr:uid="{00000000-0005-0000-0000-000074360000}"/>
    <cellStyle name="20 % - Markeringsfarve5 2 3 5 3 5" xfId="35530" xr:uid="{00000000-0005-0000-0000-000075360000}"/>
    <cellStyle name="20 % - Markeringsfarve5 2 3 5 4" xfId="5586" xr:uid="{00000000-0005-0000-0000-000076360000}"/>
    <cellStyle name="20 % - Markeringsfarve5 2 3 5 4 2" xfId="13505" xr:uid="{00000000-0005-0000-0000-000077360000}"/>
    <cellStyle name="20 % - Markeringsfarve5 2 3 5 4 2 2" xfId="29820" xr:uid="{00000000-0005-0000-0000-000078360000}"/>
    <cellStyle name="20 % - Markeringsfarve5 2 3 5 4 2 3" xfId="44784" xr:uid="{00000000-0005-0000-0000-000079360000}"/>
    <cellStyle name="20 % - Markeringsfarve5 2 3 5 4 3" xfId="22798" xr:uid="{00000000-0005-0000-0000-00007A360000}"/>
    <cellStyle name="20 % - Markeringsfarve5 2 3 5 4 4" xfId="37785" xr:uid="{00000000-0005-0000-0000-00007B360000}"/>
    <cellStyle name="20 % - Markeringsfarve5 2 3 5 5" xfId="11241" xr:uid="{00000000-0005-0000-0000-00007C360000}"/>
    <cellStyle name="20 % - Markeringsfarve5 2 3 5 5 2" xfId="27561" xr:uid="{00000000-0005-0000-0000-00007D360000}"/>
    <cellStyle name="20 % - Markeringsfarve5 2 3 5 5 3" xfId="42527" xr:uid="{00000000-0005-0000-0000-00007E360000}"/>
    <cellStyle name="20 % - Markeringsfarve5 2 3 5 6" xfId="20539" xr:uid="{00000000-0005-0000-0000-00007F360000}"/>
    <cellStyle name="20 % - Markeringsfarve5 2 3 5 7" xfId="35528" xr:uid="{00000000-0005-0000-0000-000080360000}"/>
    <cellStyle name="20 % - Markeringsfarve5 2 3 6" xfId="2684" xr:uid="{00000000-0005-0000-0000-000081360000}"/>
    <cellStyle name="20 % - Markeringsfarve5 2 3 6 2" xfId="2685" xr:uid="{00000000-0005-0000-0000-000082360000}"/>
    <cellStyle name="20 % - Markeringsfarve5 2 3 6 2 2" xfId="8058" xr:uid="{00000000-0005-0000-0000-000083360000}"/>
    <cellStyle name="20 % - Markeringsfarve5 2 3 6 2 2 2" xfId="15960" xr:uid="{00000000-0005-0000-0000-000084360000}"/>
    <cellStyle name="20 % - Markeringsfarve5 2 3 6 2 2 2 2" xfId="32275" xr:uid="{00000000-0005-0000-0000-000085360000}"/>
    <cellStyle name="20 % - Markeringsfarve5 2 3 6 2 2 2 3" xfId="47239" xr:uid="{00000000-0005-0000-0000-000086360000}"/>
    <cellStyle name="20 % - Markeringsfarve5 2 3 6 2 2 3" xfId="25253" xr:uid="{00000000-0005-0000-0000-000087360000}"/>
    <cellStyle name="20 % - Markeringsfarve5 2 3 6 2 2 4" xfId="40240" xr:uid="{00000000-0005-0000-0000-000088360000}"/>
    <cellStyle name="20 % - Markeringsfarve5 2 3 6 2 3" xfId="11245" xr:uid="{00000000-0005-0000-0000-000089360000}"/>
    <cellStyle name="20 % - Markeringsfarve5 2 3 6 2 3 2" xfId="27565" xr:uid="{00000000-0005-0000-0000-00008A360000}"/>
    <cellStyle name="20 % - Markeringsfarve5 2 3 6 2 3 3" xfId="42531" xr:uid="{00000000-0005-0000-0000-00008B360000}"/>
    <cellStyle name="20 % - Markeringsfarve5 2 3 6 2 4" xfId="20543" xr:uid="{00000000-0005-0000-0000-00008C360000}"/>
    <cellStyle name="20 % - Markeringsfarve5 2 3 6 2 5" xfId="35532" xr:uid="{00000000-0005-0000-0000-00008D360000}"/>
    <cellStyle name="20 % - Markeringsfarve5 2 3 6 3" xfId="2686" xr:uid="{00000000-0005-0000-0000-00008E360000}"/>
    <cellStyle name="20 % - Markeringsfarve5 2 3 6 3 2" xfId="7335" xr:uid="{00000000-0005-0000-0000-00008F360000}"/>
    <cellStyle name="20 % - Markeringsfarve5 2 3 6 3 2 2" xfId="15246" xr:uid="{00000000-0005-0000-0000-000090360000}"/>
    <cellStyle name="20 % - Markeringsfarve5 2 3 6 3 2 2 2" xfId="31561" xr:uid="{00000000-0005-0000-0000-000091360000}"/>
    <cellStyle name="20 % - Markeringsfarve5 2 3 6 3 2 2 3" xfId="46525" xr:uid="{00000000-0005-0000-0000-000092360000}"/>
    <cellStyle name="20 % - Markeringsfarve5 2 3 6 3 2 3" xfId="24539" xr:uid="{00000000-0005-0000-0000-000093360000}"/>
    <cellStyle name="20 % - Markeringsfarve5 2 3 6 3 2 4" xfId="39526" xr:uid="{00000000-0005-0000-0000-000094360000}"/>
    <cellStyle name="20 % - Markeringsfarve5 2 3 6 3 3" xfId="11246" xr:uid="{00000000-0005-0000-0000-000095360000}"/>
    <cellStyle name="20 % - Markeringsfarve5 2 3 6 3 3 2" xfId="27566" xr:uid="{00000000-0005-0000-0000-000096360000}"/>
    <cellStyle name="20 % - Markeringsfarve5 2 3 6 3 3 3" xfId="42532" xr:uid="{00000000-0005-0000-0000-000097360000}"/>
    <cellStyle name="20 % - Markeringsfarve5 2 3 6 3 4" xfId="20544" xr:uid="{00000000-0005-0000-0000-000098360000}"/>
    <cellStyle name="20 % - Markeringsfarve5 2 3 6 3 5" xfId="35533" xr:uid="{00000000-0005-0000-0000-000099360000}"/>
    <cellStyle name="20 % - Markeringsfarve5 2 3 6 4" xfId="5587" xr:uid="{00000000-0005-0000-0000-00009A360000}"/>
    <cellStyle name="20 % - Markeringsfarve5 2 3 6 4 2" xfId="13506" xr:uid="{00000000-0005-0000-0000-00009B360000}"/>
    <cellStyle name="20 % - Markeringsfarve5 2 3 6 4 2 2" xfId="29821" xr:uid="{00000000-0005-0000-0000-00009C360000}"/>
    <cellStyle name="20 % - Markeringsfarve5 2 3 6 4 2 3" xfId="44785" xr:uid="{00000000-0005-0000-0000-00009D360000}"/>
    <cellStyle name="20 % - Markeringsfarve5 2 3 6 4 3" xfId="22799" xr:uid="{00000000-0005-0000-0000-00009E360000}"/>
    <cellStyle name="20 % - Markeringsfarve5 2 3 6 4 4" xfId="37786" xr:uid="{00000000-0005-0000-0000-00009F360000}"/>
    <cellStyle name="20 % - Markeringsfarve5 2 3 6 5" xfId="11244" xr:uid="{00000000-0005-0000-0000-0000A0360000}"/>
    <cellStyle name="20 % - Markeringsfarve5 2 3 6 5 2" xfId="27564" xr:uid="{00000000-0005-0000-0000-0000A1360000}"/>
    <cellStyle name="20 % - Markeringsfarve5 2 3 6 5 3" xfId="42530" xr:uid="{00000000-0005-0000-0000-0000A2360000}"/>
    <cellStyle name="20 % - Markeringsfarve5 2 3 6 6" xfId="20542" xr:uid="{00000000-0005-0000-0000-0000A3360000}"/>
    <cellStyle name="20 % - Markeringsfarve5 2 3 6 7" xfId="35531" xr:uid="{00000000-0005-0000-0000-0000A4360000}"/>
    <cellStyle name="20 % - Markeringsfarve5 2 3 7" xfId="2687" xr:uid="{00000000-0005-0000-0000-0000A5360000}"/>
    <cellStyle name="20 % - Markeringsfarve5 2 3 7 2" xfId="7540" xr:uid="{00000000-0005-0000-0000-0000A6360000}"/>
    <cellStyle name="20 % - Markeringsfarve5 2 3 7 2 2" xfId="15442" xr:uid="{00000000-0005-0000-0000-0000A7360000}"/>
    <cellStyle name="20 % - Markeringsfarve5 2 3 7 2 2 2" xfId="31757" xr:uid="{00000000-0005-0000-0000-0000A8360000}"/>
    <cellStyle name="20 % - Markeringsfarve5 2 3 7 2 2 3" xfId="46721" xr:uid="{00000000-0005-0000-0000-0000A9360000}"/>
    <cellStyle name="20 % - Markeringsfarve5 2 3 7 2 3" xfId="24735" xr:uid="{00000000-0005-0000-0000-0000AA360000}"/>
    <cellStyle name="20 % - Markeringsfarve5 2 3 7 2 4" xfId="39722" xr:uid="{00000000-0005-0000-0000-0000AB360000}"/>
    <cellStyle name="20 % - Markeringsfarve5 2 3 7 3" xfId="11247" xr:uid="{00000000-0005-0000-0000-0000AC360000}"/>
    <cellStyle name="20 % - Markeringsfarve5 2 3 7 3 2" xfId="27567" xr:uid="{00000000-0005-0000-0000-0000AD360000}"/>
    <cellStyle name="20 % - Markeringsfarve5 2 3 7 3 3" xfId="42533" xr:uid="{00000000-0005-0000-0000-0000AE360000}"/>
    <cellStyle name="20 % - Markeringsfarve5 2 3 7 4" xfId="20545" xr:uid="{00000000-0005-0000-0000-0000AF360000}"/>
    <cellStyle name="20 % - Markeringsfarve5 2 3 7 5" xfId="35534" xr:uid="{00000000-0005-0000-0000-0000B0360000}"/>
    <cellStyle name="20 % - Markeringsfarve5 2 3 8" xfId="2688" xr:uid="{00000000-0005-0000-0000-0000B1360000}"/>
    <cellStyle name="20 % - Markeringsfarve5 2 3 8 2" xfId="6768" xr:uid="{00000000-0005-0000-0000-0000B2360000}"/>
    <cellStyle name="20 % - Markeringsfarve5 2 3 8 2 2" xfId="14680" xr:uid="{00000000-0005-0000-0000-0000B3360000}"/>
    <cellStyle name="20 % - Markeringsfarve5 2 3 8 2 2 2" xfId="30995" xr:uid="{00000000-0005-0000-0000-0000B4360000}"/>
    <cellStyle name="20 % - Markeringsfarve5 2 3 8 2 2 3" xfId="45959" xr:uid="{00000000-0005-0000-0000-0000B5360000}"/>
    <cellStyle name="20 % - Markeringsfarve5 2 3 8 2 3" xfId="23973" xr:uid="{00000000-0005-0000-0000-0000B6360000}"/>
    <cellStyle name="20 % - Markeringsfarve5 2 3 8 2 4" xfId="38960" xr:uid="{00000000-0005-0000-0000-0000B7360000}"/>
    <cellStyle name="20 % - Markeringsfarve5 2 3 8 3" xfId="11248" xr:uid="{00000000-0005-0000-0000-0000B8360000}"/>
    <cellStyle name="20 % - Markeringsfarve5 2 3 8 3 2" xfId="27568" xr:uid="{00000000-0005-0000-0000-0000B9360000}"/>
    <cellStyle name="20 % - Markeringsfarve5 2 3 8 3 3" xfId="42534" xr:uid="{00000000-0005-0000-0000-0000BA360000}"/>
    <cellStyle name="20 % - Markeringsfarve5 2 3 8 4" xfId="20546" xr:uid="{00000000-0005-0000-0000-0000BB360000}"/>
    <cellStyle name="20 % - Markeringsfarve5 2 3 8 5" xfId="35535" xr:uid="{00000000-0005-0000-0000-0000BC360000}"/>
    <cellStyle name="20 % - Markeringsfarve5 2 3 9" xfId="5582" xr:uid="{00000000-0005-0000-0000-0000BD360000}"/>
    <cellStyle name="20 % - Markeringsfarve5 2 3 9 2" xfId="13501" xr:uid="{00000000-0005-0000-0000-0000BE360000}"/>
    <cellStyle name="20 % - Markeringsfarve5 2 3 9 2 2" xfId="29816" xr:uid="{00000000-0005-0000-0000-0000BF360000}"/>
    <cellStyle name="20 % - Markeringsfarve5 2 3 9 2 3" xfId="44780" xr:uid="{00000000-0005-0000-0000-0000C0360000}"/>
    <cellStyle name="20 % - Markeringsfarve5 2 3 9 3" xfId="22794" xr:uid="{00000000-0005-0000-0000-0000C1360000}"/>
    <cellStyle name="20 % - Markeringsfarve5 2 3 9 4" xfId="37781" xr:uid="{00000000-0005-0000-0000-0000C2360000}"/>
    <cellStyle name="20 % - Markeringsfarve5 2 4" xfId="2689" xr:uid="{00000000-0005-0000-0000-0000C3360000}"/>
    <cellStyle name="20 % - Markeringsfarve5 2 4 2" xfId="2690" xr:uid="{00000000-0005-0000-0000-0000C4360000}"/>
    <cellStyle name="20 % - Markeringsfarve5 2 4 2 2" xfId="7581" xr:uid="{00000000-0005-0000-0000-0000C5360000}"/>
    <cellStyle name="20 % - Markeringsfarve5 2 4 2 2 2" xfId="15483" xr:uid="{00000000-0005-0000-0000-0000C6360000}"/>
    <cellStyle name="20 % - Markeringsfarve5 2 4 2 2 2 2" xfId="31798" xr:uid="{00000000-0005-0000-0000-0000C7360000}"/>
    <cellStyle name="20 % - Markeringsfarve5 2 4 2 2 2 3" xfId="46762" xr:uid="{00000000-0005-0000-0000-0000C8360000}"/>
    <cellStyle name="20 % - Markeringsfarve5 2 4 2 2 3" xfId="24776" xr:uid="{00000000-0005-0000-0000-0000C9360000}"/>
    <cellStyle name="20 % - Markeringsfarve5 2 4 2 2 4" xfId="39763" xr:uid="{00000000-0005-0000-0000-0000CA360000}"/>
    <cellStyle name="20 % - Markeringsfarve5 2 4 2 3" xfId="11250" xr:uid="{00000000-0005-0000-0000-0000CB360000}"/>
    <cellStyle name="20 % - Markeringsfarve5 2 4 2 3 2" xfId="27570" xr:uid="{00000000-0005-0000-0000-0000CC360000}"/>
    <cellStyle name="20 % - Markeringsfarve5 2 4 2 3 3" xfId="42536" xr:uid="{00000000-0005-0000-0000-0000CD360000}"/>
    <cellStyle name="20 % - Markeringsfarve5 2 4 2 4" xfId="20548" xr:uid="{00000000-0005-0000-0000-0000CE360000}"/>
    <cellStyle name="20 % - Markeringsfarve5 2 4 2 5" xfId="35537" xr:uid="{00000000-0005-0000-0000-0000CF360000}"/>
    <cellStyle name="20 % - Markeringsfarve5 2 4 2 6" xfId="57100" xr:uid="{00000000-0005-0000-0000-0000D0360000}"/>
    <cellStyle name="20 % - Markeringsfarve5 2 4 3" xfId="2691" xr:uid="{00000000-0005-0000-0000-0000D1360000}"/>
    <cellStyle name="20 % - Markeringsfarve5 2 4 3 2" xfId="6811" xr:uid="{00000000-0005-0000-0000-0000D2360000}"/>
    <cellStyle name="20 % - Markeringsfarve5 2 4 3 2 2" xfId="14723" xr:uid="{00000000-0005-0000-0000-0000D3360000}"/>
    <cellStyle name="20 % - Markeringsfarve5 2 4 3 2 2 2" xfId="31038" xr:uid="{00000000-0005-0000-0000-0000D4360000}"/>
    <cellStyle name="20 % - Markeringsfarve5 2 4 3 2 2 3" xfId="46002" xr:uid="{00000000-0005-0000-0000-0000D5360000}"/>
    <cellStyle name="20 % - Markeringsfarve5 2 4 3 2 3" xfId="24016" xr:uid="{00000000-0005-0000-0000-0000D6360000}"/>
    <cellStyle name="20 % - Markeringsfarve5 2 4 3 2 4" xfId="39003" xr:uid="{00000000-0005-0000-0000-0000D7360000}"/>
    <cellStyle name="20 % - Markeringsfarve5 2 4 3 3" xfId="11251" xr:uid="{00000000-0005-0000-0000-0000D8360000}"/>
    <cellStyle name="20 % - Markeringsfarve5 2 4 3 3 2" xfId="27571" xr:uid="{00000000-0005-0000-0000-0000D9360000}"/>
    <cellStyle name="20 % - Markeringsfarve5 2 4 3 3 3" xfId="42537" xr:uid="{00000000-0005-0000-0000-0000DA360000}"/>
    <cellStyle name="20 % - Markeringsfarve5 2 4 3 4" xfId="20549" xr:uid="{00000000-0005-0000-0000-0000DB360000}"/>
    <cellStyle name="20 % - Markeringsfarve5 2 4 3 5" xfId="35538" xr:uid="{00000000-0005-0000-0000-0000DC360000}"/>
    <cellStyle name="20 % - Markeringsfarve5 2 4 4" xfId="5588" xr:uid="{00000000-0005-0000-0000-0000DD360000}"/>
    <cellStyle name="20 % - Markeringsfarve5 2 4 4 2" xfId="13507" xr:uid="{00000000-0005-0000-0000-0000DE360000}"/>
    <cellStyle name="20 % - Markeringsfarve5 2 4 4 2 2" xfId="29822" xr:uid="{00000000-0005-0000-0000-0000DF360000}"/>
    <cellStyle name="20 % - Markeringsfarve5 2 4 4 2 3" xfId="44786" xr:uid="{00000000-0005-0000-0000-0000E0360000}"/>
    <cellStyle name="20 % - Markeringsfarve5 2 4 4 3" xfId="22800" xr:uid="{00000000-0005-0000-0000-0000E1360000}"/>
    <cellStyle name="20 % - Markeringsfarve5 2 4 4 4" xfId="37787" xr:uid="{00000000-0005-0000-0000-0000E2360000}"/>
    <cellStyle name="20 % - Markeringsfarve5 2 4 5" xfId="11249" xr:uid="{00000000-0005-0000-0000-0000E3360000}"/>
    <cellStyle name="20 % - Markeringsfarve5 2 4 5 2" xfId="27569" xr:uid="{00000000-0005-0000-0000-0000E4360000}"/>
    <cellStyle name="20 % - Markeringsfarve5 2 4 5 3" xfId="42535" xr:uid="{00000000-0005-0000-0000-0000E5360000}"/>
    <cellStyle name="20 % - Markeringsfarve5 2 4 6" xfId="20547" xr:uid="{00000000-0005-0000-0000-0000E6360000}"/>
    <cellStyle name="20 % - Markeringsfarve5 2 4 7" xfId="35536" xr:uid="{00000000-0005-0000-0000-0000E7360000}"/>
    <cellStyle name="20 % - Markeringsfarve5 2 4 8" xfId="53933" xr:uid="{00000000-0005-0000-0000-0000E8360000}"/>
    <cellStyle name="20 % - Markeringsfarve5 2 5" xfId="2692" xr:uid="{00000000-0005-0000-0000-0000E9360000}"/>
    <cellStyle name="20 % - Markeringsfarve5 2 5 2" xfId="2693" xr:uid="{00000000-0005-0000-0000-0000EA360000}"/>
    <cellStyle name="20 % - Markeringsfarve5 2 5 2 2" xfId="7702" xr:uid="{00000000-0005-0000-0000-0000EB360000}"/>
    <cellStyle name="20 % - Markeringsfarve5 2 5 2 2 2" xfId="15604" xr:uid="{00000000-0005-0000-0000-0000EC360000}"/>
    <cellStyle name="20 % - Markeringsfarve5 2 5 2 2 2 2" xfId="31919" xr:uid="{00000000-0005-0000-0000-0000ED360000}"/>
    <cellStyle name="20 % - Markeringsfarve5 2 5 2 2 2 3" xfId="46883" xr:uid="{00000000-0005-0000-0000-0000EE360000}"/>
    <cellStyle name="20 % - Markeringsfarve5 2 5 2 2 3" xfId="24897" xr:uid="{00000000-0005-0000-0000-0000EF360000}"/>
    <cellStyle name="20 % - Markeringsfarve5 2 5 2 2 4" xfId="39884" xr:uid="{00000000-0005-0000-0000-0000F0360000}"/>
    <cellStyle name="20 % - Markeringsfarve5 2 5 2 3" xfId="11253" xr:uid="{00000000-0005-0000-0000-0000F1360000}"/>
    <cellStyle name="20 % - Markeringsfarve5 2 5 2 3 2" xfId="27573" xr:uid="{00000000-0005-0000-0000-0000F2360000}"/>
    <cellStyle name="20 % - Markeringsfarve5 2 5 2 3 3" xfId="42539" xr:uid="{00000000-0005-0000-0000-0000F3360000}"/>
    <cellStyle name="20 % - Markeringsfarve5 2 5 2 4" xfId="20551" xr:uid="{00000000-0005-0000-0000-0000F4360000}"/>
    <cellStyle name="20 % - Markeringsfarve5 2 5 2 5" xfId="35540" xr:uid="{00000000-0005-0000-0000-0000F5360000}"/>
    <cellStyle name="20 % - Markeringsfarve5 2 5 3" xfId="2694" xr:uid="{00000000-0005-0000-0000-0000F6360000}"/>
    <cellStyle name="20 % - Markeringsfarve5 2 5 3 2" xfId="6932" xr:uid="{00000000-0005-0000-0000-0000F7360000}"/>
    <cellStyle name="20 % - Markeringsfarve5 2 5 3 2 2" xfId="14844" xr:uid="{00000000-0005-0000-0000-0000F8360000}"/>
    <cellStyle name="20 % - Markeringsfarve5 2 5 3 2 2 2" xfId="31159" xr:uid="{00000000-0005-0000-0000-0000F9360000}"/>
    <cellStyle name="20 % - Markeringsfarve5 2 5 3 2 2 3" xfId="46123" xr:uid="{00000000-0005-0000-0000-0000FA360000}"/>
    <cellStyle name="20 % - Markeringsfarve5 2 5 3 2 3" xfId="24137" xr:uid="{00000000-0005-0000-0000-0000FB360000}"/>
    <cellStyle name="20 % - Markeringsfarve5 2 5 3 2 4" xfId="39124" xr:uid="{00000000-0005-0000-0000-0000FC360000}"/>
    <cellStyle name="20 % - Markeringsfarve5 2 5 3 3" xfId="11254" xr:uid="{00000000-0005-0000-0000-0000FD360000}"/>
    <cellStyle name="20 % - Markeringsfarve5 2 5 3 3 2" xfId="27574" xr:uid="{00000000-0005-0000-0000-0000FE360000}"/>
    <cellStyle name="20 % - Markeringsfarve5 2 5 3 3 3" xfId="42540" xr:uid="{00000000-0005-0000-0000-0000FF360000}"/>
    <cellStyle name="20 % - Markeringsfarve5 2 5 3 4" xfId="20552" xr:uid="{00000000-0005-0000-0000-000000370000}"/>
    <cellStyle name="20 % - Markeringsfarve5 2 5 3 5" xfId="35541" xr:uid="{00000000-0005-0000-0000-000001370000}"/>
    <cellStyle name="20 % - Markeringsfarve5 2 5 4" xfId="5589" xr:uid="{00000000-0005-0000-0000-000002370000}"/>
    <cellStyle name="20 % - Markeringsfarve5 2 5 4 2" xfId="13508" xr:uid="{00000000-0005-0000-0000-000003370000}"/>
    <cellStyle name="20 % - Markeringsfarve5 2 5 4 2 2" xfId="29823" xr:uid="{00000000-0005-0000-0000-000004370000}"/>
    <cellStyle name="20 % - Markeringsfarve5 2 5 4 2 3" xfId="44787" xr:uid="{00000000-0005-0000-0000-000005370000}"/>
    <cellStyle name="20 % - Markeringsfarve5 2 5 4 3" xfId="22801" xr:uid="{00000000-0005-0000-0000-000006370000}"/>
    <cellStyle name="20 % - Markeringsfarve5 2 5 4 4" xfId="37788" xr:uid="{00000000-0005-0000-0000-000007370000}"/>
    <cellStyle name="20 % - Markeringsfarve5 2 5 5" xfId="11252" xr:uid="{00000000-0005-0000-0000-000008370000}"/>
    <cellStyle name="20 % - Markeringsfarve5 2 5 5 2" xfId="27572" xr:uid="{00000000-0005-0000-0000-000009370000}"/>
    <cellStyle name="20 % - Markeringsfarve5 2 5 5 3" xfId="42538" xr:uid="{00000000-0005-0000-0000-00000A370000}"/>
    <cellStyle name="20 % - Markeringsfarve5 2 5 6" xfId="20550" xr:uid="{00000000-0005-0000-0000-00000B370000}"/>
    <cellStyle name="20 % - Markeringsfarve5 2 5 7" xfId="35539" xr:uid="{00000000-0005-0000-0000-00000C370000}"/>
    <cellStyle name="20 % - Markeringsfarve5 2 5 8" xfId="56477" xr:uid="{00000000-0005-0000-0000-00000D370000}"/>
    <cellStyle name="20 % - Markeringsfarve5 2 6" xfId="2695" xr:uid="{00000000-0005-0000-0000-00000E370000}"/>
    <cellStyle name="20 % - Markeringsfarve5 2 6 2" xfId="2696" xr:uid="{00000000-0005-0000-0000-00000F370000}"/>
    <cellStyle name="20 % - Markeringsfarve5 2 6 2 2" xfId="7819" xr:uid="{00000000-0005-0000-0000-000010370000}"/>
    <cellStyle name="20 % - Markeringsfarve5 2 6 2 2 2" xfId="15721" xr:uid="{00000000-0005-0000-0000-000011370000}"/>
    <cellStyle name="20 % - Markeringsfarve5 2 6 2 2 2 2" xfId="32036" xr:uid="{00000000-0005-0000-0000-000012370000}"/>
    <cellStyle name="20 % - Markeringsfarve5 2 6 2 2 2 3" xfId="47000" xr:uid="{00000000-0005-0000-0000-000013370000}"/>
    <cellStyle name="20 % - Markeringsfarve5 2 6 2 2 3" xfId="25014" xr:uid="{00000000-0005-0000-0000-000014370000}"/>
    <cellStyle name="20 % - Markeringsfarve5 2 6 2 2 4" xfId="40001" xr:uid="{00000000-0005-0000-0000-000015370000}"/>
    <cellStyle name="20 % - Markeringsfarve5 2 6 2 3" xfId="11256" xr:uid="{00000000-0005-0000-0000-000016370000}"/>
    <cellStyle name="20 % - Markeringsfarve5 2 6 2 3 2" xfId="27576" xr:uid="{00000000-0005-0000-0000-000017370000}"/>
    <cellStyle name="20 % - Markeringsfarve5 2 6 2 3 3" xfId="42542" xr:uid="{00000000-0005-0000-0000-000018370000}"/>
    <cellStyle name="20 % - Markeringsfarve5 2 6 2 4" xfId="20554" xr:uid="{00000000-0005-0000-0000-000019370000}"/>
    <cellStyle name="20 % - Markeringsfarve5 2 6 2 5" xfId="35543" xr:uid="{00000000-0005-0000-0000-00001A370000}"/>
    <cellStyle name="20 % - Markeringsfarve5 2 6 3" xfId="2697" xr:uid="{00000000-0005-0000-0000-00001B370000}"/>
    <cellStyle name="20 % - Markeringsfarve5 2 6 3 2" xfId="7095" xr:uid="{00000000-0005-0000-0000-00001C370000}"/>
    <cellStyle name="20 % - Markeringsfarve5 2 6 3 2 2" xfId="15006" xr:uid="{00000000-0005-0000-0000-00001D370000}"/>
    <cellStyle name="20 % - Markeringsfarve5 2 6 3 2 2 2" xfId="31321" xr:uid="{00000000-0005-0000-0000-00001E370000}"/>
    <cellStyle name="20 % - Markeringsfarve5 2 6 3 2 2 3" xfId="46285" xr:uid="{00000000-0005-0000-0000-00001F370000}"/>
    <cellStyle name="20 % - Markeringsfarve5 2 6 3 2 3" xfId="24299" xr:uid="{00000000-0005-0000-0000-000020370000}"/>
    <cellStyle name="20 % - Markeringsfarve5 2 6 3 2 4" xfId="39286" xr:uid="{00000000-0005-0000-0000-000021370000}"/>
    <cellStyle name="20 % - Markeringsfarve5 2 6 3 3" xfId="11257" xr:uid="{00000000-0005-0000-0000-000022370000}"/>
    <cellStyle name="20 % - Markeringsfarve5 2 6 3 3 2" xfId="27577" xr:uid="{00000000-0005-0000-0000-000023370000}"/>
    <cellStyle name="20 % - Markeringsfarve5 2 6 3 3 3" xfId="42543" xr:uid="{00000000-0005-0000-0000-000024370000}"/>
    <cellStyle name="20 % - Markeringsfarve5 2 6 3 4" xfId="20555" xr:uid="{00000000-0005-0000-0000-000025370000}"/>
    <cellStyle name="20 % - Markeringsfarve5 2 6 3 5" xfId="35544" xr:uid="{00000000-0005-0000-0000-000026370000}"/>
    <cellStyle name="20 % - Markeringsfarve5 2 6 4" xfId="5590" xr:uid="{00000000-0005-0000-0000-000027370000}"/>
    <cellStyle name="20 % - Markeringsfarve5 2 6 4 2" xfId="13509" xr:uid="{00000000-0005-0000-0000-000028370000}"/>
    <cellStyle name="20 % - Markeringsfarve5 2 6 4 2 2" xfId="29824" xr:uid="{00000000-0005-0000-0000-000029370000}"/>
    <cellStyle name="20 % - Markeringsfarve5 2 6 4 2 3" xfId="44788" xr:uid="{00000000-0005-0000-0000-00002A370000}"/>
    <cellStyle name="20 % - Markeringsfarve5 2 6 4 3" xfId="22802" xr:uid="{00000000-0005-0000-0000-00002B370000}"/>
    <cellStyle name="20 % - Markeringsfarve5 2 6 4 4" xfId="37789" xr:uid="{00000000-0005-0000-0000-00002C370000}"/>
    <cellStyle name="20 % - Markeringsfarve5 2 6 5" xfId="11255" xr:uid="{00000000-0005-0000-0000-00002D370000}"/>
    <cellStyle name="20 % - Markeringsfarve5 2 6 5 2" xfId="27575" xr:uid="{00000000-0005-0000-0000-00002E370000}"/>
    <cellStyle name="20 % - Markeringsfarve5 2 6 5 3" xfId="42541" xr:uid="{00000000-0005-0000-0000-00002F370000}"/>
    <cellStyle name="20 % - Markeringsfarve5 2 6 6" xfId="20553" xr:uid="{00000000-0005-0000-0000-000030370000}"/>
    <cellStyle name="20 % - Markeringsfarve5 2 6 7" xfId="35542" xr:uid="{00000000-0005-0000-0000-000031370000}"/>
    <cellStyle name="20 % - Markeringsfarve5 2 7" xfId="2698" xr:uid="{00000000-0005-0000-0000-000032370000}"/>
    <cellStyle name="20 % - Markeringsfarve5 2 7 2" xfId="2699" xr:uid="{00000000-0005-0000-0000-000033370000}"/>
    <cellStyle name="20 % - Markeringsfarve5 2 7 2 2" xfId="7936" xr:uid="{00000000-0005-0000-0000-000034370000}"/>
    <cellStyle name="20 % - Markeringsfarve5 2 7 2 2 2" xfId="15838" xr:uid="{00000000-0005-0000-0000-000035370000}"/>
    <cellStyle name="20 % - Markeringsfarve5 2 7 2 2 2 2" xfId="32153" xr:uid="{00000000-0005-0000-0000-000036370000}"/>
    <cellStyle name="20 % - Markeringsfarve5 2 7 2 2 2 3" xfId="47117" xr:uid="{00000000-0005-0000-0000-000037370000}"/>
    <cellStyle name="20 % - Markeringsfarve5 2 7 2 2 3" xfId="25131" xr:uid="{00000000-0005-0000-0000-000038370000}"/>
    <cellStyle name="20 % - Markeringsfarve5 2 7 2 2 4" xfId="40118" xr:uid="{00000000-0005-0000-0000-000039370000}"/>
    <cellStyle name="20 % - Markeringsfarve5 2 7 2 3" xfId="11259" xr:uid="{00000000-0005-0000-0000-00003A370000}"/>
    <cellStyle name="20 % - Markeringsfarve5 2 7 2 3 2" xfId="27579" xr:uid="{00000000-0005-0000-0000-00003B370000}"/>
    <cellStyle name="20 % - Markeringsfarve5 2 7 2 3 3" xfId="42545" xr:uid="{00000000-0005-0000-0000-00003C370000}"/>
    <cellStyle name="20 % - Markeringsfarve5 2 7 2 4" xfId="20557" xr:uid="{00000000-0005-0000-0000-00003D370000}"/>
    <cellStyle name="20 % - Markeringsfarve5 2 7 2 5" xfId="35546" xr:uid="{00000000-0005-0000-0000-00003E370000}"/>
    <cellStyle name="20 % - Markeringsfarve5 2 7 3" xfId="2700" xr:uid="{00000000-0005-0000-0000-00003F370000}"/>
    <cellStyle name="20 % - Markeringsfarve5 2 7 3 2" xfId="7212" xr:uid="{00000000-0005-0000-0000-000040370000}"/>
    <cellStyle name="20 % - Markeringsfarve5 2 7 3 2 2" xfId="15123" xr:uid="{00000000-0005-0000-0000-000041370000}"/>
    <cellStyle name="20 % - Markeringsfarve5 2 7 3 2 2 2" xfId="31438" xr:uid="{00000000-0005-0000-0000-000042370000}"/>
    <cellStyle name="20 % - Markeringsfarve5 2 7 3 2 2 3" xfId="46402" xr:uid="{00000000-0005-0000-0000-000043370000}"/>
    <cellStyle name="20 % - Markeringsfarve5 2 7 3 2 3" xfId="24416" xr:uid="{00000000-0005-0000-0000-000044370000}"/>
    <cellStyle name="20 % - Markeringsfarve5 2 7 3 2 4" xfId="39403" xr:uid="{00000000-0005-0000-0000-000045370000}"/>
    <cellStyle name="20 % - Markeringsfarve5 2 7 3 3" xfId="11260" xr:uid="{00000000-0005-0000-0000-000046370000}"/>
    <cellStyle name="20 % - Markeringsfarve5 2 7 3 3 2" xfId="27580" xr:uid="{00000000-0005-0000-0000-000047370000}"/>
    <cellStyle name="20 % - Markeringsfarve5 2 7 3 3 3" xfId="42546" xr:uid="{00000000-0005-0000-0000-000048370000}"/>
    <cellStyle name="20 % - Markeringsfarve5 2 7 3 4" xfId="20558" xr:uid="{00000000-0005-0000-0000-000049370000}"/>
    <cellStyle name="20 % - Markeringsfarve5 2 7 3 5" xfId="35547" xr:uid="{00000000-0005-0000-0000-00004A370000}"/>
    <cellStyle name="20 % - Markeringsfarve5 2 7 4" xfId="5591" xr:uid="{00000000-0005-0000-0000-00004B370000}"/>
    <cellStyle name="20 % - Markeringsfarve5 2 7 4 2" xfId="13510" xr:uid="{00000000-0005-0000-0000-00004C370000}"/>
    <cellStyle name="20 % - Markeringsfarve5 2 7 4 2 2" xfId="29825" xr:uid="{00000000-0005-0000-0000-00004D370000}"/>
    <cellStyle name="20 % - Markeringsfarve5 2 7 4 2 3" xfId="44789" xr:uid="{00000000-0005-0000-0000-00004E370000}"/>
    <cellStyle name="20 % - Markeringsfarve5 2 7 4 3" xfId="22803" xr:uid="{00000000-0005-0000-0000-00004F370000}"/>
    <cellStyle name="20 % - Markeringsfarve5 2 7 4 4" xfId="37790" xr:uid="{00000000-0005-0000-0000-000050370000}"/>
    <cellStyle name="20 % - Markeringsfarve5 2 7 5" xfId="11258" xr:uid="{00000000-0005-0000-0000-000051370000}"/>
    <cellStyle name="20 % - Markeringsfarve5 2 7 5 2" xfId="27578" xr:uid="{00000000-0005-0000-0000-000052370000}"/>
    <cellStyle name="20 % - Markeringsfarve5 2 7 5 3" xfId="42544" xr:uid="{00000000-0005-0000-0000-000053370000}"/>
    <cellStyle name="20 % - Markeringsfarve5 2 7 6" xfId="20556" xr:uid="{00000000-0005-0000-0000-000054370000}"/>
    <cellStyle name="20 % - Markeringsfarve5 2 7 7" xfId="35545" xr:uid="{00000000-0005-0000-0000-000055370000}"/>
    <cellStyle name="20 % - Markeringsfarve5 2 8" xfId="2701" xr:uid="{00000000-0005-0000-0000-000056370000}"/>
    <cellStyle name="20 % - Markeringsfarve5 2 8 2" xfId="2702" xr:uid="{00000000-0005-0000-0000-000057370000}"/>
    <cellStyle name="20 % - Markeringsfarve5 2 8 2 2" xfId="8056" xr:uid="{00000000-0005-0000-0000-000058370000}"/>
    <cellStyle name="20 % - Markeringsfarve5 2 8 2 2 2" xfId="15958" xr:uid="{00000000-0005-0000-0000-000059370000}"/>
    <cellStyle name="20 % - Markeringsfarve5 2 8 2 2 2 2" xfId="32273" xr:uid="{00000000-0005-0000-0000-00005A370000}"/>
    <cellStyle name="20 % - Markeringsfarve5 2 8 2 2 2 3" xfId="47237" xr:uid="{00000000-0005-0000-0000-00005B370000}"/>
    <cellStyle name="20 % - Markeringsfarve5 2 8 2 2 3" xfId="25251" xr:uid="{00000000-0005-0000-0000-00005C370000}"/>
    <cellStyle name="20 % - Markeringsfarve5 2 8 2 2 4" xfId="40238" xr:uid="{00000000-0005-0000-0000-00005D370000}"/>
    <cellStyle name="20 % - Markeringsfarve5 2 8 2 3" xfId="11262" xr:uid="{00000000-0005-0000-0000-00005E370000}"/>
    <cellStyle name="20 % - Markeringsfarve5 2 8 2 3 2" xfId="27582" xr:uid="{00000000-0005-0000-0000-00005F370000}"/>
    <cellStyle name="20 % - Markeringsfarve5 2 8 2 3 3" xfId="42548" xr:uid="{00000000-0005-0000-0000-000060370000}"/>
    <cellStyle name="20 % - Markeringsfarve5 2 8 2 4" xfId="20560" xr:uid="{00000000-0005-0000-0000-000061370000}"/>
    <cellStyle name="20 % - Markeringsfarve5 2 8 2 5" xfId="35549" xr:uid="{00000000-0005-0000-0000-000062370000}"/>
    <cellStyle name="20 % - Markeringsfarve5 2 8 3" xfId="2703" xr:uid="{00000000-0005-0000-0000-000063370000}"/>
    <cellStyle name="20 % - Markeringsfarve5 2 8 3 2" xfId="7333" xr:uid="{00000000-0005-0000-0000-000064370000}"/>
    <cellStyle name="20 % - Markeringsfarve5 2 8 3 2 2" xfId="15244" xr:uid="{00000000-0005-0000-0000-000065370000}"/>
    <cellStyle name="20 % - Markeringsfarve5 2 8 3 2 2 2" xfId="31559" xr:uid="{00000000-0005-0000-0000-000066370000}"/>
    <cellStyle name="20 % - Markeringsfarve5 2 8 3 2 2 3" xfId="46523" xr:uid="{00000000-0005-0000-0000-000067370000}"/>
    <cellStyle name="20 % - Markeringsfarve5 2 8 3 2 3" xfId="24537" xr:uid="{00000000-0005-0000-0000-000068370000}"/>
    <cellStyle name="20 % - Markeringsfarve5 2 8 3 2 4" xfId="39524" xr:uid="{00000000-0005-0000-0000-000069370000}"/>
    <cellStyle name="20 % - Markeringsfarve5 2 8 3 3" xfId="11263" xr:uid="{00000000-0005-0000-0000-00006A370000}"/>
    <cellStyle name="20 % - Markeringsfarve5 2 8 3 3 2" xfId="27583" xr:uid="{00000000-0005-0000-0000-00006B370000}"/>
    <cellStyle name="20 % - Markeringsfarve5 2 8 3 3 3" xfId="42549" xr:uid="{00000000-0005-0000-0000-00006C370000}"/>
    <cellStyle name="20 % - Markeringsfarve5 2 8 3 4" xfId="20561" xr:uid="{00000000-0005-0000-0000-00006D370000}"/>
    <cellStyle name="20 % - Markeringsfarve5 2 8 3 5" xfId="35550" xr:uid="{00000000-0005-0000-0000-00006E370000}"/>
    <cellStyle name="20 % - Markeringsfarve5 2 8 4" xfId="5592" xr:uid="{00000000-0005-0000-0000-00006F370000}"/>
    <cellStyle name="20 % - Markeringsfarve5 2 8 4 2" xfId="13511" xr:uid="{00000000-0005-0000-0000-000070370000}"/>
    <cellStyle name="20 % - Markeringsfarve5 2 8 4 2 2" xfId="29826" xr:uid="{00000000-0005-0000-0000-000071370000}"/>
    <cellStyle name="20 % - Markeringsfarve5 2 8 4 2 3" xfId="44790" xr:uid="{00000000-0005-0000-0000-000072370000}"/>
    <cellStyle name="20 % - Markeringsfarve5 2 8 4 3" xfId="22804" xr:uid="{00000000-0005-0000-0000-000073370000}"/>
    <cellStyle name="20 % - Markeringsfarve5 2 8 4 4" xfId="37791" xr:uid="{00000000-0005-0000-0000-000074370000}"/>
    <cellStyle name="20 % - Markeringsfarve5 2 8 5" xfId="11261" xr:uid="{00000000-0005-0000-0000-000075370000}"/>
    <cellStyle name="20 % - Markeringsfarve5 2 8 5 2" xfId="27581" xr:uid="{00000000-0005-0000-0000-000076370000}"/>
    <cellStyle name="20 % - Markeringsfarve5 2 8 5 3" xfId="42547" xr:uid="{00000000-0005-0000-0000-000077370000}"/>
    <cellStyle name="20 % - Markeringsfarve5 2 8 6" xfId="20559" xr:uid="{00000000-0005-0000-0000-000078370000}"/>
    <cellStyle name="20 % - Markeringsfarve5 2 8 7" xfId="35548" xr:uid="{00000000-0005-0000-0000-000079370000}"/>
    <cellStyle name="20 % - Markeringsfarve5 2 9" xfId="2704" xr:uid="{00000000-0005-0000-0000-00007A370000}"/>
    <cellStyle name="20 % - Markeringsfarve5 2 9 2" xfId="7462" xr:uid="{00000000-0005-0000-0000-00007B370000}"/>
    <cellStyle name="20 % - Markeringsfarve5 2 9 2 2" xfId="15364" xr:uid="{00000000-0005-0000-0000-00007C370000}"/>
    <cellStyle name="20 % - Markeringsfarve5 2 9 2 2 2" xfId="31679" xr:uid="{00000000-0005-0000-0000-00007D370000}"/>
    <cellStyle name="20 % - Markeringsfarve5 2 9 2 2 3" xfId="46643" xr:uid="{00000000-0005-0000-0000-00007E370000}"/>
    <cellStyle name="20 % - Markeringsfarve5 2 9 2 3" xfId="24657" xr:uid="{00000000-0005-0000-0000-00007F370000}"/>
    <cellStyle name="20 % - Markeringsfarve5 2 9 2 4" xfId="39644" xr:uid="{00000000-0005-0000-0000-000080370000}"/>
    <cellStyle name="20 % - Markeringsfarve5 2 9 3" xfId="11264" xr:uid="{00000000-0005-0000-0000-000081370000}"/>
    <cellStyle name="20 % - Markeringsfarve5 2 9 3 2" xfId="27584" xr:uid="{00000000-0005-0000-0000-000082370000}"/>
    <cellStyle name="20 % - Markeringsfarve5 2 9 3 3" xfId="42550" xr:uid="{00000000-0005-0000-0000-000083370000}"/>
    <cellStyle name="20 % - Markeringsfarve5 2 9 4" xfId="20562" xr:uid="{00000000-0005-0000-0000-000084370000}"/>
    <cellStyle name="20 % - Markeringsfarve5 2 9 5" xfId="35551" xr:uid="{00000000-0005-0000-0000-000085370000}"/>
    <cellStyle name="20 % - Markeringsfarve5 3" xfId="2705" xr:uid="{00000000-0005-0000-0000-000086370000}"/>
    <cellStyle name="20 % - Markeringsfarve5 3 10" xfId="2706" xr:uid="{00000000-0005-0000-0000-000087370000}"/>
    <cellStyle name="20 % - Markeringsfarve5 3 10 2" xfId="6675" xr:uid="{00000000-0005-0000-0000-000088370000}"/>
    <cellStyle name="20 % - Markeringsfarve5 3 10 2 2" xfId="14588" xr:uid="{00000000-0005-0000-0000-000089370000}"/>
    <cellStyle name="20 % - Markeringsfarve5 3 10 2 2 2" xfId="30903" xr:uid="{00000000-0005-0000-0000-00008A370000}"/>
    <cellStyle name="20 % - Markeringsfarve5 3 10 2 2 3" xfId="45867" xr:uid="{00000000-0005-0000-0000-00008B370000}"/>
    <cellStyle name="20 % - Markeringsfarve5 3 10 2 3" xfId="23881" xr:uid="{00000000-0005-0000-0000-00008C370000}"/>
    <cellStyle name="20 % - Markeringsfarve5 3 10 2 4" xfId="38868" xr:uid="{00000000-0005-0000-0000-00008D370000}"/>
    <cellStyle name="20 % - Markeringsfarve5 3 10 3" xfId="11266" xr:uid="{00000000-0005-0000-0000-00008E370000}"/>
    <cellStyle name="20 % - Markeringsfarve5 3 10 3 2" xfId="27586" xr:uid="{00000000-0005-0000-0000-00008F370000}"/>
    <cellStyle name="20 % - Markeringsfarve5 3 10 3 3" xfId="42552" xr:uid="{00000000-0005-0000-0000-000090370000}"/>
    <cellStyle name="20 % - Markeringsfarve5 3 10 4" xfId="20564" xr:uid="{00000000-0005-0000-0000-000091370000}"/>
    <cellStyle name="20 % - Markeringsfarve5 3 10 5" xfId="35553" xr:uid="{00000000-0005-0000-0000-000092370000}"/>
    <cellStyle name="20 % - Markeringsfarve5 3 11" xfId="5593" xr:uid="{00000000-0005-0000-0000-000093370000}"/>
    <cellStyle name="20 % - Markeringsfarve5 3 11 2" xfId="13512" xr:uid="{00000000-0005-0000-0000-000094370000}"/>
    <cellStyle name="20 % - Markeringsfarve5 3 11 2 2" xfId="29827" xr:uid="{00000000-0005-0000-0000-000095370000}"/>
    <cellStyle name="20 % - Markeringsfarve5 3 11 2 3" xfId="44791" xr:uid="{00000000-0005-0000-0000-000096370000}"/>
    <cellStyle name="20 % - Markeringsfarve5 3 11 3" xfId="22805" xr:uid="{00000000-0005-0000-0000-000097370000}"/>
    <cellStyle name="20 % - Markeringsfarve5 3 11 4" xfId="37792" xr:uid="{00000000-0005-0000-0000-000098370000}"/>
    <cellStyle name="20 % - Markeringsfarve5 3 12" xfId="11265" xr:uid="{00000000-0005-0000-0000-000099370000}"/>
    <cellStyle name="20 % - Markeringsfarve5 3 12 2" xfId="27585" xr:uid="{00000000-0005-0000-0000-00009A370000}"/>
    <cellStyle name="20 % - Markeringsfarve5 3 12 3" xfId="42551" xr:uid="{00000000-0005-0000-0000-00009B370000}"/>
    <cellStyle name="20 % - Markeringsfarve5 3 13" xfId="20563" xr:uid="{00000000-0005-0000-0000-00009C370000}"/>
    <cellStyle name="20 % - Markeringsfarve5 3 14" xfId="35552" xr:uid="{00000000-0005-0000-0000-00009D370000}"/>
    <cellStyle name="20 % - Markeringsfarve5 3 15" xfId="53293" xr:uid="{00000000-0005-0000-0000-00009E370000}"/>
    <cellStyle name="20 % - Markeringsfarve5 3 2" xfId="2707" xr:uid="{00000000-0005-0000-0000-00009F370000}"/>
    <cellStyle name="20 % - Markeringsfarve5 3 2 10" xfId="11267" xr:uid="{00000000-0005-0000-0000-0000A0370000}"/>
    <cellStyle name="20 % - Markeringsfarve5 3 2 10 2" xfId="27587" xr:uid="{00000000-0005-0000-0000-0000A1370000}"/>
    <cellStyle name="20 % - Markeringsfarve5 3 2 10 3" xfId="42553" xr:uid="{00000000-0005-0000-0000-0000A2370000}"/>
    <cellStyle name="20 % - Markeringsfarve5 3 2 11" xfId="20565" xr:uid="{00000000-0005-0000-0000-0000A3370000}"/>
    <cellStyle name="20 % - Markeringsfarve5 3 2 12" xfId="35554" xr:uid="{00000000-0005-0000-0000-0000A4370000}"/>
    <cellStyle name="20 % - Markeringsfarve5 3 2 13" xfId="53930" xr:uid="{00000000-0005-0000-0000-0000A5370000}"/>
    <cellStyle name="20 % - Markeringsfarve5 3 2 2" xfId="2708" xr:uid="{00000000-0005-0000-0000-0000A6370000}"/>
    <cellStyle name="20 % - Markeringsfarve5 3 2 2 2" xfId="2709" xr:uid="{00000000-0005-0000-0000-0000A7370000}"/>
    <cellStyle name="20 % - Markeringsfarve5 3 2 2 2 2" xfId="7608" xr:uid="{00000000-0005-0000-0000-0000A8370000}"/>
    <cellStyle name="20 % - Markeringsfarve5 3 2 2 2 2 2" xfId="15510" xr:uid="{00000000-0005-0000-0000-0000A9370000}"/>
    <cellStyle name="20 % - Markeringsfarve5 3 2 2 2 2 2 2" xfId="31825" xr:uid="{00000000-0005-0000-0000-0000AA370000}"/>
    <cellStyle name="20 % - Markeringsfarve5 3 2 2 2 2 2 3" xfId="46789" xr:uid="{00000000-0005-0000-0000-0000AB370000}"/>
    <cellStyle name="20 % - Markeringsfarve5 3 2 2 2 2 3" xfId="24803" xr:uid="{00000000-0005-0000-0000-0000AC370000}"/>
    <cellStyle name="20 % - Markeringsfarve5 3 2 2 2 2 4" xfId="39790" xr:uid="{00000000-0005-0000-0000-0000AD370000}"/>
    <cellStyle name="20 % - Markeringsfarve5 3 2 2 2 3" xfId="11269" xr:uid="{00000000-0005-0000-0000-0000AE370000}"/>
    <cellStyle name="20 % - Markeringsfarve5 3 2 2 2 3 2" xfId="27589" xr:uid="{00000000-0005-0000-0000-0000AF370000}"/>
    <cellStyle name="20 % - Markeringsfarve5 3 2 2 2 3 3" xfId="42555" xr:uid="{00000000-0005-0000-0000-0000B0370000}"/>
    <cellStyle name="20 % - Markeringsfarve5 3 2 2 2 4" xfId="20567" xr:uid="{00000000-0005-0000-0000-0000B1370000}"/>
    <cellStyle name="20 % - Markeringsfarve5 3 2 2 2 5" xfId="35556" xr:uid="{00000000-0005-0000-0000-0000B2370000}"/>
    <cellStyle name="20 % - Markeringsfarve5 3 2 2 3" xfId="2710" xr:uid="{00000000-0005-0000-0000-0000B3370000}"/>
    <cellStyle name="20 % - Markeringsfarve5 3 2 2 3 2" xfId="6838" xr:uid="{00000000-0005-0000-0000-0000B4370000}"/>
    <cellStyle name="20 % - Markeringsfarve5 3 2 2 3 2 2" xfId="14750" xr:uid="{00000000-0005-0000-0000-0000B5370000}"/>
    <cellStyle name="20 % - Markeringsfarve5 3 2 2 3 2 2 2" xfId="31065" xr:uid="{00000000-0005-0000-0000-0000B6370000}"/>
    <cellStyle name="20 % - Markeringsfarve5 3 2 2 3 2 2 3" xfId="46029" xr:uid="{00000000-0005-0000-0000-0000B7370000}"/>
    <cellStyle name="20 % - Markeringsfarve5 3 2 2 3 2 3" xfId="24043" xr:uid="{00000000-0005-0000-0000-0000B8370000}"/>
    <cellStyle name="20 % - Markeringsfarve5 3 2 2 3 2 4" xfId="39030" xr:uid="{00000000-0005-0000-0000-0000B9370000}"/>
    <cellStyle name="20 % - Markeringsfarve5 3 2 2 3 3" xfId="11270" xr:uid="{00000000-0005-0000-0000-0000BA370000}"/>
    <cellStyle name="20 % - Markeringsfarve5 3 2 2 3 3 2" xfId="27590" xr:uid="{00000000-0005-0000-0000-0000BB370000}"/>
    <cellStyle name="20 % - Markeringsfarve5 3 2 2 3 3 3" xfId="42556" xr:uid="{00000000-0005-0000-0000-0000BC370000}"/>
    <cellStyle name="20 % - Markeringsfarve5 3 2 2 3 4" xfId="20568" xr:uid="{00000000-0005-0000-0000-0000BD370000}"/>
    <cellStyle name="20 % - Markeringsfarve5 3 2 2 3 5" xfId="35557" xr:uid="{00000000-0005-0000-0000-0000BE370000}"/>
    <cellStyle name="20 % - Markeringsfarve5 3 2 2 4" xfId="5595" xr:uid="{00000000-0005-0000-0000-0000BF370000}"/>
    <cellStyle name="20 % - Markeringsfarve5 3 2 2 4 2" xfId="13514" xr:uid="{00000000-0005-0000-0000-0000C0370000}"/>
    <cellStyle name="20 % - Markeringsfarve5 3 2 2 4 2 2" xfId="29829" xr:uid="{00000000-0005-0000-0000-0000C1370000}"/>
    <cellStyle name="20 % - Markeringsfarve5 3 2 2 4 2 3" xfId="44793" xr:uid="{00000000-0005-0000-0000-0000C2370000}"/>
    <cellStyle name="20 % - Markeringsfarve5 3 2 2 4 3" xfId="22807" xr:uid="{00000000-0005-0000-0000-0000C3370000}"/>
    <cellStyle name="20 % - Markeringsfarve5 3 2 2 4 4" xfId="37794" xr:uid="{00000000-0005-0000-0000-0000C4370000}"/>
    <cellStyle name="20 % - Markeringsfarve5 3 2 2 5" xfId="11268" xr:uid="{00000000-0005-0000-0000-0000C5370000}"/>
    <cellStyle name="20 % - Markeringsfarve5 3 2 2 5 2" xfId="27588" xr:uid="{00000000-0005-0000-0000-0000C6370000}"/>
    <cellStyle name="20 % - Markeringsfarve5 3 2 2 5 3" xfId="42554" xr:uid="{00000000-0005-0000-0000-0000C7370000}"/>
    <cellStyle name="20 % - Markeringsfarve5 3 2 2 6" xfId="20566" xr:uid="{00000000-0005-0000-0000-0000C8370000}"/>
    <cellStyle name="20 % - Markeringsfarve5 3 2 2 7" xfId="35555" xr:uid="{00000000-0005-0000-0000-0000C9370000}"/>
    <cellStyle name="20 % - Markeringsfarve5 3 2 2 8" xfId="57097" xr:uid="{00000000-0005-0000-0000-0000CA370000}"/>
    <cellStyle name="20 % - Markeringsfarve5 3 2 3" xfId="2711" xr:uid="{00000000-0005-0000-0000-0000CB370000}"/>
    <cellStyle name="20 % - Markeringsfarve5 3 2 3 2" xfId="2712" xr:uid="{00000000-0005-0000-0000-0000CC370000}"/>
    <cellStyle name="20 % - Markeringsfarve5 3 2 3 2 2" xfId="7706" xr:uid="{00000000-0005-0000-0000-0000CD370000}"/>
    <cellStyle name="20 % - Markeringsfarve5 3 2 3 2 2 2" xfId="15608" xr:uid="{00000000-0005-0000-0000-0000CE370000}"/>
    <cellStyle name="20 % - Markeringsfarve5 3 2 3 2 2 2 2" xfId="31923" xr:uid="{00000000-0005-0000-0000-0000CF370000}"/>
    <cellStyle name="20 % - Markeringsfarve5 3 2 3 2 2 2 3" xfId="46887" xr:uid="{00000000-0005-0000-0000-0000D0370000}"/>
    <cellStyle name="20 % - Markeringsfarve5 3 2 3 2 2 3" xfId="24901" xr:uid="{00000000-0005-0000-0000-0000D1370000}"/>
    <cellStyle name="20 % - Markeringsfarve5 3 2 3 2 2 4" xfId="39888" xr:uid="{00000000-0005-0000-0000-0000D2370000}"/>
    <cellStyle name="20 % - Markeringsfarve5 3 2 3 2 3" xfId="11272" xr:uid="{00000000-0005-0000-0000-0000D3370000}"/>
    <cellStyle name="20 % - Markeringsfarve5 3 2 3 2 3 2" xfId="27592" xr:uid="{00000000-0005-0000-0000-0000D4370000}"/>
    <cellStyle name="20 % - Markeringsfarve5 3 2 3 2 3 3" xfId="42558" xr:uid="{00000000-0005-0000-0000-0000D5370000}"/>
    <cellStyle name="20 % - Markeringsfarve5 3 2 3 2 4" xfId="20570" xr:uid="{00000000-0005-0000-0000-0000D6370000}"/>
    <cellStyle name="20 % - Markeringsfarve5 3 2 3 2 5" xfId="35559" xr:uid="{00000000-0005-0000-0000-0000D7370000}"/>
    <cellStyle name="20 % - Markeringsfarve5 3 2 3 3" xfId="2713" xr:uid="{00000000-0005-0000-0000-0000D8370000}"/>
    <cellStyle name="20 % - Markeringsfarve5 3 2 3 3 2" xfId="6936" xr:uid="{00000000-0005-0000-0000-0000D9370000}"/>
    <cellStyle name="20 % - Markeringsfarve5 3 2 3 3 2 2" xfId="14848" xr:uid="{00000000-0005-0000-0000-0000DA370000}"/>
    <cellStyle name="20 % - Markeringsfarve5 3 2 3 3 2 2 2" xfId="31163" xr:uid="{00000000-0005-0000-0000-0000DB370000}"/>
    <cellStyle name="20 % - Markeringsfarve5 3 2 3 3 2 2 3" xfId="46127" xr:uid="{00000000-0005-0000-0000-0000DC370000}"/>
    <cellStyle name="20 % - Markeringsfarve5 3 2 3 3 2 3" xfId="24141" xr:uid="{00000000-0005-0000-0000-0000DD370000}"/>
    <cellStyle name="20 % - Markeringsfarve5 3 2 3 3 2 4" xfId="39128" xr:uid="{00000000-0005-0000-0000-0000DE370000}"/>
    <cellStyle name="20 % - Markeringsfarve5 3 2 3 3 3" xfId="11273" xr:uid="{00000000-0005-0000-0000-0000DF370000}"/>
    <cellStyle name="20 % - Markeringsfarve5 3 2 3 3 3 2" xfId="27593" xr:uid="{00000000-0005-0000-0000-0000E0370000}"/>
    <cellStyle name="20 % - Markeringsfarve5 3 2 3 3 3 3" xfId="42559" xr:uid="{00000000-0005-0000-0000-0000E1370000}"/>
    <cellStyle name="20 % - Markeringsfarve5 3 2 3 3 4" xfId="20571" xr:uid="{00000000-0005-0000-0000-0000E2370000}"/>
    <cellStyle name="20 % - Markeringsfarve5 3 2 3 3 5" xfId="35560" xr:uid="{00000000-0005-0000-0000-0000E3370000}"/>
    <cellStyle name="20 % - Markeringsfarve5 3 2 3 4" xfId="5596" xr:uid="{00000000-0005-0000-0000-0000E4370000}"/>
    <cellStyle name="20 % - Markeringsfarve5 3 2 3 4 2" xfId="13515" xr:uid="{00000000-0005-0000-0000-0000E5370000}"/>
    <cellStyle name="20 % - Markeringsfarve5 3 2 3 4 2 2" xfId="29830" xr:uid="{00000000-0005-0000-0000-0000E6370000}"/>
    <cellStyle name="20 % - Markeringsfarve5 3 2 3 4 2 3" xfId="44794" xr:uid="{00000000-0005-0000-0000-0000E7370000}"/>
    <cellStyle name="20 % - Markeringsfarve5 3 2 3 4 3" xfId="22808" xr:uid="{00000000-0005-0000-0000-0000E8370000}"/>
    <cellStyle name="20 % - Markeringsfarve5 3 2 3 4 4" xfId="37795" xr:uid="{00000000-0005-0000-0000-0000E9370000}"/>
    <cellStyle name="20 % - Markeringsfarve5 3 2 3 5" xfId="11271" xr:uid="{00000000-0005-0000-0000-0000EA370000}"/>
    <cellStyle name="20 % - Markeringsfarve5 3 2 3 5 2" xfId="27591" xr:uid="{00000000-0005-0000-0000-0000EB370000}"/>
    <cellStyle name="20 % - Markeringsfarve5 3 2 3 5 3" xfId="42557" xr:uid="{00000000-0005-0000-0000-0000EC370000}"/>
    <cellStyle name="20 % - Markeringsfarve5 3 2 3 6" xfId="20569" xr:uid="{00000000-0005-0000-0000-0000ED370000}"/>
    <cellStyle name="20 % - Markeringsfarve5 3 2 3 7" xfId="35558" xr:uid="{00000000-0005-0000-0000-0000EE370000}"/>
    <cellStyle name="20 % - Markeringsfarve5 3 2 4" xfId="2714" xr:uid="{00000000-0005-0000-0000-0000EF370000}"/>
    <cellStyle name="20 % - Markeringsfarve5 3 2 4 2" xfId="2715" xr:uid="{00000000-0005-0000-0000-0000F0370000}"/>
    <cellStyle name="20 % - Markeringsfarve5 3 2 4 2 2" xfId="7846" xr:uid="{00000000-0005-0000-0000-0000F1370000}"/>
    <cellStyle name="20 % - Markeringsfarve5 3 2 4 2 2 2" xfId="15748" xr:uid="{00000000-0005-0000-0000-0000F2370000}"/>
    <cellStyle name="20 % - Markeringsfarve5 3 2 4 2 2 2 2" xfId="32063" xr:uid="{00000000-0005-0000-0000-0000F3370000}"/>
    <cellStyle name="20 % - Markeringsfarve5 3 2 4 2 2 2 3" xfId="47027" xr:uid="{00000000-0005-0000-0000-0000F4370000}"/>
    <cellStyle name="20 % - Markeringsfarve5 3 2 4 2 2 3" xfId="25041" xr:uid="{00000000-0005-0000-0000-0000F5370000}"/>
    <cellStyle name="20 % - Markeringsfarve5 3 2 4 2 2 4" xfId="40028" xr:uid="{00000000-0005-0000-0000-0000F6370000}"/>
    <cellStyle name="20 % - Markeringsfarve5 3 2 4 2 3" xfId="11275" xr:uid="{00000000-0005-0000-0000-0000F7370000}"/>
    <cellStyle name="20 % - Markeringsfarve5 3 2 4 2 3 2" xfId="27595" xr:uid="{00000000-0005-0000-0000-0000F8370000}"/>
    <cellStyle name="20 % - Markeringsfarve5 3 2 4 2 3 3" xfId="42561" xr:uid="{00000000-0005-0000-0000-0000F9370000}"/>
    <cellStyle name="20 % - Markeringsfarve5 3 2 4 2 4" xfId="20573" xr:uid="{00000000-0005-0000-0000-0000FA370000}"/>
    <cellStyle name="20 % - Markeringsfarve5 3 2 4 2 5" xfId="35562" xr:uid="{00000000-0005-0000-0000-0000FB370000}"/>
    <cellStyle name="20 % - Markeringsfarve5 3 2 4 3" xfId="2716" xr:uid="{00000000-0005-0000-0000-0000FC370000}"/>
    <cellStyle name="20 % - Markeringsfarve5 3 2 4 3 2" xfId="7122" xr:uid="{00000000-0005-0000-0000-0000FD370000}"/>
    <cellStyle name="20 % - Markeringsfarve5 3 2 4 3 2 2" xfId="15033" xr:uid="{00000000-0005-0000-0000-0000FE370000}"/>
    <cellStyle name="20 % - Markeringsfarve5 3 2 4 3 2 2 2" xfId="31348" xr:uid="{00000000-0005-0000-0000-0000FF370000}"/>
    <cellStyle name="20 % - Markeringsfarve5 3 2 4 3 2 2 3" xfId="46312" xr:uid="{00000000-0005-0000-0000-000000380000}"/>
    <cellStyle name="20 % - Markeringsfarve5 3 2 4 3 2 3" xfId="24326" xr:uid="{00000000-0005-0000-0000-000001380000}"/>
    <cellStyle name="20 % - Markeringsfarve5 3 2 4 3 2 4" xfId="39313" xr:uid="{00000000-0005-0000-0000-000002380000}"/>
    <cellStyle name="20 % - Markeringsfarve5 3 2 4 3 3" xfId="11276" xr:uid="{00000000-0005-0000-0000-000003380000}"/>
    <cellStyle name="20 % - Markeringsfarve5 3 2 4 3 3 2" xfId="27596" xr:uid="{00000000-0005-0000-0000-000004380000}"/>
    <cellStyle name="20 % - Markeringsfarve5 3 2 4 3 3 3" xfId="42562" xr:uid="{00000000-0005-0000-0000-000005380000}"/>
    <cellStyle name="20 % - Markeringsfarve5 3 2 4 3 4" xfId="20574" xr:uid="{00000000-0005-0000-0000-000006380000}"/>
    <cellStyle name="20 % - Markeringsfarve5 3 2 4 3 5" xfId="35563" xr:uid="{00000000-0005-0000-0000-000007380000}"/>
    <cellStyle name="20 % - Markeringsfarve5 3 2 4 4" xfId="5597" xr:uid="{00000000-0005-0000-0000-000008380000}"/>
    <cellStyle name="20 % - Markeringsfarve5 3 2 4 4 2" xfId="13516" xr:uid="{00000000-0005-0000-0000-000009380000}"/>
    <cellStyle name="20 % - Markeringsfarve5 3 2 4 4 2 2" xfId="29831" xr:uid="{00000000-0005-0000-0000-00000A380000}"/>
    <cellStyle name="20 % - Markeringsfarve5 3 2 4 4 2 3" xfId="44795" xr:uid="{00000000-0005-0000-0000-00000B380000}"/>
    <cellStyle name="20 % - Markeringsfarve5 3 2 4 4 3" xfId="22809" xr:uid="{00000000-0005-0000-0000-00000C380000}"/>
    <cellStyle name="20 % - Markeringsfarve5 3 2 4 4 4" xfId="37796" xr:uid="{00000000-0005-0000-0000-00000D380000}"/>
    <cellStyle name="20 % - Markeringsfarve5 3 2 4 5" xfId="11274" xr:uid="{00000000-0005-0000-0000-00000E380000}"/>
    <cellStyle name="20 % - Markeringsfarve5 3 2 4 5 2" xfId="27594" xr:uid="{00000000-0005-0000-0000-00000F380000}"/>
    <cellStyle name="20 % - Markeringsfarve5 3 2 4 5 3" xfId="42560" xr:uid="{00000000-0005-0000-0000-000010380000}"/>
    <cellStyle name="20 % - Markeringsfarve5 3 2 4 6" xfId="20572" xr:uid="{00000000-0005-0000-0000-000011380000}"/>
    <cellStyle name="20 % - Markeringsfarve5 3 2 4 7" xfId="35561" xr:uid="{00000000-0005-0000-0000-000012380000}"/>
    <cellStyle name="20 % - Markeringsfarve5 3 2 5" xfId="2717" xr:uid="{00000000-0005-0000-0000-000013380000}"/>
    <cellStyle name="20 % - Markeringsfarve5 3 2 5 2" xfId="2718" xr:uid="{00000000-0005-0000-0000-000014380000}"/>
    <cellStyle name="20 % - Markeringsfarve5 3 2 5 2 2" xfId="7963" xr:uid="{00000000-0005-0000-0000-000015380000}"/>
    <cellStyle name="20 % - Markeringsfarve5 3 2 5 2 2 2" xfId="15865" xr:uid="{00000000-0005-0000-0000-000016380000}"/>
    <cellStyle name="20 % - Markeringsfarve5 3 2 5 2 2 2 2" xfId="32180" xr:uid="{00000000-0005-0000-0000-000017380000}"/>
    <cellStyle name="20 % - Markeringsfarve5 3 2 5 2 2 2 3" xfId="47144" xr:uid="{00000000-0005-0000-0000-000018380000}"/>
    <cellStyle name="20 % - Markeringsfarve5 3 2 5 2 2 3" xfId="25158" xr:uid="{00000000-0005-0000-0000-000019380000}"/>
    <cellStyle name="20 % - Markeringsfarve5 3 2 5 2 2 4" xfId="40145" xr:uid="{00000000-0005-0000-0000-00001A380000}"/>
    <cellStyle name="20 % - Markeringsfarve5 3 2 5 2 3" xfId="11278" xr:uid="{00000000-0005-0000-0000-00001B380000}"/>
    <cellStyle name="20 % - Markeringsfarve5 3 2 5 2 3 2" xfId="27598" xr:uid="{00000000-0005-0000-0000-00001C380000}"/>
    <cellStyle name="20 % - Markeringsfarve5 3 2 5 2 3 3" xfId="42564" xr:uid="{00000000-0005-0000-0000-00001D380000}"/>
    <cellStyle name="20 % - Markeringsfarve5 3 2 5 2 4" xfId="20576" xr:uid="{00000000-0005-0000-0000-00001E380000}"/>
    <cellStyle name="20 % - Markeringsfarve5 3 2 5 2 5" xfId="35565" xr:uid="{00000000-0005-0000-0000-00001F380000}"/>
    <cellStyle name="20 % - Markeringsfarve5 3 2 5 3" xfId="2719" xr:uid="{00000000-0005-0000-0000-000020380000}"/>
    <cellStyle name="20 % - Markeringsfarve5 3 2 5 3 2" xfId="7239" xr:uid="{00000000-0005-0000-0000-000021380000}"/>
    <cellStyle name="20 % - Markeringsfarve5 3 2 5 3 2 2" xfId="15150" xr:uid="{00000000-0005-0000-0000-000022380000}"/>
    <cellStyle name="20 % - Markeringsfarve5 3 2 5 3 2 2 2" xfId="31465" xr:uid="{00000000-0005-0000-0000-000023380000}"/>
    <cellStyle name="20 % - Markeringsfarve5 3 2 5 3 2 2 3" xfId="46429" xr:uid="{00000000-0005-0000-0000-000024380000}"/>
    <cellStyle name="20 % - Markeringsfarve5 3 2 5 3 2 3" xfId="24443" xr:uid="{00000000-0005-0000-0000-000025380000}"/>
    <cellStyle name="20 % - Markeringsfarve5 3 2 5 3 2 4" xfId="39430" xr:uid="{00000000-0005-0000-0000-000026380000}"/>
    <cellStyle name="20 % - Markeringsfarve5 3 2 5 3 3" xfId="11279" xr:uid="{00000000-0005-0000-0000-000027380000}"/>
    <cellStyle name="20 % - Markeringsfarve5 3 2 5 3 3 2" xfId="27599" xr:uid="{00000000-0005-0000-0000-000028380000}"/>
    <cellStyle name="20 % - Markeringsfarve5 3 2 5 3 3 3" xfId="42565" xr:uid="{00000000-0005-0000-0000-000029380000}"/>
    <cellStyle name="20 % - Markeringsfarve5 3 2 5 3 4" xfId="20577" xr:uid="{00000000-0005-0000-0000-00002A380000}"/>
    <cellStyle name="20 % - Markeringsfarve5 3 2 5 3 5" xfId="35566" xr:uid="{00000000-0005-0000-0000-00002B380000}"/>
    <cellStyle name="20 % - Markeringsfarve5 3 2 5 4" xfId="5598" xr:uid="{00000000-0005-0000-0000-00002C380000}"/>
    <cellStyle name="20 % - Markeringsfarve5 3 2 5 4 2" xfId="13517" xr:uid="{00000000-0005-0000-0000-00002D380000}"/>
    <cellStyle name="20 % - Markeringsfarve5 3 2 5 4 2 2" xfId="29832" xr:uid="{00000000-0005-0000-0000-00002E380000}"/>
    <cellStyle name="20 % - Markeringsfarve5 3 2 5 4 2 3" xfId="44796" xr:uid="{00000000-0005-0000-0000-00002F380000}"/>
    <cellStyle name="20 % - Markeringsfarve5 3 2 5 4 3" xfId="22810" xr:uid="{00000000-0005-0000-0000-000030380000}"/>
    <cellStyle name="20 % - Markeringsfarve5 3 2 5 4 4" xfId="37797" xr:uid="{00000000-0005-0000-0000-000031380000}"/>
    <cellStyle name="20 % - Markeringsfarve5 3 2 5 5" xfId="11277" xr:uid="{00000000-0005-0000-0000-000032380000}"/>
    <cellStyle name="20 % - Markeringsfarve5 3 2 5 5 2" xfId="27597" xr:uid="{00000000-0005-0000-0000-000033380000}"/>
    <cellStyle name="20 % - Markeringsfarve5 3 2 5 5 3" xfId="42563" xr:uid="{00000000-0005-0000-0000-000034380000}"/>
    <cellStyle name="20 % - Markeringsfarve5 3 2 5 6" xfId="20575" xr:uid="{00000000-0005-0000-0000-000035380000}"/>
    <cellStyle name="20 % - Markeringsfarve5 3 2 5 7" xfId="35564" xr:uid="{00000000-0005-0000-0000-000036380000}"/>
    <cellStyle name="20 % - Markeringsfarve5 3 2 6" xfId="2720" xr:uid="{00000000-0005-0000-0000-000037380000}"/>
    <cellStyle name="20 % - Markeringsfarve5 3 2 6 2" xfId="2721" xr:uid="{00000000-0005-0000-0000-000038380000}"/>
    <cellStyle name="20 % - Markeringsfarve5 3 2 6 2 2" xfId="8060" xr:uid="{00000000-0005-0000-0000-000039380000}"/>
    <cellStyle name="20 % - Markeringsfarve5 3 2 6 2 2 2" xfId="15962" xr:uid="{00000000-0005-0000-0000-00003A380000}"/>
    <cellStyle name="20 % - Markeringsfarve5 3 2 6 2 2 2 2" xfId="32277" xr:uid="{00000000-0005-0000-0000-00003B380000}"/>
    <cellStyle name="20 % - Markeringsfarve5 3 2 6 2 2 2 3" xfId="47241" xr:uid="{00000000-0005-0000-0000-00003C380000}"/>
    <cellStyle name="20 % - Markeringsfarve5 3 2 6 2 2 3" xfId="25255" xr:uid="{00000000-0005-0000-0000-00003D380000}"/>
    <cellStyle name="20 % - Markeringsfarve5 3 2 6 2 2 4" xfId="40242" xr:uid="{00000000-0005-0000-0000-00003E380000}"/>
    <cellStyle name="20 % - Markeringsfarve5 3 2 6 2 3" xfId="11281" xr:uid="{00000000-0005-0000-0000-00003F380000}"/>
    <cellStyle name="20 % - Markeringsfarve5 3 2 6 2 3 2" xfId="27601" xr:uid="{00000000-0005-0000-0000-000040380000}"/>
    <cellStyle name="20 % - Markeringsfarve5 3 2 6 2 3 3" xfId="42567" xr:uid="{00000000-0005-0000-0000-000041380000}"/>
    <cellStyle name="20 % - Markeringsfarve5 3 2 6 2 4" xfId="20579" xr:uid="{00000000-0005-0000-0000-000042380000}"/>
    <cellStyle name="20 % - Markeringsfarve5 3 2 6 2 5" xfId="35568" xr:uid="{00000000-0005-0000-0000-000043380000}"/>
    <cellStyle name="20 % - Markeringsfarve5 3 2 6 3" xfId="2722" xr:uid="{00000000-0005-0000-0000-000044380000}"/>
    <cellStyle name="20 % - Markeringsfarve5 3 2 6 3 2" xfId="7337" xr:uid="{00000000-0005-0000-0000-000045380000}"/>
    <cellStyle name="20 % - Markeringsfarve5 3 2 6 3 2 2" xfId="15248" xr:uid="{00000000-0005-0000-0000-000046380000}"/>
    <cellStyle name="20 % - Markeringsfarve5 3 2 6 3 2 2 2" xfId="31563" xr:uid="{00000000-0005-0000-0000-000047380000}"/>
    <cellStyle name="20 % - Markeringsfarve5 3 2 6 3 2 2 3" xfId="46527" xr:uid="{00000000-0005-0000-0000-000048380000}"/>
    <cellStyle name="20 % - Markeringsfarve5 3 2 6 3 2 3" xfId="24541" xr:uid="{00000000-0005-0000-0000-000049380000}"/>
    <cellStyle name="20 % - Markeringsfarve5 3 2 6 3 2 4" xfId="39528" xr:uid="{00000000-0005-0000-0000-00004A380000}"/>
    <cellStyle name="20 % - Markeringsfarve5 3 2 6 3 3" xfId="11282" xr:uid="{00000000-0005-0000-0000-00004B380000}"/>
    <cellStyle name="20 % - Markeringsfarve5 3 2 6 3 3 2" xfId="27602" xr:uid="{00000000-0005-0000-0000-00004C380000}"/>
    <cellStyle name="20 % - Markeringsfarve5 3 2 6 3 3 3" xfId="42568" xr:uid="{00000000-0005-0000-0000-00004D380000}"/>
    <cellStyle name="20 % - Markeringsfarve5 3 2 6 3 4" xfId="20580" xr:uid="{00000000-0005-0000-0000-00004E380000}"/>
    <cellStyle name="20 % - Markeringsfarve5 3 2 6 3 5" xfId="35569" xr:uid="{00000000-0005-0000-0000-00004F380000}"/>
    <cellStyle name="20 % - Markeringsfarve5 3 2 6 4" xfId="5599" xr:uid="{00000000-0005-0000-0000-000050380000}"/>
    <cellStyle name="20 % - Markeringsfarve5 3 2 6 4 2" xfId="13518" xr:uid="{00000000-0005-0000-0000-000051380000}"/>
    <cellStyle name="20 % - Markeringsfarve5 3 2 6 4 2 2" xfId="29833" xr:uid="{00000000-0005-0000-0000-000052380000}"/>
    <cellStyle name="20 % - Markeringsfarve5 3 2 6 4 2 3" xfId="44797" xr:uid="{00000000-0005-0000-0000-000053380000}"/>
    <cellStyle name="20 % - Markeringsfarve5 3 2 6 4 3" xfId="22811" xr:uid="{00000000-0005-0000-0000-000054380000}"/>
    <cellStyle name="20 % - Markeringsfarve5 3 2 6 4 4" xfId="37798" xr:uid="{00000000-0005-0000-0000-000055380000}"/>
    <cellStyle name="20 % - Markeringsfarve5 3 2 6 5" xfId="11280" xr:uid="{00000000-0005-0000-0000-000056380000}"/>
    <cellStyle name="20 % - Markeringsfarve5 3 2 6 5 2" xfId="27600" xr:uid="{00000000-0005-0000-0000-000057380000}"/>
    <cellStyle name="20 % - Markeringsfarve5 3 2 6 5 3" xfId="42566" xr:uid="{00000000-0005-0000-0000-000058380000}"/>
    <cellStyle name="20 % - Markeringsfarve5 3 2 6 6" xfId="20578" xr:uid="{00000000-0005-0000-0000-000059380000}"/>
    <cellStyle name="20 % - Markeringsfarve5 3 2 6 7" xfId="35567" xr:uid="{00000000-0005-0000-0000-00005A380000}"/>
    <cellStyle name="20 % - Markeringsfarve5 3 2 7" xfId="2723" xr:uid="{00000000-0005-0000-0000-00005B380000}"/>
    <cellStyle name="20 % - Markeringsfarve5 3 2 7 2" xfId="7489" xr:uid="{00000000-0005-0000-0000-00005C380000}"/>
    <cellStyle name="20 % - Markeringsfarve5 3 2 7 2 2" xfId="15391" xr:uid="{00000000-0005-0000-0000-00005D380000}"/>
    <cellStyle name="20 % - Markeringsfarve5 3 2 7 2 2 2" xfId="31706" xr:uid="{00000000-0005-0000-0000-00005E380000}"/>
    <cellStyle name="20 % - Markeringsfarve5 3 2 7 2 2 3" xfId="46670" xr:uid="{00000000-0005-0000-0000-00005F380000}"/>
    <cellStyle name="20 % - Markeringsfarve5 3 2 7 2 3" xfId="24684" xr:uid="{00000000-0005-0000-0000-000060380000}"/>
    <cellStyle name="20 % - Markeringsfarve5 3 2 7 2 4" xfId="39671" xr:uid="{00000000-0005-0000-0000-000061380000}"/>
    <cellStyle name="20 % - Markeringsfarve5 3 2 7 3" xfId="11283" xr:uid="{00000000-0005-0000-0000-000062380000}"/>
    <cellStyle name="20 % - Markeringsfarve5 3 2 7 3 2" xfId="27603" xr:uid="{00000000-0005-0000-0000-000063380000}"/>
    <cellStyle name="20 % - Markeringsfarve5 3 2 7 3 3" xfId="42569" xr:uid="{00000000-0005-0000-0000-000064380000}"/>
    <cellStyle name="20 % - Markeringsfarve5 3 2 7 4" xfId="20581" xr:uid="{00000000-0005-0000-0000-000065380000}"/>
    <cellStyle name="20 % - Markeringsfarve5 3 2 7 5" xfId="35570" xr:uid="{00000000-0005-0000-0000-000066380000}"/>
    <cellStyle name="20 % - Markeringsfarve5 3 2 8" xfId="2724" xr:uid="{00000000-0005-0000-0000-000067380000}"/>
    <cellStyle name="20 % - Markeringsfarve5 3 2 8 2" xfId="6717" xr:uid="{00000000-0005-0000-0000-000068380000}"/>
    <cellStyle name="20 % - Markeringsfarve5 3 2 8 2 2" xfId="14629" xr:uid="{00000000-0005-0000-0000-000069380000}"/>
    <cellStyle name="20 % - Markeringsfarve5 3 2 8 2 2 2" xfId="30944" xr:uid="{00000000-0005-0000-0000-00006A380000}"/>
    <cellStyle name="20 % - Markeringsfarve5 3 2 8 2 2 3" xfId="45908" xr:uid="{00000000-0005-0000-0000-00006B380000}"/>
    <cellStyle name="20 % - Markeringsfarve5 3 2 8 2 3" xfId="23922" xr:uid="{00000000-0005-0000-0000-00006C380000}"/>
    <cellStyle name="20 % - Markeringsfarve5 3 2 8 2 4" xfId="38909" xr:uid="{00000000-0005-0000-0000-00006D380000}"/>
    <cellStyle name="20 % - Markeringsfarve5 3 2 8 3" xfId="11284" xr:uid="{00000000-0005-0000-0000-00006E380000}"/>
    <cellStyle name="20 % - Markeringsfarve5 3 2 8 3 2" xfId="27604" xr:uid="{00000000-0005-0000-0000-00006F380000}"/>
    <cellStyle name="20 % - Markeringsfarve5 3 2 8 3 3" xfId="42570" xr:uid="{00000000-0005-0000-0000-000070380000}"/>
    <cellStyle name="20 % - Markeringsfarve5 3 2 8 4" xfId="20582" xr:uid="{00000000-0005-0000-0000-000071380000}"/>
    <cellStyle name="20 % - Markeringsfarve5 3 2 8 5" xfId="35571" xr:uid="{00000000-0005-0000-0000-000072380000}"/>
    <cellStyle name="20 % - Markeringsfarve5 3 2 9" xfId="5594" xr:uid="{00000000-0005-0000-0000-000073380000}"/>
    <cellStyle name="20 % - Markeringsfarve5 3 2 9 2" xfId="13513" xr:uid="{00000000-0005-0000-0000-000074380000}"/>
    <cellStyle name="20 % - Markeringsfarve5 3 2 9 2 2" xfId="29828" xr:uid="{00000000-0005-0000-0000-000075380000}"/>
    <cellStyle name="20 % - Markeringsfarve5 3 2 9 2 3" xfId="44792" xr:uid="{00000000-0005-0000-0000-000076380000}"/>
    <cellStyle name="20 % - Markeringsfarve5 3 2 9 3" xfId="22806" xr:uid="{00000000-0005-0000-0000-000077380000}"/>
    <cellStyle name="20 % - Markeringsfarve5 3 2 9 4" xfId="37793" xr:uid="{00000000-0005-0000-0000-000078380000}"/>
    <cellStyle name="20 % - Markeringsfarve5 3 3" xfId="2725" xr:uid="{00000000-0005-0000-0000-000079380000}"/>
    <cellStyle name="20 % - Markeringsfarve5 3 3 10" xfId="11285" xr:uid="{00000000-0005-0000-0000-00007A380000}"/>
    <cellStyle name="20 % - Markeringsfarve5 3 3 10 2" xfId="27605" xr:uid="{00000000-0005-0000-0000-00007B380000}"/>
    <cellStyle name="20 % - Markeringsfarve5 3 3 10 3" xfId="42571" xr:uid="{00000000-0005-0000-0000-00007C380000}"/>
    <cellStyle name="20 % - Markeringsfarve5 3 3 11" xfId="20583" xr:uid="{00000000-0005-0000-0000-00007D380000}"/>
    <cellStyle name="20 % - Markeringsfarve5 3 3 12" xfId="35572" xr:uid="{00000000-0005-0000-0000-00007E380000}"/>
    <cellStyle name="20 % - Markeringsfarve5 3 3 13" xfId="56474" xr:uid="{00000000-0005-0000-0000-00007F380000}"/>
    <cellStyle name="20 % - Markeringsfarve5 3 3 2" xfId="2726" xr:uid="{00000000-0005-0000-0000-000080380000}"/>
    <cellStyle name="20 % - Markeringsfarve5 3 3 2 2" xfId="2727" xr:uid="{00000000-0005-0000-0000-000081380000}"/>
    <cellStyle name="20 % - Markeringsfarve5 3 3 2 2 2" xfId="7647" xr:uid="{00000000-0005-0000-0000-000082380000}"/>
    <cellStyle name="20 % - Markeringsfarve5 3 3 2 2 2 2" xfId="15549" xr:uid="{00000000-0005-0000-0000-000083380000}"/>
    <cellStyle name="20 % - Markeringsfarve5 3 3 2 2 2 2 2" xfId="31864" xr:uid="{00000000-0005-0000-0000-000084380000}"/>
    <cellStyle name="20 % - Markeringsfarve5 3 3 2 2 2 2 3" xfId="46828" xr:uid="{00000000-0005-0000-0000-000085380000}"/>
    <cellStyle name="20 % - Markeringsfarve5 3 3 2 2 2 3" xfId="24842" xr:uid="{00000000-0005-0000-0000-000086380000}"/>
    <cellStyle name="20 % - Markeringsfarve5 3 3 2 2 2 4" xfId="39829" xr:uid="{00000000-0005-0000-0000-000087380000}"/>
    <cellStyle name="20 % - Markeringsfarve5 3 3 2 2 3" xfId="11287" xr:uid="{00000000-0005-0000-0000-000088380000}"/>
    <cellStyle name="20 % - Markeringsfarve5 3 3 2 2 3 2" xfId="27607" xr:uid="{00000000-0005-0000-0000-000089380000}"/>
    <cellStyle name="20 % - Markeringsfarve5 3 3 2 2 3 3" xfId="42573" xr:uid="{00000000-0005-0000-0000-00008A380000}"/>
    <cellStyle name="20 % - Markeringsfarve5 3 3 2 2 4" xfId="20585" xr:uid="{00000000-0005-0000-0000-00008B380000}"/>
    <cellStyle name="20 % - Markeringsfarve5 3 3 2 2 5" xfId="35574" xr:uid="{00000000-0005-0000-0000-00008C380000}"/>
    <cellStyle name="20 % - Markeringsfarve5 3 3 2 3" xfId="2728" xr:uid="{00000000-0005-0000-0000-00008D380000}"/>
    <cellStyle name="20 % - Markeringsfarve5 3 3 2 3 2" xfId="6877" xr:uid="{00000000-0005-0000-0000-00008E380000}"/>
    <cellStyle name="20 % - Markeringsfarve5 3 3 2 3 2 2" xfId="14789" xr:uid="{00000000-0005-0000-0000-00008F380000}"/>
    <cellStyle name="20 % - Markeringsfarve5 3 3 2 3 2 2 2" xfId="31104" xr:uid="{00000000-0005-0000-0000-000090380000}"/>
    <cellStyle name="20 % - Markeringsfarve5 3 3 2 3 2 2 3" xfId="46068" xr:uid="{00000000-0005-0000-0000-000091380000}"/>
    <cellStyle name="20 % - Markeringsfarve5 3 3 2 3 2 3" xfId="24082" xr:uid="{00000000-0005-0000-0000-000092380000}"/>
    <cellStyle name="20 % - Markeringsfarve5 3 3 2 3 2 4" xfId="39069" xr:uid="{00000000-0005-0000-0000-000093380000}"/>
    <cellStyle name="20 % - Markeringsfarve5 3 3 2 3 3" xfId="11288" xr:uid="{00000000-0005-0000-0000-000094380000}"/>
    <cellStyle name="20 % - Markeringsfarve5 3 3 2 3 3 2" xfId="27608" xr:uid="{00000000-0005-0000-0000-000095380000}"/>
    <cellStyle name="20 % - Markeringsfarve5 3 3 2 3 3 3" xfId="42574" xr:uid="{00000000-0005-0000-0000-000096380000}"/>
    <cellStyle name="20 % - Markeringsfarve5 3 3 2 3 4" xfId="20586" xr:uid="{00000000-0005-0000-0000-000097380000}"/>
    <cellStyle name="20 % - Markeringsfarve5 3 3 2 3 5" xfId="35575" xr:uid="{00000000-0005-0000-0000-000098380000}"/>
    <cellStyle name="20 % - Markeringsfarve5 3 3 2 4" xfId="5601" xr:uid="{00000000-0005-0000-0000-000099380000}"/>
    <cellStyle name="20 % - Markeringsfarve5 3 3 2 4 2" xfId="13520" xr:uid="{00000000-0005-0000-0000-00009A380000}"/>
    <cellStyle name="20 % - Markeringsfarve5 3 3 2 4 2 2" xfId="29835" xr:uid="{00000000-0005-0000-0000-00009B380000}"/>
    <cellStyle name="20 % - Markeringsfarve5 3 3 2 4 2 3" xfId="44799" xr:uid="{00000000-0005-0000-0000-00009C380000}"/>
    <cellStyle name="20 % - Markeringsfarve5 3 3 2 4 3" xfId="22813" xr:uid="{00000000-0005-0000-0000-00009D380000}"/>
    <cellStyle name="20 % - Markeringsfarve5 3 3 2 4 4" xfId="37800" xr:uid="{00000000-0005-0000-0000-00009E380000}"/>
    <cellStyle name="20 % - Markeringsfarve5 3 3 2 5" xfId="11286" xr:uid="{00000000-0005-0000-0000-00009F380000}"/>
    <cellStyle name="20 % - Markeringsfarve5 3 3 2 5 2" xfId="27606" xr:uid="{00000000-0005-0000-0000-0000A0380000}"/>
    <cellStyle name="20 % - Markeringsfarve5 3 3 2 5 3" xfId="42572" xr:uid="{00000000-0005-0000-0000-0000A1380000}"/>
    <cellStyle name="20 % - Markeringsfarve5 3 3 2 6" xfId="20584" xr:uid="{00000000-0005-0000-0000-0000A2380000}"/>
    <cellStyle name="20 % - Markeringsfarve5 3 3 2 7" xfId="35573" xr:uid="{00000000-0005-0000-0000-0000A3380000}"/>
    <cellStyle name="20 % - Markeringsfarve5 3 3 3" xfId="2729" xr:uid="{00000000-0005-0000-0000-0000A4380000}"/>
    <cellStyle name="20 % - Markeringsfarve5 3 3 3 2" xfId="2730" xr:uid="{00000000-0005-0000-0000-0000A5380000}"/>
    <cellStyle name="20 % - Markeringsfarve5 3 3 3 2 2" xfId="7707" xr:uid="{00000000-0005-0000-0000-0000A6380000}"/>
    <cellStyle name="20 % - Markeringsfarve5 3 3 3 2 2 2" xfId="15609" xr:uid="{00000000-0005-0000-0000-0000A7380000}"/>
    <cellStyle name="20 % - Markeringsfarve5 3 3 3 2 2 2 2" xfId="31924" xr:uid="{00000000-0005-0000-0000-0000A8380000}"/>
    <cellStyle name="20 % - Markeringsfarve5 3 3 3 2 2 2 3" xfId="46888" xr:uid="{00000000-0005-0000-0000-0000A9380000}"/>
    <cellStyle name="20 % - Markeringsfarve5 3 3 3 2 2 3" xfId="24902" xr:uid="{00000000-0005-0000-0000-0000AA380000}"/>
    <cellStyle name="20 % - Markeringsfarve5 3 3 3 2 2 4" xfId="39889" xr:uid="{00000000-0005-0000-0000-0000AB380000}"/>
    <cellStyle name="20 % - Markeringsfarve5 3 3 3 2 3" xfId="11290" xr:uid="{00000000-0005-0000-0000-0000AC380000}"/>
    <cellStyle name="20 % - Markeringsfarve5 3 3 3 2 3 2" xfId="27610" xr:uid="{00000000-0005-0000-0000-0000AD380000}"/>
    <cellStyle name="20 % - Markeringsfarve5 3 3 3 2 3 3" xfId="42576" xr:uid="{00000000-0005-0000-0000-0000AE380000}"/>
    <cellStyle name="20 % - Markeringsfarve5 3 3 3 2 4" xfId="20588" xr:uid="{00000000-0005-0000-0000-0000AF380000}"/>
    <cellStyle name="20 % - Markeringsfarve5 3 3 3 2 5" xfId="35577" xr:uid="{00000000-0005-0000-0000-0000B0380000}"/>
    <cellStyle name="20 % - Markeringsfarve5 3 3 3 3" xfId="2731" xr:uid="{00000000-0005-0000-0000-0000B1380000}"/>
    <cellStyle name="20 % - Markeringsfarve5 3 3 3 3 2" xfId="6937" xr:uid="{00000000-0005-0000-0000-0000B2380000}"/>
    <cellStyle name="20 % - Markeringsfarve5 3 3 3 3 2 2" xfId="14849" xr:uid="{00000000-0005-0000-0000-0000B3380000}"/>
    <cellStyle name="20 % - Markeringsfarve5 3 3 3 3 2 2 2" xfId="31164" xr:uid="{00000000-0005-0000-0000-0000B4380000}"/>
    <cellStyle name="20 % - Markeringsfarve5 3 3 3 3 2 2 3" xfId="46128" xr:uid="{00000000-0005-0000-0000-0000B5380000}"/>
    <cellStyle name="20 % - Markeringsfarve5 3 3 3 3 2 3" xfId="24142" xr:uid="{00000000-0005-0000-0000-0000B6380000}"/>
    <cellStyle name="20 % - Markeringsfarve5 3 3 3 3 2 4" xfId="39129" xr:uid="{00000000-0005-0000-0000-0000B7380000}"/>
    <cellStyle name="20 % - Markeringsfarve5 3 3 3 3 3" xfId="11291" xr:uid="{00000000-0005-0000-0000-0000B8380000}"/>
    <cellStyle name="20 % - Markeringsfarve5 3 3 3 3 3 2" xfId="27611" xr:uid="{00000000-0005-0000-0000-0000B9380000}"/>
    <cellStyle name="20 % - Markeringsfarve5 3 3 3 3 3 3" xfId="42577" xr:uid="{00000000-0005-0000-0000-0000BA380000}"/>
    <cellStyle name="20 % - Markeringsfarve5 3 3 3 3 4" xfId="20589" xr:uid="{00000000-0005-0000-0000-0000BB380000}"/>
    <cellStyle name="20 % - Markeringsfarve5 3 3 3 3 5" xfId="35578" xr:uid="{00000000-0005-0000-0000-0000BC380000}"/>
    <cellStyle name="20 % - Markeringsfarve5 3 3 3 4" xfId="5602" xr:uid="{00000000-0005-0000-0000-0000BD380000}"/>
    <cellStyle name="20 % - Markeringsfarve5 3 3 3 4 2" xfId="13521" xr:uid="{00000000-0005-0000-0000-0000BE380000}"/>
    <cellStyle name="20 % - Markeringsfarve5 3 3 3 4 2 2" xfId="29836" xr:uid="{00000000-0005-0000-0000-0000BF380000}"/>
    <cellStyle name="20 % - Markeringsfarve5 3 3 3 4 2 3" xfId="44800" xr:uid="{00000000-0005-0000-0000-0000C0380000}"/>
    <cellStyle name="20 % - Markeringsfarve5 3 3 3 4 3" xfId="22814" xr:uid="{00000000-0005-0000-0000-0000C1380000}"/>
    <cellStyle name="20 % - Markeringsfarve5 3 3 3 4 4" xfId="37801" xr:uid="{00000000-0005-0000-0000-0000C2380000}"/>
    <cellStyle name="20 % - Markeringsfarve5 3 3 3 5" xfId="11289" xr:uid="{00000000-0005-0000-0000-0000C3380000}"/>
    <cellStyle name="20 % - Markeringsfarve5 3 3 3 5 2" xfId="27609" xr:uid="{00000000-0005-0000-0000-0000C4380000}"/>
    <cellStyle name="20 % - Markeringsfarve5 3 3 3 5 3" xfId="42575" xr:uid="{00000000-0005-0000-0000-0000C5380000}"/>
    <cellStyle name="20 % - Markeringsfarve5 3 3 3 6" xfId="20587" xr:uid="{00000000-0005-0000-0000-0000C6380000}"/>
    <cellStyle name="20 % - Markeringsfarve5 3 3 3 7" xfId="35576" xr:uid="{00000000-0005-0000-0000-0000C7380000}"/>
    <cellStyle name="20 % - Markeringsfarve5 3 3 4" xfId="2732" xr:uid="{00000000-0005-0000-0000-0000C8380000}"/>
    <cellStyle name="20 % - Markeringsfarve5 3 3 4 2" xfId="2733" xr:uid="{00000000-0005-0000-0000-0000C9380000}"/>
    <cellStyle name="20 % - Markeringsfarve5 3 3 4 2 2" xfId="7885" xr:uid="{00000000-0005-0000-0000-0000CA380000}"/>
    <cellStyle name="20 % - Markeringsfarve5 3 3 4 2 2 2" xfId="15787" xr:uid="{00000000-0005-0000-0000-0000CB380000}"/>
    <cellStyle name="20 % - Markeringsfarve5 3 3 4 2 2 2 2" xfId="32102" xr:uid="{00000000-0005-0000-0000-0000CC380000}"/>
    <cellStyle name="20 % - Markeringsfarve5 3 3 4 2 2 2 3" xfId="47066" xr:uid="{00000000-0005-0000-0000-0000CD380000}"/>
    <cellStyle name="20 % - Markeringsfarve5 3 3 4 2 2 3" xfId="25080" xr:uid="{00000000-0005-0000-0000-0000CE380000}"/>
    <cellStyle name="20 % - Markeringsfarve5 3 3 4 2 2 4" xfId="40067" xr:uid="{00000000-0005-0000-0000-0000CF380000}"/>
    <cellStyle name="20 % - Markeringsfarve5 3 3 4 2 3" xfId="11293" xr:uid="{00000000-0005-0000-0000-0000D0380000}"/>
    <cellStyle name="20 % - Markeringsfarve5 3 3 4 2 3 2" xfId="27613" xr:uid="{00000000-0005-0000-0000-0000D1380000}"/>
    <cellStyle name="20 % - Markeringsfarve5 3 3 4 2 3 3" xfId="42579" xr:uid="{00000000-0005-0000-0000-0000D2380000}"/>
    <cellStyle name="20 % - Markeringsfarve5 3 3 4 2 4" xfId="20591" xr:uid="{00000000-0005-0000-0000-0000D3380000}"/>
    <cellStyle name="20 % - Markeringsfarve5 3 3 4 2 5" xfId="35580" xr:uid="{00000000-0005-0000-0000-0000D4380000}"/>
    <cellStyle name="20 % - Markeringsfarve5 3 3 4 3" xfId="2734" xr:uid="{00000000-0005-0000-0000-0000D5380000}"/>
    <cellStyle name="20 % - Markeringsfarve5 3 3 4 3 2" xfId="7161" xr:uid="{00000000-0005-0000-0000-0000D6380000}"/>
    <cellStyle name="20 % - Markeringsfarve5 3 3 4 3 2 2" xfId="15072" xr:uid="{00000000-0005-0000-0000-0000D7380000}"/>
    <cellStyle name="20 % - Markeringsfarve5 3 3 4 3 2 2 2" xfId="31387" xr:uid="{00000000-0005-0000-0000-0000D8380000}"/>
    <cellStyle name="20 % - Markeringsfarve5 3 3 4 3 2 2 3" xfId="46351" xr:uid="{00000000-0005-0000-0000-0000D9380000}"/>
    <cellStyle name="20 % - Markeringsfarve5 3 3 4 3 2 3" xfId="24365" xr:uid="{00000000-0005-0000-0000-0000DA380000}"/>
    <cellStyle name="20 % - Markeringsfarve5 3 3 4 3 2 4" xfId="39352" xr:uid="{00000000-0005-0000-0000-0000DB380000}"/>
    <cellStyle name="20 % - Markeringsfarve5 3 3 4 3 3" xfId="11294" xr:uid="{00000000-0005-0000-0000-0000DC380000}"/>
    <cellStyle name="20 % - Markeringsfarve5 3 3 4 3 3 2" xfId="27614" xr:uid="{00000000-0005-0000-0000-0000DD380000}"/>
    <cellStyle name="20 % - Markeringsfarve5 3 3 4 3 3 3" xfId="42580" xr:uid="{00000000-0005-0000-0000-0000DE380000}"/>
    <cellStyle name="20 % - Markeringsfarve5 3 3 4 3 4" xfId="20592" xr:uid="{00000000-0005-0000-0000-0000DF380000}"/>
    <cellStyle name="20 % - Markeringsfarve5 3 3 4 3 5" xfId="35581" xr:uid="{00000000-0005-0000-0000-0000E0380000}"/>
    <cellStyle name="20 % - Markeringsfarve5 3 3 4 4" xfId="5603" xr:uid="{00000000-0005-0000-0000-0000E1380000}"/>
    <cellStyle name="20 % - Markeringsfarve5 3 3 4 4 2" xfId="13522" xr:uid="{00000000-0005-0000-0000-0000E2380000}"/>
    <cellStyle name="20 % - Markeringsfarve5 3 3 4 4 2 2" xfId="29837" xr:uid="{00000000-0005-0000-0000-0000E3380000}"/>
    <cellStyle name="20 % - Markeringsfarve5 3 3 4 4 2 3" xfId="44801" xr:uid="{00000000-0005-0000-0000-0000E4380000}"/>
    <cellStyle name="20 % - Markeringsfarve5 3 3 4 4 3" xfId="22815" xr:uid="{00000000-0005-0000-0000-0000E5380000}"/>
    <cellStyle name="20 % - Markeringsfarve5 3 3 4 4 4" xfId="37802" xr:uid="{00000000-0005-0000-0000-0000E6380000}"/>
    <cellStyle name="20 % - Markeringsfarve5 3 3 4 5" xfId="11292" xr:uid="{00000000-0005-0000-0000-0000E7380000}"/>
    <cellStyle name="20 % - Markeringsfarve5 3 3 4 5 2" xfId="27612" xr:uid="{00000000-0005-0000-0000-0000E8380000}"/>
    <cellStyle name="20 % - Markeringsfarve5 3 3 4 5 3" xfId="42578" xr:uid="{00000000-0005-0000-0000-0000E9380000}"/>
    <cellStyle name="20 % - Markeringsfarve5 3 3 4 6" xfId="20590" xr:uid="{00000000-0005-0000-0000-0000EA380000}"/>
    <cellStyle name="20 % - Markeringsfarve5 3 3 4 7" xfId="35579" xr:uid="{00000000-0005-0000-0000-0000EB380000}"/>
    <cellStyle name="20 % - Markeringsfarve5 3 3 5" xfId="2735" xr:uid="{00000000-0005-0000-0000-0000EC380000}"/>
    <cellStyle name="20 % - Markeringsfarve5 3 3 5 2" xfId="2736" xr:uid="{00000000-0005-0000-0000-0000ED380000}"/>
    <cellStyle name="20 % - Markeringsfarve5 3 3 5 2 2" xfId="8002" xr:uid="{00000000-0005-0000-0000-0000EE380000}"/>
    <cellStyle name="20 % - Markeringsfarve5 3 3 5 2 2 2" xfId="15904" xr:uid="{00000000-0005-0000-0000-0000EF380000}"/>
    <cellStyle name="20 % - Markeringsfarve5 3 3 5 2 2 2 2" xfId="32219" xr:uid="{00000000-0005-0000-0000-0000F0380000}"/>
    <cellStyle name="20 % - Markeringsfarve5 3 3 5 2 2 2 3" xfId="47183" xr:uid="{00000000-0005-0000-0000-0000F1380000}"/>
    <cellStyle name="20 % - Markeringsfarve5 3 3 5 2 2 3" xfId="25197" xr:uid="{00000000-0005-0000-0000-0000F2380000}"/>
    <cellStyle name="20 % - Markeringsfarve5 3 3 5 2 2 4" xfId="40184" xr:uid="{00000000-0005-0000-0000-0000F3380000}"/>
    <cellStyle name="20 % - Markeringsfarve5 3 3 5 2 3" xfId="11296" xr:uid="{00000000-0005-0000-0000-0000F4380000}"/>
    <cellStyle name="20 % - Markeringsfarve5 3 3 5 2 3 2" xfId="27616" xr:uid="{00000000-0005-0000-0000-0000F5380000}"/>
    <cellStyle name="20 % - Markeringsfarve5 3 3 5 2 3 3" xfId="42582" xr:uid="{00000000-0005-0000-0000-0000F6380000}"/>
    <cellStyle name="20 % - Markeringsfarve5 3 3 5 2 4" xfId="20594" xr:uid="{00000000-0005-0000-0000-0000F7380000}"/>
    <cellStyle name="20 % - Markeringsfarve5 3 3 5 2 5" xfId="35583" xr:uid="{00000000-0005-0000-0000-0000F8380000}"/>
    <cellStyle name="20 % - Markeringsfarve5 3 3 5 3" xfId="2737" xr:uid="{00000000-0005-0000-0000-0000F9380000}"/>
    <cellStyle name="20 % - Markeringsfarve5 3 3 5 3 2" xfId="7278" xr:uid="{00000000-0005-0000-0000-0000FA380000}"/>
    <cellStyle name="20 % - Markeringsfarve5 3 3 5 3 2 2" xfId="15189" xr:uid="{00000000-0005-0000-0000-0000FB380000}"/>
    <cellStyle name="20 % - Markeringsfarve5 3 3 5 3 2 2 2" xfId="31504" xr:uid="{00000000-0005-0000-0000-0000FC380000}"/>
    <cellStyle name="20 % - Markeringsfarve5 3 3 5 3 2 2 3" xfId="46468" xr:uid="{00000000-0005-0000-0000-0000FD380000}"/>
    <cellStyle name="20 % - Markeringsfarve5 3 3 5 3 2 3" xfId="24482" xr:uid="{00000000-0005-0000-0000-0000FE380000}"/>
    <cellStyle name="20 % - Markeringsfarve5 3 3 5 3 2 4" xfId="39469" xr:uid="{00000000-0005-0000-0000-0000FF380000}"/>
    <cellStyle name="20 % - Markeringsfarve5 3 3 5 3 3" xfId="11297" xr:uid="{00000000-0005-0000-0000-000000390000}"/>
    <cellStyle name="20 % - Markeringsfarve5 3 3 5 3 3 2" xfId="27617" xr:uid="{00000000-0005-0000-0000-000001390000}"/>
    <cellStyle name="20 % - Markeringsfarve5 3 3 5 3 3 3" xfId="42583" xr:uid="{00000000-0005-0000-0000-000002390000}"/>
    <cellStyle name="20 % - Markeringsfarve5 3 3 5 3 4" xfId="20595" xr:uid="{00000000-0005-0000-0000-000003390000}"/>
    <cellStyle name="20 % - Markeringsfarve5 3 3 5 3 5" xfId="35584" xr:uid="{00000000-0005-0000-0000-000004390000}"/>
    <cellStyle name="20 % - Markeringsfarve5 3 3 5 4" xfId="5604" xr:uid="{00000000-0005-0000-0000-000005390000}"/>
    <cellStyle name="20 % - Markeringsfarve5 3 3 5 4 2" xfId="13523" xr:uid="{00000000-0005-0000-0000-000006390000}"/>
    <cellStyle name="20 % - Markeringsfarve5 3 3 5 4 2 2" xfId="29838" xr:uid="{00000000-0005-0000-0000-000007390000}"/>
    <cellStyle name="20 % - Markeringsfarve5 3 3 5 4 2 3" xfId="44802" xr:uid="{00000000-0005-0000-0000-000008390000}"/>
    <cellStyle name="20 % - Markeringsfarve5 3 3 5 4 3" xfId="22816" xr:uid="{00000000-0005-0000-0000-000009390000}"/>
    <cellStyle name="20 % - Markeringsfarve5 3 3 5 4 4" xfId="37803" xr:uid="{00000000-0005-0000-0000-00000A390000}"/>
    <cellStyle name="20 % - Markeringsfarve5 3 3 5 5" xfId="11295" xr:uid="{00000000-0005-0000-0000-00000B390000}"/>
    <cellStyle name="20 % - Markeringsfarve5 3 3 5 5 2" xfId="27615" xr:uid="{00000000-0005-0000-0000-00000C390000}"/>
    <cellStyle name="20 % - Markeringsfarve5 3 3 5 5 3" xfId="42581" xr:uid="{00000000-0005-0000-0000-00000D390000}"/>
    <cellStyle name="20 % - Markeringsfarve5 3 3 5 6" xfId="20593" xr:uid="{00000000-0005-0000-0000-00000E390000}"/>
    <cellStyle name="20 % - Markeringsfarve5 3 3 5 7" xfId="35582" xr:uid="{00000000-0005-0000-0000-00000F390000}"/>
    <cellStyle name="20 % - Markeringsfarve5 3 3 6" xfId="2738" xr:uid="{00000000-0005-0000-0000-000010390000}"/>
    <cellStyle name="20 % - Markeringsfarve5 3 3 6 2" xfId="2739" xr:uid="{00000000-0005-0000-0000-000011390000}"/>
    <cellStyle name="20 % - Markeringsfarve5 3 3 6 2 2" xfId="8061" xr:uid="{00000000-0005-0000-0000-000012390000}"/>
    <cellStyle name="20 % - Markeringsfarve5 3 3 6 2 2 2" xfId="15963" xr:uid="{00000000-0005-0000-0000-000013390000}"/>
    <cellStyle name="20 % - Markeringsfarve5 3 3 6 2 2 2 2" xfId="32278" xr:uid="{00000000-0005-0000-0000-000014390000}"/>
    <cellStyle name="20 % - Markeringsfarve5 3 3 6 2 2 2 3" xfId="47242" xr:uid="{00000000-0005-0000-0000-000015390000}"/>
    <cellStyle name="20 % - Markeringsfarve5 3 3 6 2 2 3" xfId="25256" xr:uid="{00000000-0005-0000-0000-000016390000}"/>
    <cellStyle name="20 % - Markeringsfarve5 3 3 6 2 2 4" xfId="40243" xr:uid="{00000000-0005-0000-0000-000017390000}"/>
    <cellStyle name="20 % - Markeringsfarve5 3 3 6 2 3" xfId="11299" xr:uid="{00000000-0005-0000-0000-000018390000}"/>
    <cellStyle name="20 % - Markeringsfarve5 3 3 6 2 3 2" xfId="27619" xr:uid="{00000000-0005-0000-0000-000019390000}"/>
    <cellStyle name="20 % - Markeringsfarve5 3 3 6 2 3 3" xfId="42585" xr:uid="{00000000-0005-0000-0000-00001A390000}"/>
    <cellStyle name="20 % - Markeringsfarve5 3 3 6 2 4" xfId="20597" xr:uid="{00000000-0005-0000-0000-00001B390000}"/>
    <cellStyle name="20 % - Markeringsfarve5 3 3 6 2 5" xfId="35586" xr:uid="{00000000-0005-0000-0000-00001C390000}"/>
    <cellStyle name="20 % - Markeringsfarve5 3 3 6 3" xfId="2740" xr:uid="{00000000-0005-0000-0000-00001D390000}"/>
    <cellStyle name="20 % - Markeringsfarve5 3 3 6 3 2" xfId="7338" xr:uid="{00000000-0005-0000-0000-00001E390000}"/>
    <cellStyle name="20 % - Markeringsfarve5 3 3 6 3 2 2" xfId="15249" xr:uid="{00000000-0005-0000-0000-00001F390000}"/>
    <cellStyle name="20 % - Markeringsfarve5 3 3 6 3 2 2 2" xfId="31564" xr:uid="{00000000-0005-0000-0000-000020390000}"/>
    <cellStyle name="20 % - Markeringsfarve5 3 3 6 3 2 2 3" xfId="46528" xr:uid="{00000000-0005-0000-0000-000021390000}"/>
    <cellStyle name="20 % - Markeringsfarve5 3 3 6 3 2 3" xfId="24542" xr:uid="{00000000-0005-0000-0000-000022390000}"/>
    <cellStyle name="20 % - Markeringsfarve5 3 3 6 3 2 4" xfId="39529" xr:uid="{00000000-0005-0000-0000-000023390000}"/>
    <cellStyle name="20 % - Markeringsfarve5 3 3 6 3 3" xfId="11300" xr:uid="{00000000-0005-0000-0000-000024390000}"/>
    <cellStyle name="20 % - Markeringsfarve5 3 3 6 3 3 2" xfId="27620" xr:uid="{00000000-0005-0000-0000-000025390000}"/>
    <cellStyle name="20 % - Markeringsfarve5 3 3 6 3 3 3" xfId="42586" xr:uid="{00000000-0005-0000-0000-000026390000}"/>
    <cellStyle name="20 % - Markeringsfarve5 3 3 6 3 4" xfId="20598" xr:uid="{00000000-0005-0000-0000-000027390000}"/>
    <cellStyle name="20 % - Markeringsfarve5 3 3 6 3 5" xfId="35587" xr:uid="{00000000-0005-0000-0000-000028390000}"/>
    <cellStyle name="20 % - Markeringsfarve5 3 3 6 4" xfId="5605" xr:uid="{00000000-0005-0000-0000-000029390000}"/>
    <cellStyle name="20 % - Markeringsfarve5 3 3 6 4 2" xfId="13524" xr:uid="{00000000-0005-0000-0000-00002A390000}"/>
    <cellStyle name="20 % - Markeringsfarve5 3 3 6 4 2 2" xfId="29839" xr:uid="{00000000-0005-0000-0000-00002B390000}"/>
    <cellStyle name="20 % - Markeringsfarve5 3 3 6 4 2 3" xfId="44803" xr:uid="{00000000-0005-0000-0000-00002C390000}"/>
    <cellStyle name="20 % - Markeringsfarve5 3 3 6 4 3" xfId="22817" xr:uid="{00000000-0005-0000-0000-00002D390000}"/>
    <cellStyle name="20 % - Markeringsfarve5 3 3 6 4 4" xfId="37804" xr:uid="{00000000-0005-0000-0000-00002E390000}"/>
    <cellStyle name="20 % - Markeringsfarve5 3 3 6 5" xfId="11298" xr:uid="{00000000-0005-0000-0000-00002F390000}"/>
    <cellStyle name="20 % - Markeringsfarve5 3 3 6 5 2" xfId="27618" xr:uid="{00000000-0005-0000-0000-000030390000}"/>
    <cellStyle name="20 % - Markeringsfarve5 3 3 6 5 3" xfId="42584" xr:uid="{00000000-0005-0000-0000-000031390000}"/>
    <cellStyle name="20 % - Markeringsfarve5 3 3 6 6" xfId="20596" xr:uid="{00000000-0005-0000-0000-000032390000}"/>
    <cellStyle name="20 % - Markeringsfarve5 3 3 6 7" xfId="35585" xr:uid="{00000000-0005-0000-0000-000033390000}"/>
    <cellStyle name="20 % - Markeringsfarve5 3 3 7" xfId="2741" xr:uid="{00000000-0005-0000-0000-000034390000}"/>
    <cellStyle name="20 % - Markeringsfarve5 3 3 7 2" xfId="7528" xr:uid="{00000000-0005-0000-0000-000035390000}"/>
    <cellStyle name="20 % - Markeringsfarve5 3 3 7 2 2" xfId="15430" xr:uid="{00000000-0005-0000-0000-000036390000}"/>
    <cellStyle name="20 % - Markeringsfarve5 3 3 7 2 2 2" xfId="31745" xr:uid="{00000000-0005-0000-0000-000037390000}"/>
    <cellStyle name="20 % - Markeringsfarve5 3 3 7 2 2 3" xfId="46709" xr:uid="{00000000-0005-0000-0000-000038390000}"/>
    <cellStyle name="20 % - Markeringsfarve5 3 3 7 2 3" xfId="24723" xr:uid="{00000000-0005-0000-0000-000039390000}"/>
    <cellStyle name="20 % - Markeringsfarve5 3 3 7 2 4" xfId="39710" xr:uid="{00000000-0005-0000-0000-00003A390000}"/>
    <cellStyle name="20 % - Markeringsfarve5 3 3 7 3" xfId="11301" xr:uid="{00000000-0005-0000-0000-00003B390000}"/>
    <cellStyle name="20 % - Markeringsfarve5 3 3 7 3 2" xfId="27621" xr:uid="{00000000-0005-0000-0000-00003C390000}"/>
    <cellStyle name="20 % - Markeringsfarve5 3 3 7 3 3" xfId="42587" xr:uid="{00000000-0005-0000-0000-00003D390000}"/>
    <cellStyle name="20 % - Markeringsfarve5 3 3 7 4" xfId="20599" xr:uid="{00000000-0005-0000-0000-00003E390000}"/>
    <cellStyle name="20 % - Markeringsfarve5 3 3 7 5" xfId="35588" xr:uid="{00000000-0005-0000-0000-00003F390000}"/>
    <cellStyle name="20 % - Markeringsfarve5 3 3 8" xfId="2742" xr:uid="{00000000-0005-0000-0000-000040390000}"/>
    <cellStyle name="20 % - Markeringsfarve5 3 3 8 2" xfId="6756" xr:uid="{00000000-0005-0000-0000-000041390000}"/>
    <cellStyle name="20 % - Markeringsfarve5 3 3 8 2 2" xfId="14668" xr:uid="{00000000-0005-0000-0000-000042390000}"/>
    <cellStyle name="20 % - Markeringsfarve5 3 3 8 2 2 2" xfId="30983" xr:uid="{00000000-0005-0000-0000-000043390000}"/>
    <cellStyle name="20 % - Markeringsfarve5 3 3 8 2 2 3" xfId="45947" xr:uid="{00000000-0005-0000-0000-000044390000}"/>
    <cellStyle name="20 % - Markeringsfarve5 3 3 8 2 3" xfId="23961" xr:uid="{00000000-0005-0000-0000-000045390000}"/>
    <cellStyle name="20 % - Markeringsfarve5 3 3 8 2 4" xfId="38948" xr:uid="{00000000-0005-0000-0000-000046390000}"/>
    <cellStyle name="20 % - Markeringsfarve5 3 3 8 3" xfId="11302" xr:uid="{00000000-0005-0000-0000-000047390000}"/>
    <cellStyle name="20 % - Markeringsfarve5 3 3 8 3 2" xfId="27622" xr:uid="{00000000-0005-0000-0000-000048390000}"/>
    <cellStyle name="20 % - Markeringsfarve5 3 3 8 3 3" xfId="42588" xr:uid="{00000000-0005-0000-0000-000049390000}"/>
    <cellStyle name="20 % - Markeringsfarve5 3 3 8 4" xfId="20600" xr:uid="{00000000-0005-0000-0000-00004A390000}"/>
    <cellStyle name="20 % - Markeringsfarve5 3 3 8 5" xfId="35589" xr:uid="{00000000-0005-0000-0000-00004B390000}"/>
    <cellStyle name="20 % - Markeringsfarve5 3 3 9" xfId="5600" xr:uid="{00000000-0005-0000-0000-00004C390000}"/>
    <cellStyle name="20 % - Markeringsfarve5 3 3 9 2" xfId="13519" xr:uid="{00000000-0005-0000-0000-00004D390000}"/>
    <cellStyle name="20 % - Markeringsfarve5 3 3 9 2 2" xfId="29834" xr:uid="{00000000-0005-0000-0000-00004E390000}"/>
    <cellStyle name="20 % - Markeringsfarve5 3 3 9 2 3" xfId="44798" xr:uid="{00000000-0005-0000-0000-00004F390000}"/>
    <cellStyle name="20 % - Markeringsfarve5 3 3 9 3" xfId="22812" xr:uid="{00000000-0005-0000-0000-000050390000}"/>
    <cellStyle name="20 % - Markeringsfarve5 3 3 9 4" xfId="37799" xr:uid="{00000000-0005-0000-0000-000051390000}"/>
    <cellStyle name="20 % - Markeringsfarve5 3 4" xfId="2743" xr:uid="{00000000-0005-0000-0000-000052390000}"/>
    <cellStyle name="20 % - Markeringsfarve5 3 4 2" xfId="2744" xr:uid="{00000000-0005-0000-0000-000053390000}"/>
    <cellStyle name="20 % - Markeringsfarve5 3 4 2 2" xfId="7569" xr:uid="{00000000-0005-0000-0000-000054390000}"/>
    <cellStyle name="20 % - Markeringsfarve5 3 4 2 2 2" xfId="15471" xr:uid="{00000000-0005-0000-0000-000055390000}"/>
    <cellStyle name="20 % - Markeringsfarve5 3 4 2 2 2 2" xfId="31786" xr:uid="{00000000-0005-0000-0000-000056390000}"/>
    <cellStyle name="20 % - Markeringsfarve5 3 4 2 2 2 3" xfId="46750" xr:uid="{00000000-0005-0000-0000-000057390000}"/>
    <cellStyle name="20 % - Markeringsfarve5 3 4 2 2 3" xfId="24764" xr:uid="{00000000-0005-0000-0000-000058390000}"/>
    <cellStyle name="20 % - Markeringsfarve5 3 4 2 2 4" xfId="39751" xr:uid="{00000000-0005-0000-0000-000059390000}"/>
    <cellStyle name="20 % - Markeringsfarve5 3 4 2 3" xfId="11304" xr:uid="{00000000-0005-0000-0000-00005A390000}"/>
    <cellStyle name="20 % - Markeringsfarve5 3 4 2 3 2" xfId="27624" xr:uid="{00000000-0005-0000-0000-00005B390000}"/>
    <cellStyle name="20 % - Markeringsfarve5 3 4 2 3 3" xfId="42590" xr:uid="{00000000-0005-0000-0000-00005C390000}"/>
    <cellStyle name="20 % - Markeringsfarve5 3 4 2 4" xfId="20602" xr:uid="{00000000-0005-0000-0000-00005D390000}"/>
    <cellStyle name="20 % - Markeringsfarve5 3 4 2 5" xfId="35591" xr:uid="{00000000-0005-0000-0000-00005E390000}"/>
    <cellStyle name="20 % - Markeringsfarve5 3 4 3" xfId="2745" xr:uid="{00000000-0005-0000-0000-00005F390000}"/>
    <cellStyle name="20 % - Markeringsfarve5 3 4 3 2" xfId="6799" xr:uid="{00000000-0005-0000-0000-000060390000}"/>
    <cellStyle name="20 % - Markeringsfarve5 3 4 3 2 2" xfId="14711" xr:uid="{00000000-0005-0000-0000-000061390000}"/>
    <cellStyle name="20 % - Markeringsfarve5 3 4 3 2 2 2" xfId="31026" xr:uid="{00000000-0005-0000-0000-000062390000}"/>
    <cellStyle name="20 % - Markeringsfarve5 3 4 3 2 2 3" xfId="45990" xr:uid="{00000000-0005-0000-0000-000063390000}"/>
    <cellStyle name="20 % - Markeringsfarve5 3 4 3 2 3" xfId="24004" xr:uid="{00000000-0005-0000-0000-000064390000}"/>
    <cellStyle name="20 % - Markeringsfarve5 3 4 3 2 4" xfId="38991" xr:uid="{00000000-0005-0000-0000-000065390000}"/>
    <cellStyle name="20 % - Markeringsfarve5 3 4 3 3" xfId="11305" xr:uid="{00000000-0005-0000-0000-000066390000}"/>
    <cellStyle name="20 % - Markeringsfarve5 3 4 3 3 2" xfId="27625" xr:uid="{00000000-0005-0000-0000-000067390000}"/>
    <cellStyle name="20 % - Markeringsfarve5 3 4 3 3 3" xfId="42591" xr:uid="{00000000-0005-0000-0000-000068390000}"/>
    <cellStyle name="20 % - Markeringsfarve5 3 4 3 4" xfId="20603" xr:uid="{00000000-0005-0000-0000-000069390000}"/>
    <cellStyle name="20 % - Markeringsfarve5 3 4 3 5" xfId="35592" xr:uid="{00000000-0005-0000-0000-00006A390000}"/>
    <cellStyle name="20 % - Markeringsfarve5 3 4 4" xfId="5606" xr:uid="{00000000-0005-0000-0000-00006B390000}"/>
    <cellStyle name="20 % - Markeringsfarve5 3 4 4 2" xfId="13525" xr:uid="{00000000-0005-0000-0000-00006C390000}"/>
    <cellStyle name="20 % - Markeringsfarve5 3 4 4 2 2" xfId="29840" xr:uid="{00000000-0005-0000-0000-00006D390000}"/>
    <cellStyle name="20 % - Markeringsfarve5 3 4 4 2 3" xfId="44804" xr:uid="{00000000-0005-0000-0000-00006E390000}"/>
    <cellStyle name="20 % - Markeringsfarve5 3 4 4 3" xfId="22818" xr:uid="{00000000-0005-0000-0000-00006F390000}"/>
    <cellStyle name="20 % - Markeringsfarve5 3 4 4 4" xfId="37805" xr:uid="{00000000-0005-0000-0000-000070390000}"/>
    <cellStyle name="20 % - Markeringsfarve5 3 4 5" xfId="11303" xr:uid="{00000000-0005-0000-0000-000071390000}"/>
    <cellStyle name="20 % - Markeringsfarve5 3 4 5 2" xfId="27623" xr:uid="{00000000-0005-0000-0000-000072390000}"/>
    <cellStyle name="20 % - Markeringsfarve5 3 4 5 3" xfId="42589" xr:uid="{00000000-0005-0000-0000-000073390000}"/>
    <cellStyle name="20 % - Markeringsfarve5 3 4 6" xfId="20601" xr:uid="{00000000-0005-0000-0000-000074390000}"/>
    <cellStyle name="20 % - Markeringsfarve5 3 4 7" xfId="35590" xr:uid="{00000000-0005-0000-0000-000075390000}"/>
    <cellStyle name="20 % - Markeringsfarve5 3 5" xfId="2746" xr:uid="{00000000-0005-0000-0000-000076390000}"/>
    <cellStyle name="20 % - Markeringsfarve5 3 5 2" xfId="2747" xr:uid="{00000000-0005-0000-0000-000077390000}"/>
    <cellStyle name="20 % - Markeringsfarve5 3 5 2 2" xfId="7705" xr:uid="{00000000-0005-0000-0000-000078390000}"/>
    <cellStyle name="20 % - Markeringsfarve5 3 5 2 2 2" xfId="15607" xr:uid="{00000000-0005-0000-0000-000079390000}"/>
    <cellStyle name="20 % - Markeringsfarve5 3 5 2 2 2 2" xfId="31922" xr:uid="{00000000-0005-0000-0000-00007A390000}"/>
    <cellStyle name="20 % - Markeringsfarve5 3 5 2 2 2 3" xfId="46886" xr:uid="{00000000-0005-0000-0000-00007B390000}"/>
    <cellStyle name="20 % - Markeringsfarve5 3 5 2 2 3" xfId="24900" xr:uid="{00000000-0005-0000-0000-00007C390000}"/>
    <cellStyle name="20 % - Markeringsfarve5 3 5 2 2 4" xfId="39887" xr:uid="{00000000-0005-0000-0000-00007D390000}"/>
    <cellStyle name="20 % - Markeringsfarve5 3 5 2 3" xfId="11307" xr:uid="{00000000-0005-0000-0000-00007E390000}"/>
    <cellStyle name="20 % - Markeringsfarve5 3 5 2 3 2" xfId="27627" xr:uid="{00000000-0005-0000-0000-00007F390000}"/>
    <cellStyle name="20 % - Markeringsfarve5 3 5 2 3 3" xfId="42593" xr:uid="{00000000-0005-0000-0000-000080390000}"/>
    <cellStyle name="20 % - Markeringsfarve5 3 5 2 4" xfId="20605" xr:uid="{00000000-0005-0000-0000-000081390000}"/>
    <cellStyle name="20 % - Markeringsfarve5 3 5 2 5" xfId="35594" xr:uid="{00000000-0005-0000-0000-000082390000}"/>
    <cellStyle name="20 % - Markeringsfarve5 3 5 3" xfId="2748" xr:uid="{00000000-0005-0000-0000-000083390000}"/>
    <cellStyle name="20 % - Markeringsfarve5 3 5 3 2" xfId="6935" xr:uid="{00000000-0005-0000-0000-000084390000}"/>
    <cellStyle name="20 % - Markeringsfarve5 3 5 3 2 2" xfId="14847" xr:uid="{00000000-0005-0000-0000-000085390000}"/>
    <cellStyle name="20 % - Markeringsfarve5 3 5 3 2 2 2" xfId="31162" xr:uid="{00000000-0005-0000-0000-000086390000}"/>
    <cellStyle name="20 % - Markeringsfarve5 3 5 3 2 2 3" xfId="46126" xr:uid="{00000000-0005-0000-0000-000087390000}"/>
    <cellStyle name="20 % - Markeringsfarve5 3 5 3 2 3" xfId="24140" xr:uid="{00000000-0005-0000-0000-000088390000}"/>
    <cellStyle name="20 % - Markeringsfarve5 3 5 3 2 4" xfId="39127" xr:uid="{00000000-0005-0000-0000-000089390000}"/>
    <cellStyle name="20 % - Markeringsfarve5 3 5 3 3" xfId="11308" xr:uid="{00000000-0005-0000-0000-00008A390000}"/>
    <cellStyle name="20 % - Markeringsfarve5 3 5 3 3 2" xfId="27628" xr:uid="{00000000-0005-0000-0000-00008B390000}"/>
    <cellStyle name="20 % - Markeringsfarve5 3 5 3 3 3" xfId="42594" xr:uid="{00000000-0005-0000-0000-00008C390000}"/>
    <cellStyle name="20 % - Markeringsfarve5 3 5 3 4" xfId="20606" xr:uid="{00000000-0005-0000-0000-00008D390000}"/>
    <cellStyle name="20 % - Markeringsfarve5 3 5 3 5" xfId="35595" xr:uid="{00000000-0005-0000-0000-00008E390000}"/>
    <cellStyle name="20 % - Markeringsfarve5 3 5 4" xfId="5607" xr:uid="{00000000-0005-0000-0000-00008F390000}"/>
    <cellStyle name="20 % - Markeringsfarve5 3 5 4 2" xfId="13526" xr:uid="{00000000-0005-0000-0000-000090390000}"/>
    <cellStyle name="20 % - Markeringsfarve5 3 5 4 2 2" xfId="29841" xr:uid="{00000000-0005-0000-0000-000091390000}"/>
    <cellStyle name="20 % - Markeringsfarve5 3 5 4 2 3" xfId="44805" xr:uid="{00000000-0005-0000-0000-000092390000}"/>
    <cellStyle name="20 % - Markeringsfarve5 3 5 4 3" xfId="22819" xr:uid="{00000000-0005-0000-0000-000093390000}"/>
    <cellStyle name="20 % - Markeringsfarve5 3 5 4 4" xfId="37806" xr:uid="{00000000-0005-0000-0000-000094390000}"/>
    <cellStyle name="20 % - Markeringsfarve5 3 5 5" xfId="11306" xr:uid="{00000000-0005-0000-0000-000095390000}"/>
    <cellStyle name="20 % - Markeringsfarve5 3 5 5 2" xfId="27626" xr:uid="{00000000-0005-0000-0000-000096390000}"/>
    <cellStyle name="20 % - Markeringsfarve5 3 5 5 3" xfId="42592" xr:uid="{00000000-0005-0000-0000-000097390000}"/>
    <cellStyle name="20 % - Markeringsfarve5 3 5 6" xfId="20604" xr:uid="{00000000-0005-0000-0000-000098390000}"/>
    <cellStyle name="20 % - Markeringsfarve5 3 5 7" xfId="35593" xr:uid="{00000000-0005-0000-0000-000099390000}"/>
    <cellStyle name="20 % - Markeringsfarve5 3 6" xfId="2749" xr:uid="{00000000-0005-0000-0000-00009A390000}"/>
    <cellStyle name="20 % - Markeringsfarve5 3 6 2" xfId="2750" xr:uid="{00000000-0005-0000-0000-00009B390000}"/>
    <cellStyle name="20 % - Markeringsfarve5 3 6 2 2" xfId="7807" xr:uid="{00000000-0005-0000-0000-00009C390000}"/>
    <cellStyle name="20 % - Markeringsfarve5 3 6 2 2 2" xfId="15709" xr:uid="{00000000-0005-0000-0000-00009D390000}"/>
    <cellStyle name="20 % - Markeringsfarve5 3 6 2 2 2 2" xfId="32024" xr:uid="{00000000-0005-0000-0000-00009E390000}"/>
    <cellStyle name="20 % - Markeringsfarve5 3 6 2 2 2 3" xfId="46988" xr:uid="{00000000-0005-0000-0000-00009F390000}"/>
    <cellStyle name="20 % - Markeringsfarve5 3 6 2 2 3" xfId="25002" xr:uid="{00000000-0005-0000-0000-0000A0390000}"/>
    <cellStyle name="20 % - Markeringsfarve5 3 6 2 2 4" xfId="39989" xr:uid="{00000000-0005-0000-0000-0000A1390000}"/>
    <cellStyle name="20 % - Markeringsfarve5 3 6 2 3" xfId="11310" xr:uid="{00000000-0005-0000-0000-0000A2390000}"/>
    <cellStyle name="20 % - Markeringsfarve5 3 6 2 3 2" xfId="27630" xr:uid="{00000000-0005-0000-0000-0000A3390000}"/>
    <cellStyle name="20 % - Markeringsfarve5 3 6 2 3 3" xfId="42596" xr:uid="{00000000-0005-0000-0000-0000A4390000}"/>
    <cellStyle name="20 % - Markeringsfarve5 3 6 2 4" xfId="20608" xr:uid="{00000000-0005-0000-0000-0000A5390000}"/>
    <cellStyle name="20 % - Markeringsfarve5 3 6 2 5" xfId="35597" xr:uid="{00000000-0005-0000-0000-0000A6390000}"/>
    <cellStyle name="20 % - Markeringsfarve5 3 6 3" xfId="2751" xr:uid="{00000000-0005-0000-0000-0000A7390000}"/>
    <cellStyle name="20 % - Markeringsfarve5 3 6 3 2" xfId="7083" xr:uid="{00000000-0005-0000-0000-0000A8390000}"/>
    <cellStyle name="20 % - Markeringsfarve5 3 6 3 2 2" xfId="14994" xr:uid="{00000000-0005-0000-0000-0000A9390000}"/>
    <cellStyle name="20 % - Markeringsfarve5 3 6 3 2 2 2" xfId="31309" xr:uid="{00000000-0005-0000-0000-0000AA390000}"/>
    <cellStyle name="20 % - Markeringsfarve5 3 6 3 2 2 3" xfId="46273" xr:uid="{00000000-0005-0000-0000-0000AB390000}"/>
    <cellStyle name="20 % - Markeringsfarve5 3 6 3 2 3" xfId="24287" xr:uid="{00000000-0005-0000-0000-0000AC390000}"/>
    <cellStyle name="20 % - Markeringsfarve5 3 6 3 2 4" xfId="39274" xr:uid="{00000000-0005-0000-0000-0000AD390000}"/>
    <cellStyle name="20 % - Markeringsfarve5 3 6 3 3" xfId="11311" xr:uid="{00000000-0005-0000-0000-0000AE390000}"/>
    <cellStyle name="20 % - Markeringsfarve5 3 6 3 3 2" xfId="27631" xr:uid="{00000000-0005-0000-0000-0000AF390000}"/>
    <cellStyle name="20 % - Markeringsfarve5 3 6 3 3 3" xfId="42597" xr:uid="{00000000-0005-0000-0000-0000B0390000}"/>
    <cellStyle name="20 % - Markeringsfarve5 3 6 3 4" xfId="20609" xr:uid="{00000000-0005-0000-0000-0000B1390000}"/>
    <cellStyle name="20 % - Markeringsfarve5 3 6 3 5" xfId="35598" xr:uid="{00000000-0005-0000-0000-0000B2390000}"/>
    <cellStyle name="20 % - Markeringsfarve5 3 6 4" xfId="5608" xr:uid="{00000000-0005-0000-0000-0000B3390000}"/>
    <cellStyle name="20 % - Markeringsfarve5 3 6 4 2" xfId="13527" xr:uid="{00000000-0005-0000-0000-0000B4390000}"/>
    <cellStyle name="20 % - Markeringsfarve5 3 6 4 2 2" xfId="29842" xr:uid="{00000000-0005-0000-0000-0000B5390000}"/>
    <cellStyle name="20 % - Markeringsfarve5 3 6 4 2 3" xfId="44806" xr:uid="{00000000-0005-0000-0000-0000B6390000}"/>
    <cellStyle name="20 % - Markeringsfarve5 3 6 4 3" xfId="22820" xr:uid="{00000000-0005-0000-0000-0000B7390000}"/>
    <cellStyle name="20 % - Markeringsfarve5 3 6 4 4" xfId="37807" xr:uid="{00000000-0005-0000-0000-0000B8390000}"/>
    <cellStyle name="20 % - Markeringsfarve5 3 6 5" xfId="11309" xr:uid="{00000000-0005-0000-0000-0000B9390000}"/>
    <cellStyle name="20 % - Markeringsfarve5 3 6 5 2" xfId="27629" xr:uid="{00000000-0005-0000-0000-0000BA390000}"/>
    <cellStyle name="20 % - Markeringsfarve5 3 6 5 3" xfId="42595" xr:uid="{00000000-0005-0000-0000-0000BB390000}"/>
    <cellStyle name="20 % - Markeringsfarve5 3 6 6" xfId="20607" xr:uid="{00000000-0005-0000-0000-0000BC390000}"/>
    <cellStyle name="20 % - Markeringsfarve5 3 6 7" xfId="35596" xr:uid="{00000000-0005-0000-0000-0000BD390000}"/>
    <cellStyle name="20 % - Markeringsfarve5 3 7" xfId="2752" xr:uid="{00000000-0005-0000-0000-0000BE390000}"/>
    <cellStyle name="20 % - Markeringsfarve5 3 7 2" xfId="2753" xr:uid="{00000000-0005-0000-0000-0000BF390000}"/>
    <cellStyle name="20 % - Markeringsfarve5 3 7 2 2" xfId="7924" xr:uid="{00000000-0005-0000-0000-0000C0390000}"/>
    <cellStyle name="20 % - Markeringsfarve5 3 7 2 2 2" xfId="15826" xr:uid="{00000000-0005-0000-0000-0000C1390000}"/>
    <cellStyle name="20 % - Markeringsfarve5 3 7 2 2 2 2" xfId="32141" xr:uid="{00000000-0005-0000-0000-0000C2390000}"/>
    <cellStyle name="20 % - Markeringsfarve5 3 7 2 2 2 3" xfId="47105" xr:uid="{00000000-0005-0000-0000-0000C3390000}"/>
    <cellStyle name="20 % - Markeringsfarve5 3 7 2 2 3" xfId="25119" xr:uid="{00000000-0005-0000-0000-0000C4390000}"/>
    <cellStyle name="20 % - Markeringsfarve5 3 7 2 2 4" xfId="40106" xr:uid="{00000000-0005-0000-0000-0000C5390000}"/>
    <cellStyle name="20 % - Markeringsfarve5 3 7 2 3" xfId="11313" xr:uid="{00000000-0005-0000-0000-0000C6390000}"/>
    <cellStyle name="20 % - Markeringsfarve5 3 7 2 3 2" xfId="27633" xr:uid="{00000000-0005-0000-0000-0000C7390000}"/>
    <cellStyle name="20 % - Markeringsfarve5 3 7 2 3 3" xfId="42599" xr:uid="{00000000-0005-0000-0000-0000C8390000}"/>
    <cellStyle name="20 % - Markeringsfarve5 3 7 2 4" xfId="20611" xr:uid="{00000000-0005-0000-0000-0000C9390000}"/>
    <cellStyle name="20 % - Markeringsfarve5 3 7 2 5" xfId="35600" xr:uid="{00000000-0005-0000-0000-0000CA390000}"/>
    <cellStyle name="20 % - Markeringsfarve5 3 7 3" xfId="2754" xr:uid="{00000000-0005-0000-0000-0000CB390000}"/>
    <cellStyle name="20 % - Markeringsfarve5 3 7 3 2" xfId="7200" xr:uid="{00000000-0005-0000-0000-0000CC390000}"/>
    <cellStyle name="20 % - Markeringsfarve5 3 7 3 2 2" xfId="15111" xr:uid="{00000000-0005-0000-0000-0000CD390000}"/>
    <cellStyle name="20 % - Markeringsfarve5 3 7 3 2 2 2" xfId="31426" xr:uid="{00000000-0005-0000-0000-0000CE390000}"/>
    <cellStyle name="20 % - Markeringsfarve5 3 7 3 2 2 3" xfId="46390" xr:uid="{00000000-0005-0000-0000-0000CF390000}"/>
    <cellStyle name="20 % - Markeringsfarve5 3 7 3 2 3" xfId="24404" xr:uid="{00000000-0005-0000-0000-0000D0390000}"/>
    <cellStyle name="20 % - Markeringsfarve5 3 7 3 2 4" xfId="39391" xr:uid="{00000000-0005-0000-0000-0000D1390000}"/>
    <cellStyle name="20 % - Markeringsfarve5 3 7 3 3" xfId="11314" xr:uid="{00000000-0005-0000-0000-0000D2390000}"/>
    <cellStyle name="20 % - Markeringsfarve5 3 7 3 3 2" xfId="27634" xr:uid="{00000000-0005-0000-0000-0000D3390000}"/>
    <cellStyle name="20 % - Markeringsfarve5 3 7 3 3 3" xfId="42600" xr:uid="{00000000-0005-0000-0000-0000D4390000}"/>
    <cellStyle name="20 % - Markeringsfarve5 3 7 3 4" xfId="20612" xr:uid="{00000000-0005-0000-0000-0000D5390000}"/>
    <cellStyle name="20 % - Markeringsfarve5 3 7 3 5" xfId="35601" xr:uid="{00000000-0005-0000-0000-0000D6390000}"/>
    <cellStyle name="20 % - Markeringsfarve5 3 7 4" xfId="5609" xr:uid="{00000000-0005-0000-0000-0000D7390000}"/>
    <cellStyle name="20 % - Markeringsfarve5 3 7 4 2" xfId="13528" xr:uid="{00000000-0005-0000-0000-0000D8390000}"/>
    <cellStyle name="20 % - Markeringsfarve5 3 7 4 2 2" xfId="29843" xr:uid="{00000000-0005-0000-0000-0000D9390000}"/>
    <cellStyle name="20 % - Markeringsfarve5 3 7 4 2 3" xfId="44807" xr:uid="{00000000-0005-0000-0000-0000DA390000}"/>
    <cellStyle name="20 % - Markeringsfarve5 3 7 4 3" xfId="22821" xr:uid="{00000000-0005-0000-0000-0000DB390000}"/>
    <cellStyle name="20 % - Markeringsfarve5 3 7 4 4" xfId="37808" xr:uid="{00000000-0005-0000-0000-0000DC390000}"/>
    <cellStyle name="20 % - Markeringsfarve5 3 7 5" xfId="11312" xr:uid="{00000000-0005-0000-0000-0000DD390000}"/>
    <cellStyle name="20 % - Markeringsfarve5 3 7 5 2" xfId="27632" xr:uid="{00000000-0005-0000-0000-0000DE390000}"/>
    <cellStyle name="20 % - Markeringsfarve5 3 7 5 3" xfId="42598" xr:uid="{00000000-0005-0000-0000-0000DF390000}"/>
    <cellStyle name="20 % - Markeringsfarve5 3 7 6" xfId="20610" xr:uid="{00000000-0005-0000-0000-0000E0390000}"/>
    <cellStyle name="20 % - Markeringsfarve5 3 7 7" xfId="35599" xr:uid="{00000000-0005-0000-0000-0000E1390000}"/>
    <cellStyle name="20 % - Markeringsfarve5 3 8" xfId="2755" xr:uid="{00000000-0005-0000-0000-0000E2390000}"/>
    <cellStyle name="20 % - Markeringsfarve5 3 8 2" xfId="2756" xr:uid="{00000000-0005-0000-0000-0000E3390000}"/>
    <cellStyle name="20 % - Markeringsfarve5 3 8 2 2" xfId="8059" xr:uid="{00000000-0005-0000-0000-0000E4390000}"/>
    <cellStyle name="20 % - Markeringsfarve5 3 8 2 2 2" xfId="15961" xr:uid="{00000000-0005-0000-0000-0000E5390000}"/>
    <cellStyle name="20 % - Markeringsfarve5 3 8 2 2 2 2" xfId="32276" xr:uid="{00000000-0005-0000-0000-0000E6390000}"/>
    <cellStyle name="20 % - Markeringsfarve5 3 8 2 2 2 3" xfId="47240" xr:uid="{00000000-0005-0000-0000-0000E7390000}"/>
    <cellStyle name="20 % - Markeringsfarve5 3 8 2 2 3" xfId="25254" xr:uid="{00000000-0005-0000-0000-0000E8390000}"/>
    <cellStyle name="20 % - Markeringsfarve5 3 8 2 2 4" xfId="40241" xr:uid="{00000000-0005-0000-0000-0000E9390000}"/>
    <cellStyle name="20 % - Markeringsfarve5 3 8 2 3" xfId="11316" xr:uid="{00000000-0005-0000-0000-0000EA390000}"/>
    <cellStyle name="20 % - Markeringsfarve5 3 8 2 3 2" xfId="27636" xr:uid="{00000000-0005-0000-0000-0000EB390000}"/>
    <cellStyle name="20 % - Markeringsfarve5 3 8 2 3 3" xfId="42602" xr:uid="{00000000-0005-0000-0000-0000EC390000}"/>
    <cellStyle name="20 % - Markeringsfarve5 3 8 2 4" xfId="20614" xr:uid="{00000000-0005-0000-0000-0000ED390000}"/>
    <cellStyle name="20 % - Markeringsfarve5 3 8 2 5" xfId="35603" xr:uid="{00000000-0005-0000-0000-0000EE390000}"/>
    <cellStyle name="20 % - Markeringsfarve5 3 8 3" xfId="2757" xr:uid="{00000000-0005-0000-0000-0000EF390000}"/>
    <cellStyle name="20 % - Markeringsfarve5 3 8 3 2" xfId="7336" xr:uid="{00000000-0005-0000-0000-0000F0390000}"/>
    <cellStyle name="20 % - Markeringsfarve5 3 8 3 2 2" xfId="15247" xr:uid="{00000000-0005-0000-0000-0000F1390000}"/>
    <cellStyle name="20 % - Markeringsfarve5 3 8 3 2 2 2" xfId="31562" xr:uid="{00000000-0005-0000-0000-0000F2390000}"/>
    <cellStyle name="20 % - Markeringsfarve5 3 8 3 2 2 3" xfId="46526" xr:uid="{00000000-0005-0000-0000-0000F3390000}"/>
    <cellStyle name="20 % - Markeringsfarve5 3 8 3 2 3" xfId="24540" xr:uid="{00000000-0005-0000-0000-0000F4390000}"/>
    <cellStyle name="20 % - Markeringsfarve5 3 8 3 2 4" xfId="39527" xr:uid="{00000000-0005-0000-0000-0000F5390000}"/>
    <cellStyle name="20 % - Markeringsfarve5 3 8 3 3" xfId="11317" xr:uid="{00000000-0005-0000-0000-0000F6390000}"/>
    <cellStyle name="20 % - Markeringsfarve5 3 8 3 3 2" xfId="27637" xr:uid="{00000000-0005-0000-0000-0000F7390000}"/>
    <cellStyle name="20 % - Markeringsfarve5 3 8 3 3 3" xfId="42603" xr:uid="{00000000-0005-0000-0000-0000F8390000}"/>
    <cellStyle name="20 % - Markeringsfarve5 3 8 3 4" xfId="20615" xr:uid="{00000000-0005-0000-0000-0000F9390000}"/>
    <cellStyle name="20 % - Markeringsfarve5 3 8 3 5" xfId="35604" xr:uid="{00000000-0005-0000-0000-0000FA390000}"/>
    <cellStyle name="20 % - Markeringsfarve5 3 8 4" xfId="5610" xr:uid="{00000000-0005-0000-0000-0000FB390000}"/>
    <cellStyle name="20 % - Markeringsfarve5 3 8 4 2" xfId="13529" xr:uid="{00000000-0005-0000-0000-0000FC390000}"/>
    <cellStyle name="20 % - Markeringsfarve5 3 8 4 2 2" xfId="29844" xr:uid="{00000000-0005-0000-0000-0000FD390000}"/>
    <cellStyle name="20 % - Markeringsfarve5 3 8 4 2 3" xfId="44808" xr:uid="{00000000-0005-0000-0000-0000FE390000}"/>
    <cellStyle name="20 % - Markeringsfarve5 3 8 4 3" xfId="22822" xr:uid="{00000000-0005-0000-0000-0000FF390000}"/>
    <cellStyle name="20 % - Markeringsfarve5 3 8 4 4" xfId="37809" xr:uid="{00000000-0005-0000-0000-0000003A0000}"/>
    <cellStyle name="20 % - Markeringsfarve5 3 8 5" xfId="11315" xr:uid="{00000000-0005-0000-0000-0000013A0000}"/>
    <cellStyle name="20 % - Markeringsfarve5 3 8 5 2" xfId="27635" xr:uid="{00000000-0005-0000-0000-0000023A0000}"/>
    <cellStyle name="20 % - Markeringsfarve5 3 8 5 3" xfId="42601" xr:uid="{00000000-0005-0000-0000-0000033A0000}"/>
    <cellStyle name="20 % - Markeringsfarve5 3 8 6" xfId="20613" xr:uid="{00000000-0005-0000-0000-0000043A0000}"/>
    <cellStyle name="20 % - Markeringsfarve5 3 8 7" xfId="35602" xr:uid="{00000000-0005-0000-0000-0000053A0000}"/>
    <cellStyle name="20 % - Markeringsfarve5 3 9" xfId="2758" xr:uid="{00000000-0005-0000-0000-0000063A0000}"/>
    <cellStyle name="20 % - Markeringsfarve5 3 9 2" xfId="7450" xr:uid="{00000000-0005-0000-0000-0000073A0000}"/>
    <cellStyle name="20 % - Markeringsfarve5 3 9 2 2" xfId="15352" xr:uid="{00000000-0005-0000-0000-0000083A0000}"/>
    <cellStyle name="20 % - Markeringsfarve5 3 9 2 2 2" xfId="31667" xr:uid="{00000000-0005-0000-0000-0000093A0000}"/>
    <cellStyle name="20 % - Markeringsfarve5 3 9 2 2 3" xfId="46631" xr:uid="{00000000-0005-0000-0000-00000A3A0000}"/>
    <cellStyle name="20 % - Markeringsfarve5 3 9 2 3" xfId="24645" xr:uid="{00000000-0005-0000-0000-00000B3A0000}"/>
    <cellStyle name="20 % - Markeringsfarve5 3 9 2 4" xfId="39632" xr:uid="{00000000-0005-0000-0000-00000C3A0000}"/>
    <cellStyle name="20 % - Markeringsfarve5 3 9 3" xfId="11318" xr:uid="{00000000-0005-0000-0000-00000D3A0000}"/>
    <cellStyle name="20 % - Markeringsfarve5 3 9 3 2" xfId="27638" xr:uid="{00000000-0005-0000-0000-00000E3A0000}"/>
    <cellStyle name="20 % - Markeringsfarve5 3 9 3 3" xfId="42604" xr:uid="{00000000-0005-0000-0000-00000F3A0000}"/>
    <cellStyle name="20 % - Markeringsfarve5 3 9 4" xfId="20616" xr:uid="{00000000-0005-0000-0000-0000103A0000}"/>
    <cellStyle name="20 % - Markeringsfarve5 3 9 5" xfId="35605" xr:uid="{00000000-0005-0000-0000-0000113A0000}"/>
    <cellStyle name="20 % - Markeringsfarve5 4" xfId="2759" xr:uid="{00000000-0005-0000-0000-0000123A0000}"/>
    <cellStyle name="20 % - Markeringsfarve5 4 10" xfId="11319" xr:uid="{00000000-0005-0000-0000-0000133A0000}"/>
    <cellStyle name="20 % - Markeringsfarve5 4 10 2" xfId="27639" xr:uid="{00000000-0005-0000-0000-0000143A0000}"/>
    <cellStyle name="20 % - Markeringsfarve5 4 10 3" xfId="42605" xr:uid="{00000000-0005-0000-0000-0000153A0000}"/>
    <cellStyle name="20 % - Markeringsfarve5 4 11" xfId="20617" xr:uid="{00000000-0005-0000-0000-0000163A0000}"/>
    <cellStyle name="20 % - Markeringsfarve5 4 12" xfId="35606" xr:uid="{00000000-0005-0000-0000-0000173A0000}"/>
    <cellStyle name="20 % - Markeringsfarve5 4 13" xfId="53292" xr:uid="{00000000-0005-0000-0000-0000183A0000}"/>
    <cellStyle name="20 % - Markeringsfarve5 4 2" xfId="2760" xr:uid="{00000000-0005-0000-0000-0000193A0000}"/>
    <cellStyle name="20 % - Markeringsfarve5 4 2 2" xfId="2761" xr:uid="{00000000-0005-0000-0000-00001A3A0000}"/>
    <cellStyle name="20 % - Markeringsfarve5 4 2 2 2" xfId="7594" xr:uid="{00000000-0005-0000-0000-00001B3A0000}"/>
    <cellStyle name="20 % - Markeringsfarve5 4 2 2 2 2" xfId="15496" xr:uid="{00000000-0005-0000-0000-00001C3A0000}"/>
    <cellStyle name="20 % - Markeringsfarve5 4 2 2 2 2 2" xfId="31811" xr:uid="{00000000-0005-0000-0000-00001D3A0000}"/>
    <cellStyle name="20 % - Markeringsfarve5 4 2 2 2 2 3" xfId="46775" xr:uid="{00000000-0005-0000-0000-00001E3A0000}"/>
    <cellStyle name="20 % - Markeringsfarve5 4 2 2 2 3" xfId="24789" xr:uid="{00000000-0005-0000-0000-00001F3A0000}"/>
    <cellStyle name="20 % - Markeringsfarve5 4 2 2 2 4" xfId="39776" xr:uid="{00000000-0005-0000-0000-0000203A0000}"/>
    <cellStyle name="20 % - Markeringsfarve5 4 2 2 3" xfId="11321" xr:uid="{00000000-0005-0000-0000-0000213A0000}"/>
    <cellStyle name="20 % - Markeringsfarve5 4 2 2 3 2" xfId="27641" xr:uid="{00000000-0005-0000-0000-0000223A0000}"/>
    <cellStyle name="20 % - Markeringsfarve5 4 2 2 3 3" xfId="42607" xr:uid="{00000000-0005-0000-0000-0000233A0000}"/>
    <cellStyle name="20 % - Markeringsfarve5 4 2 2 4" xfId="20619" xr:uid="{00000000-0005-0000-0000-0000243A0000}"/>
    <cellStyle name="20 % - Markeringsfarve5 4 2 2 5" xfId="35608" xr:uid="{00000000-0005-0000-0000-0000253A0000}"/>
    <cellStyle name="20 % - Markeringsfarve5 4 2 2 6" xfId="57096" xr:uid="{00000000-0005-0000-0000-0000263A0000}"/>
    <cellStyle name="20 % - Markeringsfarve5 4 2 3" xfId="2762" xr:uid="{00000000-0005-0000-0000-0000273A0000}"/>
    <cellStyle name="20 % - Markeringsfarve5 4 2 3 2" xfId="6824" xr:uid="{00000000-0005-0000-0000-0000283A0000}"/>
    <cellStyle name="20 % - Markeringsfarve5 4 2 3 2 2" xfId="14736" xr:uid="{00000000-0005-0000-0000-0000293A0000}"/>
    <cellStyle name="20 % - Markeringsfarve5 4 2 3 2 2 2" xfId="31051" xr:uid="{00000000-0005-0000-0000-00002A3A0000}"/>
    <cellStyle name="20 % - Markeringsfarve5 4 2 3 2 2 3" xfId="46015" xr:uid="{00000000-0005-0000-0000-00002B3A0000}"/>
    <cellStyle name="20 % - Markeringsfarve5 4 2 3 2 3" xfId="24029" xr:uid="{00000000-0005-0000-0000-00002C3A0000}"/>
    <cellStyle name="20 % - Markeringsfarve5 4 2 3 2 4" xfId="39016" xr:uid="{00000000-0005-0000-0000-00002D3A0000}"/>
    <cellStyle name="20 % - Markeringsfarve5 4 2 3 3" xfId="11322" xr:uid="{00000000-0005-0000-0000-00002E3A0000}"/>
    <cellStyle name="20 % - Markeringsfarve5 4 2 3 3 2" xfId="27642" xr:uid="{00000000-0005-0000-0000-00002F3A0000}"/>
    <cellStyle name="20 % - Markeringsfarve5 4 2 3 3 3" xfId="42608" xr:uid="{00000000-0005-0000-0000-0000303A0000}"/>
    <cellStyle name="20 % - Markeringsfarve5 4 2 3 4" xfId="20620" xr:uid="{00000000-0005-0000-0000-0000313A0000}"/>
    <cellStyle name="20 % - Markeringsfarve5 4 2 3 5" xfId="35609" xr:uid="{00000000-0005-0000-0000-0000323A0000}"/>
    <cellStyle name="20 % - Markeringsfarve5 4 2 4" xfId="5612" xr:uid="{00000000-0005-0000-0000-0000333A0000}"/>
    <cellStyle name="20 % - Markeringsfarve5 4 2 4 2" xfId="13531" xr:uid="{00000000-0005-0000-0000-0000343A0000}"/>
    <cellStyle name="20 % - Markeringsfarve5 4 2 4 2 2" xfId="29846" xr:uid="{00000000-0005-0000-0000-0000353A0000}"/>
    <cellStyle name="20 % - Markeringsfarve5 4 2 4 2 3" xfId="44810" xr:uid="{00000000-0005-0000-0000-0000363A0000}"/>
    <cellStyle name="20 % - Markeringsfarve5 4 2 4 3" xfId="22824" xr:uid="{00000000-0005-0000-0000-0000373A0000}"/>
    <cellStyle name="20 % - Markeringsfarve5 4 2 4 4" xfId="37811" xr:uid="{00000000-0005-0000-0000-0000383A0000}"/>
    <cellStyle name="20 % - Markeringsfarve5 4 2 5" xfId="11320" xr:uid="{00000000-0005-0000-0000-0000393A0000}"/>
    <cellStyle name="20 % - Markeringsfarve5 4 2 5 2" xfId="27640" xr:uid="{00000000-0005-0000-0000-00003A3A0000}"/>
    <cellStyle name="20 % - Markeringsfarve5 4 2 5 3" xfId="42606" xr:uid="{00000000-0005-0000-0000-00003B3A0000}"/>
    <cellStyle name="20 % - Markeringsfarve5 4 2 6" xfId="20618" xr:uid="{00000000-0005-0000-0000-00003C3A0000}"/>
    <cellStyle name="20 % - Markeringsfarve5 4 2 7" xfId="35607" xr:uid="{00000000-0005-0000-0000-00003D3A0000}"/>
    <cellStyle name="20 % - Markeringsfarve5 4 2 8" xfId="53929" xr:uid="{00000000-0005-0000-0000-00003E3A0000}"/>
    <cellStyle name="20 % - Markeringsfarve5 4 3" xfId="2763" xr:uid="{00000000-0005-0000-0000-00003F3A0000}"/>
    <cellStyle name="20 % - Markeringsfarve5 4 3 2" xfId="2764" xr:uid="{00000000-0005-0000-0000-0000403A0000}"/>
    <cellStyle name="20 % - Markeringsfarve5 4 3 2 2" xfId="7708" xr:uid="{00000000-0005-0000-0000-0000413A0000}"/>
    <cellStyle name="20 % - Markeringsfarve5 4 3 2 2 2" xfId="15610" xr:uid="{00000000-0005-0000-0000-0000423A0000}"/>
    <cellStyle name="20 % - Markeringsfarve5 4 3 2 2 2 2" xfId="31925" xr:uid="{00000000-0005-0000-0000-0000433A0000}"/>
    <cellStyle name="20 % - Markeringsfarve5 4 3 2 2 2 3" xfId="46889" xr:uid="{00000000-0005-0000-0000-0000443A0000}"/>
    <cellStyle name="20 % - Markeringsfarve5 4 3 2 2 3" xfId="24903" xr:uid="{00000000-0005-0000-0000-0000453A0000}"/>
    <cellStyle name="20 % - Markeringsfarve5 4 3 2 2 4" xfId="39890" xr:uid="{00000000-0005-0000-0000-0000463A0000}"/>
    <cellStyle name="20 % - Markeringsfarve5 4 3 2 3" xfId="11324" xr:uid="{00000000-0005-0000-0000-0000473A0000}"/>
    <cellStyle name="20 % - Markeringsfarve5 4 3 2 3 2" xfId="27644" xr:uid="{00000000-0005-0000-0000-0000483A0000}"/>
    <cellStyle name="20 % - Markeringsfarve5 4 3 2 3 3" xfId="42610" xr:uid="{00000000-0005-0000-0000-0000493A0000}"/>
    <cellStyle name="20 % - Markeringsfarve5 4 3 2 4" xfId="20622" xr:uid="{00000000-0005-0000-0000-00004A3A0000}"/>
    <cellStyle name="20 % - Markeringsfarve5 4 3 2 5" xfId="35611" xr:uid="{00000000-0005-0000-0000-00004B3A0000}"/>
    <cellStyle name="20 % - Markeringsfarve5 4 3 3" xfId="2765" xr:uid="{00000000-0005-0000-0000-00004C3A0000}"/>
    <cellStyle name="20 % - Markeringsfarve5 4 3 3 2" xfId="6938" xr:uid="{00000000-0005-0000-0000-00004D3A0000}"/>
    <cellStyle name="20 % - Markeringsfarve5 4 3 3 2 2" xfId="14850" xr:uid="{00000000-0005-0000-0000-00004E3A0000}"/>
    <cellStyle name="20 % - Markeringsfarve5 4 3 3 2 2 2" xfId="31165" xr:uid="{00000000-0005-0000-0000-00004F3A0000}"/>
    <cellStyle name="20 % - Markeringsfarve5 4 3 3 2 2 3" xfId="46129" xr:uid="{00000000-0005-0000-0000-0000503A0000}"/>
    <cellStyle name="20 % - Markeringsfarve5 4 3 3 2 3" xfId="24143" xr:uid="{00000000-0005-0000-0000-0000513A0000}"/>
    <cellStyle name="20 % - Markeringsfarve5 4 3 3 2 4" xfId="39130" xr:uid="{00000000-0005-0000-0000-0000523A0000}"/>
    <cellStyle name="20 % - Markeringsfarve5 4 3 3 3" xfId="11325" xr:uid="{00000000-0005-0000-0000-0000533A0000}"/>
    <cellStyle name="20 % - Markeringsfarve5 4 3 3 3 2" xfId="27645" xr:uid="{00000000-0005-0000-0000-0000543A0000}"/>
    <cellStyle name="20 % - Markeringsfarve5 4 3 3 3 3" xfId="42611" xr:uid="{00000000-0005-0000-0000-0000553A0000}"/>
    <cellStyle name="20 % - Markeringsfarve5 4 3 3 4" xfId="20623" xr:uid="{00000000-0005-0000-0000-0000563A0000}"/>
    <cellStyle name="20 % - Markeringsfarve5 4 3 3 5" xfId="35612" xr:uid="{00000000-0005-0000-0000-0000573A0000}"/>
    <cellStyle name="20 % - Markeringsfarve5 4 3 4" xfId="5613" xr:uid="{00000000-0005-0000-0000-0000583A0000}"/>
    <cellStyle name="20 % - Markeringsfarve5 4 3 4 2" xfId="13532" xr:uid="{00000000-0005-0000-0000-0000593A0000}"/>
    <cellStyle name="20 % - Markeringsfarve5 4 3 4 2 2" xfId="29847" xr:uid="{00000000-0005-0000-0000-00005A3A0000}"/>
    <cellStyle name="20 % - Markeringsfarve5 4 3 4 2 3" xfId="44811" xr:uid="{00000000-0005-0000-0000-00005B3A0000}"/>
    <cellStyle name="20 % - Markeringsfarve5 4 3 4 3" xfId="22825" xr:uid="{00000000-0005-0000-0000-00005C3A0000}"/>
    <cellStyle name="20 % - Markeringsfarve5 4 3 4 4" xfId="37812" xr:uid="{00000000-0005-0000-0000-00005D3A0000}"/>
    <cellStyle name="20 % - Markeringsfarve5 4 3 5" xfId="11323" xr:uid="{00000000-0005-0000-0000-00005E3A0000}"/>
    <cellStyle name="20 % - Markeringsfarve5 4 3 5 2" xfId="27643" xr:uid="{00000000-0005-0000-0000-00005F3A0000}"/>
    <cellStyle name="20 % - Markeringsfarve5 4 3 5 3" xfId="42609" xr:uid="{00000000-0005-0000-0000-0000603A0000}"/>
    <cellStyle name="20 % - Markeringsfarve5 4 3 6" xfId="20621" xr:uid="{00000000-0005-0000-0000-0000613A0000}"/>
    <cellStyle name="20 % - Markeringsfarve5 4 3 7" xfId="35610" xr:uid="{00000000-0005-0000-0000-0000623A0000}"/>
    <cellStyle name="20 % - Markeringsfarve5 4 3 8" xfId="56473" xr:uid="{00000000-0005-0000-0000-0000633A0000}"/>
    <cellStyle name="20 % - Markeringsfarve5 4 4" xfId="2766" xr:uid="{00000000-0005-0000-0000-0000643A0000}"/>
    <cellStyle name="20 % - Markeringsfarve5 4 4 2" xfId="2767" xr:uid="{00000000-0005-0000-0000-0000653A0000}"/>
    <cellStyle name="20 % - Markeringsfarve5 4 4 2 2" xfId="7832" xr:uid="{00000000-0005-0000-0000-0000663A0000}"/>
    <cellStyle name="20 % - Markeringsfarve5 4 4 2 2 2" xfId="15734" xr:uid="{00000000-0005-0000-0000-0000673A0000}"/>
    <cellStyle name="20 % - Markeringsfarve5 4 4 2 2 2 2" xfId="32049" xr:uid="{00000000-0005-0000-0000-0000683A0000}"/>
    <cellStyle name="20 % - Markeringsfarve5 4 4 2 2 2 3" xfId="47013" xr:uid="{00000000-0005-0000-0000-0000693A0000}"/>
    <cellStyle name="20 % - Markeringsfarve5 4 4 2 2 3" xfId="25027" xr:uid="{00000000-0005-0000-0000-00006A3A0000}"/>
    <cellStyle name="20 % - Markeringsfarve5 4 4 2 2 4" xfId="40014" xr:uid="{00000000-0005-0000-0000-00006B3A0000}"/>
    <cellStyle name="20 % - Markeringsfarve5 4 4 2 3" xfId="11327" xr:uid="{00000000-0005-0000-0000-00006C3A0000}"/>
    <cellStyle name="20 % - Markeringsfarve5 4 4 2 3 2" xfId="27647" xr:uid="{00000000-0005-0000-0000-00006D3A0000}"/>
    <cellStyle name="20 % - Markeringsfarve5 4 4 2 3 3" xfId="42613" xr:uid="{00000000-0005-0000-0000-00006E3A0000}"/>
    <cellStyle name="20 % - Markeringsfarve5 4 4 2 4" xfId="20625" xr:uid="{00000000-0005-0000-0000-00006F3A0000}"/>
    <cellStyle name="20 % - Markeringsfarve5 4 4 2 5" xfId="35614" xr:uid="{00000000-0005-0000-0000-0000703A0000}"/>
    <cellStyle name="20 % - Markeringsfarve5 4 4 3" xfId="2768" xr:uid="{00000000-0005-0000-0000-0000713A0000}"/>
    <cellStyle name="20 % - Markeringsfarve5 4 4 3 2" xfId="7108" xr:uid="{00000000-0005-0000-0000-0000723A0000}"/>
    <cellStyle name="20 % - Markeringsfarve5 4 4 3 2 2" xfId="15019" xr:uid="{00000000-0005-0000-0000-0000733A0000}"/>
    <cellStyle name="20 % - Markeringsfarve5 4 4 3 2 2 2" xfId="31334" xr:uid="{00000000-0005-0000-0000-0000743A0000}"/>
    <cellStyle name="20 % - Markeringsfarve5 4 4 3 2 2 3" xfId="46298" xr:uid="{00000000-0005-0000-0000-0000753A0000}"/>
    <cellStyle name="20 % - Markeringsfarve5 4 4 3 2 3" xfId="24312" xr:uid="{00000000-0005-0000-0000-0000763A0000}"/>
    <cellStyle name="20 % - Markeringsfarve5 4 4 3 2 4" xfId="39299" xr:uid="{00000000-0005-0000-0000-0000773A0000}"/>
    <cellStyle name="20 % - Markeringsfarve5 4 4 3 3" xfId="11328" xr:uid="{00000000-0005-0000-0000-0000783A0000}"/>
    <cellStyle name="20 % - Markeringsfarve5 4 4 3 3 2" xfId="27648" xr:uid="{00000000-0005-0000-0000-0000793A0000}"/>
    <cellStyle name="20 % - Markeringsfarve5 4 4 3 3 3" xfId="42614" xr:uid="{00000000-0005-0000-0000-00007A3A0000}"/>
    <cellStyle name="20 % - Markeringsfarve5 4 4 3 4" xfId="20626" xr:uid="{00000000-0005-0000-0000-00007B3A0000}"/>
    <cellStyle name="20 % - Markeringsfarve5 4 4 3 5" xfId="35615" xr:uid="{00000000-0005-0000-0000-00007C3A0000}"/>
    <cellStyle name="20 % - Markeringsfarve5 4 4 4" xfId="5614" xr:uid="{00000000-0005-0000-0000-00007D3A0000}"/>
    <cellStyle name="20 % - Markeringsfarve5 4 4 4 2" xfId="13533" xr:uid="{00000000-0005-0000-0000-00007E3A0000}"/>
    <cellStyle name="20 % - Markeringsfarve5 4 4 4 2 2" xfId="29848" xr:uid="{00000000-0005-0000-0000-00007F3A0000}"/>
    <cellStyle name="20 % - Markeringsfarve5 4 4 4 2 3" xfId="44812" xr:uid="{00000000-0005-0000-0000-0000803A0000}"/>
    <cellStyle name="20 % - Markeringsfarve5 4 4 4 3" xfId="22826" xr:uid="{00000000-0005-0000-0000-0000813A0000}"/>
    <cellStyle name="20 % - Markeringsfarve5 4 4 4 4" xfId="37813" xr:uid="{00000000-0005-0000-0000-0000823A0000}"/>
    <cellStyle name="20 % - Markeringsfarve5 4 4 5" xfId="11326" xr:uid="{00000000-0005-0000-0000-0000833A0000}"/>
    <cellStyle name="20 % - Markeringsfarve5 4 4 5 2" xfId="27646" xr:uid="{00000000-0005-0000-0000-0000843A0000}"/>
    <cellStyle name="20 % - Markeringsfarve5 4 4 5 3" xfId="42612" xr:uid="{00000000-0005-0000-0000-0000853A0000}"/>
    <cellStyle name="20 % - Markeringsfarve5 4 4 6" xfId="20624" xr:uid="{00000000-0005-0000-0000-0000863A0000}"/>
    <cellStyle name="20 % - Markeringsfarve5 4 4 7" xfId="35613" xr:uid="{00000000-0005-0000-0000-0000873A0000}"/>
    <cellStyle name="20 % - Markeringsfarve5 4 5" xfId="2769" xr:uid="{00000000-0005-0000-0000-0000883A0000}"/>
    <cellStyle name="20 % - Markeringsfarve5 4 5 2" xfId="2770" xr:uid="{00000000-0005-0000-0000-0000893A0000}"/>
    <cellStyle name="20 % - Markeringsfarve5 4 5 2 2" xfId="7949" xr:uid="{00000000-0005-0000-0000-00008A3A0000}"/>
    <cellStyle name="20 % - Markeringsfarve5 4 5 2 2 2" xfId="15851" xr:uid="{00000000-0005-0000-0000-00008B3A0000}"/>
    <cellStyle name="20 % - Markeringsfarve5 4 5 2 2 2 2" xfId="32166" xr:uid="{00000000-0005-0000-0000-00008C3A0000}"/>
    <cellStyle name="20 % - Markeringsfarve5 4 5 2 2 2 3" xfId="47130" xr:uid="{00000000-0005-0000-0000-00008D3A0000}"/>
    <cellStyle name="20 % - Markeringsfarve5 4 5 2 2 3" xfId="25144" xr:uid="{00000000-0005-0000-0000-00008E3A0000}"/>
    <cellStyle name="20 % - Markeringsfarve5 4 5 2 2 4" xfId="40131" xr:uid="{00000000-0005-0000-0000-00008F3A0000}"/>
    <cellStyle name="20 % - Markeringsfarve5 4 5 2 3" xfId="11330" xr:uid="{00000000-0005-0000-0000-0000903A0000}"/>
    <cellStyle name="20 % - Markeringsfarve5 4 5 2 3 2" xfId="27650" xr:uid="{00000000-0005-0000-0000-0000913A0000}"/>
    <cellStyle name="20 % - Markeringsfarve5 4 5 2 3 3" xfId="42616" xr:uid="{00000000-0005-0000-0000-0000923A0000}"/>
    <cellStyle name="20 % - Markeringsfarve5 4 5 2 4" xfId="20628" xr:uid="{00000000-0005-0000-0000-0000933A0000}"/>
    <cellStyle name="20 % - Markeringsfarve5 4 5 2 5" xfId="35617" xr:uid="{00000000-0005-0000-0000-0000943A0000}"/>
    <cellStyle name="20 % - Markeringsfarve5 4 5 3" xfId="2771" xr:uid="{00000000-0005-0000-0000-0000953A0000}"/>
    <cellStyle name="20 % - Markeringsfarve5 4 5 3 2" xfId="7225" xr:uid="{00000000-0005-0000-0000-0000963A0000}"/>
    <cellStyle name="20 % - Markeringsfarve5 4 5 3 2 2" xfId="15136" xr:uid="{00000000-0005-0000-0000-0000973A0000}"/>
    <cellStyle name="20 % - Markeringsfarve5 4 5 3 2 2 2" xfId="31451" xr:uid="{00000000-0005-0000-0000-0000983A0000}"/>
    <cellStyle name="20 % - Markeringsfarve5 4 5 3 2 2 3" xfId="46415" xr:uid="{00000000-0005-0000-0000-0000993A0000}"/>
    <cellStyle name="20 % - Markeringsfarve5 4 5 3 2 3" xfId="24429" xr:uid="{00000000-0005-0000-0000-00009A3A0000}"/>
    <cellStyle name="20 % - Markeringsfarve5 4 5 3 2 4" xfId="39416" xr:uid="{00000000-0005-0000-0000-00009B3A0000}"/>
    <cellStyle name="20 % - Markeringsfarve5 4 5 3 3" xfId="11331" xr:uid="{00000000-0005-0000-0000-00009C3A0000}"/>
    <cellStyle name="20 % - Markeringsfarve5 4 5 3 3 2" xfId="27651" xr:uid="{00000000-0005-0000-0000-00009D3A0000}"/>
    <cellStyle name="20 % - Markeringsfarve5 4 5 3 3 3" xfId="42617" xr:uid="{00000000-0005-0000-0000-00009E3A0000}"/>
    <cellStyle name="20 % - Markeringsfarve5 4 5 3 4" xfId="20629" xr:uid="{00000000-0005-0000-0000-00009F3A0000}"/>
    <cellStyle name="20 % - Markeringsfarve5 4 5 3 5" xfId="35618" xr:uid="{00000000-0005-0000-0000-0000A03A0000}"/>
    <cellStyle name="20 % - Markeringsfarve5 4 5 4" xfId="5615" xr:uid="{00000000-0005-0000-0000-0000A13A0000}"/>
    <cellStyle name="20 % - Markeringsfarve5 4 5 4 2" xfId="13534" xr:uid="{00000000-0005-0000-0000-0000A23A0000}"/>
    <cellStyle name="20 % - Markeringsfarve5 4 5 4 2 2" xfId="29849" xr:uid="{00000000-0005-0000-0000-0000A33A0000}"/>
    <cellStyle name="20 % - Markeringsfarve5 4 5 4 2 3" xfId="44813" xr:uid="{00000000-0005-0000-0000-0000A43A0000}"/>
    <cellStyle name="20 % - Markeringsfarve5 4 5 4 3" xfId="22827" xr:uid="{00000000-0005-0000-0000-0000A53A0000}"/>
    <cellStyle name="20 % - Markeringsfarve5 4 5 4 4" xfId="37814" xr:uid="{00000000-0005-0000-0000-0000A63A0000}"/>
    <cellStyle name="20 % - Markeringsfarve5 4 5 5" xfId="11329" xr:uid="{00000000-0005-0000-0000-0000A73A0000}"/>
    <cellStyle name="20 % - Markeringsfarve5 4 5 5 2" xfId="27649" xr:uid="{00000000-0005-0000-0000-0000A83A0000}"/>
    <cellStyle name="20 % - Markeringsfarve5 4 5 5 3" xfId="42615" xr:uid="{00000000-0005-0000-0000-0000A93A0000}"/>
    <cellStyle name="20 % - Markeringsfarve5 4 5 6" xfId="20627" xr:uid="{00000000-0005-0000-0000-0000AA3A0000}"/>
    <cellStyle name="20 % - Markeringsfarve5 4 5 7" xfId="35616" xr:uid="{00000000-0005-0000-0000-0000AB3A0000}"/>
    <cellStyle name="20 % - Markeringsfarve5 4 6" xfId="2772" xr:uid="{00000000-0005-0000-0000-0000AC3A0000}"/>
    <cellStyle name="20 % - Markeringsfarve5 4 6 2" xfId="2773" xr:uid="{00000000-0005-0000-0000-0000AD3A0000}"/>
    <cellStyle name="20 % - Markeringsfarve5 4 6 2 2" xfId="8062" xr:uid="{00000000-0005-0000-0000-0000AE3A0000}"/>
    <cellStyle name="20 % - Markeringsfarve5 4 6 2 2 2" xfId="15964" xr:uid="{00000000-0005-0000-0000-0000AF3A0000}"/>
    <cellStyle name="20 % - Markeringsfarve5 4 6 2 2 2 2" xfId="32279" xr:uid="{00000000-0005-0000-0000-0000B03A0000}"/>
    <cellStyle name="20 % - Markeringsfarve5 4 6 2 2 2 3" xfId="47243" xr:uid="{00000000-0005-0000-0000-0000B13A0000}"/>
    <cellStyle name="20 % - Markeringsfarve5 4 6 2 2 3" xfId="25257" xr:uid="{00000000-0005-0000-0000-0000B23A0000}"/>
    <cellStyle name="20 % - Markeringsfarve5 4 6 2 2 4" xfId="40244" xr:uid="{00000000-0005-0000-0000-0000B33A0000}"/>
    <cellStyle name="20 % - Markeringsfarve5 4 6 2 3" xfId="11333" xr:uid="{00000000-0005-0000-0000-0000B43A0000}"/>
    <cellStyle name="20 % - Markeringsfarve5 4 6 2 3 2" xfId="27653" xr:uid="{00000000-0005-0000-0000-0000B53A0000}"/>
    <cellStyle name="20 % - Markeringsfarve5 4 6 2 3 3" xfId="42619" xr:uid="{00000000-0005-0000-0000-0000B63A0000}"/>
    <cellStyle name="20 % - Markeringsfarve5 4 6 2 4" xfId="20631" xr:uid="{00000000-0005-0000-0000-0000B73A0000}"/>
    <cellStyle name="20 % - Markeringsfarve5 4 6 2 5" xfId="35620" xr:uid="{00000000-0005-0000-0000-0000B83A0000}"/>
    <cellStyle name="20 % - Markeringsfarve5 4 6 3" xfId="2774" xr:uid="{00000000-0005-0000-0000-0000B93A0000}"/>
    <cellStyle name="20 % - Markeringsfarve5 4 6 3 2" xfId="7339" xr:uid="{00000000-0005-0000-0000-0000BA3A0000}"/>
    <cellStyle name="20 % - Markeringsfarve5 4 6 3 2 2" xfId="15250" xr:uid="{00000000-0005-0000-0000-0000BB3A0000}"/>
    <cellStyle name="20 % - Markeringsfarve5 4 6 3 2 2 2" xfId="31565" xr:uid="{00000000-0005-0000-0000-0000BC3A0000}"/>
    <cellStyle name="20 % - Markeringsfarve5 4 6 3 2 2 3" xfId="46529" xr:uid="{00000000-0005-0000-0000-0000BD3A0000}"/>
    <cellStyle name="20 % - Markeringsfarve5 4 6 3 2 3" xfId="24543" xr:uid="{00000000-0005-0000-0000-0000BE3A0000}"/>
    <cellStyle name="20 % - Markeringsfarve5 4 6 3 2 4" xfId="39530" xr:uid="{00000000-0005-0000-0000-0000BF3A0000}"/>
    <cellStyle name="20 % - Markeringsfarve5 4 6 3 3" xfId="11334" xr:uid="{00000000-0005-0000-0000-0000C03A0000}"/>
    <cellStyle name="20 % - Markeringsfarve5 4 6 3 3 2" xfId="27654" xr:uid="{00000000-0005-0000-0000-0000C13A0000}"/>
    <cellStyle name="20 % - Markeringsfarve5 4 6 3 3 3" xfId="42620" xr:uid="{00000000-0005-0000-0000-0000C23A0000}"/>
    <cellStyle name="20 % - Markeringsfarve5 4 6 3 4" xfId="20632" xr:uid="{00000000-0005-0000-0000-0000C33A0000}"/>
    <cellStyle name="20 % - Markeringsfarve5 4 6 3 5" xfId="35621" xr:uid="{00000000-0005-0000-0000-0000C43A0000}"/>
    <cellStyle name="20 % - Markeringsfarve5 4 6 4" xfId="5616" xr:uid="{00000000-0005-0000-0000-0000C53A0000}"/>
    <cellStyle name="20 % - Markeringsfarve5 4 6 4 2" xfId="13535" xr:uid="{00000000-0005-0000-0000-0000C63A0000}"/>
    <cellStyle name="20 % - Markeringsfarve5 4 6 4 2 2" xfId="29850" xr:uid="{00000000-0005-0000-0000-0000C73A0000}"/>
    <cellStyle name="20 % - Markeringsfarve5 4 6 4 2 3" xfId="44814" xr:uid="{00000000-0005-0000-0000-0000C83A0000}"/>
    <cellStyle name="20 % - Markeringsfarve5 4 6 4 3" xfId="22828" xr:uid="{00000000-0005-0000-0000-0000C93A0000}"/>
    <cellStyle name="20 % - Markeringsfarve5 4 6 4 4" xfId="37815" xr:uid="{00000000-0005-0000-0000-0000CA3A0000}"/>
    <cellStyle name="20 % - Markeringsfarve5 4 6 5" xfId="11332" xr:uid="{00000000-0005-0000-0000-0000CB3A0000}"/>
    <cellStyle name="20 % - Markeringsfarve5 4 6 5 2" xfId="27652" xr:uid="{00000000-0005-0000-0000-0000CC3A0000}"/>
    <cellStyle name="20 % - Markeringsfarve5 4 6 5 3" xfId="42618" xr:uid="{00000000-0005-0000-0000-0000CD3A0000}"/>
    <cellStyle name="20 % - Markeringsfarve5 4 6 6" xfId="20630" xr:uid="{00000000-0005-0000-0000-0000CE3A0000}"/>
    <cellStyle name="20 % - Markeringsfarve5 4 6 7" xfId="35619" xr:uid="{00000000-0005-0000-0000-0000CF3A0000}"/>
    <cellStyle name="20 % - Markeringsfarve5 4 7" xfId="2775" xr:uid="{00000000-0005-0000-0000-0000D03A0000}"/>
    <cellStyle name="20 % - Markeringsfarve5 4 7 2" xfId="7475" xr:uid="{00000000-0005-0000-0000-0000D13A0000}"/>
    <cellStyle name="20 % - Markeringsfarve5 4 7 2 2" xfId="15377" xr:uid="{00000000-0005-0000-0000-0000D23A0000}"/>
    <cellStyle name="20 % - Markeringsfarve5 4 7 2 2 2" xfId="31692" xr:uid="{00000000-0005-0000-0000-0000D33A0000}"/>
    <cellStyle name="20 % - Markeringsfarve5 4 7 2 2 3" xfId="46656" xr:uid="{00000000-0005-0000-0000-0000D43A0000}"/>
    <cellStyle name="20 % - Markeringsfarve5 4 7 2 3" xfId="24670" xr:uid="{00000000-0005-0000-0000-0000D53A0000}"/>
    <cellStyle name="20 % - Markeringsfarve5 4 7 2 4" xfId="39657" xr:uid="{00000000-0005-0000-0000-0000D63A0000}"/>
    <cellStyle name="20 % - Markeringsfarve5 4 7 3" xfId="11335" xr:uid="{00000000-0005-0000-0000-0000D73A0000}"/>
    <cellStyle name="20 % - Markeringsfarve5 4 7 3 2" xfId="27655" xr:uid="{00000000-0005-0000-0000-0000D83A0000}"/>
    <cellStyle name="20 % - Markeringsfarve5 4 7 3 3" xfId="42621" xr:uid="{00000000-0005-0000-0000-0000D93A0000}"/>
    <cellStyle name="20 % - Markeringsfarve5 4 7 4" xfId="20633" xr:uid="{00000000-0005-0000-0000-0000DA3A0000}"/>
    <cellStyle name="20 % - Markeringsfarve5 4 7 5" xfId="35622" xr:uid="{00000000-0005-0000-0000-0000DB3A0000}"/>
    <cellStyle name="20 % - Markeringsfarve5 4 8" xfId="2776" xr:uid="{00000000-0005-0000-0000-0000DC3A0000}"/>
    <cellStyle name="20 % - Markeringsfarve5 4 8 2" xfId="6703" xr:uid="{00000000-0005-0000-0000-0000DD3A0000}"/>
    <cellStyle name="20 % - Markeringsfarve5 4 8 2 2" xfId="14615" xr:uid="{00000000-0005-0000-0000-0000DE3A0000}"/>
    <cellStyle name="20 % - Markeringsfarve5 4 8 2 2 2" xfId="30930" xr:uid="{00000000-0005-0000-0000-0000DF3A0000}"/>
    <cellStyle name="20 % - Markeringsfarve5 4 8 2 2 3" xfId="45894" xr:uid="{00000000-0005-0000-0000-0000E03A0000}"/>
    <cellStyle name="20 % - Markeringsfarve5 4 8 2 3" xfId="23908" xr:uid="{00000000-0005-0000-0000-0000E13A0000}"/>
    <cellStyle name="20 % - Markeringsfarve5 4 8 2 4" xfId="38895" xr:uid="{00000000-0005-0000-0000-0000E23A0000}"/>
    <cellStyle name="20 % - Markeringsfarve5 4 8 3" xfId="11336" xr:uid="{00000000-0005-0000-0000-0000E33A0000}"/>
    <cellStyle name="20 % - Markeringsfarve5 4 8 3 2" xfId="27656" xr:uid="{00000000-0005-0000-0000-0000E43A0000}"/>
    <cellStyle name="20 % - Markeringsfarve5 4 8 3 3" xfId="42622" xr:uid="{00000000-0005-0000-0000-0000E53A0000}"/>
    <cellStyle name="20 % - Markeringsfarve5 4 8 4" xfId="20634" xr:uid="{00000000-0005-0000-0000-0000E63A0000}"/>
    <cellStyle name="20 % - Markeringsfarve5 4 8 5" xfId="35623" xr:uid="{00000000-0005-0000-0000-0000E73A0000}"/>
    <cellStyle name="20 % - Markeringsfarve5 4 9" xfId="5611" xr:uid="{00000000-0005-0000-0000-0000E83A0000}"/>
    <cellStyle name="20 % - Markeringsfarve5 4 9 2" xfId="13530" xr:uid="{00000000-0005-0000-0000-0000E93A0000}"/>
    <cellStyle name="20 % - Markeringsfarve5 4 9 2 2" xfId="29845" xr:uid="{00000000-0005-0000-0000-0000EA3A0000}"/>
    <cellStyle name="20 % - Markeringsfarve5 4 9 2 3" xfId="44809" xr:uid="{00000000-0005-0000-0000-0000EB3A0000}"/>
    <cellStyle name="20 % - Markeringsfarve5 4 9 3" xfId="22823" xr:uid="{00000000-0005-0000-0000-0000EC3A0000}"/>
    <cellStyle name="20 % - Markeringsfarve5 4 9 4" xfId="37810" xr:uid="{00000000-0005-0000-0000-0000ED3A0000}"/>
    <cellStyle name="20 % - Markeringsfarve5 5" xfId="2777" xr:uid="{00000000-0005-0000-0000-0000EE3A0000}"/>
    <cellStyle name="20 % - Markeringsfarve5 5 10" xfId="11337" xr:uid="{00000000-0005-0000-0000-0000EF3A0000}"/>
    <cellStyle name="20 % - Markeringsfarve5 5 10 2" xfId="27657" xr:uid="{00000000-0005-0000-0000-0000F03A0000}"/>
    <cellStyle name="20 % - Markeringsfarve5 5 10 3" xfId="42623" xr:uid="{00000000-0005-0000-0000-0000F13A0000}"/>
    <cellStyle name="20 % - Markeringsfarve5 5 11" xfId="20635" xr:uid="{00000000-0005-0000-0000-0000F23A0000}"/>
    <cellStyle name="20 % - Markeringsfarve5 5 12" xfId="35624" xr:uid="{00000000-0005-0000-0000-0000F33A0000}"/>
    <cellStyle name="20 % - Markeringsfarve5 5 13" xfId="53291" xr:uid="{00000000-0005-0000-0000-0000F43A0000}"/>
    <cellStyle name="20 % - Markeringsfarve5 5 2" xfId="2778" xr:uid="{00000000-0005-0000-0000-0000F53A0000}"/>
    <cellStyle name="20 % - Markeringsfarve5 5 2 2" xfId="2779" xr:uid="{00000000-0005-0000-0000-0000F63A0000}"/>
    <cellStyle name="20 % - Markeringsfarve5 5 2 2 2" xfId="7633" xr:uid="{00000000-0005-0000-0000-0000F73A0000}"/>
    <cellStyle name="20 % - Markeringsfarve5 5 2 2 2 2" xfId="15535" xr:uid="{00000000-0005-0000-0000-0000F83A0000}"/>
    <cellStyle name="20 % - Markeringsfarve5 5 2 2 2 2 2" xfId="31850" xr:uid="{00000000-0005-0000-0000-0000F93A0000}"/>
    <cellStyle name="20 % - Markeringsfarve5 5 2 2 2 2 3" xfId="46814" xr:uid="{00000000-0005-0000-0000-0000FA3A0000}"/>
    <cellStyle name="20 % - Markeringsfarve5 5 2 2 2 3" xfId="24828" xr:uid="{00000000-0005-0000-0000-0000FB3A0000}"/>
    <cellStyle name="20 % - Markeringsfarve5 5 2 2 2 4" xfId="39815" xr:uid="{00000000-0005-0000-0000-0000FC3A0000}"/>
    <cellStyle name="20 % - Markeringsfarve5 5 2 2 3" xfId="11339" xr:uid="{00000000-0005-0000-0000-0000FD3A0000}"/>
    <cellStyle name="20 % - Markeringsfarve5 5 2 2 3 2" xfId="27659" xr:uid="{00000000-0005-0000-0000-0000FE3A0000}"/>
    <cellStyle name="20 % - Markeringsfarve5 5 2 2 3 3" xfId="42625" xr:uid="{00000000-0005-0000-0000-0000FF3A0000}"/>
    <cellStyle name="20 % - Markeringsfarve5 5 2 2 4" xfId="20637" xr:uid="{00000000-0005-0000-0000-0000003B0000}"/>
    <cellStyle name="20 % - Markeringsfarve5 5 2 2 5" xfId="35626" xr:uid="{00000000-0005-0000-0000-0000013B0000}"/>
    <cellStyle name="20 % - Markeringsfarve5 5 2 2 6" xfId="57095" xr:uid="{00000000-0005-0000-0000-0000023B0000}"/>
    <cellStyle name="20 % - Markeringsfarve5 5 2 3" xfId="2780" xr:uid="{00000000-0005-0000-0000-0000033B0000}"/>
    <cellStyle name="20 % - Markeringsfarve5 5 2 3 2" xfId="6863" xr:uid="{00000000-0005-0000-0000-0000043B0000}"/>
    <cellStyle name="20 % - Markeringsfarve5 5 2 3 2 2" xfId="14775" xr:uid="{00000000-0005-0000-0000-0000053B0000}"/>
    <cellStyle name="20 % - Markeringsfarve5 5 2 3 2 2 2" xfId="31090" xr:uid="{00000000-0005-0000-0000-0000063B0000}"/>
    <cellStyle name="20 % - Markeringsfarve5 5 2 3 2 2 3" xfId="46054" xr:uid="{00000000-0005-0000-0000-0000073B0000}"/>
    <cellStyle name="20 % - Markeringsfarve5 5 2 3 2 3" xfId="24068" xr:uid="{00000000-0005-0000-0000-0000083B0000}"/>
    <cellStyle name="20 % - Markeringsfarve5 5 2 3 2 4" xfId="39055" xr:uid="{00000000-0005-0000-0000-0000093B0000}"/>
    <cellStyle name="20 % - Markeringsfarve5 5 2 3 3" xfId="11340" xr:uid="{00000000-0005-0000-0000-00000A3B0000}"/>
    <cellStyle name="20 % - Markeringsfarve5 5 2 3 3 2" xfId="27660" xr:uid="{00000000-0005-0000-0000-00000B3B0000}"/>
    <cellStyle name="20 % - Markeringsfarve5 5 2 3 3 3" xfId="42626" xr:uid="{00000000-0005-0000-0000-00000C3B0000}"/>
    <cellStyle name="20 % - Markeringsfarve5 5 2 3 4" xfId="20638" xr:uid="{00000000-0005-0000-0000-00000D3B0000}"/>
    <cellStyle name="20 % - Markeringsfarve5 5 2 3 5" xfId="35627" xr:uid="{00000000-0005-0000-0000-00000E3B0000}"/>
    <cellStyle name="20 % - Markeringsfarve5 5 2 4" xfId="5618" xr:uid="{00000000-0005-0000-0000-00000F3B0000}"/>
    <cellStyle name="20 % - Markeringsfarve5 5 2 4 2" xfId="13537" xr:uid="{00000000-0005-0000-0000-0000103B0000}"/>
    <cellStyle name="20 % - Markeringsfarve5 5 2 4 2 2" xfId="29852" xr:uid="{00000000-0005-0000-0000-0000113B0000}"/>
    <cellStyle name="20 % - Markeringsfarve5 5 2 4 2 3" xfId="44816" xr:uid="{00000000-0005-0000-0000-0000123B0000}"/>
    <cellStyle name="20 % - Markeringsfarve5 5 2 4 3" xfId="22830" xr:uid="{00000000-0005-0000-0000-0000133B0000}"/>
    <cellStyle name="20 % - Markeringsfarve5 5 2 4 4" xfId="37817" xr:uid="{00000000-0005-0000-0000-0000143B0000}"/>
    <cellStyle name="20 % - Markeringsfarve5 5 2 5" xfId="11338" xr:uid="{00000000-0005-0000-0000-0000153B0000}"/>
    <cellStyle name="20 % - Markeringsfarve5 5 2 5 2" xfId="27658" xr:uid="{00000000-0005-0000-0000-0000163B0000}"/>
    <cellStyle name="20 % - Markeringsfarve5 5 2 5 3" xfId="42624" xr:uid="{00000000-0005-0000-0000-0000173B0000}"/>
    <cellStyle name="20 % - Markeringsfarve5 5 2 6" xfId="20636" xr:uid="{00000000-0005-0000-0000-0000183B0000}"/>
    <cellStyle name="20 % - Markeringsfarve5 5 2 7" xfId="35625" xr:uid="{00000000-0005-0000-0000-0000193B0000}"/>
    <cellStyle name="20 % - Markeringsfarve5 5 2 8" xfId="53928" xr:uid="{00000000-0005-0000-0000-00001A3B0000}"/>
    <cellStyle name="20 % - Markeringsfarve5 5 3" xfId="2781" xr:uid="{00000000-0005-0000-0000-00001B3B0000}"/>
    <cellStyle name="20 % - Markeringsfarve5 5 3 2" xfId="2782" xr:uid="{00000000-0005-0000-0000-00001C3B0000}"/>
    <cellStyle name="20 % - Markeringsfarve5 5 3 2 2" xfId="7709" xr:uid="{00000000-0005-0000-0000-00001D3B0000}"/>
    <cellStyle name="20 % - Markeringsfarve5 5 3 2 2 2" xfId="15611" xr:uid="{00000000-0005-0000-0000-00001E3B0000}"/>
    <cellStyle name="20 % - Markeringsfarve5 5 3 2 2 2 2" xfId="31926" xr:uid="{00000000-0005-0000-0000-00001F3B0000}"/>
    <cellStyle name="20 % - Markeringsfarve5 5 3 2 2 2 3" xfId="46890" xr:uid="{00000000-0005-0000-0000-0000203B0000}"/>
    <cellStyle name="20 % - Markeringsfarve5 5 3 2 2 3" xfId="24904" xr:uid="{00000000-0005-0000-0000-0000213B0000}"/>
    <cellStyle name="20 % - Markeringsfarve5 5 3 2 2 4" xfId="39891" xr:uid="{00000000-0005-0000-0000-0000223B0000}"/>
    <cellStyle name="20 % - Markeringsfarve5 5 3 2 3" xfId="11342" xr:uid="{00000000-0005-0000-0000-0000233B0000}"/>
    <cellStyle name="20 % - Markeringsfarve5 5 3 2 3 2" xfId="27662" xr:uid="{00000000-0005-0000-0000-0000243B0000}"/>
    <cellStyle name="20 % - Markeringsfarve5 5 3 2 3 3" xfId="42628" xr:uid="{00000000-0005-0000-0000-0000253B0000}"/>
    <cellStyle name="20 % - Markeringsfarve5 5 3 2 4" xfId="20640" xr:uid="{00000000-0005-0000-0000-0000263B0000}"/>
    <cellStyle name="20 % - Markeringsfarve5 5 3 2 5" xfId="35629" xr:uid="{00000000-0005-0000-0000-0000273B0000}"/>
    <cellStyle name="20 % - Markeringsfarve5 5 3 3" xfId="2783" xr:uid="{00000000-0005-0000-0000-0000283B0000}"/>
    <cellStyle name="20 % - Markeringsfarve5 5 3 3 2" xfId="6939" xr:uid="{00000000-0005-0000-0000-0000293B0000}"/>
    <cellStyle name="20 % - Markeringsfarve5 5 3 3 2 2" xfId="14851" xr:uid="{00000000-0005-0000-0000-00002A3B0000}"/>
    <cellStyle name="20 % - Markeringsfarve5 5 3 3 2 2 2" xfId="31166" xr:uid="{00000000-0005-0000-0000-00002B3B0000}"/>
    <cellStyle name="20 % - Markeringsfarve5 5 3 3 2 2 3" xfId="46130" xr:uid="{00000000-0005-0000-0000-00002C3B0000}"/>
    <cellStyle name="20 % - Markeringsfarve5 5 3 3 2 3" xfId="24144" xr:uid="{00000000-0005-0000-0000-00002D3B0000}"/>
    <cellStyle name="20 % - Markeringsfarve5 5 3 3 2 4" xfId="39131" xr:uid="{00000000-0005-0000-0000-00002E3B0000}"/>
    <cellStyle name="20 % - Markeringsfarve5 5 3 3 3" xfId="11343" xr:uid="{00000000-0005-0000-0000-00002F3B0000}"/>
    <cellStyle name="20 % - Markeringsfarve5 5 3 3 3 2" xfId="27663" xr:uid="{00000000-0005-0000-0000-0000303B0000}"/>
    <cellStyle name="20 % - Markeringsfarve5 5 3 3 3 3" xfId="42629" xr:uid="{00000000-0005-0000-0000-0000313B0000}"/>
    <cellStyle name="20 % - Markeringsfarve5 5 3 3 4" xfId="20641" xr:uid="{00000000-0005-0000-0000-0000323B0000}"/>
    <cellStyle name="20 % - Markeringsfarve5 5 3 3 5" xfId="35630" xr:uid="{00000000-0005-0000-0000-0000333B0000}"/>
    <cellStyle name="20 % - Markeringsfarve5 5 3 4" xfId="5619" xr:uid="{00000000-0005-0000-0000-0000343B0000}"/>
    <cellStyle name="20 % - Markeringsfarve5 5 3 4 2" xfId="13538" xr:uid="{00000000-0005-0000-0000-0000353B0000}"/>
    <cellStyle name="20 % - Markeringsfarve5 5 3 4 2 2" xfId="29853" xr:uid="{00000000-0005-0000-0000-0000363B0000}"/>
    <cellStyle name="20 % - Markeringsfarve5 5 3 4 2 3" xfId="44817" xr:uid="{00000000-0005-0000-0000-0000373B0000}"/>
    <cellStyle name="20 % - Markeringsfarve5 5 3 4 3" xfId="22831" xr:uid="{00000000-0005-0000-0000-0000383B0000}"/>
    <cellStyle name="20 % - Markeringsfarve5 5 3 4 4" xfId="37818" xr:uid="{00000000-0005-0000-0000-0000393B0000}"/>
    <cellStyle name="20 % - Markeringsfarve5 5 3 5" xfId="11341" xr:uid="{00000000-0005-0000-0000-00003A3B0000}"/>
    <cellStyle name="20 % - Markeringsfarve5 5 3 5 2" xfId="27661" xr:uid="{00000000-0005-0000-0000-00003B3B0000}"/>
    <cellStyle name="20 % - Markeringsfarve5 5 3 5 3" xfId="42627" xr:uid="{00000000-0005-0000-0000-00003C3B0000}"/>
    <cellStyle name="20 % - Markeringsfarve5 5 3 6" xfId="20639" xr:uid="{00000000-0005-0000-0000-00003D3B0000}"/>
    <cellStyle name="20 % - Markeringsfarve5 5 3 7" xfId="35628" xr:uid="{00000000-0005-0000-0000-00003E3B0000}"/>
    <cellStyle name="20 % - Markeringsfarve5 5 3 8" xfId="56472" xr:uid="{00000000-0005-0000-0000-00003F3B0000}"/>
    <cellStyle name="20 % - Markeringsfarve5 5 4" xfId="2784" xr:uid="{00000000-0005-0000-0000-0000403B0000}"/>
    <cellStyle name="20 % - Markeringsfarve5 5 4 2" xfId="2785" xr:uid="{00000000-0005-0000-0000-0000413B0000}"/>
    <cellStyle name="20 % - Markeringsfarve5 5 4 2 2" xfId="7871" xr:uid="{00000000-0005-0000-0000-0000423B0000}"/>
    <cellStyle name="20 % - Markeringsfarve5 5 4 2 2 2" xfId="15773" xr:uid="{00000000-0005-0000-0000-0000433B0000}"/>
    <cellStyle name="20 % - Markeringsfarve5 5 4 2 2 2 2" xfId="32088" xr:uid="{00000000-0005-0000-0000-0000443B0000}"/>
    <cellStyle name="20 % - Markeringsfarve5 5 4 2 2 2 3" xfId="47052" xr:uid="{00000000-0005-0000-0000-0000453B0000}"/>
    <cellStyle name="20 % - Markeringsfarve5 5 4 2 2 3" xfId="25066" xr:uid="{00000000-0005-0000-0000-0000463B0000}"/>
    <cellStyle name="20 % - Markeringsfarve5 5 4 2 2 4" xfId="40053" xr:uid="{00000000-0005-0000-0000-0000473B0000}"/>
    <cellStyle name="20 % - Markeringsfarve5 5 4 2 3" xfId="11345" xr:uid="{00000000-0005-0000-0000-0000483B0000}"/>
    <cellStyle name="20 % - Markeringsfarve5 5 4 2 3 2" xfId="27665" xr:uid="{00000000-0005-0000-0000-0000493B0000}"/>
    <cellStyle name="20 % - Markeringsfarve5 5 4 2 3 3" xfId="42631" xr:uid="{00000000-0005-0000-0000-00004A3B0000}"/>
    <cellStyle name="20 % - Markeringsfarve5 5 4 2 4" xfId="20643" xr:uid="{00000000-0005-0000-0000-00004B3B0000}"/>
    <cellStyle name="20 % - Markeringsfarve5 5 4 2 5" xfId="35632" xr:uid="{00000000-0005-0000-0000-00004C3B0000}"/>
    <cellStyle name="20 % - Markeringsfarve5 5 4 3" xfId="2786" xr:uid="{00000000-0005-0000-0000-00004D3B0000}"/>
    <cellStyle name="20 % - Markeringsfarve5 5 4 3 2" xfId="7147" xr:uid="{00000000-0005-0000-0000-00004E3B0000}"/>
    <cellStyle name="20 % - Markeringsfarve5 5 4 3 2 2" xfId="15058" xr:uid="{00000000-0005-0000-0000-00004F3B0000}"/>
    <cellStyle name="20 % - Markeringsfarve5 5 4 3 2 2 2" xfId="31373" xr:uid="{00000000-0005-0000-0000-0000503B0000}"/>
    <cellStyle name="20 % - Markeringsfarve5 5 4 3 2 2 3" xfId="46337" xr:uid="{00000000-0005-0000-0000-0000513B0000}"/>
    <cellStyle name="20 % - Markeringsfarve5 5 4 3 2 3" xfId="24351" xr:uid="{00000000-0005-0000-0000-0000523B0000}"/>
    <cellStyle name="20 % - Markeringsfarve5 5 4 3 2 4" xfId="39338" xr:uid="{00000000-0005-0000-0000-0000533B0000}"/>
    <cellStyle name="20 % - Markeringsfarve5 5 4 3 3" xfId="11346" xr:uid="{00000000-0005-0000-0000-0000543B0000}"/>
    <cellStyle name="20 % - Markeringsfarve5 5 4 3 3 2" xfId="27666" xr:uid="{00000000-0005-0000-0000-0000553B0000}"/>
    <cellStyle name="20 % - Markeringsfarve5 5 4 3 3 3" xfId="42632" xr:uid="{00000000-0005-0000-0000-0000563B0000}"/>
    <cellStyle name="20 % - Markeringsfarve5 5 4 3 4" xfId="20644" xr:uid="{00000000-0005-0000-0000-0000573B0000}"/>
    <cellStyle name="20 % - Markeringsfarve5 5 4 3 5" xfId="35633" xr:uid="{00000000-0005-0000-0000-0000583B0000}"/>
    <cellStyle name="20 % - Markeringsfarve5 5 4 4" xfId="5620" xr:uid="{00000000-0005-0000-0000-0000593B0000}"/>
    <cellStyle name="20 % - Markeringsfarve5 5 4 4 2" xfId="13539" xr:uid="{00000000-0005-0000-0000-00005A3B0000}"/>
    <cellStyle name="20 % - Markeringsfarve5 5 4 4 2 2" xfId="29854" xr:uid="{00000000-0005-0000-0000-00005B3B0000}"/>
    <cellStyle name="20 % - Markeringsfarve5 5 4 4 2 3" xfId="44818" xr:uid="{00000000-0005-0000-0000-00005C3B0000}"/>
    <cellStyle name="20 % - Markeringsfarve5 5 4 4 3" xfId="22832" xr:uid="{00000000-0005-0000-0000-00005D3B0000}"/>
    <cellStyle name="20 % - Markeringsfarve5 5 4 4 4" xfId="37819" xr:uid="{00000000-0005-0000-0000-00005E3B0000}"/>
    <cellStyle name="20 % - Markeringsfarve5 5 4 5" xfId="11344" xr:uid="{00000000-0005-0000-0000-00005F3B0000}"/>
    <cellStyle name="20 % - Markeringsfarve5 5 4 5 2" xfId="27664" xr:uid="{00000000-0005-0000-0000-0000603B0000}"/>
    <cellStyle name="20 % - Markeringsfarve5 5 4 5 3" xfId="42630" xr:uid="{00000000-0005-0000-0000-0000613B0000}"/>
    <cellStyle name="20 % - Markeringsfarve5 5 4 6" xfId="20642" xr:uid="{00000000-0005-0000-0000-0000623B0000}"/>
    <cellStyle name="20 % - Markeringsfarve5 5 4 7" xfId="35631" xr:uid="{00000000-0005-0000-0000-0000633B0000}"/>
    <cellStyle name="20 % - Markeringsfarve5 5 5" xfId="2787" xr:uid="{00000000-0005-0000-0000-0000643B0000}"/>
    <cellStyle name="20 % - Markeringsfarve5 5 5 2" xfId="2788" xr:uid="{00000000-0005-0000-0000-0000653B0000}"/>
    <cellStyle name="20 % - Markeringsfarve5 5 5 2 2" xfId="7988" xr:uid="{00000000-0005-0000-0000-0000663B0000}"/>
    <cellStyle name="20 % - Markeringsfarve5 5 5 2 2 2" xfId="15890" xr:uid="{00000000-0005-0000-0000-0000673B0000}"/>
    <cellStyle name="20 % - Markeringsfarve5 5 5 2 2 2 2" xfId="32205" xr:uid="{00000000-0005-0000-0000-0000683B0000}"/>
    <cellStyle name="20 % - Markeringsfarve5 5 5 2 2 2 3" xfId="47169" xr:uid="{00000000-0005-0000-0000-0000693B0000}"/>
    <cellStyle name="20 % - Markeringsfarve5 5 5 2 2 3" xfId="25183" xr:uid="{00000000-0005-0000-0000-00006A3B0000}"/>
    <cellStyle name="20 % - Markeringsfarve5 5 5 2 2 4" xfId="40170" xr:uid="{00000000-0005-0000-0000-00006B3B0000}"/>
    <cellStyle name="20 % - Markeringsfarve5 5 5 2 3" xfId="11348" xr:uid="{00000000-0005-0000-0000-00006C3B0000}"/>
    <cellStyle name="20 % - Markeringsfarve5 5 5 2 3 2" xfId="27668" xr:uid="{00000000-0005-0000-0000-00006D3B0000}"/>
    <cellStyle name="20 % - Markeringsfarve5 5 5 2 3 3" xfId="42634" xr:uid="{00000000-0005-0000-0000-00006E3B0000}"/>
    <cellStyle name="20 % - Markeringsfarve5 5 5 2 4" xfId="20646" xr:uid="{00000000-0005-0000-0000-00006F3B0000}"/>
    <cellStyle name="20 % - Markeringsfarve5 5 5 2 5" xfId="35635" xr:uid="{00000000-0005-0000-0000-0000703B0000}"/>
    <cellStyle name="20 % - Markeringsfarve5 5 5 3" xfId="2789" xr:uid="{00000000-0005-0000-0000-0000713B0000}"/>
    <cellStyle name="20 % - Markeringsfarve5 5 5 3 2" xfId="7264" xr:uid="{00000000-0005-0000-0000-0000723B0000}"/>
    <cellStyle name="20 % - Markeringsfarve5 5 5 3 2 2" xfId="15175" xr:uid="{00000000-0005-0000-0000-0000733B0000}"/>
    <cellStyle name="20 % - Markeringsfarve5 5 5 3 2 2 2" xfId="31490" xr:uid="{00000000-0005-0000-0000-0000743B0000}"/>
    <cellStyle name="20 % - Markeringsfarve5 5 5 3 2 2 3" xfId="46454" xr:uid="{00000000-0005-0000-0000-0000753B0000}"/>
    <cellStyle name="20 % - Markeringsfarve5 5 5 3 2 3" xfId="24468" xr:uid="{00000000-0005-0000-0000-0000763B0000}"/>
    <cellStyle name="20 % - Markeringsfarve5 5 5 3 2 4" xfId="39455" xr:uid="{00000000-0005-0000-0000-0000773B0000}"/>
    <cellStyle name="20 % - Markeringsfarve5 5 5 3 3" xfId="11349" xr:uid="{00000000-0005-0000-0000-0000783B0000}"/>
    <cellStyle name="20 % - Markeringsfarve5 5 5 3 3 2" xfId="27669" xr:uid="{00000000-0005-0000-0000-0000793B0000}"/>
    <cellStyle name="20 % - Markeringsfarve5 5 5 3 3 3" xfId="42635" xr:uid="{00000000-0005-0000-0000-00007A3B0000}"/>
    <cellStyle name="20 % - Markeringsfarve5 5 5 3 4" xfId="20647" xr:uid="{00000000-0005-0000-0000-00007B3B0000}"/>
    <cellStyle name="20 % - Markeringsfarve5 5 5 3 5" xfId="35636" xr:uid="{00000000-0005-0000-0000-00007C3B0000}"/>
    <cellStyle name="20 % - Markeringsfarve5 5 5 4" xfId="5621" xr:uid="{00000000-0005-0000-0000-00007D3B0000}"/>
    <cellStyle name="20 % - Markeringsfarve5 5 5 4 2" xfId="13540" xr:uid="{00000000-0005-0000-0000-00007E3B0000}"/>
    <cellStyle name="20 % - Markeringsfarve5 5 5 4 2 2" xfId="29855" xr:uid="{00000000-0005-0000-0000-00007F3B0000}"/>
    <cellStyle name="20 % - Markeringsfarve5 5 5 4 2 3" xfId="44819" xr:uid="{00000000-0005-0000-0000-0000803B0000}"/>
    <cellStyle name="20 % - Markeringsfarve5 5 5 4 3" xfId="22833" xr:uid="{00000000-0005-0000-0000-0000813B0000}"/>
    <cellStyle name="20 % - Markeringsfarve5 5 5 4 4" xfId="37820" xr:uid="{00000000-0005-0000-0000-0000823B0000}"/>
    <cellStyle name="20 % - Markeringsfarve5 5 5 5" xfId="11347" xr:uid="{00000000-0005-0000-0000-0000833B0000}"/>
    <cellStyle name="20 % - Markeringsfarve5 5 5 5 2" xfId="27667" xr:uid="{00000000-0005-0000-0000-0000843B0000}"/>
    <cellStyle name="20 % - Markeringsfarve5 5 5 5 3" xfId="42633" xr:uid="{00000000-0005-0000-0000-0000853B0000}"/>
    <cellStyle name="20 % - Markeringsfarve5 5 5 6" xfId="20645" xr:uid="{00000000-0005-0000-0000-0000863B0000}"/>
    <cellStyle name="20 % - Markeringsfarve5 5 5 7" xfId="35634" xr:uid="{00000000-0005-0000-0000-0000873B0000}"/>
    <cellStyle name="20 % - Markeringsfarve5 5 6" xfId="2790" xr:uid="{00000000-0005-0000-0000-0000883B0000}"/>
    <cellStyle name="20 % - Markeringsfarve5 5 6 2" xfId="2791" xr:uid="{00000000-0005-0000-0000-0000893B0000}"/>
    <cellStyle name="20 % - Markeringsfarve5 5 6 2 2" xfId="8063" xr:uid="{00000000-0005-0000-0000-00008A3B0000}"/>
    <cellStyle name="20 % - Markeringsfarve5 5 6 2 2 2" xfId="15965" xr:uid="{00000000-0005-0000-0000-00008B3B0000}"/>
    <cellStyle name="20 % - Markeringsfarve5 5 6 2 2 2 2" xfId="32280" xr:uid="{00000000-0005-0000-0000-00008C3B0000}"/>
    <cellStyle name="20 % - Markeringsfarve5 5 6 2 2 2 3" xfId="47244" xr:uid="{00000000-0005-0000-0000-00008D3B0000}"/>
    <cellStyle name="20 % - Markeringsfarve5 5 6 2 2 3" xfId="25258" xr:uid="{00000000-0005-0000-0000-00008E3B0000}"/>
    <cellStyle name="20 % - Markeringsfarve5 5 6 2 2 4" xfId="40245" xr:uid="{00000000-0005-0000-0000-00008F3B0000}"/>
    <cellStyle name="20 % - Markeringsfarve5 5 6 2 3" xfId="11351" xr:uid="{00000000-0005-0000-0000-0000903B0000}"/>
    <cellStyle name="20 % - Markeringsfarve5 5 6 2 3 2" xfId="27671" xr:uid="{00000000-0005-0000-0000-0000913B0000}"/>
    <cellStyle name="20 % - Markeringsfarve5 5 6 2 3 3" xfId="42637" xr:uid="{00000000-0005-0000-0000-0000923B0000}"/>
    <cellStyle name="20 % - Markeringsfarve5 5 6 2 4" xfId="20649" xr:uid="{00000000-0005-0000-0000-0000933B0000}"/>
    <cellStyle name="20 % - Markeringsfarve5 5 6 2 5" xfId="35638" xr:uid="{00000000-0005-0000-0000-0000943B0000}"/>
    <cellStyle name="20 % - Markeringsfarve5 5 6 3" xfId="2792" xr:uid="{00000000-0005-0000-0000-0000953B0000}"/>
    <cellStyle name="20 % - Markeringsfarve5 5 6 3 2" xfId="7340" xr:uid="{00000000-0005-0000-0000-0000963B0000}"/>
    <cellStyle name="20 % - Markeringsfarve5 5 6 3 2 2" xfId="15251" xr:uid="{00000000-0005-0000-0000-0000973B0000}"/>
    <cellStyle name="20 % - Markeringsfarve5 5 6 3 2 2 2" xfId="31566" xr:uid="{00000000-0005-0000-0000-0000983B0000}"/>
    <cellStyle name="20 % - Markeringsfarve5 5 6 3 2 2 3" xfId="46530" xr:uid="{00000000-0005-0000-0000-0000993B0000}"/>
    <cellStyle name="20 % - Markeringsfarve5 5 6 3 2 3" xfId="24544" xr:uid="{00000000-0005-0000-0000-00009A3B0000}"/>
    <cellStyle name="20 % - Markeringsfarve5 5 6 3 2 4" xfId="39531" xr:uid="{00000000-0005-0000-0000-00009B3B0000}"/>
    <cellStyle name="20 % - Markeringsfarve5 5 6 3 3" xfId="11352" xr:uid="{00000000-0005-0000-0000-00009C3B0000}"/>
    <cellStyle name="20 % - Markeringsfarve5 5 6 3 3 2" xfId="27672" xr:uid="{00000000-0005-0000-0000-00009D3B0000}"/>
    <cellStyle name="20 % - Markeringsfarve5 5 6 3 3 3" xfId="42638" xr:uid="{00000000-0005-0000-0000-00009E3B0000}"/>
    <cellStyle name="20 % - Markeringsfarve5 5 6 3 4" xfId="20650" xr:uid="{00000000-0005-0000-0000-00009F3B0000}"/>
    <cellStyle name="20 % - Markeringsfarve5 5 6 3 5" xfId="35639" xr:uid="{00000000-0005-0000-0000-0000A03B0000}"/>
    <cellStyle name="20 % - Markeringsfarve5 5 6 4" xfId="5622" xr:uid="{00000000-0005-0000-0000-0000A13B0000}"/>
    <cellStyle name="20 % - Markeringsfarve5 5 6 4 2" xfId="13541" xr:uid="{00000000-0005-0000-0000-0000A23B0000}"/>
    <cellStyle name="20 % - Markeringsfarve5 5 6 4 2 2" xfId="29856" xr:uid="{00000000-0005-0000-0000-0000A33B0000}"/>
    <cellStyle name="20 % - Markeringsfarve5 5 6 4 2 3" xfId="44820" xr:uid="{00000000-0005-0000-0000-0000A43B0000}"/>
    <cellStyle name="20 % - Markeringsfarve5 5 6 4 3" xfId="22834" xr:uid="{00000000-0005-0000-0000-0000A53B0000}"/>
    <cellStyle name="20 % - Markeringsfarve5 5 6 4 4" xfId="37821" xr:uid="{00000000-0005-0000-0000-0000A63B0000}"/>
    <cellStyle name="20 % - Markeringsfarve5 5 6 5" xfId="11350" xr:uid="{00000000-0005-0000-0000-0000A73B0000}"/>
    <cellStyle name="20 % - Markeringsfarve5 5 6 5 2" xfId="27670" xr:uid="{00000000-0005-0000-0000-0000A83B0000}"/>
    <cellStyle name="20 % - Markeringsfarve5 5 6 5 3" xfId="42636" xr:uid="{00000000-0005-0000-0000-0000A93B0000}"/>
    <cellStyle name="20 % - Markeringsfarve5 5 6 6" xfId="20648" xr:uid="{00000000-0005-0000-0000-0000AA3B0000}"/>
    <cellStyle name="20 % - Markeringsfarve5 5 6 7" xfId="35637" xr:uid="{00000000-0005-0000-0000-0000AB3B0000}"/>
    <cellStyle name="20 % - Markeringsfarve5 5 7" xfId="2793" xr:uid="{00000000-0005-0000-0000-0000AC3B0000}"/>
    <cellStyle name="20 % - Markeringsfarve5 5 7 2" xfId="7514" xr:uid="{00000000-0005-0000-0000-0000AD3B0000}"/>
    <cellStyle name="20 % - Markeringsfarve5 5 7 2 2" xfId="15416" xr:uid="{00000000-0005-0000-0000-0000AE3B0000}"/>
    <cellStyle name="20 % - Markeringsfarve5 5 7 2 2 2" xfId="31731" xr:uid="{00000000-0005-0000-0000-0000AF3B0000}"/>
    <cellStyle name="20 % - Markeringsfarve5 5 7 2 2 3" xfId="46695" xr:uid="{00000000-0005-0000-0000-0000B03B0000}"/>
    <cellStyle name="20 % - Markeringsfarve5 5 7 2 3" xfId="24709" xr:uid="{00000000-0005-0000-0000-0000B13B0000}"/>
    <cellStyle name="20 % - Markeringsfarve5 5 7 2 4" xfId="39696" xr:uid="{00000000-0005-0000-0000-0000B23B0000}"/>
    <cellStyle name="20 % - Markeringsfarve5 5 7 3" xfId="11353" xr:uid="{00000000-0005-0000-0000-0000B33B0000}"/>
    <cellStyle name="20 % - Markeringsfarve5 5 7 3 2" xfId="27673" xr:uid="{00000000-0005-0000-0000-0000B43B0000}"/>
    <cellStyle name="20 % - Markeringsfarve5 5 7 3 3" xfId="42639" xr:uid="{00000000-0005-0000-0000-0000B53B0000}"/>
    <cellStyle name="20 % - Markeringsfarve5 5 7 4" xfId="20651" xr:uid="{00000000-0005-0000-0000-0000B63B0000}"/>
    <cellStyle name="20 % - Markeringsfarve5 5 7 5" xfId="35640" xr:uid="{00000000-0005-0000-0000-0000B73B0000}"/>
    <cellStyle name="20 % - Markeringsfarve5 5 8" xfId="2794" xr:uid="{00000000-0005-0000-0000-0000B83B0000}"/>
    <cellStyle name="20 % - Markeringsfarve5 5 8 2" xfId="6742" xr:uid="{00000000-0005-0000-0000-0000B93B0000}"/>
    <cellStyle name="20 % - Markeringsfarve5 5 8 2 2" xfId="14654" xr:uid="{00000000-0005-0000-0000-0000BA3B0000}"/>
    <cellStyle name="20 % - Markeringsfarve5 5 8 2 2 2" xfId="30969" xr:uid="{00000000-0005-0000-0000-0000BB3B0000}"/>
    <cellStyle name="20 % - Markeringsfarve5 5 8 2 2 3" xfId="45933" xr:uid="{00000000-0005-0000-0000-0000BC3B0000}"/>
    <cellStyle name="20 % - Markeringsfarve5 5 8 2 3" xfId="23947" xr:uid="{00000000-0005-0000-0000-0000BD3B0000}"/>
    <cellStyle name="20 % - Markeringsfarve5 5 8 2 4" xfId="38934" xr:uid="{00000000-0005-0000-0000-0000BE3B0000}"/>
    <cellStyle name="20 % - Markeringsfarve5 5 8 3" xfId="11354" xr:uid="{00000000-0005-0000-0000-0000BF3B0000}"/>
    <cellStyle name="20 % - Markeringsfarve5 5 8 3 2" xfId="27674" xr:uid="{00000000-0005-0000-0000-0000C03B0000}"/>
    <cellStyle name="20 % - Markeringsfarve5 5 8 3 3" xfId="42640" xr:uid="{00000000-0005-0000-0000-0000C13B0000}"/>
    <cellStyle name="20 % - Markeringsfarve5 5 8 4" xfId="20652" xr:uid="{00000000-0005-0000-0000-0000C23B0000}"/>
    <cellStyle name="20 % - Markeringsfarve5 5 8 5" xfId="35641" xr:uid="{00000000-0005-0000-0000-0000C33B0000}"/>
    <cellStyle name="20 % - Markeringsfarve5 5 9" xfId="5617" xr:uid="{00000000-0005-0000-0000-0000C43B0000}"/>
    <cellStyle name="20 % - Markeringsfarve5 5 9 2" xfId="13536" xr:uid="{00000000-0005-0000-0000-0000C53B0000}"/>
    <cellStyle name="20 % - Markeringsfarve5 5 9 2 2" xfId="29851" xr:uid="{00000000-0005-0000-0000-0000C63B0000}"/>
    <cellStyle name="20 % - Markeringsfarve5 5 9 2 3" xfId="44815" xr:uid="{00000000-0005-0000-0000-0000C73B0000}"/>
    <cellStyle name="20 % - Markeringsfarve5 5 9 3" xfId="22829" xr:uid="{00000000-0005-0000-0000-0000C83B0000}"/>
    <cellStyle name="20 % - Markeringsfarve5 5 9 4" xfId="37816" xr:uid="{00000000-0005-0000-0000-0000C93B0000}"/>
    <cellStyle name="20 % - Markeringsfarve5 6" xfId="2795" xr:uid="{00000000-0005-0000-0000-0000CA3B0000}"/>
    <cellStyle name="20 % - Markeringsfarve5 6 2" xfId="2796" xr:uid="{00000000-0005-0000-0000-0000CB3B0000}"/>
    <cellStyle name="20 % - Markeringsfarve5 6 2 2" xfId="7555" xr:uid="{00000000-0005-0000-0000-0000CC3B0000}"/>
    <cellStyle name="20 % - Markeringsfarve5 6 2 2 2" xfId="15457" xr:uid="{00000000-0005-0000-0000-0000CD3B0000}"/>
    <cellStyle name="20 % - Markeringsfarve5 6 2 2 2 2" xfId="31772" xr:uid="{00000000-0005-0000-0000-0000CE3B0000}"/>
    <cellStyle name="20 % - Markeringsfarve5 6 2 2 2 3" xfId="46736" xr:uid="{00000000-0005-0000-0000-0000CF3B0000}"/>
    <cellStyle name="20 % - Markeringsfarve5 6 2 2 3" xfId="24750" xr:uid="{00000000-0005-0000-0000-0000D03B0000}"/>
    <cellStyle name="20 % - Markeringsfarve5 6 2 2 4" xfId="39737" xr:uid="{00000000-0005-0000-0000-0000D13B0000}"/>
    <cellStyle name="20 % - Markeringsfarve5 6 2 2 5" xfId="57094" xr:uid="{00000000-0005-0000-0000-0000D23B0000}"/>
    <cellStyle name="20 % - Markeringsfarve5 6 2 3" xfId="11356" xr:uid="{00000000-0005-0000-0000-0000D33B0000}"/>
    <cellStyle name="20 % - Markeringsfarve5 6 2 3 2" xfId="27676" xr:uid="{00000000-0005-0000-0000-0000D43B0000}"/>
    <cellStyle name="20 % - Markeringsfarve5 6 2 3 3" xfId="42642" xr:uid="{00000000-0005-0000-0000-0000D53B0000}"/>
    <cellStyle name="20 % - Markeringsfarve5 6 2 4" xfId="20654" xr:uid="{00000000-0005-0000-0000-0000D63B0000}"/>
    <cellStyle name="20 % - Markeringsfarve5 6 2 5" xfId="35643" xr:uid="{00000000-0005-0000-0000-0000D73B0000}"/>
    <cellStyle name="20 % - Markeringsfarve5 6 2 6" xfId="53927" xr:uid="{00000000-0005-0000-0000-0000D83B0000}"/>
    <cellStyle name="20 % - Markeringsfarve5 6 3" xfId="2797" xr:uid="{00000000-0005-0000-0000-0000D93B0000}"/>
    <cellStyle name="20 % - Markeringsfarve5 6 3 2" xfId="6785" xr:uid="{00000000-0005-0000-0000-0000DA3B0000}"/>
    <cellStyle name="20 % - Markeringsfarve5 6 3 2 2" xfId="14697" xr:uid="{00000000-0005-0000-0000-0000DB3B0000}"/>
    <cellStyle name="20 % - Markeringsfarve5 6 3 2 2 2" xfId="31012" xr:uid="{00000000-0005-0000-0000-0000DC3B0000}"/>
    <cellStyle name="20 % - Markeringsfarve5 6 3 2 2 3" xfId="45976" xr:uid="{00000000-0005-0000-0000-0000DD3B0000}"/>
    <cellStyle name="20 % - Markeringsfarve5 6 3 2 3" xfId="23990" xr:uid="{00000000-0005-0000-0000-0000DE3B0000}"/>
    <cellStyle name="20 % - Markeringsfarve5 6 3 2 4" xfId="38977" xr:uid="{00000000-0005-0000-0000-0000DF3B0000}"/>
    <cellStyle name="20 % - Markeringsfarve5 6 3 3" xfId="11357" xr:uid="{00000000-0005-0000-0000-0000E03B0000}"/>
    <cellStyle name="20 % - Markeringsfarve5 6 3 3 2" xfId="27677" xr:uid="{00000000-0005-0000-0000-0000E13B0000}"/>
    <cellStyle name="20 % - Markeringsfarve5 6 3 3 3" xfId="42643" xr:uid="{00000000-0005-0000-0000-0000E23B0000}"/>
    <cellStyle name="20 % - Markeringsfarve5 6 3 4" xfId="20655" xr:uid="{00000000-0005-0000-0000-0000E33B0000}"/>
    <cellStyle name="20 % - Markeringsfarve5 6 3 5" xfId="35644" xr:uid="{00000000-0005-0000-0000-0000E43B0000}"/>
    <cellStyle name="20 % - Markeringsfarve5 6 3 6" xfId="56471" xr:uid="{00000000-0005-0000-0000-0000E53B0000}"/>
    <cellStyle name="20 % - Markeringsfarve5 6 4" xfId="5623" xr:uid="{00000000-0005-0000-0000-0000E63B0000}"/>
    <cellStyle name="20 % - Markeringsfarve5 6 4 2" xfId="13542" xr:uid="{00000000-0005-0000-0000-0000E73B0000}"/>
    <cellStyle name="20 % - Markeringsfarve5 6 4 2 2" xfId="29857" xr:uid="{00000000-0005-0000-0000-0000E83B0000}"/>
    <cellStyle name="20 % - Markeringsfarve5 6 4 2 3" xfId="44821" xr:uid="{00000000-0005-0000-0000-0000E93B0000}"/>
    <cellStyle name="20 % - Markeringsfarve5 6 4 3" xfId="22835" xr:uid="{00000000-0005-0000-0000-0000EA3B0000}"/>
    <cellStyle name="20 % - Markeringsfarve5 6 4 4" xfId="37822" xr:uid="{00000000-0005-0000-0000-0000EB3B0000}"/>
    <cellStyle name="20 % - Markeringsfarve5 6 5" xfId="11355" xr:uid="{00000000-0005-0000-0000-0000EC3B0000}"/>
    <cellStyle name="20 % - Markeringsfarve5 6 5 2" xfId="27675" xr:uid="{00000000-0005-0000-0000-0000ED3B0000}"/>
    <cellStyle name="20 % - Markeringsfarve5 6 5 3" xfId="42641" xr:uid="{00000000-0005-0000-0000-0000EE3B0000}"/>
    <cellStyle name="20 % - Markeringsfarve5 6 6" xfId="20653" xr:uid="{00000000-0005-0000-0000-0000EF3B0000}"/>
    <cellStyle name="20 % - Markeringsfarve5 6 7" xfId="35642" xr:uid="{00000000-0005-0000-0000-0000F03B0000}"/>
    <cellStyle name="20 % - Markeringsfarve5 6 8" xfId="53290" xr:uid="{00000000-0005-0000-0000-0000F13B0000}"/>
    <cellStyle name="20 % - Markeringsfarve5 7" xfId="2798" xr:uid="{00000000-0005-0000-0000-0000F23B0000}"/>
    <cellStyle name="20 % - Markeringsfarve5 7 2" xfId="2799" xr:uid="{00000000-0005-0000-0000-0000F33B0000}"/>
    <cellStyle name="20 % - Markeringsfarve5 7 2 2" xfId="7701" xr:uid="{00000000-0005-0000-0000-0000F43B0000}"/>
    <cellStyle name="20 % - Markeringsfarve5 7 2 2 2" xfId="15603" xr:uid="{00000000-0005-0000-0000-0000F53B0000}"/>
    <cellStyle name="20 % - Markeringsfarve5 7 2 2 2 2" xfId="31918" xr:uid="{00000000-0005-0000-0000-0000F63B0000}"/>
    <cellStyle name="20 % - Markeringsfarve5 7 2 2 2 3" xfId="46882" xr:uid="{00000000-0005-0000-0000-0000F73B0000}"/>
    <cellStyle name="20 % - Markeringsfarve5 7 2 2 3" xfId="24896" xr:uid="{00000000-0005-0000-0000-0000F83B0000}"/>
    <cellStyle name="20 % - Markeringsfarve5 7 2 2 4" xfId="39883" xr:uid="{00000000-0005-0000-0000-0000F93B0000}"/>
    <cellStyle name="20 % - Markeringsfarve5 7 2 3" xfId="11359" xr:uid="{00000000-0005-0000-0000-0000FA3B0000}"/>
    <cellStyle name="20 % - Markeringsfarve5 7 2 3 2" xfId="27679" xr:uid="{00000000-0005-0000-0000-0000FB3B0000}"/>
    <cellStyle name="20 % - Markeringsfarve5 7 2 3 3" xfId="42645" xr:uid="{00000000-0005-0000-0000-0000FC3B0000}"/>
    <cellStyle name="20 % - Markeringsfarve5 7 2 4" xfId="20657" xr:uid="{00000000-0005-0000-0000-0000FD3B0000}"/>
    <cellStyle name="20 % - Markeringsfarve5 7 2 5" xfId="35646" xr:uid="{00000000-0005-0000-0000-0000FE3B0000}"/>
    <cellStyle name="20 % - Markeringsfarve5 7 2 6" xfId="57062" xr:uid="{00000000-0005-0000-0000-0000FF3B0000}"/>
    <cellStyle name="20 % - Markeringsfarve5 7 3" xfId="2800" xr:uid="{00000000-0005-0000-0000-0000003C0000}"/>
    <cellStyle name="20 % - Markeringsfarve5 7 3 2" xfId="6931" xr:uid="{00000000-0005-0000-0000-0000013C0000}"/>
    <cellStyle name="20 % - Markeringsfarve5 7 3 2 2" xfId="14843" xr:uid="{00000000-0005-0000-0000-0000023C0000}"/>
    <cellStyle name="20 % - Markeringsfarve5 7 3 2 2 2" xfId="31158" xr:uid="{00000000-0005-0000-0000-0000033C0000}"/>
    <cellStyle name="20 % - Markeringsfarve5 7 3 2 2 3" xfId="46122" xr:uid="{00000000-0005-0000-0000-0000043C0000}"/>
    <cellStyle name="20 % - Markeringsfarve5 7 3 2 3" xfId="24136" xr:uid="{00000000-0005-0000-0000-0000053C0000}"/>
    <cellStyle name="20 % - Markeringsfarve5 7 3 2 4" xfId="39123" xr:uid="{00000000-0005-0000-0000-0000063C0000}"/>
    <cellStyle name="20 % - Markeringsfarve5 7 3 3" xfId="11360" xr:uid="{00000000-0005-0000-0000-0000073C0000}"/>
    <cellStyle name="20 % - Markeringsfarve5 7 3 3 2" xfId="27680" xr:uid="{00000000-0005-0000-0000-0000083C0000}"/>
    <cellStyle name="20 % - Markeringsfarve5 7 3 3 3" xfId="42646" xr:uid="{00000000-0005-0000-0000-0000093C0000}"/>
    <cellStyle name="20 % - Markeringsfarve5 7 3 4" xfId="20658" xr:uid="{00000000-0005-0000-0000-00000A3C0000}"/>
    <cellStyle name="20 % - Markeringsfarve5 7 3 5" xfId="35647" xr:uid="{00000000-0005-0000-0000-00000B3C0000}"/>
    <cellStyle name="20 % - Markeringsfarve5 7 4" xfId="5624" xr:uid="{00000000-0005-0000-0000-00000C3C0000}"/>
    <cellStyle name="20 % - Markeringsfarve5 7 4 2" xfId="13543" xr:uid="{00000000-0005-0000-0000-00000D3C0000}"/>
    <cellStyle name="20 % - Markeringsfarve5 7 4 2 2" xfId="29858" xr:uid="{00000000-0005-0000-0000-00000E3C0000}"/>
    <cellStyle name="20 % - Markeringsfarve5 7 4 2 3" xfId="44822" xr:uid="{00000000-0005-0000-0000-00000F3C0000}"/>
    <cellStyle name="20 % - Markeringsfarve5 7 4 3" xfId="22836" xr:uid="{00000000-0005-0000-0000-0000103C0000}"/>
    <cellStyle name="20 % - Markeringsfarve5 7 4 4" xfId="37823" xr:uid="{00000000-0005-0000-0000-0000113C0000}"/>
    <cellStyle name="20 % - Markeringsfarve5 7 5" xfId="11358" xr:uid="{00000000-0005-0000-0000-0000123C0000}"/>
    <cellStyle name="20 % - Markeringsfarve5 7 5 2" xfId="27678" xr:uid="{00000000-0005-0000-0000-0000133C0000}"/>
    <cellStyle name="20 % - Markeringsfarve5 7 5 3" xfId="42644" xr:uid="{00000000-0005-0000-0000-0000143C0000}"/>
    <cellStyle name="20 % - Markeringsfarve5 7 6" xfId="20656" xr:uid="{00000000-0005-0000-0000-0000153C0000}"/>
    <cellStyle name="20 % - Markeringsfarve5 7 7" xfId="35645" xr:uid="{00000000-0005-0000-0000-0000163C0000}"/>
    <cellStyle name="20 % - Markeringsfarve5 7 8" xfId="53895" xr:uid="{00000000-0005-0000-0000-0000173C0000}"/>
    <cellStyle name="20 % - Markeringsfarve5 8" xfId="2801" xr:uid="{00000000-0005-0000-0000-0000183C0000}"/>
    <cellStyle name="20 % - Markeringsfarve5 8 2" xfId="2802" xr:uid="{00000000-0005-0000-0000-0000193C0000}"/>
    <cellStyle name="20 % - Markeringsfarve5 8 2 2" xfId="7793" xr:uid="{00000000-0005-0000-0000-00001A3C0000}"/>
    <cellStyle name="20 % - Markeringsfarve5 8 2 2 2" xfId="15695" xr:uid="{00000000-0005-0000-0000-00001B3C0000}"/>
    <cellStyle name="20 % - Markeringsfarve5 8 2 2 2 2" xfId="32010" xr:uid="{00000000-0005-0000-0000-00001C3C0000}"/>
    <cellStyle name="20 % - Markeringsfarve5 8 2 2 2 3" xfId="46974" xr:uid="{00000000-0005-0000-0000-00001D3C0000}"/>
    <cellStyle name="20 % - Markeringsfarve5 8 2 2 3" xfId="24988" xr:uid="{00000000-0005-0000-0000-00001E3C0000}"/>
    <cellStyle name="20 % - Markeringsfarve5 8 2 2 4" xfId="39975" xr:uid="{00000000-0005-0000-0000-00001F3C0000}"/>
    <cellStyle name="20 % - Markeringsfarve5 8 2 3" xfId="11362" xr:uid="{00000000-0005-0000-0000-0000203C0000}"/>
    <cellStyle name="20 % - Markeringsfarve5 8 2 3 2" xfId="27682" xr:uid="{00000000-0005-0000-0000-0000213C0000}"/>
    <cellStyle name="20 % - Markeringsfarve5 8 2 3 3" xfId="42648" xr:uid="{00000000-0005-0000-0000-0000223C0000}"/>
    <cellStyle name="20 % - Markeringsfarve5 8 2 4" xfId="20660" xr:uid="{00000000-0005-0000-0000-0000233C0000}"/>
    <cellStyle name="20 % - Markeringsfarve5 8 2 5" xfId="35649" xr:uid="{00000000-0005-0000-0000-0000243C0000}"/>
    <cellStyle name="20 % - Markeringsfarve5 8 3" xfId="2803" xr:uid="{00000000-0005-0000-0000-0000253C0000}"/>
    <cellStyle name="20 % - Markeringsfarve5 8 3 2" xfId="7069" xr:uid="{00000000-0005-0000-0000-0000263C0000}"/>
    <cellStyle name="20 % - Markeringsfarve5 8 3 2 2" xfId="14980" xr:uid="{00000000-0005-0000-0000-0000273C0000}"/>
    <cellStyle name="20 % - Markeringsfarve5 8 3 2 2 2" xfId="31295" xr:uid="{00000000-0005-0000-0000-0000283C0000}"/>
    <cellStyle name="20 % - Markeringsfarve5 8 3 2 2 3" xfId="46259" xr:uid="{00000000-0005-0000-0000-0000293C0000}"/>
    <cellStyle name="20 % - Markeringsfarve5 8 3 2 3" xfId="24273" xr:uid="{00000000-0005-0000-0000-00002A3C0000}"/>
    <cellStyle name="20 % - Markeringsfarve5 8 3 2 4" xfId="39260" xr:uid="{00000000-0005-0000-0000-00002B3C0000}"/>
    <cellStyle name="20 % - Markeringsfarve5 8 3 3" xfId="11363" xr:uid="{00000000-0005-0000-0000-00002C3C0000}"/>
    <cellStyle name="20 % - Markeringsfarve5 8 3 3 2" xfId="27683" xr:uid="{00000000-0005-0000-0000-00002D3C0000}"/>
    <cellStyle name="20 % - Markeringsfarve5 8 3 3 3" xfId="42649" xr:uid="{00000000-0005-0000-0000-00002E3C0000}"/>
    <cellStyle name="20 % - Markeringsfarve5 8 3 4" xfId="20661" xr:uid="{00000000-0005-0000-0000-00002F3C0000}"/>
    <cellStyle name="20 % - Markeringsfarve5 8 3 5" xfId="35650" xr:uid="{00000000-0005-0000-0000-0000303C0000}"/>
    <cellStyle name="20 % - Markeringsfarve5 8 4" xfId="5625" xr:uid="{00000000-0005-0000-0000-0000313C0000}"/>
    <cellStyle name="20 % - Markeringsfarve5 8 4 2" xfId="13544" xr:uid="{00000000-0005-0000-0000-0000323C0000}"/>
    <cellStyle name="20 % - Markeringsfarve5 8 4 2 2" xfId="29859" xr:uid="{00000000-0005-0000-0000-0000333C0000}"/>
    <cellStyle name="20 % - Markeringsfarve5 8 4 2 3" xfId="44823" xr:uid="{00000000-0005-0000-0000-0000343C0000}"/>
    <cellStyle name="20 % - Markeringsfarve5 8 4 3" xfId="22837" xr:uid="{00000000-0005-0000-0000-0000353C0000}"/>
    <cellStyle name="20 % - Markeringsfarve5 8 4 4" xfId="37824" xr:uid="{00000000-0005-0000-0000-0000363C0000}"/>
    <cellStyle name="20 % - Markeringsfarve5 8 5" xfId="11361" xr:uid="{00000000-0005-0000-0000-0000373C0000}"/>
    <cellStyle name="20 % - Markeringsfarve5 8 5 2" xfId="27681" xr:uid="{00000000-0005-0000-0000-0000383C0000}"/>
    <cellStyle name="20 % - Markeringsfarve5 8 5 3" xfId="42647" xr:uid="{00000000-0005-0000-0000-0000393C0000}"/>
    <cellStyle name="20 % - Markeringsfarve5 8 6" xfId="20659" xr:uid="{00000000-0005-0000-0000-00003A3C0000}"/>
    <cellStyle name="20 % - Markeringsfarve5 8 7" xfId="35648" xr:uid="{00000000-0005-0000-0000-00003B3C0000}"/>
    <cellStyle name="20 % - Markeringsfarve5 9" xfId="2804" xr:uid="{00000000-0005-0000-0000-00003C3C0000}"/>
    <cellStyle name="20 % - Markeringsfarve5 9 2" xfId="2805" xr:uid="{00000000-0005-0000-0000-00003D3C0000}"/>
    <cellStyle name="20 % - Markeringsfarve5 9 2 2" xfId="7910" xr:uid="{00000000-0005-0000-0000-00003E3C0000}"/>
    <cellStyle name="20 % - Markeringsfarve5 9 2 2 2" xfId="15812" xr:uid="{00000000-0005-0000-0000-00003F3C0000}"/>
    <cellStyle name="20 % - Markeringsfarve5 9 2 2 2 2" xfId="32127" xr:uid="{00000000-0005-0000-0000-0000403C0000}"/>
    <cellStyle name="20 % - Markeringsfarve5 9 2 2 2 3" xfId="47091" xr:uid="{00000000-0005-0000-0000-0000413C0000}"/>
    <cellStyle name="20 % - Markeringsfarve5 9 2 2 3" xfId="25105" xr:uid="{00000000-0005-0000-0000-0000423C0000}"/>
    <cellStyle name="20 % - Markeringsfarve5 9 2 2 4" xfId="40092" xr:uid="{00000000-0005-0000-0000-0000433C0000}"/>
    <cellStyle name="20 % - Markeringsfarve5 9 2 3" xfId="11365" xr:uid="{00000000-0005-0000-0000-0000443C0000}"/>
    <cellStyle name="20 % - Markeringsfarve5 9 2 3 2" xfId="27685" xr:uid="{00000000-0005-0000-0000-0000453C0000}"/>
    <cellStyle name="20 % - Markeringsfarve5 9 2 3 3" xfId="42651" xr:uid="{00000000-0005-0000-0000-0000463C0000}"/>
    <cellStyle name="20 % - Markeringsfarve5 9 2 4" xfId="20663" xr:uid="{00000000-0005-0000-0000-0000473C0000}"/>
    <cellStyle name="20 % - Markeringsfarve5 9 2 5" xfId="35652" xr:uid="{00000000-0005-0000-0000-0000483C0000}"/>
    <cellStyle name="20 % - Markeringsfarve5 9 3" xfId="2806" xr:uid="{00000000-0005-0000-0000-0000493C0000}"/>
    <cellStyle name="20 % - Markeringsfarve5 9 3 2" xfId="7186" xr:uid="{00000000-0005-0000-0000-00004A3C0000}"/>
    <cellStyle name="20 % - Markeringsfarve5 9 3 2 2" xfId="15097" xr:uid="{00000000-0005-0000-0000-00004B3C0000}"/>
    <cellStyle name="20 % - Markeringsfarve5 9 3 2 2 2" xfId="31412" xr:uid="{00000000-0005-0000-0000-00004C3C0000}"/>
    <cellStyle name="20 % - Markeringsfarve5 9 3 2 2 3" xfId="46376" xr:uid="{00000000-0005-0000-0000-00004D3C0000}"/>
    <cellStyle name="20 % - Markeringsfarve5 9 3 2 3" xfId="24390" xr:uid="{00000000-0005-0000-0000-00004E3C0000}"/>
    <cellStyle name="20 % - Markeringsfarve5 9 3 2 4" xfId="39377" xr:uid="{00000000-0005-0000-0000-00004F3C0000}"/>
    <cellStyle name="20 % - Markeringsfarve5 9 3 3" xfId="11366" xr:uid="{00000000-0005-0000-0000-0000503C0000}"/>
    <cellStyle name="20 % - Markeringsfarve5 9 3 3 2" xfId="27686" xr:uid="{00000000-0005-0000-0000-0000513C0000}"/>
    <cellStyle name="20 % - Markeringsfarve5 9 3 3 3" xfId="42652" xr:uid="{00000000-0005-0000-0000-0000523C0000}"/>
    <cellStyle name="20 % - Markeringsfarve5 9 3 4" xfId="20664" xr:uid="{00000000-0005-0000-0000-0000533C0000}"/>
    <cellStyle name="20 % - Markeringsfarve5 9 3 5" xfId="35653" xr:uid="{00000000-0005-0000-0000-0000543C0000}"/>
    <cellStyle name="20 % - Markeringsfarve5 9 4" xfId="5626" xr:uid="{00000000-0005-0000-0000-0000553C0000}"/>
    <cellStyle name="20 % - Markeringsfarve5 9 4 2" xfId="13545" xr:uid="{00000000-0005-0000-0000-0000563C0000}"/>
    <cellStyle name="20 % - Markeringsfarve5 9 4 2 2" xfId="29860" xr:uid="{00000000-0005-0000-0000-0000573C0000}"/>
    <cellStyle name="20 % - Markeringsfarve5 9 4 2 3" xfId="44824" xr:uid="{00000000-0005-0000-0000-0000583C0000}"/>
    <cellStyle name="20 % - Markeringsfarve5 9 4 3" xfId="22838" xr:uid="{00000000-0005-0000-0000-0000593C0000}"/>
    <cellStyle name="20 % - Markeringsfarve5 9 4 4" xfId="37825" xr:uid="{00000000-0005-0000-0000-00005A3C0000}"/>
    <cellStyle name="20 % - Markeringsfarve5 9 5" xfId="11364" xr:uid="{00000000-0005-0000-0000-00005B3C0000}"/>
    <cellStyle name="20 % - Markeringsfarve5 9 5 2" xfId="27684" xr:uid="{00000000-0005-0000-0000-00005C3C0000}"/>
    <cellStyle name="20 % - Markeringsfarve5 9 5 3" xfId="42650" xr:uid="{00000000-0005-0000-0000-00005D3C0000}"/>
    <cellStyle name="20 % - Markeringsfarve5 9 6" xfId="20662" xr:uid="{00000000-0005-0000-0000-00005E3C0000}"/>
    <cellStyle name="20 % - Markeringsfarve5 9 7" xfId="35651" xr:uid="{00000000-0005-0000-0000-00005F3C0000}"/>
    <cellStyle name="20 % - Markeringsfarve6 10" xfId="2808" xr:uid="{00000000-0005-0000-0000-0000603C0000}"/>
    <cellStyle name="20 % - Markeringsfarve6 10 2" xfId="2809" xr:uid="{00000000-0005-0000-0000-0000613C0000}"/>
    <cellStyle name="20 % - Markeringsfarve6 10 2 2" xfId="2810" xr:uid="{00000000-0005-0000-0000-0000623C0000}"/>
    <cellStyle name="20 % - Markeringsfarve6 10 2 2 2" xfId="8064" xr:uid="{00000000-0005-0000-0000-0000633C0000}"/>
    <cellStyle name="20 % - Markeringsfarve6 10 2 2 2 2" xfId="15966" xr:uid="{00000000-0005-0000-0000-0000643C0000}"/>
    <cellStyle name="20 % - Markeringsfarve6 10 2 2 2 2 2" xfId="32281" xr:uid="{00000000-0005-0000-0000-0000653C0000}"/>
    <cellStyle name="20 % - Markeringsfarve6 10 2 2 2 2 3" xfId="47245" xr:uid="{00000000-0005-0000-0000-0000663C0000}"/>
    <cellStyle name="20 % - Markeringsfarve6 10 2 2 2 3" xfId="25259" xr:uid="{00000000-0005-0000-0000-0000673C0000}"/>
    <cellStyle name="20 % - Markeringsfarve6 10 2 2 2 4" xfId="40246" xr:uid="{00000000-0005-0000-0000-0000683C0000}"/>
    <cellStyle name="20 % - Markeringsfarve6 10 2 2 3" xfId="11370" xr:uid="{00000000-0005-0000-0000-0000693C0000}"/>
    <cellStyle name="20 % - Markeringsfarve6 10 2 2 3 2" xfId="27690" xr:uid="{00000000-0005-0000-0000-00006A3C0000}"/>
    <cellStyle name="20 % - Markeringsfarve6 10 2 2 3 3" xfId="42656" xr:uid="{00000000-0005-0000-0000-00006B3C0000}"/>
    <cellStyle name="20 % - Markeringsfarve6 10 2 2 4" xfId="20668" xr:uid="{00000000-0005-0000-0000-00006C3C0000}"/>
    <cellStyle name="20 % - Markeringsfarve6 10 2 2 5" xfId="35657" xr:uid="{00000000-0005-0000-0000-00006D3C0000}"/>
    <cellStyle name="20 % - Markeringsfarve6 10 2 3" xfId="6566" xr:uid="{00000000-0005-0000-0000-00006E3C0000}"/>
    <cellStyle name="20 % - Markeringsfarve6 10 2 3 2" xfId="14481" xr:uid="{00000000-0005-0000-0000-00006F3C0000}"/>
    <cellStyle name="20 % - Markeringsfarve6 10 2 3 2 2" xfId="30796" xr:uid="{00000000-0005-0000-0000-0000703C0000}"/>
    <cellStyle name="20 % - Markeringsfarve6 10 2 3 2 3" xfId="45760" xr:uid="{00000000-0005-0000-0000-0000713C0000}"/>
    <cellStyle name="20 % - Markeringsfarve6 10 2 3 3" xfId="23774" xr:uid="{00000000-0005-0000-0000-0000723C0000}"/>
    <cellStyle name="20 % - Markeringsfarve6 10 2 3 4" xfId="38761" xr:uid="{00000000-0005-0000-0000-0000733C0000}"/>
    <cellStyle name="20 % - Markeringsfarve6 10 2 4" xfId="11369" xr:uid="{00000000-0005-0000-0000-0000743C0000}"/>
    <cellStyle name="20 % - Markeringsfarve6 10 2 4 2" xfId="27689" xr:uid="{00000000-0005-0000-0000-0000753C0000}"/>
    <cellStyle name="20 % - Markeringsfarve6 10 2 4 3" xfId="42655" xr:uid="{00000000-0005-0000-0000-0000763C0000}"/>
    <cellStyle name="20 % - Markeringsfarve6 10 2 5" xfId="20667" xr:uid="{00000000-0005-0000-0000-0000773C0000}"/>
    <cellStyle name="20 % - Markeringsfarve6 10 2 6" xfId="35656" xr:uid="{00000000-0005-0000-0000-0000783C0000}"/>
    <cellStyle name="20 % - Markeringsfarve6 10 3" xfId="2811" xr:uid="{00000000-0005-0000-0000-0000793C0000}"/>
    <cellStyle name="20 % - Markeringsfarve6 10 3 2" xfId="7341" xr:uid="{00000000-0005-0000-0000-00007A3C0000}"/>
    <cellStyle name="20 % - Markeringsfarve6 10 3 2 2" xfId="15252" xr:uid="{00000000-0005-0000-0000-00007B3C0000}"/>
    <cellStyle name="20 % - Markeringsfarve6 10 3 2 2 2" xfId="31567" xr:uid="{00000000-0005-0000-0000-00007C3C0000}"/>
    <cellStyle name="20 % - Markeringsfarve6 10 3 2 2 3" xfId="46531" xr:uid="{00000000-0005-0000-0000-00007D3C0000}"/>
    <cellStyle name="20 % - Markeringsfarve6 10 3 2 3" xfId="24545" xr:uid="{00000000-0005-0000-0000-00007E3C0000}"/>
    <cellStyle name="20 % - Markeringsfarve6 10 3 2 4" xfId="39532" xr:uid="{00000000-0005-0000-0000-00007F3C0000}"/>
    <cellStyle name="20 % - Markeringsfarve6 10 3 3" xfId="11371" xr:uid="{00000000-0005-0000-0000-0000803C0000}"/>
    <cellStyle name="20 % - Markeringsfarve6 10 3 3 2" xfId="27691" xr:uid="{00000000-0005-0000-0000-0000813C0000}"/>
    <cellStyle name="20 % - Markeringsfarve6 10 3 3 3" xfId="42657" xr:uid="{00000000-0005-0000-0000-0000823C0000}"/>
    <cellStyle name="20 % - Markeringsfarve6 10 3 4" xfId="20669" xr:uid="{00000000-0005-0000-0000-0000833C0000}"/>
    <cellStyle name="20 % - Markeringsfarve6 10 3 5" xfId="35658" xr:uid="{00000000-0005-0000-0000-0000843C0000}"/>
    <cellStyle name="20 % - Markeringsfarve6 10 4" xfId="2812" xr:uid="{00000000-0005-0000-0000-0000853C0000}"/>
    <cellStyle name="20 % - Markeringsfarve6 10 4 2" xfId="7036" xr:uid="{00000000-0005-0000-0000-0000863C0000}"/>
    <cellStyle name="20 % - Markeringsfarve6 10 4 2 2" xfId="14947" xr:uid="{00000000-0005-0000-0000-0000873C0000}"/>
    <cellStyle name="20 % - Markeringsfarve6 10 4 2 2 2" xfId="31262" xr:uid="{00000000-0005-0000-0000-0000883C0000}"/>
    <cellStyle name="20 % - Markeringsfarve6 10 4 2 2 3" xfId="46226" xr:uid="{00000000-0005-0000-0000-0000893C0000}"/>
    <cellStyle name="20 % - Markeringsfarve6 10 4 2 3" xfId="24240" xr:uid="{00000000-0005-0000-0000-00008A3C0000}"/>
    <cellStyle name="20 % - Markeringsfarve6 10 4 2 4" xfId="39227" xr:uid="{00000000-0005-0000-0000-00008B3C0000}"/>
    <cellStyle name="20 % - Markeringsfarve6 10 4 3" xfId="11372" xr:uid="{00000000-0005-0000-0000-00008C3C0000}"/>
    <cellStyle name="20 % - Markeringsfarve6 10 4 3 2" xfId="27692" xr:uid="{00000000-0005-0000-0000-00008D3C0000}"/>
    <cellStyle name="20 % - Markeringsfarve6 10 4 3 3" xfId="42658" xr:uid="{00000000-0005-0000-0000-00008E3C0000}"/>
    <cellStyle name="20 % - Markeringsfarve6 10 4 4" xfId="20670" xr:uid="{00000000-0005-0000-0000-00008F3C0000}"/>
    <cellStyle name="20 % - Markeringsfarve6 10 4 5" xfId="35659" xr:uid="{00000000-0005-0000-0000-0000903C0000}"/>
    <cellStyle name="20 % - Markeringsfarve6 10 5" xfId="5628" xr:uid="{00000000-0005-0000-0000-0000913C0000}"/>
    <cellStyle name="20 % - Markeringsfarve6 10 5 2" xfId="13547" xr:uid="{00000000-0005-0000-0000-0000923C0000}"/>
    <cellStyle name="20 % - Markeringsfarve6 10 5 2 2" xfId="29862" xr:uid="{00000000-0005-0000-0000-0000933C0000}"/>
    <cellStyle name="20 % - Markeringsfarve6 10 5 2 3" xfId="44826" xr:uid="{00000000-0005-0000-0000-0000943C0000}"/>
    <cellStyle name="20 % - Markeringsfarve6 10 5 3" xfId="22840" xr:uid="{00000000-0005-0000-0000-0000953C0000}"/>
    <cellStyle name="20 % - Markeringsfarve6 10 5 4" xfId="37827" xr:uid="{00000000-0005-0000-0000-0000963C0000}"/>
    <cellStyle name="20 % - Markeringsfarve6 10 6" xfId="11368" xr:uid="{00000000-0005-0000-0000-0000973C0000}"/>
    <cellStyle name="20 % - Markeringsfarve6 10 6 2" xfId="27688" xr:uid="{00000000-0005-0000-0000-0000983C0000}"/>
    <cellStyle name="20 % - Markeringsfarve6 10 6 3" xfId="42654" xr:uid="{00000000-0005-0000-0000-0000993C0000}"/>
    <cellStyle name="20 % - Markeringsfarve6 10 7" xfId="20666" xr:uid="{00000000-0005-0000-0000-00009A3C0000}"/>
    <cellStyle name="20 % - Markeringsfarve6 10 8" xfId="35655" xr:uid="{00000000-0005-0000-0000-00009B3C0000}"/>
    <cellStyle name="20 % - Markeringsfarve6 11" xfId="2813" xr:uid="{00000000-0005-0000-0000-00009C3C0000}"/>
    <cellStyle name="20 % - Markeringsfarve6 11 2" xfId="2814" xr:uid="{00000000-0005-0000-0000-00009D3C0000}"/>
    <cellStyle name="20 % - Markeringsfarve6 11 2 2" xfId="7437" xr:uid="{00000000-0005-0000-0000-00009E3C0000}"/>
    <cellStyle name="20 % - Markeringsfarve6 11 2 2 2" xfId="15339" xr:uid="{00000000-0005-0000-0000-00009F3C0000}"/>
    <cellStyle name="20 % - Markeringsfarve6 11 2 2 2 2" xfId="31654" xr:uid="{00000000-0005-0000-0000-0000A03C0000}"/>
    <cellStyle name="20 % - Markeringsfarve6 11 2 2 2 3" xfId="46618" xr:uid="{00000000-0005-0000-0000-0000A13C0000}"/>
    <cellStyle name="20 % - Markeringsfarve6 11 2 2 3" xfId="24632" xr:uid="{00000000-0005-0000-0000-0000A23C0000}"/>
    <cellStyle name="20 % - Markeringsfarve6 11 2 2 4" xfId="39619" xr:uid="{00000000-0005-0000-0000-0000A33C0000}"/>
    <cellStyle name="20 % - Markeringsfarve6 11 2 3" xfId="11374" xr:uid="{00000000-0005-0000-0000-0000A43C0000}"/>
    <cellStyle name="20 % - Markeringsfarve6 11 2 3 2" xfId="27694" xr:uid="{00000000-0005-0000-0000-0000A53C0000}"/>
    <cellStyle name="20 % - Markeringsfarve6 11 2 3 3" xfId="42660" xr:uid="{00000000-0005-0000-0000-0000A63C0000}"/>
    <cellStyle name="20 % - Markeringsfarve6 11 2 4" xfId="20672" xr:uid="{00000000-0005-0000-0000-0000A73C0000}"/>
    <cellStyle name="20 % - Markeringsfarve6 11 2 5" xfId="35661" xr:uid="{00000000-0005-0000-0000-0000A83C0000}"/>
    <cellStyle name="20 % - Markeringsfarve6 11 3" xfId="2815" xr:uid="{00000000-0005-0000-0000-0000A93C0000}"/>
    <cellStyle name="20 % - Markeringsfarve6 11 3 2" xfId="8645" xr:uid="{00000000-0005-0000-0000-0000AA3C0000}"/>
    <cellStyle name="20 % - Markeringsfarve6 11 3 2 2" xfId="16526" xr:uid="{00000000-0005-0000-0000-0000AB3C0000}"/>
    <cellStyle name="20 % - Markeringsfarve6 11 3 2 2 2" xfId="32841" xr:uid="{00000000-0005-0000-0000-0000AC3C0000}"/>
    <cellStyle name="20 % - Markeringsfarve6 11 3 2 2 3" xfId="47805" xr:uid="{00000000-0005-0000-0000-0000AD3C0000}"/>
    <cellStyle name="20 % - Markeringsfarve6 11 3 2 3" xfId="25819" xr:uid="{00000000-0005-0000-0000-0000AE3C0000}"/>
    <cellStyle name="20 % - Markeringsfarve6 11 3 2 4" xfId="40806" xr:uid="{00000000-0005-0000-0000-0000AF3C0000}"/>
    <cellStyle name="20 % - Markeringsfarve6 11 3 3" xfId="11375" xr:uid="{00000000-0005-0000-0000-0000B03C0000}"/>
    <cellStyle name="20 % - Markeringsfarve6 11 3 3 2" xfId="27695" xr:uid="{00000000-0005-0000-0000-0000B13C0000}"/>
    <cellStyle name="20 % - Markeringsfarve6 11 3 3 3" xfId="42661" xr:uid="{00000000-0005-0000-0000-0000B23C0000}"/>
    <cellStyle name="20 % - Markeringsfarve6 11 3 4" xfId="20673" xr:uid="{00000000-0005-0000-0000-0000B33C0000}"/>
    <cellStyle name="20 % - Markeringsfarve6 11 3 5" xfId="35662" xr:uid="{00000000-0005-0000-0000-0000B43C0000}"/>
    <cellStyle name="20 % - Markeringsfarve6 11 4" xfId="5629" xr:uid="{00000000-0005-0000-0000-0000B53C0000}"/>
    <cellStyle name="20 % - Markeringsfarve6 11 4 2" xfId="13548" xr:uid="{00000000-0005-0000-0000-0000B63C0000}"/>
    <cellStyle name="20 % - Markeringsfarve6 11 4 2 2" xfId="29863" xr:uid="{00000000-0005-0000-0000-0000B73C0000}"/>
    <cellStyle name="20 % - Markeringsfarve6 11 4 2 3" xfId="44827" xr:uid="{00000000-0005-0000-0000-0000B83C0000}"/>
    <cellStyle name="20 % - Markeringsfarve6 11 4 3" xfId="22841" xr:uid="{00000000-0005-0000-0000-0000B93C0000}"/>
    <cellStyle name="20 % - Markeringsfarve6 11 4 4" xfId="37828" xr:uid="{00000000-0005-0000-0000-0000BA3C0000}"/>
    <cellStyle name="20 % - Markeringsfarve6 11 5" xfId="11373" xr:uid="{00000000-0005-0000-0000-0000BB3C0000}"/>
    <cellStyle name="20 % - Markeringsfarve6 11 5 2" xfId="27693" xr:uid="{00000000-0005-0000-0000-0000BC3C0000}"/>
    <cellStyle name="20 % - Markeringsfarve6 11 5 3" xfId="42659" xr:uid="{00000000-0005-0000-0000-0000BD3C0000}"/>
    <cellStyle name="20 % - Markeringsfarve6 11 6" xfId="20671" xr:uid="{00000000-0005-0000-0000-0000BE3C0000}"/>
    <cellStyle name="20 % - Markeringsfarve6 11 7" xfId="35660" xr:uid="{00000000-0005-0000-0000-0000BF3C0000}"/>
    <cellStyle name="20 % - Markeringsfarve6 12" xfId="2816" xr:uid="{00000000-0005-0000-0000-0000C03C0000}"/>
    <cellStyle name="20 % - Markeringsfarve6 12 2" xfId="2817" xr:uid="{00000000-0005-0000-0000-0000C13C0000}"/>
    <cellStyle name="20 % - Markeringsfarve6 12 2 2" xfId="8370" xr:uid="{00000000-0005-0000-0000-0000C23C0000}"/>
    <cellStyle name="20 % - Markeringsfarve6 12 2 2 2" xfId="16263" xr:uid="{00000000-0005-0000-0000-0000C33C0000}"/>
    <cellStyle name="20 % - Markeringsfarve6 12 2 2 2 2" xfId="32578" xr:uid="{00000000-0005-0000-0000-0000C43C0000}"/>
    <cellStyle name="20 % - Markeringsfarve6 12 2 2 2 3" xfId="47542" xr:uid="{00000000-0005-0000-0000-0000C53C0000}"/>
    <cellStyle name="20 % - Markeringsfarve6 12 2 2 3" xfId="25556" xr:uid="{00000000-0005-0000-0000-0000C63C0000}"/>
    <cellStyle name="20 % - Markeringsfarve6 12 2 2 4" xfId="40543" xr:uid="{00000000-0005-0000-0000-0000C73C0000}"/>
    <cellStyle name="20 % - Markeringsfarve6 12 2 3" xfId="11377" xr:uid="{00000000-0005-0000-0000-0000C83C0000}"/>
    <cellStyle name="20 % - Markeringsfarve6 12 2 3 2" xfId="27697" xr:uid="{00000000-0005-0000-0000-0000C93C0000}"/>
    <cellStyle name="20 % - Markeringsfarve6 12 2 3 3" xfId="42663" xr:uid="{00000000-0005-0000-0000-0000CA3C0000}"/>
    <cellStyle name="20 % - Markeringsfarve6 12 2 4" xfId="20675" xr:uid="{00000000-0005-0000-0000-0000CB3C0000}"/>
    <cellStyle name="20 % - Markeringsfarve6 12 2 5" xfId="35664" xr:uid="{00000000-0005-0000-0000-0000CC3C0000}"/>
    <cellStyle name="20 % - Markeringsfarve6 12 3" xfId="5630" xr:uid="{00000000-0005-0000-0000-0000CD3C0000}"/>
    <cellStyle name="20 % - Markeringsfarve6 12 3 2" xfId="13549" xr:uid="{00000000-0005-0000-0000-0000CE3C0000}"/>
    <cellStyle name="20 % - Markeringsfarve6 12 3 2 2" xfId="29864" xr:uid="{00000000-0005-0000-0000-0000CF3C0000}"/>
    <cellStyle name="20 % - Markeringsfarve6 12 3 2 3" xfId="44828" xr:uid="{00000000-0005-0000-0000-0000D03C0000}"/>
    <cellStyle name="20 % - Markeringsfarve6 12 3 3" xfId="22842" xr:uid="{00000000-0005-0000-0000-0000D13C0000}"/>
    <cellStyle name="20 % - Markeringsfarve6 12 3 4" xfId="37829" xr:uid="{00000000-0005-0000-0000-0000D23C0000}"/>
    <cellStyle name="20 % - Markeringsfarve6 12 4" xfId="11376" xr:uid="{00000000-0005-0000-0000-0000D33C0000}"/>
    <cellStyle name="20 % - Markeringsfarve6 12 4 2" xfId="27696" xr:uid="{00000000-0005-0000-0000-0000D43C0000}"/>
    <cellStyle name="20 % - Markeringsfarve6 12 4 3" xfId="42662" xr:uid="{00000000-0005-0000-0000-0000D53C0000}"/>
    <cellStyle name="20 % - Markeringsfarve6 12 5" xfId="20674" xr:uid="{00000000-0005-0000-0000-0000D63C0000}"/>
    <cellStyle name="20 % - Markeringsfarve6 12 6" xfId="35663" xr:uid="{00000000-0005-0000-0000-0000D73C0000}"/>
    <cellStyle name="20 % - Markeringsfarve6 13" xfId="2818" xr:uid="{00000000-0005-0000-0000-0000D83C0000}"/>
    <cellStyle name="20 % - Markeringsfarve6 13 2" xfId="2819" xr:uid="{00000000-0005-0000-0000-0000D93C0000}"/>
    <cellStyle name="20 % - Markeringsfarve6 13 2 2" xfId="8606" xr:uid="{00000000-0005-0000-0000-0000DA3C0000}"/>
    <cellStyle name="20 % - Markeringsfarve6 13 2 2 2" xfId="16489" xr:uid="{00000000-0005-0000-0000-0000DB3C0000}"/>
    <cellStyle name="20 % - Markeringsfarve6 13 2 2 2 2" xfId="32804" xr:uid="{00000000-0005-0000-0000-0000DC3C0000}"/>
    <cellStyle name="20 % - Markeringsfarve6 13 2 2 2 3" xfId="47768" xr:uid="{00000000-0005-0000-0000-0000DD3C0000}"/>
    <cellStyle name="20 % - Markeringsfarve6 13 2 2 3" xfId="25782" xr:uid="{00000000-0005-0000-0000-0000DE3C0000}"/>
    <cellStyle name="20 % - Markeringsfarve6 13 2 2 4" xfId="40769" xr:uid="{00000000-0005-0000-0000-0000DF3C0000}"/>
    <cellStyle name="20 % - Markeringsfarve6 13 2 3" xfId="11379" xr:uid="{00000000-0005-0000-0000-0000E03C0000}"/>
    <cellStyle name="20 % - Markeringsfarve6 13 2 3 2" xfId="27699" xr:uid="{00000000-0005-0000-0000-0000E13C0000}"/>
    <cellStyle name="20 % - Markeringsfarve6 13 2 3 3" xfId="42665" xr:uid="{00000000-0005-0000-0000-0000E23C0000}"/>
    <cellStyle name="20 % - Markeringsfarve6 13 2 4" xfId="20677" xr:uid="{00000000-0005-0000-0000-0000E33C0000}"/>
    <cellStyle name="20 % - Markeringsfarve6 13 2 5" xfId="35666" xr:uid="{00000000-0005-0000-0000-0000E43C0000}"/>
    <cellStyle name="20 % - Markeringsfarve6 13 3" xfId="5631" xr:uid="{00000000-0005-0000-0000-0000E53C0000}"/>
    <cellStyle name="20 % - Markeringsfarve6 13 3 2" xfId="13550" xr:uid="{00000000-0005-0000-0000-0000E63C0000}"/>
    <cellStyle name="20 % - Markeringsfarve6 13 3 2 2" xfId="29865" xr:uid="{00000000-0005-0000-0000-0000E73C0000}"/>
    <cellStyle name="20 % - Markeringsfarve6 13 3 2 3" xfId="44829" xr:uid="{00000000-0005-0000-0000-0000E83C0000}"/>
    <cellStyle name="20 % - Markeringsfarve6 13 3 3" xfId="22843" xr:uid="{00000000-0005-0000-0000-0000E93C0000}"/>
    <cellStyle name="20 % - Markeringsfarve6 13 3 4" xfId="37830" xr:uid="{00000000-0005-0000-0000-0000EA3C0000}"/>
    <cellStyle name="20 % - Markeringsfarve6 13 4" xfId="11378" xr:uid="{00000000-0005-0000-0000-0000EB3C0000}"/>
    <cellStyle name="20 % - Markeringsfarve6 13 4 2" xfId="27698" xr:uid="{00000000-0005-0000-0000-0000EC3C0000}"/>
    <cellStyle name="20 % - Markeringsfarve6 13 4 3" xfId="42664" xr:uid="{00000000-0005-0000-0000-0000ED3C0000}"/>
    <cellStyle name="20 % - Markeringsfarve6 13 5" xfId="20676" xr:uid="{00000000-0005-0000-0000-0000EE3C0000}"/>
    <cellStyle name="20 % - Markeringsfarve6 13 6" xfId="35665" xr:uid="{00000000-0005-0000-0000-0000EF3C0000}"/>
    <cellStyle name="20 % - Markeringsfarve6 14" xfId="2820" xr:uid="{00000000-0005-0000-0000-0000F03C0000}"/>
    <cellStyle name="20 % - Markeringsfarve6 14 2" xfId="2821" xr:uid="{00000000-0005-0000-0000-0000F13C0000}"/>
    <cellStyle name="20 % - Markeringsfarve6 14 2 2" xfId="8177" xr:uid="{00000000-0005-0000-0000-0000F23C0000}"/>
    <cellStyle name="20 % - Markeringsfarve6 14 2 2 2" xfId="16075" xr:uid="{00000000-0005-0000-0000-0000F33C0000}"/>
    <cellStyle name="20 % - Markeringsfarve6 14 2 2 2 2" xfId="32390" xr:uid="{00000000-0005-0000-0000-0000F43C0000}"/>
    <cellStyle name="20 % - Markeringsfarve6 14 2 2 2 3" xfId="47354" xr:uid="{00000000-0005-0000-0000-0000F53C0000}"/>
    <cellStyle name="20 % - Markeringsfarve6 14 2 2 3" xfId="25368" xr:uid="{00000000-0005-0000-0000-0000F63C0000}"/>
    <cellStyle name="20 % - Markeringsfarve6 14 2 2 4" xfId="40355" xr:uid="{00000000-0005-0000-0000-0000F73C0000}"/>
    <cellStyle name="20 % - Markeringsfarve6 14 2 3" xfId="11381" xr:uid="{00000000-0005-0000-0000-0000F83C0000}"/>
    <cellStyle name="20 % - Markeringsfarve6 14 2 3 2" xfId="27701" xr:uid="{00000000-0005-0000-0000-0000F93C0000}"/>
    <cellStyle name="20 % - Markeringsfarve6 14 2 3 3" xfId="42667" xr:uid="{00000000-0005-0000-0000-0000FA3C0000}"/>
    <cellStyle name="20 % - Markeringsfarve6 14 2 4" xfId="20679" xr:uid="{00000000-0005-0000-0000-0000FB3C0000}"/>
    <cellStyle name="20 % - Markeringsfarve6 14 2 5" xfId="35668" xr:uid="{00000000-0005-0000-0000-0000FC3C0000}"/>
    <cellStyle name="20 % - Markeringsfarve6 14 3" xfId="5627" xr:uid="{00000000-0005-0000-0000-0000FD3C0000}"/>
    <cellStyle name="20 % - Markeringsfarve6 14 3 2" xfId="13546" xr:uid="{00000000-0005-0000-0000-0000FE3C0000}"/>
    <cellStyle name="20 % - Markeringsfarve6 14 3 2 2" xfId="29861" xr:uid="{00000000-0005-0000-0000-0000FF3C0000}"/>
    <cellStyle name="20 % - Markeringsfarve6 14 3 2 3" xfId="44825" xr:uid="{00000000-0005-0000-0000-0000003D0000}"/>
    <cellStyle name="20 % - Markeringsfarve6 14 3 3" xfId="22839" xr:uid="{00000000-0005-0000-0000-0000013D0000}"/>
    <cellStyle name="20 % - Markeringsfarve6 14 3 4" xfId="37826" xr:uid="{00000000-0005-0000-0000-0000023D0000}"/>
    <cellStyle name="20 % - Markeringsfarve6 14 4" xfId="11380" xr:uid="{00000000-0005-0000-0000-0000033D0000}"/>
    <cellStyle name="20 % - Markeringsfarve6 14 4 2" xfId="27700" xr:uid="{00000000-0005-0000-0000-0000043D0000}"/>
    <cellStyle name="20 % - Markeringsfarve6 14 4 3" xfId="42666" xr:uid="{00000000-0005-0000-0000-0000053D0000}"/>
    <cellStyle name="20 % - Markeringsfarve6 14 5" xfId="20678" xr:uid="{00000000-0005-0000-0000-0000063D0000}"/>
    <cellStyle name="20 % - Markeringsfarve6 14 6" xfId="35667" xr:uid="{00000000-0005-0000-0000-0000073D0000}"/>
    <cellStyle name="20 % - Markeringsfarve6 15" xfId="2822" xr:uid="{00000000-0005-0000-0000-0000083D0000}"/>
    <cellStyle name="20 % - Markeringsfarve6 15 2" xfId="6662" xr:uid="{00000000-0005-0000-0000-0000093D0000}"/>
    <cellStyle name="20 % - Markeringsfarve6 15 2 2" xfId="14576" xr:uid="{00000000-0005-0000-0000-00000A3D0000}"/>
    <cellStyle name="20 % - Markeringsfarve6 15 2 2 2" xfId="30891" xr:uid="{00000000-0005-0000-0000-00000B3D0000}"/>
    <cellStyle name="20 % - Markeringsfarve6 15 2 2 3" xfId="45855" xr:uid="{00000000-0005-0000-0000-00000C3D0000}"/>
    <cellStyle name="20 % - Markeringsfarve6 15 2 3" xfId="23869" xr:uid="{00000000-0005-0000-0000-00000D3D0000}"/>
    <cellStyle name="20 % - Markeringsfarve6 15 2 4" xfId="38856" xr:uid="{00000000-0005-0000-0000-00000E3D0000}"/>
    <cellStyle name="20 % - Markeringsfarve6 15 3" xfId="11382" xr:uid="{00000000-0005-0000-0000-00000F3D0000}"/>
    <cellStyle name="20 % - Markeringsfarve6 15 3 2" xfId="27702" xr:uid="{00000000-0005-0000-0000-0000103D0000}"/>
    <cellStyle name="20 % - Markeringsfarve6 15 3 3" xfId="42668" xr:uid="{00000000-0005-0000-0000-0000113D0000}"/>
    <cellStyle name="20 % - Markeringsfarve6 15 4" xfId="20680" xr:uid="{00000000-0005-0000-0000-0000123D0000}"/>
    <cellStyle name="20 % - Markeringsfarve6 15 5" xfId="35669" xr:uid="{00000000-0005-0000-0000-0000133D0000}"/>
    <cellStyle name="20 % - Markeringsfarve6 16" xfId="2823" xr:uid="{00000000-0005-0000-0000-0000143D0000}"/>
    <cellStyle name="20 % - Markeringsfarve6 16 2" xfId="8659" xr:uid="{00000000-0005-0000-0000-0000153D0000}"/>
    <cellStyle name="20 % - Markeringsfarve6 16 2 2" xfId="16540" xr:uid="{00000000-0005-0000-0000-0000163D0000}"/>
    <cellStyle name="20 % - Markeringsfarve6 16 2 2 2" xfId="32855" xr:uid="{00000000-0005-0000-0000-0000173D0000}"/>
    <cellStyle name="20 % - Markeringsfarve6 16 2 2 3" xfId="47819" xr:uid="{00000000-0005-0000-0000-0000183D0000}"/>
    <cellStyle name="20 % - Markeringsfarve6 16 2 3" xfId="25833" xr:uid="{00000000-0005-0000-0000-0000193D0000}"/>
    <cellStyle name="20 % - Markeringsfarve6 16 2 4" xfId="40820" xr:uid="{00000000-0005-0000-0000-00001A3D0000}"/>
    <cellStyle name="20 % - Markeringsfarve6 16 3" xfId="11383" xr:uid="{00000000-0005-0000-0000-00001B3D0000}"/>
    <cellStyle name="20 % - Markeringsfarve6 16 3 2" xfId="27703" xr:uid="{00000000-0005-0000-0000-00001C3D0000}"/>
    <cellStyle name="20 % - Markeringsfarve6 16 3 3" xfId="42669" xr:uid="{00000000-0005-0000-0000-00001D3D0000}"/>
    <cellStyle name="20 % - Markeringsfarve6 16 4" xfId="20681" xr:uid="{00000000-0005-0000-0000-00001E3D0000}"/>
    <cellStyle name="20 % - Markeringsfarve6 16 5" xfId="35670" xr:uid="{00000000-0005-0000-0000-00001F3D0000}"/>
    <cellStyle name="20 % - Markeringsfarve6 17" xfId="2824" xr:uid="{00000000-0005-0000-0000-0000203D0000}"/>
    <cellStyle name="20 % - Markeringsfarve6 17 2" xfId="7034" xr:uid="{00000000-0005-0000-0000-0000213D0000}"/>
    <cellStyle name="20 % - Markeringsfarve6 17 2 2" xfId="14945" xr:uid="{00000000-0005-0000-0000-0000223D0000}"/>
    <cellStyle name="20 % - Markeringsfarve6 17 2 2 2" xfId="31260" xr:uid="{00000000-0005-0000-0000-0000233D0000}"/>
    <cellStyle name="20 % - Markeringsfarve6 17 2 2 3" xfId="46224" xr:uid="{00000000-0005-0000-0000-0000243D0000}"/>
    <cellStyle name="20 % - Markeringsfarve6 17 2 3" xfId="24238" xr:uid="{00000000-0005-0000-0000-0000253D0000}"/>
    <cellStyle name="20 % - Markeringsfarve6 17 2 4" xfId="39225" xr:uid="{00000000-0005-0000-0000-0000263D0000}"/>
    <cellStyle name="20 % - Markeringsfarve6 17 3" xfId="11384" xr:uid="{00000000-0005-0000-0000-0000273D0000}"/>
    <cellStyle name="20 % - Markeringsfarve6 17 3 2" xfId="27704" xr:uid="{00000000-0005-0000-0000-0000283D0000}"/>
    <cellStyle name="20 % - Markeringsfarve6 17 3 3" xfId="42670" xr:uid="{00000000-0005-0000-0000-0000293D0000}"/>
    <cellStyle name="20 % - Markeringsfarve6 17 4" xfId="20682" xr:uid="{00000000-0005-0000-0000-00002A3D0000}"/>
    <cellStyle name="20 % - Markeringsfarve6 17 5" xfId="35671" xr:uid="{00000000-0005-0000-0000-00002B3D0000}"/>
    <cellStyle name="20 % - Markeringsfarve6 18" xfId="5342" xr:uid="{00000000-0005-0000-0000-00002C3D0000}"/>
    <cellStyle name="20 % - Markeringsfarve6 18 2" xfId="13262" xr:uid="{00000000-0005-0000-0000-00002D3D0000}"/>
    <cellStyle name="20 % - Markeringsfarve6 18 2 2" xfId="29577" xr:uid="{00000000-0005-0000-0000-00002E3D0000}"/>
    <cellStyle name="20 % - Markeringsfarve6 18 2 3" xfId="44541" xr:uid="{00000000-0005-0000-0000-00002F3D0000}"/>
    <cellStyle name="20 % - Markeringsfarve6 18 3" xfId="22555" xr:uid="{00000000-0005-0000-0000-0000303D0000}"/>
    <cellStyle name="20 % - Markeringsfarve6 18 4" xfId="37542" xr:uid="{00000000-0005-0000-0000-0000313D0000}"/>
    <cellStyle name="20 % - Markeringsfarve6 19" xfId="2807" xr:uid="{00000000-0005-0000-0000-0000323D0000}"/>
    <cellStyle name="20 % - Markeringsfarve6 19 2" xfId="11367" xr:uid="{00000000-0005-0000-0000-0000333D0000}"/>
    <cellStyle name="20 % - Markeringsfarve6 19 2 2" xfId="27687" xr:uid="{00000000-0005-0000-0000-0000343D0000}"/>
    <cellStyle name="20 % - Markeringsfarve6 19 2 3" xfId="42653" xr:uid="{00000000-0005-0000-0000-0000353D0000}"/>
    <cellStyle name="20 % - Markeringsfarve6 19 3" xfId="20665" xr:uid="{00000000-0005-0000-0000-0000363D0000}"/>
    <cellStyle name="20 % - Markeringsfarve6 19 4" xfId="35654" xr:uid="{00000000-0005-0000-0000-0000373D0000}"/>
    <cellStyle name="20 % - Markeringsfarve6 2" xfId="2825" xr:uid="{00000000-0005-0000-0000-0000383D0000}"/>
    <cellStyle name="20 % - Markeringsfarve6 2 10" xfId="2826" xr:uid="{00000000-0005-0000-0000-0000393D0000}"/>
    <cellStyle name="20 % - Markeringsfarve6 2 10 2" xfId="6691" xr:uid="{00000000-0005-0000-0000-00003A3D0000}"/>
    <cellStyle name="20 % - Markeringsfarve6 2 10 2 2" xfId="14603" xr:uid="{00000000-0005-0000-0000-00003B3D0000}"/>
    <cellStyle name="20 % - Markeringsfarve6 2 10 2 2 2" xfId="30918" xr:uid="{00000000-0005-0000-0000-00003C3D0000}"/>
    <cellStyle name="20 % - Markeringsfarve6 2 10 2 2 3" xfId="45882" xr:uid="{00000000-0005-0000-0000-00003D3D0000}"/>
    <cellStyle name="20 % - Markeringsfarve6 2 10 2 3" xfId="23896" xr:uid="{00000000-0005-0000-0000-00003E3D0000}"/>
    <cellStyle name="20 % - Markeringsfarve6 2 10 2 4" xfId="38883" xr:uid="{00000000-0005-0000-0000-00003F3D0000}"/>
    <cellStyle name="20 % - Markeringsfarve6 2 10 3" xfId="11386" xr:uid="{00000000-0005-0000-0000-0000403D0000}"/>
    <cellStyle name="20 % - Markeringsfarve6 2 10 3 2" xfId="27706" xr:uid="{00000000-0005-0000-0000-0000413D0000}"/>
    <cellStyle name="20 % - Markeringsfarve6 2 10 3 3" xfId="42672" xr:uid="{00000000-0005-0000-0000-0000423D0000}"/>
    <cellStyle name="20 % - Markeringsfarve6 2 10 4" xfId="20684" xr:uid="{00000000-0005-0000-0000-0000433D0000}"/>
    <cellStyle name="20 % - Markeringsfarve6 2 10 5" xfId="35673" xr:uid="{00000000-0005-0000-0000-0000443D0000}"/>
    <cellStyle name="20 % - Markeringsfarve6 2 11" xfId="2827" xr:uid="{00000000-0005-0000-0000-0000453D0000}"/>
    <cellStyle name="20 % - Markeringsfarve6 2 11 2" xfId="8328" xr:uid="{00000000-0005-0000-0000-0000463D0000}"/>
    <cellStyle name="20 % - Markeringsfarve6 2 11 2 2" xfId="16222" xr:uid="{00000000-0005-0000-0000-0000473D0000}"/>
    <cellStyle name="20 % - Markeringsfarve6 2 11 2 2 2" xfId="32537" xr:uid="{00000000-0005-0000-0000-0000483D0000}"/>
    <cellStyle name="20 % - Markeringsfarve6 2 11 2 2 3" xfId="47501" xr:uid="{00000000-0005-0000-0000-0000493D0000}"/>
    <cellStyle name="20 % - Markeringsfarve6 2 11 2 3" xfId="25515" xr:uid="{00000000-0005-0000-0000-00004A3D0000}"/>
    <cellStyle name="20 % - Markeringsfarve6 2 11 2 4" xfId="40502" xr:uid="{00000000-0005-0000-0000-00004B3D0000}"/>
    <cellStyle name="20 % - Markeringsfarve6 2 11 3" xfId="11387" xr:uid="{00000000-0005-0000-0000-00004C3D0000}"/>
    <cellStyle name="20 % - Markeringsfarve6 2 11 3 2" xfId="27707" xr:uid="{00000000-0005-0000-0000-00004D3D0000}"/>
    <cellStyle name="20 % - Markeringsfarve6 2 11 3 3" xfId="42673" xr:uid="{00000000-0005-0000-0000-00004E3D0000}"/>
    <cellStyle name="20 % - Markeringsfarve6 2 11 4" xfId="20685" xr:uid="{00000000-0005-0000-0000-00004F3D0000}"/>
    <cellStyle name="20 % - Markeringsfarve6 2 11 5" xfId="35674" xr:uid="{00000000-0005-0000-0000-0000503D0000}"/>
    <cellStyle name="20 % - Markeringsfarve6 2 12" xfId="5632" xr:uid="{00000000-0005-0000-0000-0000513D0000}"/>
    <cellStyle name="20 % - Markeringsfarve6 2 12 2" xfId="13551" xr:uid="{00000000-0005-0000-0000-0000523D0000}"/>
    <cellStyle name="20 % - Markeringsfarve6 2 12 2 2" xfId="29866" xr:uid="{00000000-0005-0000-0000-0000533D0000}"/>
    <cellStyle name="20 % - Markeringsfarve6 2 12 2 3" xfId="44830" xr:uid="{00000000-0005-0000-0000-0000543D0000}"/>
    <cellStyle name="20 % - Markeringsfarve6 2 12 3" xfId="22844" xr:uid="{00000000-0005-0000-0000-0000553D0000}"/>
    <cellStyle name="20 % - Markeringsfarve6 2 12 4" xfId="37831" xr:uid="{00000000-0005-0000-0000-0000563D0000}"/>
    <cellStyle name="20 % - Markeringsfarve6 2 13" xfId="11385" xr:uid="{00000000-0005-0000-0000-0000573D0000}"/>
    <cellStyle name="20 % - Markeringsfarve6 2 13 2" xfId="27705" xr:uid="{00000000-0005-0000-0000-0000583D0000}"/>
    <cellStyle name="20 % - Markeringsfarve6 2 13 3" xfId="42671" xr:uid="{00000000-0005-0000-0000-0000593D0000}"/>
    <cellStyle name="20 % - Markeringsfarve6 2 14" xfId="20683" xr:uid="{00000000-0005-0000-0000-00005A3D0000}"/>
    <cellStyle name="20 % - Markeringsfarve6 2 15" xfId="35672" xr:uid="{00000000-0005-0000-0000-00005B3D0000}"/>
    <cellStyle name="20 % - Markeringsfarve6 2 16" xfId="53289" xr:uid="{00000000-0005-0000-0000-00005C3D0000}"/>
    <cellStyle name="20 % - Markeringsfarve6 2 2" xfId="2828" xr:uid="{00000000-0005-0000-0000-00005D3D0000}"/>
    <cellStyle name="20 % - Markeringsfarve6 2 2 10" xfId="5633" xr:uid="{00000000-0005-0000-0000-00005E3D0000}"/>
    <cellStyle name="20 % - Markeringsfarve6 2 2 10 2" xfId="13552" xr:uid="{00000000-0005-0000-0000-00005F3D0000}"/>
    <cellStyle name="20 % - Markeringsfarve6 2 2 10 2 2" xfId="29867" xr:uid="{00000000-0005-0000-0000-0000603D0000}"/>
    <cellStyle name="20 % - Markeringsfarve6 2 2 10 2 3" xfId="44831" xr:uid="{00000000-0005-0000-0000-0000613D0000}"/>
    <cellStyle name="20 % - Markeringsfarve6 2 2 10 3" xfId="22845" xr:uid="{00000000-0005-0000-0000-0000623D0000}"/>
    <cellStyle name="20 % - Markeringsfarve6 2 2 10 4" xfId="37832" xr:uid="{00000000-0005-0000-0000-0000633D0000}"/>
    <cellStyle name="20 % - Markeringsfarve6 2 2 11" xfId="11388" xr:uid="{00000000-0005-0000-0000-0000643D0000}"/>
    <cellStyle name="20 % - Markeringsfarve6 2 2 11 2" xfId="27708" xr:uid="{00000000-0005-0000-0000-0000653D0000}"/>
    <cellStyle name="20 % - Markeringsfarve6 2 2 11 3" xfId="42674" xr:uid="{00000000-0005-0000-0000-0000663D0000}"/>
    <cellStyle name="20 % - Markeringsfarve6 2 2 12" xfId="20686" xr:uid="{00000000-0005-0000-0000-0000673D0000}"/>
    <cellStyle name="20 % - Markeringsfarve6 2 2 13" xfId="35675" xr:uid="{00000000-0005-0000-0000-0000683D0000}"/>
    <cellStyle name="20 % - Markeringsfarve6 2 2 14" xfId="53288" xr:uid="{00000000-0005-0000-0000-0000693D0000}"/>
    <cellStyle name="20 % - Markeringsfarve6 2 2 2" xfId="2829" xr:uid="{00000000-0005-0000-0000-00006A3D0000}"/>
    <cellStyle name="20 % - Markeringsfarve6 2 2 2 2" xfId="2830" xr:uid="{00000000-0005-0000-0000-00006B3D0000}"/>
    <cellStyle name="20 % - Markeringsfarve6 2 2 2 2 2" xfId="2831" xr:uid="{00000000-0005-0000-0000-00006C3D0000}"/>
    <cellStyle name="20 % - Markeringsfarve6 2 2 2 2 2 2" xfId="7622" xr:uid="{00000000-0005-0000-0000-00006D3D0000}"/>
    <cellStyle name="20 % - Markeringsfarve6 2 2 2 2 2 2 2" xfId="15524" xr:uid="{00000000-0005-0000-0000-00006E3D0000}"/>
    <cellStyle name="20 % - Markeringsfarve6 2 2 2 2 2 2 2 2" xfId="31839" xr:uid="{00000000-0005-0000-0000-00006F3D0000}"/>
    <cellStyle name="20 % - Markeringsfarve6 2 2 2 2 2 2 2 3" xfId="46803" xr:uid="{00000000-0005-0000-0000-0000703D0000}"/>
    <cellStyle name="20 % - Markeringsfarve6 2 2 2 2 2 2 3" xfId="24817" xr:uid="{00000000-0005-0000-0000-0000713D0000}"/>
    <cellStyle name="20 % - Markeringsfarve6 2 2 2 2 2 2 4" xfId="39804" xr:uid="{00000000-0005-0000-0000-0000723D0000}"/>
    <cellStyle name="20 % - Markeringsfarve6 2 2 2 2 2 3" xfId="11391" xr:uid="{00000000-0005-0000-0000-0000733D0000}"/>
    <cellStyle name="20 % - Markeringsfarve6 2 2 2 2 2 3 2" xfId="27711" xr:uid="{00000000-0005-0000-0000-0000743D0000}"/>
    <cellStyle name="20 % - Markeringsfarve6 2 2 2 2 2 3 3" xfId="42677" xr:uid="{00000000-0005-0000-0000-0000753D0000}"/>
    <cellStyle name="20 % - Markeringsfarve6 2 2 2 2 2 4" xfId="20689" xr:uid="{00000000-0005-0000-0000-0000763D0000}"/>
    <cellStyle name="20 % - Markeringsfarve6 2 2 2 2 2 5" xfId="35678" xr:uid="{00000000-0005-0000-0000-0000773D0000}"/>
    <cellStyle name="20 % - Markeringsfarve6 2 2 2 2 3" xfId="6193" xr:uid="{00000000-0005-0000-0000-0000783D0000}"/>
    <cellStyle name="20 % - Markeringsfarve6 2 2 2 2 3 2" xfId="14111" xr:uid="{00000000-0005-0000-0000-0000793D0000}"/>
    <cellStyle name="20 % - Markeringsfarve6 2 2 2 2 3 2 2" xfId="30426" xr:uid="{00000000-0005-0000-0000-00007A3D0000}"/>
    <cellStyle name="20 % - Markeringsfarve6 2 2 2 2 3 2 3" xfId="45390" xr:uid="{00000000-0005-0000-0000-00007B3D0000}"/>
    <cellStyle name="20 % - Markeringsfarve6 2 2 2 2 3 3" xfId="23404" xr:uid="{00000000-0005-0000-0000-00007C3D0000}"/>
    <cellStyle name="20 % - Markeringsfarve6 2 2 2 2 3 4" xfId="38391" xr:uid="{00000000-0005-0000-0000-00007D3D0000}"/>
    <cellStyle name="20 % - Markeringsfarve6 2 2 2 2 4" xfId="11390" xr:uid="{00000000-0005-0000-0000-00007E3D0000}"/>
    <cellStyle name="20 % - Markeringsfarve6 2 2 2 2 4 2" xfId="27710" xr:uid="{00000000-0005-0000-0000-00007F3D0000}"/>
    <cellStyle name="20 % - Markeringsfarve6 2 2 2 2 4 3" xfId="42676" xr:uid="{00000000-0005-0000-0000-0000803D0000}"/>
    <cellStyle name="20 % - Markeringsfarve6 2 2 2 2 5" xfId="20688" xr:uid="{00000000-0005-0000-0000-0000813D0000}"/>
    <cellStyle name="20 % - Markeringsfarve6 2 2 2 2 6" xfId="35677" xr:uid="{00000000-0005-0000-0000-0000823D0000}"/>
    <cellStyle name="20 % - Markeringsfarve6 2 2 2 2 7" xfId="57092" xr:uid="{00000000-0005-0000-0000-0000833D0000}"/>
    <cellStyle name="20 % - Markeringsfarve6 2 2 2 3" xfId="2832" xr:uid="{00000000-0005-0000-0000-0000843D0000}"/>
    <cellStyle name="20 % - Markeringsfarve6 2 2 2 3 2" xfId="6852" xr:uid="{00000000-0005-0000-0000-0000853D0000}"/>
    <cellStyle name="20 % - Markeringsfarve6 2 2 2 3 2 2" xfId="14764" xr:uid="{00000000-0005-0000-0000-0000863D0000}"/>
    <cellStyle name="20 % - Markeringsfarve6 2 2 2 3 2 2 2" xfId="31079" xr:uid="{00000000-0005-0000-0000-0000873D0000}"/>
    <cellStyle name="20 % - Markeringsfarve6 2 2 2 3 2 2 3" xfId="46043" xr:uid="{00000000-0005-0000-0000-0000883D0000}"/>
    <cellStyle name="20 % - Markeringsfarve6 2 2 2 3 2 3" xfId="24057" xr:uid="{00000000-0005-0000-0000-0000893D0000}"/>
    <cellStyle name="20 % - Markeringsfarve6 2 2 2 3 2 4" xfId="39044" xr:uid="{00000000-0005-0000-0000-00008A3D0000}"/>
    <cellStyle name="20 % - Markeringsfarve6 2 2 2 3 3" xfId="11392" xr:uid="{00000000-0005-0000-0000-00008B3D0000}"/>
    <cellStyle name="20 % - Markeringsfarve6 2 2 2 3 3 2" xfId="27712" xr:uid="{00000000-0005-0000-0000-00008C3D0000}"/>
    <cellStyle name="20 % - Markeringsfarve6 2 2 2 3 3 3" xfId="42678" xr:uid="{00000000-0005-0000-0000-00008D3D0000}"/>
    <cellStyle name="20 % - Markeringsfarve6 2 2 2 3 4" xfId="20690" xr:uid="{00000000-0005-0000-0000-00008E3D0000}"/>
    <cellStyle name="20 % - Markeringsfarve6 2 2 2 3 5" xfId="35679" xr:uid="{00000000-0005-0000-0000-00008F3D0000}"/>
    <cellStyle name="20 % - Markeringsfarve6 2 2 2 4" xfId="2833" xr:uid="{00000000-0005-0000-0000-0000903D0000}"/>
    <cellStyle name="20 % - Markeringsfarve6 2 2 2 4 2" xfId="8230" xr:uid="{00000000-0005-0000-0000-0000913D0000}"/>
    <cellStyle name="20 % - Markeringsfarve6 2 2 2 4 2 2" xfId="16125" xr:uid="{00000000-0005-0000-0000-0000923D0000}"/>
    <cellStyle name="20 % - Markeringsfarve6 2 2 2 4 2 2 2" xfId="32440" xr:uid="{00000000-0005-0000-0000-0000933D0000}"/>
    <cellStyle name="20 % - Markeringsfarve6 2 2 2 4 2 2 3" xfId="47404" xr:uid="{00000000-0005-0000-0000-0000943D0000}"/>
    <cellStyle name="20 % - Markeringsfarve6 2 2 2 4 2 3" xfId="25418" xr:uid="{00000000-0005-0000-0000-0000953D0000}"/>
    <cellStyle name="20 % - Markeringsfarve6 2 2 2 4 2 4" xfId="40405" xr:uid="{00000000-0005-0000-0000-0000963D0000}"/>
    <cellStyle name="20 % - Markeringsfarve6 2 2 2 4 3" xfId="11393" xr:uid="{00000000-0005-0000-0000-0000973D0000}"/>
    <cellStyle name="20 % - Markeringsfarve6 2 2 2 4 3 2" xfId="27713" xr:uid="{00000000-0005-0000-0000-0000983D0000}"/>
    <cellStyle name="20 % - Markeringsfarve6 2 2 2 4 3 3" xfId="42679" xr:uid="{00000000-0005-0000-0000-0000993D0000}"/>
    <cellStyle name="20 % - Markeringsfarve6 2 2 2 4 4" xfId="20691" xr:uid="{00000000-0005-0000-0000-00009A3D0000}"/>
    <cellStyle name="20 % - Markeringsfarve6 2 2 2 4 5" xfId="35680" xr:uid="{00000000-0005-0000-0000-00009B3D0000}"/>
    <cellStyle name="20 % - Markeringsfarve6 2 2 2 5" xfId="5634" xr:uid="{00000000-0005-0000-0000-00009C3D0000}"/>
    <cellStyle name="20 % - Markeringsfarve6 2 2 2 5 2" xfId="13553" xr:uid="{00000000-0005-0000-0000-00009D3D0000}"/>
    <cellStyle name="20 % - Markeringsfarve6 2 2 2 5 2 2" xfId="29868" xr:uid="{00000000-0005-0000-0000-00009E3D0000}"/>
    <cellStyle name="20 % - Markeringsfarve6 2 2 2 5 2 3" xfId="44832" xr:uid="{00000000-0005-0000-0000-00009F3D0000}"/>
    <cellStyle name="20 % - Markeringsfarve6 2 2 2 5 3" xfId="22846" xr:uid="{00000000-0005-0000-0000-0000A03D0000}"/>
    <cellStyle name="20 % - Markeringsfarve6 2 2 2 5 4" xfId="37833" xr:uid="{00000000-0005-0000-0000-0000A13D0000}"/>
    <cellStyle name="20 % - Markeringsfarve6 2 2 2 6" xfId="11389" xr:uid="{00000000-0005-0000-0000-0000A23D0000}"/>
    <cellStyle name="20 % - Markeringsfarve6 2 2 2 6 2" xfId="27709" xr:uid="{00000000-0005-0000-0000-0000A33D0000}"/>
    <cellStyle name="20 % - Markeringsfarve6 2 2 2 6 3" xfId="42675" xr:uid="{00000000-0005-0000-0000-0000A43D0000}"/>
    <cellStyle name="20 % - Markeringsfarve6 2 2 2 7" xfId="20687" xr:uid="{00000000-0005-0000-0000-0000A53D0000}"/>
    <cellStyle name="20 % - Markeringsfarve6 2 2 2 8" xfId="35676" xr:uid="{00000000-0005-0000-0000-0000A63D0000}"/>
    <cellStyle name="20 % - Markeringsfarve6 2 2 2 9" xfId="53925" xr:uid="{00000000-0005-0000-0000-0000A73D0000}"/>
    <cellStyle name="20 % - Markeringsfarve6 2 2 3" xfId="2834" xr:uid="{00000000-0005-0000-0000-0000A83D0000}"/>
    <cellStyle name="20 % - Markeringsfarve6 2 2 3 2" xfId="2835" xr:uid="{00000000-0005-0000-0000-0000A93D0000}"/>
    <cellStyle name="20 % - Markeringsfarve6 2 2 3 2 2" xfId="2836" xr:uid="{00000000-0005-0000-0000-0000AA3D0000}"/>
    <cellStyle name="20 % - Markeringsfarve6 2 2 3 2 2 2" xfId="7712" xr:uid="{00000000-0005-0000-0000-0000AB3D0000}"/>
    <cellStyle name="20 % - Markeringsfarve6 2 2 3 2 2 2 2" xfId="15614" xr:uid="{00000000-0005-0000-0000-0000AC3D0000}"/>
    <cellStyle name="20 % - Markeringsfarve6 2 2 3 2 2 2 2 2" xfId="31929" xr:uid="{00000000-0005-0000-0000-0000AD3D0000}"/>
    <cellStyle name="20 % - Markeringsfarve6 2 2 3 2 2 2 2 3" xfId="46893" xr:uid="{00000000-0005-0000-0000-0000AE3D0000}"/>
    <cellStyle name="20 % - Markeringsfarve6 2 2 3 2 2 2 3" xfId="24907" xr:uid="{00000000-0005-0000-0000-0000AF3D0000}"/>
    <cellStyle name="20 % - Markeringsfarve6 2 2 3 2 2 2 4" xfId="39894" xr:uid="{00000000-0005-0000-0000-0000B03D0000}"/>
    <cellStyle name="20 % - Markeringsfarve6 2 2 3 2 2 3" xfId="11396" xr:uid="{00000000-0005-0000-0000-0000B13D0000}"/>
    <cellStyle name="20 % - Markeringsfarve6 2 2 3 2 2 3 2" xfId="27716" xr:uid="{00000000-0005-0000-0000-0000B23D0000}"/>
    <cellStyle name="20 % - Markeringsfarve6 2 2 3 2 2 3 3" xfId="42682" xr:uid="{00000000-0005-0000-0000-0000B33D0000}"/>
    <cellStyle name="20 % - Markeringsfarve6 2 2 3 2 2 4" xfId="20694" xr:uid="{00000000-0005-0000-0000-0000B43D0000}"/>
    <cellStyle name="20 % - Markeringsfarve6 2 2 3 2 2 5" xfId="35683" xr:uid="{00000000-0005-0000-0000-0000B53D0000}"/>
    <cellStyle name="20 % - Markeringsfarve6 2 2 3 2 3" xfId="6267" xr:uid="{00000000-0005-0000-0000-0000B63D0000}"/>
    <cellStyle name="20 % - Markeringsfarve6 2 2 3 2 3 2" xfId="14185" xr:uid="{00000000-0005-0000-0000-0000B73D0000}"/>
    <cellStyle name="20 % - Markeringsfarve6 2 2 3 2 3 2 2" xfId="30500" xr:uid="{00000000-0005-0000-0000-0000B83D0000}"/>
    <cellStyle name="20 % - Markeringsfarve6 2 2 3 2 3 2 3" xfId="45464" xr:uid="{00000000-0005-0000-0000-0000B93D0000}"/>
    <cellStyle name="20 % - Markeringsfarve6 2 2 3 2 3 3" xfId="23478" xr:uid="{00000000-0005-0000-0000-0000BA3D0000}"/>
    <cellStyle name="20 % - Markeringsfarve6 2 2 3 2 3 4" xfId="38465" xr:uid="{00000000-0005-0000-0000-0000BB3D0000}"/>
    <cellStyle name="20 % - Markeringsfarve6 2 2 3 2 4" xfId="11395" xr:uid="{00000000-0005-0000-0000-0000BC3D0000}"/>
    <cellStyle name="20 % - Markeringsfarve6 2 2 3 2 4 2" xfId="27715" xr:uid="{00000000-0005-0000-0000-0000BD3D0000}"/>
    <cellStyle name="20 % - Markeringsfarve6 2 2 3 2 4 3" xfId="42681" xr:uid="{00000000-0005-0000-0000-0000BE3D0000}"/>
    <cellStyle name="20 % - Markeringsfarve6 2 2 3 2 5" xfId="20693" xr:uid="{00000000-0005-0000-0000-0000BF3D0000}"/>
    <cellStyle name="20 % - Markeringsfarve6 2 2 3 2 6" xfId="35682" xr:uid="{00000000-0005-0000-0000-0000C03D0000}"/>
    <cellStyle name="20 % - Markeringsfarve6 2 2 3 3" xfId="2837" xr:uid="{00000000-0005-0000-0000-0000C13D0000}"/>
    <cellStyle name="20 % - Markeringsfarve6 2 2 3 3 2" xfId="6942" xr:uid="{00000000-0005-0000-0000-0000C23D0000}"/>
    <cellStyle name="20 % - Markeringsfarve6 2 2 3 3 2 2" xfId="14854" xr:uid="{00000000-0005-0000-0000-0000C33D0000}"/>
    <cellStyle name="20 % - Markeringsfarve6 2 2 3 3 2 2 2" xfId="31169" xr:uid="{00000000-0005-0000-0000-0000C43D0000}"/>
    <cellStyle name="20 % - Markeringsfarve6 2 2 3 3 2 2 3" xfId="46133" xr:uid="{00000000-0005-0000-0000-0000C53D0000}"/>
    <cellStyle name="20 % - Markeringsfarve6 2 2 3 3 2 3" xfId="24147" xr:uid="{00000000-0005-0000-0000-0000C63D0000}"/>
    <cellStyle name="20 % - Markeringsfarve6 2 2 3 3 2 4" xfId="39134" xr:uid="{00000000-0005-0000-0000-0000C73D0000}"/>
    <cellStyle name="20 % - Markeringsfarve6 2 2 3 3 3" xfId="11397" xr:uid="{00000000-0005-0000-0000-0000C83D0000}"/>
    <cellStyle name="20 % - Markeringsfarve6 2 2 3 3 3 2" xfId="27717" xr:uid="{00000000-0005-0000-0000-0000C93D0000}"/>
    <cellStyle name="20 % - Markeringsfarve6 2 2 3 3 3 3" xfId="42683" xr:uid="{00000000-0005-0000-0000-0000CA3D0000}"/>
    <cellStyle name="20 % - Markeringsfarve6 2 2 3 3 4" xfId="20695" xr:uid="{00000000-0005-0000-0000-0000CB3D0000}"/>
    <cellStyle name="20 % - Markeringsfarve6 2 2 3 3 5" xfId="35684" xr:uid="{00000000-0005-0000-0000-0000CC3D0000}"/>
    <cellStyle name="20 % - Markeringsfarve6 2 2 3 4" xfId="2838" xr:uid="{00000000-0005-0000-0000-0000CD3D0000}"/>
    <cellStyle name="20 % - Markeringsfarve6 2 2 3 4 2" xfId="8514" xr:uid="{00000000-0005-0000-0000-0000CE3D0000}"/>
    <cellStyle name="20 % - Markeringsfarve6 2 2 3 4 2 2" xfId="16402" xr:uid="{00000000-0005-0000-0000-0000CF3D0000}"/>
    <cellStyle name="20 % - Markeringsfarve6 2 2 3 4 2 2 2" xfId="32717" xr:uid="{00000000-0005-0000-0000-0000D03D0000}"/>
    <cellStyle name="20 % - Markeringsfarve6 2 2 3 4 2 2 3" xfId="47681" xr:uid="{00000000-0005-0000-0000-0000D13D0000}"/>
    <cellStyle name="20 % - Markeringsfarve6 2 2 3 4 2 3" xfId="25695" xr:uid="{00000000-0005-0000-0000-0000D23D0000}"/>
    <cellStyle name="20 % - Markeringsfarve6 2 2 3 4 2 4" xfId="40682" xr:uid="{00000000-0005-0000-0000-0000D33D0000}"/>
    <cellStyle name="20 % - Markeringsfarve6 2 2 3 4 3" xfId="11398" xr:uid="{00000000-0005-0000-0000-0000D43D0000}"/>
    <cellStyle name="20 % - Markeringsfarve6 2 2 3 4 3 2" xfId="27718" xr:uid="{00000000-0005-0000-0000-0000D53D0000}"/>
    <cellStyle name="20 % - Markeringsfarve6 2 2 3 4 3 3" xfId="42684" xr:uid="{00000000-0005-0000-0000-0000D63D0000}"/>
    <cellStyle name="20 % - Markeringsfarve6 2 2 3 4 4" xfId="20696" xr:uid="{00000000-0005-0000-0000-0000D73D0000}"/>
    <cellStyle name="20 % - Markeringsfarve6 2 2 3 4 5" xfId="35685" xr:uid="{00000000-0005-0000-0000-0000D83D0000}"/>
    <cellStyle name="20 % - Markeringsfarve6 2 2 3 5" xfId="5635" xr:uid="{00000000-0005-0000-0000-0000D93D0000}"/>
    <cellStyle name="20 % - Markeringsfarve6 2 2 3 5 2" xfId="13554" xr:uid="{00000000-0005-0000-0000-0000DA3D0000}"/>
    <cellStyle name="20 % - Markeringsfarve6 2 2 3 5 2 2" xfId="29869" xr:uid="{00000000-0005-0000-0000-0000DB3D0000}"/>
    <cellStyle name="20 % - Markeringsfarve6 2 2 3 5 2 3" xfId="44833" xr:uid="{00000000-0005-0000-0000-0000DC3D0000}"/>
    <cellStyle name="20 % - Markeringsfarve6 2 2 3 5 3" xfId="22847" xr:uid="{00000000-0005-0000-0000-0000DD3D0000}"/>
    <cellStyle name="20 % - Markeringsfarve6 2 2 3 5 4" xfId="37834" xr:uid="{00000000-0005-0000-0000-0000DE3D0000}"/>
    <cellStyle name="20 % - Markeringsfarve6 2 2 3 6" xfId="11394" xr:uid="{00000000-0005-0000-0000-0000DF3D0000}"/>
    <cellStyle name="20 % - Markeringsfarve6 2 2 3 6 2" xfId="27714" xr:uid="{00000000-0005-0000-0000-0000E03D0000}"/>
    <cellStyle name="20 % - Markeringsfarve6 2 2 3 6 3" xfId="42680" xr:uid="{00000000-0005-0000-0000-0000E13D0000}"/>
    <cellStyle name="20 % - Markeringsfarve6 2 2 3 7" xfId="20692" xr:uid="{00000000-0005-0000-0000-0000E23D0000}"/>
    <cellStyle name="20 % - Markeringsfarve6 2 2 3 8" xfId="35681" xr:uid="{00000000-0005-0000-0000-0000E33D0000}"/>
    <cellStyle name="20 % - Markeringsfarve6 2 2 3 9" xfId="56469" xr:uid="{00000000-0005-0000-0000-0000E43D0000}"/>
    <cellStyle name="20 % - Markeringsfarve6 2 2 4" xfId="2839" xr:uid="{00000000-0005-0000-0000-0000E53D0000}"/>
    <cellStyle name="20 % - Markeringsfarve6 2 2 4 2" xfId="2840" xr:uid="{00000000-0005-0000-0000-0000E63D0000}"/>
    <cellStyle name="20 % - Markeringsfarve6 2 2 4 2 2" xfId="2841" xr:uid="{00000000-0005-0000-0000-0000E73D0000}"/>
    <cellStyle name="20 % - Markeringsfarve6 2 2 4 2 2 2" xfId="7860" xr:uid="{00000000-0005-0000-0000-0000E83D0000}"/>
    <cellStyle name="20 % - Markeringsfarve6 2 2 4 2 2 2 2" xfId="15762" xr:uid="{00000000-0005-0000-0000-0000E93D0000}"/>
    <cellStyle name="20 % - Markeringsfarve6 2 2 4 2 2 2 2 2" xfId="32077" xr:uid="{00000000-0005-0000-0000-0000EA3D0000}"/>
    <cellStyle name="20 % - Markeringsfarve6 2 2 4 2 2 2 2 3" xfId="47041" xr:uid="{00000000-0005-0000-0000-0000EB3D0000}"/>
    <cellStyle name="20 % - Markeringsfarve6 2 2 4 2 2 2 3" xfId="25055" xr:uid="{00000000-0005-0000-0000-0000EC3D0000}"/>
    <cellStyle name="20 % - Markeringsfarve6 2 2 4 2 2 2 4" xfId="40042" xr:uid="{00000000-0005-0000-0000-0000ED3D0000}"/>
    <cellStyle name="20 % - Markeringsfarve6 2 2 4 2 2 3" xfId="11401" xr:uid="{00000000-0005-0000-0000-0000EE3D0000}"/>
    <cellStyle name="20 % - Markeringsfarve6 2 2 4 2 2 3 2" xfId="27721" xr:uid="{00000000-0005-0000-0000-0000EF3D0000}"/>
    <cellStyle name="20 % - Markeringsfarve6 2 2 4 2 2 3 3" xfId="42687" xr:uid="{00000000-0005-0000-0000-0000F03D0000}"/>
    <cellStyle name="20 % - Markeringsfarve6 2 2 4 2 2 4" xfId="20699" xr:uid="{00000000-0005-0000-0000-0000F13D0000}"/>
    <cellStyle name="20 % - Markeringsfarve6 2 2 4 2 2 5" xfId="35688" xr:uid="{00000000-0005-0000-0000-0000F23D0000}"/>
    <cellStyle name="20 % - Markeringsfarve6 2 2 4 2 3" xfId="6395" xr:uid="{00000000-0005-0000-0000-0000F33D0000}"/>
    <cellStyle name="20 % - Markeringsfarve6 2 2 4 2 3 2" xfId="14310" xr:uid="{00000000-0005-0000-0000-0000F43D0000}"/>
    <cellStyle name="20 % - Markeringsfarve6 2 2 4 2 3 2 2" xfId="30625" xr:uid="{00000000-0005-0000-0000-0000F53D0000}"/>
    <cellStyle name="20 % - Markeringsfarve6 2 2 4 2 3 2 3" xfId="45589" xr:uid="{00000000-0005-0000-0000-0000F63D0000}"/>
    <cellStyle name="20 % - Markeringsfarve6 2 2 4 2 3 3" xfId="23603" xr:uid="{00000000-0005-0000-0000-0000F73D0000}"/>
    <cellStyle name="20 % - Markeringsfarve6 2 2 4 2 3 4" xfId="38590" xr:uid="{00000000-0005-0000-0000-0000F83D0000}"/>
    <cellStyle name="20 % - Markeringsfarve6 2 2 4 2 4" xfId="11400" xr:uid="{00000000-0005-0000-0000-0000F93D0000}"/>
    <cellStyle name="20 % - Markeringsfarve6 2 2 4 2 4 2" xfId="27720" xr:uid="{00000000-0005-0000-0000-0000FA3D0000}"/>
    <cellStyle name="20 % - Markeringsfarve6 2 2 4 2 4 3" xfId="42686" xr:uid="{00000000-0005-0000-0000-0000FB3D0000}"/>
    <cellStyle name="20 % - Markeringsfarve6 2 2 4 2 5" xfId="20698" xr:uid="{00000000-0005-0000-0000-0000FC3D0000}"/>
    <cellStyle name="20 % - Markeringsfarve6 2 2 4 2 6" xfId="35687" xr:uid="{00000000-0005-0000-0000-0000FD3D0000}"/>
    <cellStyle name="20 % - Markeringsfarve6 2 2 4 3" xfId="2842" xr:uid="{00000000-0005-0000-0000-0000FE3D0000}"/>
    <cellStyle name="20 % - Markeringsfarve6 2 2 4 3 2" xfId="7136" xr:uid="{00000000-0005-0000-0000-0000FF3D0000}"/>
    <cellStyle name="20 % - Markeringsfarve6 2 2 4 3 2 2" xfId="15047" xr:uid="{00000000-0005-0000-0000-0000003E0000}"/>
    <cellStyle name="20 % - Markeringsfarve6 2 2 4 3 2 2 2" xfId="31362" xr:uid="{00000000-0005-0000-0000-0000013E0000}"/>
    <cellStyle name="20 % - Markeringsfarve6 2 2 4 3 2 2 3" xfId="46326" xr:uid="{00000000-0005-0000-0000-0000023E0000}"/>
    <cellStyle name="20 % - Markeringsfarve6 2 2 4 3 2 3" xfId="24340" xr:uid="{00000000-0005-0000-0000-0000033E0000}"/>
    <cellStyle name="20 % - Markeringsfarve6 2 2 4 3 2 4" xfId="39327" xr:uid="{00000000-0005-0000-0000-0000043E0000}"/>
    <cellStyle name="20 % - Markeringsfarve6 2 2 4 3 3" xfId="11402" xr:uid="{00000000-0005-0000-0000-0000053E0000}"/>
    <cellStyle name="20 % - Markeringsfarve6 2 2 4 3 3 2" xfId="27722" xr:uid="{00000000-0005-0000-0000-0000063E0000}"/>
    <cellStyle name="20 % - Markeringsfarve6 2 2 4 3 3 3" xfId="42688" xr:uid="{00000000-0005-0000-0000-0000073E0000}"/>
    <cellStyle name="20 % - Markeringsfarve6 2 2 4 3 4" xfId="20700" xr:uid="{00000000-0005-0000-0000-0000083E0000}"/>
    <cellStyle name="20 % - Markeringsfarve6 2 2 4 3 5" xfId="35689" xr:uid="{00000000-0005-0000-0000-0000093E0000}"/>
    <cellStyle name="20 % - Markeringsfarve6 2 2 4 4" xfId="2843" xr:uid="{00000000-0005-0000-0000-00000A3E0000}"/>
    <cellStyle name="20 % - Markeringsfarve6 2 2 4 4 2" xfId="8163" xr:uid="{00000000-0005-0000-0000-00000B3E0000}"/>
    <cellStyle name="20 % - Markeringsfarve6 2 2 4 4 2 2" xfId="16061" xr:uid="{00000000-0005-0000-0000-00000C3E0000}"/>
    <cellStyle name="20 % - Markeringsfarve6 2 2 4 4 2 2 2" xfId="32376" xr:uid="{00000000-0005-0000-0000-00000D3E0000}"/>
    <cellStyle name="20 % - Markeringsfarve6 2 2 4 4 2 2 3" xfId="47340" xr:uid="{00000000-0005-0000-0000-00000E3E0000}"/>
    <cellStyle name="20 % - Markeringsfarve6 2 2 4 4 2 3" xfId="25354" xr:uid="{00000000-0005-0000-0000-00000F3E0000}"/>
    <cellStyle name="20 % - Markeringsfarve6 2 2 4 4 2 4" xfId="40341" xr:uid="{00000000-0005-0000-0000-0000103E0000}"/>
    <cellStyle name="20 % - Markeringsfarve6 2 2 4 4 3" xfId="11403" xr:uid="{00000000-0005-0000-0000-0000113E0000}"/>
    <cellStyle name="20 % - Markeringsfarve6 2 2 4 4 3 2" xfId="27723" xr:uid="{00000000-0005-0000-0000-0000123E0000}"/>
    <cellStyle name="20 % - Markeringsfarve6 2 2 4 4 3 3" xfId="42689" xr:uid="{00000000-0005-0000-0000-0000133E0000}"/>
    <cellStyle name="20 % - Markeringsfarve6 2 2 4 4 4" xfId="20701" xr:uid="{00000000-0005-0000-0000-0000143E0000}"/>
    <cellStyle name="20 % - Markeringsfarve6 2 2 4 4 5" xfId="35690" xr:uid="{00000000-0005-0000-0000-0000153E0000}"/>
    <cellStyle name="20 % - Markeringsfarve6 2 2 4 5" xfId="5636" xr:uid="{00000000-0005-0000-0000-0000163E0000}"/>
    <cellStyle name="20 % - Markeringsfarve6 2 2 4 5 2" xfId="13555" xr:uid="{00000000-0005-0000-0000-0000173E0000}"/>
    <cellStyle name="20 % - Markeringsfarve6 2 2 4 5 2 2" xfId="29870" xr:uid="{00000000-0005-0000-0000-0000183E0000}"/>
    <cellStyle name="20 % - Markeringsfarve6 2 2 4 5 2 3" xfId="44834" xr:uid="{00000000-0005-0000-0000-0000193E0000}"/>
    <cellStyle name="20 % - Markeringsfarve6 2 2 4 5 3" xfId="22848" xr:uid="{00000000-0005-0000-0000-00001A3E0000}"/>
    <cellStyle name="20 % - Markeringsfarve6 2 2 4 5 4" xfId="37835" xr:uid="{00000000-0005-0000-0000-00001B3E0000}"/>
    <cellStyle name="20 % - Markeringsfarve6 2 2 4 6" xfId="11399" xr:uid="{00000000-0005-0000-0000-00001C3E0000}"/>
    <cellStyle name="20 % - Markeringsfarve6 2 2 4 6 2" xfId="27719" xr:uid="{00000000-0005-0000-0000-00001D3E0000}"/>
    <cellStyle name="20 % - Markeringsfarve6 2 2 4 6 3" xfId="42685" xr:uid="{00000000-0005-0000-0000-00001E3E0000}"/>
    <cellStyle name="20 % - Markeringsfarve6 2 2 4 7" xfId="20697" xr:uid="{00000000-0005-0000-0000-00001F3E0000}"/>
    <cellStyle name="20 % - Markeringsfarve6 2 2 4 8" xfId="35686" xr:uid="{00000000-0005-0000-0000-0000203E0000}"/>
    <cellStyle name="20 % - Markeringsfarve6 2 2 5" xfId="2844" xr:uid="{00000000-0005-0000-0000-0000213E0000}"/>
    <cellStyle name="20 % - Markeringsfarve6 2 2 5 2" xfId="2845" xr:uid="{00000000-0005-0000-0000-0000223E0000}"/>
    <cellStyle name="20 % - Markeringsfarve6 2 2 5 2 2" xfId="2846" xr:uid="{00000000-0005-0000-0000-0000233E0000}"/>
    <cellStyle name="20 % - Markeringsfarve6 2 2 5 2 2 2" xfId="7977" xr:uid="{00000000-0005-0000-0000-0000243E0000}"/>
    <cellStyle name="20 % - Markeringsfarve6 2 2 5 2 2 2 2" xfId="15879" xr:uid="{00000000-0005-0000-0000-0000253E0000}"/>
    <cellStyle name="20 % - Markeringsfarve6 2 2 5 2 2 2 2 2" xfId="32194" xr:uid="{00000000-0005-0000-0000-0000263E0000}"/>
    <cellStyle name="20 % - Markeringsfarve6 2 2 5 2 2 2 2 3" xfId="47158" xr:uid="{00000000-0005-0000-0000-0000273E0000}"/>
    <cellStyle name="20 % - Markeringsfarve6 2 2 5 2 2 2 3" xfId="25172" xr:uid="{00000000-0005-0000-0000-0000283E0000}"/>
    <cellStyle name="20 % - Markeringsfarve6 2 2 5 2 2 2 4" xfId="40159" xr:uid="{00000000-0005-0000-0000-0000293E0000}"/>
    <cellStyle name="20 % - Markeringsfarve6 2 2 5 2 2 3" xfId="11406" xr:uid="{00000000-0005-0000-0000-00002A3E0000}"/>
    <cellStyle name="20 % - Markeringsfarve6 2 2 5 2 2 3 2" xfId="27726" xr:uid="{00000000-0005-0000-0000-00002B3E0000}"/>
    <cellStyle name="20 % - Markeringsfarve6 2 2 5 2 2 3 3" xfId="42692" xr:uid="{00000000-0005-0000-0000-00002C3E0000}"/>
    <cellStyle name="20 % - Markeringsfarve6 2 2 5 2 2 4" xfId="20704" xr:uid="{00000000-0005-0000-0000-00002D3E0000}"/>
    <cellStyle name="20 % - Markeringsfarve6 2 2 5 2 2 5" xfId="35693" xr:uid="{00000000-0005-0000-0000-00002E3E0000}"/>
    <cellStyle name="20 % - Markeringsfarve6 2 2 5 2 3" xfId="6494" xr:uid="{00000000-0005-0000-0000-00002F3E0000}"/>
    <cellStyle name="20 % - Markeringsfarve6 2 2 5 2 3 2" xfId="14409" xr:uid="{00000000-0005-0000-0000-0000303E0000}"/>
    <cellStyle name="20 % - Markeringsfarve6 2 2 5 2 3 2 2" xfId="30724" xr:uid="{00000000-0005-0000-0000-0000313E0000}"/>
    <cellStyle name="20 % - Markeringsfarve6 2 2 5 2 3 2 3" xfId="45688" xr:uid="{00000000-0005-0000-0000-0000323E0000}"/>
    <cellStyle name="20 % - Markeringsfarve6 2 2 5 2 3 3" xfId="23702" xr:uid="{00000000-0005-0000-0000-0000333E0000}"/>
    <cellStyle name="20 % - Markeringsfarve6 2 2 5 2 3 4" xfId="38689" xr:uid="{00000000-0005-0000-0000-0000343E0000}"/>
    <cellStyle name="20 % - Markeringsfarve6 2 2 5 2 4" xfId="11405" xr:uid="{00000000-0005-0000-0000-0000353E0000}"/>
    <cellStyle name="20 % - Markeringsfarve6 2 2 5 2 4 2" xfId="27725" xr:uid="{00000000-0005-0000-0000-0000363E0000}"/>
    <cellStyle name="20 % - Markeringsfarve6 2 2 5 2 4 3" xfId="42691" xr:uid="{00000000-0005-0000-0000-0000373E0000}"/>
    <cellStyle name="20 % - Markeringsfarve6 2 2 5 2 5" xfId="20703" xr:uid="{00000000-0005-0000-0000-0000383E0000}"/>
    <cellStyle name="20 % - Markeringsfarve6 2 2 5 2 6" xfId="35692" xr:uid="{00000000-0005-0000-0000-0000393E0000}"/>
    <cellStyle name="20 % - Markeringsfarve6 2 2 5 3" xfId="2847" xr:uid="{00000000-0005-0000-0000-00003A3E0000}"/>
    <cellStyle name="20 % - Markeringsfarve6 2 2 5 3 2" xfId="7253" xr:uid="{00000000-0005-0000-0000-00003B3E0000}"/>
    <cellStyle name="20 % - Markeringsfarve6 2 2 5 3 2 2" xfId="15164" xr:uid="{00000000-0005-0000-0000-00003C3E0000}"/>
    <cellStyle name="20 % - Markeringsfarve6 2 2 5 3 2 2 2" xfId="31479" xr:uid="{00000000-0005-0000-0000-00003D3E0000}"/>
    <cellStyle name="20 % - Markeringsfarve6 2 2 5 3 2 2 3" xfId="46443" xr:uid="{00000000-0005-0000-0000-00003E3E0000}"/>
    <cellStyle name="20 % - Markeringsfarve6 2 2 5 3 2 3" xfId="24457" xr:uid="{00000000-0005-0000-0000-00003F3E0000}"/>
    <cellStyle name="20 % - Markeringsfarve6 2 2 5 3 2 4" xfId="39444" xr:uid="{00000000-0005-0000-0000-0000403E0000}"/>
    <cellStyle name="20 % - Markeringsfarve6 2 2 5 3 3" xfId="11407" xr:uid="{00000000-0005-0000-0000-0000413E0000}"/>
    <cellStyle name="20 % - Markeringsfarve6 2 2 5 3 3 2" xfId="27727" xr:uid="{00000000-0005-0000-0000-0000423E0000}"/>
    <cellStyle name="20 % - Markeringsfarve6 2 2 5 3 3 3" xfId="42693" xr:uid="{00000000-0005-0000-0000-0000433E0000}"/>
    <cellStyle name="20 % - Markeringsfarve6 2 2 5 3 4" xfId="20705" xr:uid="{00000000-0005-0000-0000-0000443E0000}"/>
    <cellStyle name="20 % - Markeringsfarve6 2 2 5 3 5" xfId="35694" xr:uid="{00000000-0005-0000-0000-0000453E0000}"/>
    <cellStyle name="20 % - Markeringsfarve6 2 2 5 4" xfId="2848" xr:uid="{00000000-0005-0000-0000-0000463E0000}"/>
    <cellStyle name="20 % - Markeringsfarve6 2 2 5 4 2" xfId="8500" xr:uid="{00000000-0005-0000-0000-0000473E0000}"/>
    <cellStyle name="20 % - Markeringsfarve6 2 2 5 4 2 2" xfId="16388" xr:uid="{00000000-0005-0000-0000-0000483E0000}"/>
    <cellStyle name="20 % - Markeringsfarve6 2 2 5 4 2 2 2" xfId="32703" xr:uid="{00000000-0005-0000-0000-0000493E0000}"/>
    <cellStyle name="20 % - Markeringsfarve6 2 2 5 4 2 2 3" xfId="47667" xr:uid="{00000000-0005-0000-0000-00004A3E0000}"/>
    <cellStyle name="20 % - Markeringsfarve6 2 2 5 4 2 3" xfId="25681" xr:uid="{00000000-0005-0000-0000-00004B3E0000}"/>
    <cellStyle name="20 % - Markeringsfarve6 2 2 5 4 2 4" xfId="40668" xr:uid="{00000000-0005-0000-0000-00004C3E0000}"/>
    <cellStyle name="20 % - Markeringsfarve6 2 2 5 4 3" xfId="11408" xr:uid="{00000000-0005-0000-0000-00004D3E0000}"/>
    <cellStyle name="20 % - Markeringsfarve6 2 2 5 4 3 2" xfId="27728" xr:uid="{00000000-0005-0000-0000-00004E3E0000}"/>
    <cellStyle name="20 % - Markeringsfarve6 2 2 5 4 3 3" xfId="42694" xr:uid="{00000000-0005-0000-0000-00004F3E0000}"/>
    <cellStyle name="20 % - Markeringsfarve6 2 2 5 4 4" xfId="20706" xr:uid="{00000000-0005-0000-0000-0000503E0000}"/>
    <cellStyle name="20 % - Markeringsfarve6 2 2 5 4 5" xfId="35695" xr:uid="{00000000-0005-0000-0000-0000513E0000}"/>
    <cellStyle name="20 % - Markeringsfarve6 2 2 5 5" xfId="5637" xr:uid="{00000000-0005-0000-0000-0000523E0000}"/>
    <cellStyle name="20 % - Markeringsfarve6 2 2 5 5 2" xfId="13556" xr:uid="{00000000-0005-0000-0000-0000533E0000}"/>
    <cellStyle name="20 % - Markeringsfarve6 2 2 5 5 2 2" xfId="29871" xr:uid="{00000000-0005-0000-0000-0000543E0000}"/>
    <cellStyle name="20 % - Markeringsfarve6 2 2 5 5 2 3" xfId="44835" xr:uid="{00000000-0005-0000-0000-0000553E0000}"/>
    <cellStyle name="20 % - Markeringsfarve6 2 2 5 5 3" xfId="22849" xr:uid="{00000000-0005-0000-0000-0000563E0000}"/>
    <cellStyle name="20 % - Markeringsfarve6 2 2 5 5 4" xfId="37836" xr:uid="{00000000-0005-0000-0000-0000573E0000}"/>
    <cellStyle name="20 % - Markeringsfarve6 2 2 5 6" xfId="11404" xr:uid="{00000000-0005-0000-0000-0000583E0000}"/>
    <cellStyle name="20 % - Markeringsfarve6 2 2 5 6 2" xfId="27724" xr:uid="{00000000-0005-0000-0000-0000593E0000}"/>
    <cellStyle name="20 % - Markeringsfarve6 2 2 5 6 3" xfId="42690" xr:uid="{00000000-0005-0000-0000-00005A3E0000}"/>
    <cellStyle name="20 % - Markeringsfarve6 2 2 5 7" xfId="20702" xr:uid="{00000000-0005-0000-0000-00005B3E0000}"/>
    <cellStyle name="20 % - Markeringsfarve6 2 2 5 8" xfId="35691" xr:uid="{00000000-0005-0000-0000-00005C3E0000}"/>
    <cellStyle name="20 % - Markeringsfarve6 2 2 6" xfId="2849" xr:uid="{00000000-0005-0000-0000-00005D3E0000}"/>
    <cellStyle name="20 % - Markeringsfarve6 2 2 6 2" xfId="2850" xr:uid="{00000000-0005-0000-0000-00005E3E0000}"/>
    <cellStyle name="20 % - Markeringsfarve6 2 2 6 2 2" xfId="2851" xr:uid="{00000000-0005-0000-0000-00005F3E0000}"/>
    <cellStyle name="20 % - Markeringsfarve6 2 2 6 2 2 2" xfId="8066" xr:uid="{00000000-0005-0000-0000-0000603E0000}"/>
    <cellStyle name="20 % - Markeringsfarve6 2 2 6 2 2 2 2" xfId="15968" xr:uid="{00000000-0005-0000-0000-0000613E0000}"/>
    <cellStyle name="20 % - Markeringsfarve6 2 2 6 2 2 2 2 2" xfId="32283" xr:uid="{00000000-0005-0000-0000-0000623E0000}"/>
    <cellStyle name="20 % - Markeringsfarve6 2 2 6 2 2 2 2 3" xfId="47247" xr:uid="{00000000-0005-0000-0000-0000633E0000}"/>
    <cellStyle name="20 % - Markeringsfarve6 2 2 6 2 2 2 3" xfId="25261" xr:uid="{00000000-0005-0000-0000-0000643E0000}"/>
    <cellStyle name="20 % - Markeringsfarve6 2 2 6 2 2 2 4" xfId="40248" xr:uid="{00000000-0005-0000-0000-0000653E0000}"/>
    <cellStyle name="20 % - Markeringsfarve6 2 2 6 2 2 3" xfId="11411" xr:uid="{00000000-0005-0000-0000-0000663E0000}"/>
    <cellStyle name="20 % - Markeringsfarve6 2 2 6 2 2 3 2" xfId="27731" xr:uid="{00000000-0005-0000-0000-0000673E0000}"/>
    <cellStyle name="20 % - Markeringsfarve6 2 2 6 2 2 3 3" xfId="42697" xr:uid="{00000000-0005-0000-0000-0000683E0000}"/>
    <cellStyle name="20 % - Markeringsfarve6 2 2 6 2 2 4" xfId="20709" xr:uid="{00000000-0005-0000-0000-0000693E0000}"/>
    <cellStyle name="20 % - Markeringsfarve6 2 2 6 2 2 5" xfId="35698" xr:uid="{00000000-0005-0000-0000-00006A3E0000}"/>
    <cellStyle name="20 % - Markeringsfarve6 2 2 6 2 3" xfId="6568" xr:uid="{00000000-0005-0000-0000-00006B3E0000}"/>
    <cellStyle name="20 % - Markeringsfarve6 2 2 6 2 3 2" xfId="14483" xr:uid="{00000000-0005-0000-0000-00006C3E0000}"/>
    <cellStyle name="20 % - Markeringsfarve6 2 2 6 2 3 2 2" xfId="30798" xr:uid="{00000000-0005-0000-0000-00006D3E0000}"/>
    <cellStyle name="20 % - Markeringsfarve6 2 2 6 2 3 2 3" xfId="45762" xr:uid="{00000000-0005-0000-0000-00006E3E0000}"/>
    <cellStyle name="20 % - Markeringsfarve6 2 2 6 2 3 3" xfId="23776" xr:uid="{00000000-0005-0000-0000-00006F3E0000}"/>
    <cellStyle name="20 % - Markeringsfarve6 2 2 6 2 3 4" xfId="38763" xr:uid="{00000000-0005-0000-0000-0000703E0000}"/>
    <cellStyle name="20 % - Markeringsfarve6 2 2 6 2 4" xfId="11410" xr:uid="{00000000-0005-0000-0000-0000713E0000}"/>
    <cellStyle name="20 % - Markeringsfarve6 2 2 6 2 4 2" xfId="27730" xr:uid="{00000000-0005-0000-0000-0000723E0000}"/>
    <cellStyle name="20 % - Markeringsfarve6 2 2 6 2 4 3" xfId="42696" xr:uid="{00000000-0005-0000-0000-0000733E0000}"/>
    <cellStyle name="20 % - Markeringsfarve6 2 2 6 2 5" xfId="20708" xr:uid="{00000000-0005-0000-0000-0000743E0000}"/>
    <cellStyle name="20 % - Markeringsfarve6 2 2 6 2 6" xfId="35697" xr:uid="{00000000-0005-0000-0000-0000753E0000}"/>
    <cellStyle name="20 % - Markeringsfarve6 2 2 6 3" xfId="2852" xr:uid="{00000000-0005-0000-0000-0000763E0000}"/>
    <cellStyle name="20 % - Markeringsfarve6 2 2 6 3 2" xfId="7343" xr:uid="{00000000-0005-0000-0000-0000773E0000}"/>
    <cellStyle name="20 % - Markeringsfarve6 2 2 6 3 2 2" xfId="15254" xr:uid="{00000000-0005-0000-0000-0000783E0000}"/>
    <cellStyle name="20 % - Markeringsfarve6 2 2 6 3 2 2 2" xfId="31569" xr:uid="{00000000-0005-0000-0000-0000793E0000}"/>
    <cellStyle name="20 % - Markeringsfarve6 2 2 6 3 2 2 3" xfId="46533" xr:uid="{00000000-0005-0000-0000-00007A3E0000}"/>
    <cellStyle name="20 % - Markeringsfarve6 2 2 6 3 2 3" xfId="24547" xr:uid="{00000000-0005-0000-0000-00007B3E0000}"/>
    <cellStyle name="20 % - Markeringsfarve6 2 2 6 3 2 4" xfId="39534" xr:uid="{00000000-0005-0000-0000-00007C3E0000}"/>
    <cellStyle name="20 % - Markeringsfarve6 2 2 6 3 3" xfId="11412" xr:uid="{00000000-0005-0000-0000-00007D3E0000}"/>
    <cellStyle name="20 % - Markeringsfarve6 2 2 6 3 3 2" xfId="27732" xr:uid="{00000000-0005-0000-0000-00007E3E0000}"/>
    <cellStyle name="20 % - Markeringsfarve6 2 2 6 3 3 3" xfId="42698" xr:uid="{00000000-0005-0000-0000-00007F3E0000}"/>
    <cellStyle name="20 % - Markeringsfarve6 2 2 6 3 4" xfId="20710" xr:uid="{00000000-0005-0000-0000-0000803E0000}"/>
    <cellStyle name="20 % - Markeringsfarve6 2 2 6 3 5" xfId="35699" xr:uid="{00000000-0005-0000-0000-0000813E0000}"/>
    <cellStyle name="20 % - Markeringsfarve6 2 2 6 4" xfId="2853" xr:uid="{00000000-0005-0000-0000-0000823E0000}"/>
    <cellStyle name="20 % - Markeringsfarve6 2 2 6 4 2" xfId="8722" xr:uid="{00000000-0005-0000-0000-0000833E0000}"/>
    <cellStyle name="20 % - Markeringsfarve6 2 2 6 4 2 2" xfId="16599" xr:uid="{00000000-0005-0000-0000-0000843E0000}"/>
    <cellStyle name="20 % - Markeringsfarve6 2 2 6 4 2 2 2" xfId="32914" xr:uid="{00000000-0005-0000-0000-0000853E0000}"/>
    <cellStyle name="20 % - Markeringsfarve6 2 2 6 4 2 2 3" xfId="47878" xr:uid="{00000000-0005-0000-0000-0000863E0000}"/>
    <cellStyle name="20 % - Markeringsfarve6 2 2 6 4 2 3" xfId="25892" xr:uid="{00000000-0005-0000-0000-0000873E0000}"/>
    <cellStyle name="20 % - Markeringsfarve6 2 2 6 4 2 4" xfId="40879" xr:uid="{00000000-0005-0000-0000-0000883E0000}"/>
    <cellStyle name="20 % - Markeringsfarve6 2 2 6 4 3" xfId="11413" xr:uid="{00000000-0005-0000-0000-0000893E0000}"/>
    <cellStyle name="20 % - Markeringsfarve6 2 2 6 4 3 2" xfId="27733" xr:uid="{00000000-0005-0000-0000-00008A3E0000}"/>
    <cellStyle name="20 % - Markeringsfarve6 2 2 6 4 3 3" xfId="42699" xr:uid="{00000000-0005-0000-0000-00008B3E0000}"/>
    <cellStyle name="20 % - Markeringsfarve6 2 2 6 4 4" xfId="20711" xr:uid="{00000000-0005-0000-0000-00008C3E0000}"/>
    <cellStyle name="20 % - Markeringsfarve6 2 2 6 4 5" xfId="35700" xr:uid="{00000000-0005-0000-0000-00008D3E0000}"/>
    <cellStyle name="20 % - Markeringsfarve6 2 2 6 5" xfId="5638" xr:uid="{00000000-0005-0000-0000-00008E3E0000}"/>
    <cellStyle name="20 % - Markeringsfarve6 2 2 6 5 2" xfId="13557" xr:uid="{00000000-0005-0000-0000-00008F3E0000}"/>
    <cellStyle name="20 % - Markeringsfarve6 2 2 6 5 2 2" xfId="29872" xr:uid="{00000000-0005-0000-0000-0000903E0000}"/>
    <cellStyle name="20 % - Markeringsfarve6 2 2 6 5 2 3" xfId="44836" xr:uid="{00000000-0005-0000-0000-0000913E0000}"/>
    <cellStyle name="20 % - Markeringsfarve6 2 2 6 5 3" xfId="22850" xr:uid="{00000000-0005-0000-0000-0000923E0000}"/>
    <cellStyle name="20 % - Markeringsfarve6 2 2 6 5 4" xfId="37837" xr:uid="{00000000-0005-0000-0000-0000933E0000}"/>
    <cellStyle name="20 % - Markeringsfarve6 2 2 6 6" xfId="11409" xr:uid="{00000000-0005-0000-0000-0000943E0000}"/>
    <cellStyle name="20 % - Markeringsfarve6 2 2 6 6 2" xfId="27729" xr:uid="{00000000-0005-0000-0000-0000953E0000}"/>
    <cellStyle name="20 % - Markeringsfarve6 2 2 6 6 3" xfId="42695" xr:uid="{00000000-0005-0000-0000-0000963E0000}"/>
    <cellStyle name="20 % - Markeringsfarve6 2 2 6 7" xfId="20707" xr:uid="{00000000-0005-0000-0000-0000973E0000}"/>
    <cellStyle name="20 % - Markeringsfarve6 2 2 6 8" xfId="35696" xr:uid="{00000000-0005-0000-0000-0000983E0000}"/>
    <cellStyle name="20 % - Markeringsfarve6 2 2 7" xfId="2854" xr:uid="{00000000-0005-0000-0000-0000993E0000}"/>
    <cellStyle name="20 % - Markeringsfarve6 2 2 7 2" xfId="2855" xr:uid="{00000000-0005-0000-0000-00009A3E0000}"/>
    <cellStyle name="20 % - Markeringsfarve6 2 2 7 2 2" xfId="7503" xr:uid="{00000000-0005-0000-0000-00009B3E0000}"/>
    <cellStyle name="20 % - Markeringsfarve6 2 2 7 2 2 2" xfId="15405" xr:uid="{00000000-0005-0000-0000-00009C3E0000}"/>
    <cellStyle name="20 % - Markeringsfarve6 2 2 7 2 2 2 2" xfId="31720" xr:uid="{00000000-0005-0000-0000-00009D3E0000}"/>
    <cellStyle name="20 % - Markeringsfarve6 2 2 7 2 2 2 3" xfId="46684" xr:uid="{00000000-0005-0000-0000-00009E3E0000}"/>
    <cellStyle name="20 % - Markeringsfarve6 2 2 7 2 2 3" xfId="24698" xr:uid="{00000000-0005-0000-0000-00009F3E0000}"/>
    <cellStyle name="20 % - Markeringsfarve6 2 2 7 2 2 4" xfId="39685" xr:uid="{00000000-0005-0000-0000-0000A03E0000}"/>
    <cellStyle name="20 % - Markeringsfarve6 2 2 7 2 3" xfId="11415" xr:uid="{00000000-0005-0000-0000-0000A13E0000}"/>
    <cellStyle name="20 % - Markeringsfarve6 2 2 7 2 3 2" xfId="27735" xr:uid="{00000000-0005-0000-0000-0000A23E0000}"/>
    <cellStyle name="20 % - Markeringsfarve6 2 2 7 2 3 3" xfId="42701" xr:uid="{00000000-0005-0000-0000-0000A33E0000}"/>
    <cellStyle name="20 % - Markeringsfarve6 2 2 7 2 4" xfId="20713" xr:uid="{00000000-0005-0000-0000-0000A43E0000}"/>
    <cellStyle name="20 % - Markeringsfarve6 2 2 7 2 5" xfId="35702" xr:uid="{00000000-0005-0000-0000-0000A53E0000}"/>
    <cellStyle name="20 % - Markeringsfarve6 2 2 7 3" xfId="6094" xr:uid="{00000000-0005-0000-0000-0000A63E0000}"/>
    <cellStyle name="20 % - Markeringsfarve6 2 2 7 3 2" xfId="14012" xr:uid="{00000000-0005-0000-0000-0000A73E0000}"/>
    <cellStyle name="20 % - Markeringsfarve6 2 2 7 3 2 2" xfId="30327" xr:uid="{00000000-0005-0000-0000-0000A83E0000}"/>
    <cellStyle name="20 % - Markeringsfarve6 2 2 7 3 2 3" xfId="45291" xr:uid="{00000000-0005-0000-0000-0000A93E0000}"/>
    <cellStyle name="20 % - Markeringsfarve6 2 2 7 3 3" xfId="23305" xr:uid="{00000000-0005-0000-0000-0000AA3E0000}"/>
    <cellStyle name="20 % - Markeringsfarve6 2 2 7 3 4" xfId="38292" xr:uid="{00000000-0005-0000-0000-0000AB3E0000}"/>
    <cellStyle name="20 % - Markeringsfarve6 2 2 7 4" xfId="11414" xr:uid="{00000000-0005-0000-0000-0000AC3E0000}"/>
    <cellStyle name="20 % - Markeringsfarve6 2 2 7 4 2" xfId="27734" xr:uid="{00000000-0005-0000-0000-0000AD3E0000}"/>
    <cellStyle name="20 % - Markeringsfarve6 2 2 7 4 3" xfId="42700" xr:uid="{00000000-0005-0000-0000-0000AE3E0000}"/>
    <cellStyle name="20 % - Markeringsfarve6 2 2 7 5" xfId="20712" xr:uid="{00000000-0005-0000-0000-0000AF3E0000}"/>
    <cellStyle name="20 % - Markeringsfarve6 2 2 7 6" xfId="35701" xr:uid="{00000000-0005-0000-0000-0000B03E0000}"/>
    <cellStyle name="20 % - Markeringsfarve6 2 2 8" xfId="2856" xr:uid="{00000000-0005-0000-0000-0000B13E0000}"/>
    <cellStyle name="20 % - Markeringsfarve6 2 2 8 2" xfId="6731" xr:uid="{00000000-0005-0000-0000-0000B23E0000}"/>
    <cellStyle name="20 % - Markeringsfarve6 2 2 8 2 2" xfId="14643" xr:uid="{00000000-0005-0000-0000-0000B33E0000}"/>
    <cellStyle name="20 % - Markeringsfarve6 2 2 8 2 2 2" xfId="30958" xr:uid="{00000000-0005-0000-0000-0000B43E0000}"/>
    <cellStyle name="20 % - Markeringsfarve6 2 2 8 2 2 3" xfId="45922" xr:uid="{00000000-0005-0000-0000-0000B53E0000}"/>
    <cellStyle name="20 % - Markeringsfarve6 2 2 8 2 3" xfId="23936" xr:uid="{00000000-0005-0000-0000-0000B63E0000}"/>
    <cellStyle name="20 % - Markeringsfarve6 2 2 8 2 4" xfId="38923" xr:uid="{00000000-0005-0000-0000-0000B73E0000}"/>
    <cellStyle name="20 % - Markeringsfarve6 2 2 8 3" xfId="11416" xr:uid="{00000000-0005-0000-0000-0000B83E0000}"/>
    <cellStyle name="20 % - Markeringsfarve6 2 2 8 3 2" xfId="27736" xr:uid="{00000000-0005-0000-0000-0000B93E0000}"/>
    <cellStyle name="20 % - Markeringsfarve6 2 2 8 3 3" xfId="42702" xr:uid="{00000000-0005-0000-0000-0000BA3E0000}"/>
    <cellStyle name="20 % - Markeringsfarve6 2 2 8 4" xfId="20714" xr:uid="{00000000-0005-0000-0000-0000BB3E0000}"/>
    <cellStyle name="20 % - Markeringsfarve6 2 2 8 5" xfId="35703" xr:uid="{00000000-0005-0000-0000-0000BC3E0000}"/>
    <cellStyle name="20 % - Markeringsfarve6 2 2 9" xfId="2857" xr:uid="{00000000-0005-0000-0000-0000BD3E0000}"/>
    <cellStyle name="20 % - Markeringsfarve6 2 2 9 2" xfId="8581" xr:uid="{00000000-0005-0000-0000-0000BE3E0000}"/>
    <cellStyle name="20 % - Markeringsfarve6 2 2 9 2 2" xfId="16465" xr:uid="{00000000-0005-0000-0000-0000BF3E0000}"/>
    <cellStyle name="20 % - Markeringsfarve6 2 2 9 2 2 2" xfId="32780" xr:uid="{00000000-0005-0000-0000-0000C03E0000}"/>
    <cellStyle name="20 % - Markeringsfarve6 2 2 9 2 2 3" xfId="47744" xr:uid="{00000000-0005-0000-0000-0000C13E0000}"/>
    <cellStyle name="20 % - Markeringsfarve6 2 2 9 2 3" xfId="25758" xr:uid="{00000000-0005-0000-0000-0000C23E0000}"/>
    <cellStyle name="20 % - Markeringsfarve6 2 2 9 2 4" xfId="40745" xr:uid="{00000000-0005-0000-0000-0000C33E0000}"/>
    <cellStyle name="20 % - Markeringsfarve6 2 2 9 3" xfId="11417" xr:uid="{00000000-0005-0000-0000-0000C43E0000}"/>
    <cellStyle name="20 % - Markeringsfarve6 2 2 9 3 2" xfId="27737" xr:uid="{00000000-0005-0000-0000-0000C53E0000}"/>
    <cellStyle name="20 % - Markeringsfarve6 2 2 9 3 3" xfId="42703" xr:uid="{00000000-0005-0000-0000-0000C63E0000}"/>
    <cellStyle name="20 % - Markeringsfarve6 2 2 9 4" xfId="20715" xr:uid="{00000000-0005-0000-0000-0000C73E0000}"/>
    <cellStyle name="20 % - Markeringsfarve6 2 2 9 5" xfId="35704" xr:uid="{00000000-0005-0000-0000-0000C83E0000}"/>
    <cellStyle name="20 % - Markeringsfarve6 2 3" xfId="2858" xr:uid="{00000000-0005-0000-0000-0000C93E0000}"/>
    <cellStyle name="20 % - Markeringsfarve6 2 3 10" xfId="5639" xr:uid="{00000000-0005-0000-0000-0000CA3E0000}"/>
    <cellStyle name="20 % - Markeringsfarve6 2 3 10 2" xfId="13558" xr:uid="{00000000-0005-0000-0000-0000CB3E0000}"/>
    <cellStyle name="20 % - Markeringsfarve6 2 3 10 2 2" xfId="29873" xr:uid="{00000000-0005-0000-0000-0000CC3E0000}"/>
    <cellStyle name="20 % - Markeringsfarve6 2 3 10 2 3" xfId="44837" xr:uid="{00000000-0005-0000-0000-0000CD3E0000}"/>
    <cellStyle name="20 % - Markeringsfarve6 2 3 10 3" xfId="22851" xr:uid="{00000000-0005-0000-0000-0000CE3E0000}"/>
    <cellStyle name="20 % - Markeringsfarve6 2 3 10 4" xfId="37838" xr:uid="{00000000-0005-0000-0000-0000CF3E0000}"/>
    <cellStyle name="20 % - Markeringsfarve6 2 3 11" xfId="11418" xr:uid="{00000000-0005-0000-0000-0000D03E0000}"/>
    <cellStyle name="20 % - Markeringsfarve6 2 3 11 2" xfId="27738" xr:uid="{00000000-0005-0000-0000-0000D13E0000}"/>
    <cellStyle name="20 % - Markeringsfarve6 2 3 11 3" xfId="42704" xr:uid="{00000000-0005-0000-0000-0000D23E0000}"/>
    <cellStyle name="20 % - Markeringsfarve6 2 3 12" xfId="20716" xr:uid="{00000000-0005-0000-0000-0000D33E0000}"/>
    <cellStyle name="20 % - Markeringsfarve6 2 3 13" xfId="35705" xr:uid="{00000000-0005-0000-0000-0000D43E0000}"/>
    <cellStyle name="20 % - Markeringsfarve6 2 3 14" xfId="53287" xr:uid="{00000000-0005-0000-0000-0000D53E0000}"/>
    <cellStyle name="20 % - Markeringsfarve6 2 3 2" xfId="2859" xr:uid="{00000000-0005-0000-0000-0000D63E0000}"/>
    <cellStyle name="20 % - Markeringsfarve6 2 3 2 2" xfId="2860" xr:uid="{00000000-0005-0000-0000-0000D73E0000}"/>
    <cellStyle name="20 % - Markeringsfarve6 2 3 2 2 2" xfId="2861" xr:uid="{00000000-0005-0000-0000-0000D83E0000}"/>
    <cellStyle name="20 % - Markeringsfarve6 2 3 2 2 2 2" xfId="7661" xr:uid="{00000000-0005-0000-0000-0000D93E0000}"/>
    <cellStyle name="20 % - Markeringsfarve6 2 3 2 2 2 2 2" xfId="15563" xr:uid="{00000000-0005-0000-0000-0000DA3E0000}"/>
    <cellStyle name="20 % - Markeringsfarve6 2 3 2 2 2 2 2 2" xfId="31878" xr:uid="{00000000-0005-0000-0000-0000DB3E0000}"/>
    <cellStyle name="20 % - Markeringsfarve6 2 3 2 2 2 2 2 3" xfId="46842" xr:uid="{00000000-0005-0000-0000-0000DC3E0000}"/>
    <cellStyle name="20 % - Markeringsfarve6 2 3 2 2 2 2 3" xfId="24856" xr:uid="{00000000-0005-0000-0000-0000DD3E0000}"/>
    <cellStyle name="20 % - Markeringsfarve6 2 3 2 2 2 2 4" xfId="39843" xr:uid="{00000000-0005-0000-0000-0000DE3E0000}"/>
    <cellStyle name="20 % - Markeringsfarve6 2 3 2 2 2 3" xfId="11421" xr:uid="{00000000-0005-0000-0000-0000DF3E0000}"/>
    <cellStyle name="20 % - Markeringsfarve6 2 3 2 2 2 3 2" xfId="27741" xr:uid="{00000000-0005-0000-0000-0000E03E0000}"/>
    <cellStyle name="20 % - Markeringsfarve6 2 3 2 2 2 3 3" xfId="42707" xr:uid="{00000000-0005-0000-0000-0000E13E0000}"/>
    <cellStyle name="20 % - Markeringsfarve6 2 3 2 2 2 4" xfId="20719" xr:uid="{00000000-0005-0000-0000-0000E23E0000}"/>
    <cellStyle name="20 % - Markeringsfarve6 2 3 2 2 2 5" xfId="35708" xr:uid="{00000000-0005-0000-0000-0000E33E0000}"/>
    <cellStyle name="20 % - Markeringsfarve6 2 3 2 2 3" xfId="6226" xr:uid="{00000000-0005-0000-0000-0000E43E0000}"/>
    <cellStyle name="20 % - Markeringsfarve6 2 3 2 2 3 2" xfId="14144" xr:uid="{00000000-0005-0000-0000-0000E53E0000}"/>
    <cellStyle name="20 % - Markeringsfarve6 2 3 2 2 3 2 2" xfId="30459" xr:uid="{00000000-0005-0000-0000-0000E63E0000}"/>
    <cellStyle name="20 % - Markeringsfarve6 2 3 2 2 3 2 3" xfId="45423" xr:uid="{00000000-0005-0000-0000-0000E73E0000}"/>
    <cellStyle name="20 % - Markeringsfarve6 2 3 2 2 3 3" xfId="23437" xr:uid="{00000000-0005-0000-0000-0000E83E0000}"/>
    <cellStyle name="20 % - Markeringsfarve6 2 3 2 2 3 4" xfId="38424" xr:uid="{00000000-0005-0000-0000-0000E93E0000}"/>
    <cellStyle name="20 % - Markeringsfarve6 2 3 2 2 4" xfId="11420" xr:uid="{00000000-0005-0000-0000-0000EA3E0000}"/>
    <cellStyle name="20 % - Markeringsfarve6 2 3 2 2 4 2" xfId="27740" xr:uid="{00000000-0005-0000-0000-0000EB3E0000}"/>
    <cellStyle name="20 % - Markeringsfarve6 2 3 2 2 4 3" xfId="42706" xr:uid="{00000000-0005-0000-0000-0000EC3E0000}"/>
    <cellStyle name="20 % - Markeringsfarve6 2 3 2 2 5" xfId="20718" xr:uid="{00000000-0005-0000-0000-0000ED3E0000}"/>
    <cellStyle name="20 % - Markeringsfarve6 2 3 2 2 6" xfId="35707" xr:uid="{00000000-0005-0000-0000-0000EE3E0000}"/>
    <cellStyle name="20 % - Markeringsfarve6 2 3 2 2 7" xfId="57091" xr:uid="{00000000-0005-0000-0000-0000EF3E0000}"/>
    <cellStyle name="20 % - Markeringsfarve6 2 3 2 3" xfId="2862" xr:uid="{00000000-0005-0000-0000-0000F03E0000}"/>
    <cellStyle name="20 % - Markeringsfarve6 2 3 2 3 2" xfId="6891" xr:uid="{00000000-0005-0000-0000-0000F13E0000}"/>
    <cellStyle name="20 % - Markeringsfarve6 2 3 2 3 2 2" xfId="14803" xr:uid="{00000000-0005-0000-0000-0000F23E0000}"/>
    <cellStyle name="20 % - Markeringsfarve6 2 3 2 3 2 2 2" xfId="31118" xr:uid="{00000000-0005-0000-0000-0000F33E0000}"/>
    <cellStyle name="20 % - Markeringsfarve6 2 3 2 3 2 2 3" xfId="46082" xr:uid="{00000000-0005-0000-0000-0000F43E0000}"/>
    <cellStyle name="20 % - Markeringsfarve6 2 3 2 3 2 3" xfId="24096" xr:uid="{00000000-0005-0000-0000-0000F53E0000}"/>
    <cellStyle name="20 % - Markeringsfarve6 2 3 2 3 2 4" xfId="39083" xr:uid="{00000000-0005-0000-0000-0000F63E0000}"/>
    <cellStyle name="20 % - Markeringsfarve6 2 3 2 3 3" xfId="11422" xr:uid="{00000000-0005-0000-0000-0000F73E0000}"/>
    <cellStyle name="20 % - Markeringsfarve6 2 3 2 3 3 2" xfId="27742" xr:uid="{00000000-0005-0000-0000-0000F83E0000}"/>
    <cellStyle name="20 % - Markeringsfarve6 2 3 2 3 3 3" xfId="42708" xr:uid="{00000000-0005-0000-0000-0000F93E0000}"/>
    <cellStyle name="20 % - Markeringsfarve6 2 3 2 3 4" xfId="20720" xr:uid="{00000000-0005-0000-0000-0000FA3E0000}"/>
    <cellStyle name="20 % - Markeringsfarve6 2 3 2 3 5" xfId="35709" xr:uid="{00000000-0005-0000-0000-0000FB3E0000}"/>
    <cellStyle name="20 % - Markeringsfarve6 2 3 2 4" xfId="2863" xr:uid="{00000000-0005-0000-0000-0000FC3E0000}"/>
    <cellStyle name="20 % - Markeringsfarve6 2 3 2 4 2" xfId="8673" xr:uid="{00000000-0005-0000-0000-0000FD3E0000}"/>
    <cellStyle name="20 % - Markeringsfarve6 2 3 2 4 2 2" xfId="16553" xr:uid="{00000000-0005-0000-0000-0000FE3E0000}"/>
    <cellStyle name="20 % - Markeringsfarve6 2 3 2 4 2 2 2" xfId="32868" xr:uid="{00000000-0005-0000-0000-0000FF3E0000}"/>
    <cellStyle name="20 % - Markeringsfarve6 2 3 2 4 2 2 3" xfId="47832" xr:uid="{00000000-0005-0000-0000-0000003F0000}"/>
    <cellStyle name="20 % - Markeringsfarve6 2 3 2 4 2 3" xfId="25846" xr:uid="{00000000-0005-0000-0000-0000013F0000}"/>
    <cellStyle name="20 % - Markeringsfarve6 2 3 2 4 2 4" xfId="40833" xr:uid="{00000000-0005-0000-0000-0000023F0000}"/>
    <cellStyle name="20 % - Markeringsfarve6 2 3 2 4 3" xfId="11423" xr:uid="{00000000-0005-0000-0000-0000033F0000}"/>
    <cellStyle name="20 % - Markeringsfarve6 2 3 2 4 3 2" xfId="27743" xr:uid="{00000000-0005-0000-0000-0000043F0000}"/>
    <cellStyle name="20 % - Markeringsfarve6 2 3 2 4 3 3" xfId="42709" xr:uid="{00000000-0005-0000-0000-0000053F0000}"/>
    <cellStyle name="20 % - Markeringsfarve6 2 3 2 4 4" xfId="20721" xr:uid="{00000000-0005-0000-0000-0000063F0000}"/>
    <cellStyle name="20 % - Markeringsfarve6 2 3 2 4 5" xfId="35710" xr:uid="{00000000-0005-0000-0000-0000073F0000}"/>
    <cellStyle name="20 % - Markeringsfarve6 2 3 2 5" xfId="5640" xr:uid="{00000000-0005-0000-0000-0000083F0000}"/>
    <cellStyle name="20 % - Markeringsfarve6 2 3 2 5 2" xfId="13559" xr:uid="{00000000-0005-0000-0000-0000093F0000}"/>
    <cellStyle name="20 % - Markeringsfarve6 2 3 2 5 2 2" xfId="29874" xr:uid="{00000000-0005-0000-0000-00000A3F0000}"/>
    <cellStyle name="20 % - Markeringsfarve6 2 3 2 5 2 3" xfId="44838" xr:uid="{00000000-0005-0000-0000-00000B3F0000}"/>
    <cellStyle name="20 % - Markeringsfarve6 2 3 2 5 3" xfId="22852" xr:uid="{00000000-0005-0000-0000-00000C3F0000}"/>
    <cellStyle name="20 % - Markeringsfarve6 2 3 2 5 4" xfId="37839" xr:uid="{00000000-0005-0000-0000-00000D3F0000}"/>
    <cellStyle name="20 % - Markeringsfarve6 2 3 2 6" xfId="11419" xr:uid="{00000000-0005-0000-0000-00000E3F0000}"/>
    <cellStyle name="20 % - Markeringsfarve6 2 3 2 6 2" xfId="27739" xr:uid="{00000000-0005-0000-0000-00000F3F0000}"/>
    <cellStyle name="20 % - Markeringsfarve6 2 3 2 6 3" xfId="42705" xr:uid="{00000000-0005-0000-0000-0000103F0000}"/>
    <cellStyle name="20 % - Markeringsfarve6 2 3 2 7" xfId="20717" xr:uid="{00000000-0005-0000-0000-0000113F0000}"/>
    <cellStyle name="20 % - Markeringsfarve6 2 3 2 8" xfId="35706" xr:uid="{00000000-0005-0000-0000-0000123F0000}"/>
    <cellStyle name="20 % - Markeringsfarve6 2 3 2 9" xfId="53924" xr:uid="{00000000-0005-0000-0000-0000133F0000}"/>
    <cellStyle name="20 % - Markeringsfarve6 2 3 3" xfId="2864" xr:uid="{00000000-0005-0000-0000-0000143F0000}"/>
    <cellStyle name="20 % - Markeringsfarve6 2 3 3 2" xfId="2865" xr:uid="{00000000-0005-0000-0000-0000153F0000}"/>
    <cellStyle name="20 % - Markeringsfarve6 2 3 3 2 2" xfId="2866" xr:uid="{00000000-0005-0000-0000-0000163F0000}"/>
    <cellStyle name="20 % - Markeringsfarve6 2 3 3 2 2 2" xfId="7713" xr:uid="{00000000-0005-0000-0000-0000173F0000}"/>
    <cellStyle name="20 % - Markeringsfarve6 2 3 3 2 2 2 2" xfId="15615" xr:uid="{00000000-0005-0000-0000-0000183F0000}"/>
    <cellStyle name="20 % - Markeringsfarve6 2 3 3 2 2 2 2 2" xfId="31930" xr:uid="{00000000-0005-0000-0000-0000193F0000}"/>
    <cellStyle name="20 % - Markeringsfarve6 2 3 3 2 2 2 2 3" xfId="46894" xr:uid="{00000000-0005-0000-0000-00001A3F0000}"/>
    <cellStyle name="20 % - Markeringsfarve6 2 3 3 2 2 2 3" xfId="24908" xr:uid="{00000000-0005-0000-0000-00001B3F0000}"/>
    <cellStyle name="20 % - Markeringsfarve6 2 3 3 2 2 2 4" xfId="39895" xr:uid="{00000000-0005-0000-0000-00001C3F0000}"/>
    <cellStyle name="20 % - Markeringsfarve6 2 3 3 2 2 3" xfId="11426" xr:uid="{00000000-0005-0000-0000-00001D3F0000}"/>
    <cellStyle name="20 % - Markeringsfarve6 2 3 3 2 2 3 2" xfId="27746" xr:uid="{00000000-0005-0000-0000-00001E3F0000}"/>
    <cellStyle name="20 % - Markeringsfarve6 2 3 3 2 2 3 3" xfId="42712" xr:uid="{00000000-0005-0000-0000-00001F3F0000}"/>
    <cellStyle name="20 % - Markeringsfarve6 2 3 3 2 2 4" xfId="20724" xr:uid="{00000000-0005-0000-0000-0000203F0000}"/>
    <cellStyle name="20 % - Markeringsfarve6 2 3 3 2 2 5" xfId="35713" xr:uid="{00000000-0005-0000-0000-0000213F0000}"/>
    <cellStyle name="20 % - Markeringsfarve6 2 3 3 2 3" xfId="6268" xr:uid="{00000000-0005-0000-0000-0000223F0000}"/>
    <cellStyle name="20 % - Markeringsfarve6 2 3 3 2 3 2" xfId="14186" xr:uid="{00000000-0005-0000-0000-0000233F0000}"/>
    <cellStyle name="20 % - Markeringsfarve6 2 3 3 2 3 2 2" xfId="30501" xr:uid="{00000000-0005-0000-0000-0000243F0000}"/>
    <cellStyle name="20 % - Markeringsfarve6 2 3 3 2 3 2 3" xfId="45465" xr:uid="{00000000-0005-0000-0000-0000253F0000}"/>
    <cellStyle name="20 % - Markeringsfarve6 2 3 3 2 3 3" xfId="23479" xr:uid="{00000000-0005-0000-0000-0000263F0000}"/>
    <cellStyle name="20 % - Markeringsfarve6 2 3 3 2 3 4" xfId="38466" xr:uid="{00000000-0005-0000-0000-0000273F0000}"/>
    <cellStyle name="20 % - Markeringsfarve6 2 3 3 2 4" xfId="11425" xr:uid="{00000000-0005-0000-0000-0000283F0000}"/>
    <cellStyle name="20 % - Markeringsfarve6 2 3 3 2 4 2" xfId="27745" xr:uid="{00000000-0005-0000-0000-0000293F0000}"/>
    <cellStyle name="20 % - Markeringsfarve6 2 3 3 2 4 3" xfId="42711" xr:uid="{00000000-0005-0000-0000-00002A3F0000}"/>
    <cellStyle name="20 % - Markeringsfarve6 2 3 3 2 5" xfId="20723" xr:uid="{00000000-0005-0000-0000-00002B3F0000}"/>
    <cellStyle name="20 % - Markeringsfarve6 2 3 3 2 6" xfId="35712" xr:uid="{00000000-0005-0000-0000-00002C3F0000}"/>
    <cellStyle name="20 % - Markeringsfarve6 2 3 3 3" xfId="2867" xr:uid="{00000000-0005-0000-0000-00002D3F0000}"/>
    <cellStyle name="20 % - Markeringsfarve6 2 3 3 3 2" xfId="6943" xr:uid="{00000000-0005-0000-0000-00002E3F0000}"/>
    <cellStyle name="20 % - Markeringsfarve6 2 3 3 3 2 2" xfId="14855" xr:uid="{00000000-0005-0000-0000-00002F3F0000}"/>
    <cellStyle name="20 % - Markeringsfarve6 2 3 3 3 2 2 2" xfId="31170" xr:uid="{00000000-0005-0000-0000-0000303F0000}"/>
    <cellStyle name="20 % - Markeringsfarve6 2 3 3 3 2 2 3" xfId="46134" xr:uid="{00000000-0005-0000-0000-0000313F0000}"/>
    <cellStyle name="20 % - Markeringsfarve6 2 3 3 3 2 3" xfId="24148" xr:uid="{00000000-0005-0000-0000-0000323F0000}"/>
    <cellStyle name="20 % - Markeringsfarve6 2 3 3 3 2 4" xfId="39135" xr:uid="{00000000-0005-0000-0000-0000333F0000}"/>
    <cellStyle name="20 % - Markeringsfarve6 2 3 3 3 3" xfId="11427" xr:uid="{00000000-0005-0000-0000-0000343F0000}"/>
    <cellStyle name="20 % - Markeringsfarve6 2 3 3 3 3 2" xfId="27747" xr:uid="{00000000-0005-0000-0000-0000353F0000}"/>
    <cellStyle name="20 % - Markeringsfarve6 2 3 3 3 3 3" xfId="42713" xr:uid="{00000000-0005-0000-0000-0000363F0000}"/>
    <cellStyle name="20 % - Markeringsfarve6 2 3 3 3 4" xfId="20725" xr:uid="{00000000-0005-0000-0000-0000373F0000}"/>
    <cellStyle name="20 % - Markeringsfarve6 2 3 3 3 5" xfId="35714" xr:uid="{00000000-0005-0000-0000-0000383F0000}"/>
    <cellStyle name="20 % - Markeringsfarve6 2 3 3 4" xfId="2868" xr:uid="{00000000-0005-0000-0000-0000393F0000}"/>
    <cellStyle name="20 % - Markeringsfarve6 2 3 3 4 2" xfId="8397" xr:uid="{00000000-0005-0000-0000-00003A3F0000}"/>
    <cellStyle name="20 % - Markeringsfarve6 2 3 3 4 2 2" xfId="16289" xr:uid="{00000000-0005-0000-0000-00003B3F0000}"/>
    <cellStyle name="20 % - Markeringsfarve6 2 3 3 4 2 2 2" xfId="32604" xr:uid="{00000000-0005-0000-0000-00003C3F0000}"/>
    <cellStyle name="20 % - Markeringsfarve6 2 3 3 4 2 2 3" xfId="47568" xr:uid="{00000000-0005-0000-0000-00003D3F0000}"/>
    <cellStyle name="20 % - Markeringsfarve6 2 3 3 4 2 3" xfId="25582" xr:uid="{00000000-0005-0000-0000-00003E3F0000}"/>
    <cellStyle name="20 % - Markeringsfarve6 2 3 3 4 2 4" xfId="40569" xr:uid="{00000000-0005-0000-0000-00003F3F0000}"/>
    <cellStyle name="20 % - Markeringsfarve6 2 3 3 4 3" xfId="11428" xr:uid="{00000000-0005-0000-0000-0000403F0000}"/>
    <cellStyle name="20 % - Markeringsfarve6 2 3 3 4 3 2" xfId="27748" xr:uid="{00000000-0005-0000-0000-0000413F0000}"/>
    <cellStyle name="20 % - Markeringsfarve6 2 3 3 4 3 3" xfId="42714" xr:uid="{00000000-0005-0000-0000-0000423F0000}"/>
    <cellStyle name="20 % - Markeringsfarve6 2 3 3 4 4" xfId="20726" xr:uid="{00000000-0005-0000-0000-0000433F0000}"/>
    <cellStyle name="20 % - Markeringsfarve6 2 3 3 4 5" xfId="35715" xr:uid="{00000000-0005-0000-0000-0000443F0000}"/>
    <cellStyle name="20 % - Markeringsfarve6 2 3 3 5" xfId="5641" xr:uid="{00000000-0005-0000-0000-0000453F0000}"/>
    <cellStyle name="20 % - Markeringsfarve6 2 3 3 5 2" xfId="13560" xr:uid="{00000000-0005-0000-0000-0000463F0000}"/>
    <cellStyle name="20 % - Markeringsfarve6 2 3 3 5 2 2" xfId="29875" xr:uid="{00000000-0005-0000-0000-0000473F0000}"/>
    <cellStyle name="20 % - Markeringsfarve6 2 3 3 5 2 3" xfId="44839" xr:uid="{00000000-0005-0000-0000-0000483F0000}"/>
    <cellStyle name="20 % - Markeringsfarve6 2 3 3 5 3" xfId="22853" xr:uid="{00000000-0005-0000-0000-0000493F0000}"/>
    <cellStyle name="20 % - Markeringsfarve6 2 3 3 5 4" xfId="37840" xr:uid="{00000000-0005-0000-0000-00004A3F0000}"/>
    <cellStyle name="20 % - Markeringsfarve6 2 3 3 6" xfId="11424" xr:uid="{00000000-0005-0000-0000-00004B3F0000}"/>
    <cellStyle name="20 % - Markeringsfarve6 2 3 3 6 2" xfId="27744" xr:uid="{00000000-0005-0000-0000-00004C3F0000}"/>
    <cellStyle name="20 % - Markeringsfarve6 2 3 3 6 3" xfId="42710" xr:uid="{00000000-0005-0000-0000-00004D3F0000}"/>
    <cellStyle name="20 % - Markeringsfarve6 2 3 3 7" xfId="20722" xr:uid="{00000000-0005-0000-0000-00004E3F0000}"/>
    <cellStyle name="20 % - Markeringsfarve6 2 3 3 8" xfId="35711" xr:uid="{00000000-0005-0000-0000-00004F3F0000}"/>
    <cellStyle name="20 % - Markeringsfarve6 2 3 3 9" xfId="56468" xr:uid="{00000000-0005-0000-0000-0000503F0000}"/>
    <cellStyle name="20 % - Markeringsfarve6 2 3 4" xfId="2869" xr:uid="{00000000-0005-0000-0000-0000513F0000}"/>
    <cellStyle name="20 % - Markeringsfarve6 2 3 4 2" xfId="2870" xr:uid="{00000000-0005-0000-0000-0000523F0000}"/>
    <cellStyle name="20 % - Markeringsfarve6 2 3 4 2 2" xfId="2871" xr:uid="{00000000-0005-0000-0000-0000533F0000}"/>
    <cellStyle name="20 % - Markeringsfarve6 2 3 4 2 2 2" xfId="7899" xr:uid="{00000000-0005-0000-0000-0000543F0000}"/>
    <cellStyle name="20 % - Markeringsfarve6 2 3 4 2 2 2 2" xfId="15801" xr:uid="{00000000-0005-0000-0000-0000553F0000}"/>
    <cellStyle name="20 % - Markeringsfarve6 2 3 4 2 2 2 2 2" xfId="32116" xr:uid="{00000000-0005-0000-0000-0000563F0000}"/>
    <cellStyle name="20 % - Markeringsfarve6 2 3 4 2 2 2 2 3" xfId="47080" xr:uid="{00000000-0005-0000-0000-0000573F0000}"/>
    <cellStyle name="20 % - Markeringsfarve6 2 3 4 2 2 2 3" xfId="25094" xr:uid="{00000000-0005-0000-0000-0000583F0000}"/>
    <cellStyle name="20 % - Markeringsfarve6 2 3 4 2 2 2 4" xfId="40081" xr:uid="{00000000-0005-0000-0000-0000593F0000}"/>
    <cellStyle name="20 % - Markeringsfarve6 2 3 4 2 2 3" xfId="11431" xr:uid="{00000000-0005-0000-0000-00005A3F0000}"/>
    <cellStyle name="20 % - Markeringsfarve6 2 3 4 2 2 3 2" xfId="27751" xr:uid="{00000000-0005-0000-0000-00005B3F0000}"/>
    <cellStyle name="20 % - Markeringsfarve6 2 3 4 2 2 3 3" xfId="42717" xr:uid="{00000000-0005-0000-0000-00005C3F0000}"/>
    <cellStyle name="20 % - Markeringsfarve6 2 3 4 2 2 4" xfId="20729" xr:uid="{00000000-0005-0000-0000-00005D3F0000}"/>
    <cellStyle name="20 % - Markeringsfarve6 2 3 4 2 2 5" xfId="35718" xr:uid="{00000000-0005-0000-0000-00005E3F0000}"/>
    <cellStyle name="20 % - Markeringsfarve6 2 3 4 2 3" xfId="6428" xr:uid="{00000000-0005-0000-0000-00005F3F0000}"/>
    <cellStyle name="20 % - Markeringsfarve6 2 3 4 2 3 2" xfId="14343" xr:uid="{00000000-0005-0000-0000-0000603F0000}"/>
    <cellStyle name="20 % - Markeringsfarve6 2 3 4 2 3 2 2" xfId="30658" xr:uid="{00000000-0005-0000-0000-0000613F0000}"/>
    <cellStyle name="20 % - Markeringsfarve6 2 3 4 2 3 2 3" xfId="45622" xr:uid="{00000000-0005-0000-0000-0000623F0000}"/>
    <cellStyle name="20 % - Markeringsfarve6 2 3 4 2 3 3" xfId="23636" xr:uid="{00000000-0005-0000-0000-0000633F0000}"/>
    <cellStyle name="20 % - Markeringsfarve6 2 3 4 2 3 4" xfId="38623" xr:uid="{00000000-0005-0000-0000-0000643F0000}"/>
    <cellStyle name="20 % - Markeringsfarve6 2 3 4 2 4" xfId="11430" xr:uid="{00000000-0005-0000-0000-0000653F0000}"/>
    <cellStyle name="20 % - Markeringsfarve6 2 3 4 2 4 2" xfId="27750" xr:uid="{00000000-0005-0000-0000-0000663F0000}"/>
    <cellStyle name="20 % - Markeringsfarve6 2 3 4 2 4 3" xfId="42716" xr:uid="{00000000-0005-0000-0000-0000673F0000}"/>
    <cellStyle name="20 % - Markeringsfarve6 2 3 4 2 5" xfId="20728" xr:uid="{00000000-0005-0000-0000-0000683F0000}"/>
    <cellStyle name="20 % - Markeringsfarve6 2 3 4 2 6" xfId="35717" xr:uid="{00000000-0005-0000-0000-0000693F0000}"/>
    <cellStyle name="20 % - Markeringsfarve6 2 3 4 3" xfId="2872" xr:uid="{00000000-0005-0000-0000-00006A3F0000}"/>
    <cellStyle name="20 % - Markeringsfarve6 2 3 4 3 2" xfId="7175" xr:uid="{00000000-0005-0000-0000-00006B3F0000}"/>
    <cellStyle name="20 % - Markeringsfarve6 2 3 4 3 2 2" xfId="15086" xr:uid="{00000000-0005-0000-0000-00006C3F0000}"/>
    <cellStyle name="20 % - Markeringsfarve6 2 3 4 3 2 2 2" xfId="31401" xr:uid="{00000000-0005-0000-0000-00006D3F0000}"/>
    <cellStyle name="20 % - Markeringsfarve6 2 3 4 3 2 2 3" xfId="46365" xr:uid="{00000000-0005-0000-0000-00006E3F0000}"/>
    <cellStyle name="20 % - Markeringsfarve6 2 3 4 3 2 3" xfId="24379" xr:uid="{00000000-0005-0000-0000-00006F3F0000}"/>
    <cellStyle name="20 % - Markeringsfarve6 2 3 4 3 2 4" xfId="39366" xr:uid="{00000000-0005-0000-0000-0000703F0000}"/>
    <cellStyle name="20 % - Markeringsfarve6 2 3 4 3 3" xfId="11432" xr:uid="{00000000-0005-0000-0000-0000713F0000}"/>
    <cellStyle name="20 % - Markeringsfarve6 2 3 4 3 3 2" xfId="27752" xr:uid="{00000000-0005-0000-0000-0000723F0000}"/>
    <cellStyle name="20 % - Markeringsfarve6 2 3 4 3 3 3" xfId="42718" xr:uid="{00000000-0005-0000-0000-0000733F0000}"/>
    <cellStyle name="20 % - Markeringsfarve6 2 3 4 3 4" xfId="20730" xr:uid="{00000000-0005-0000-0000-0000743F0000}"/>
    <cellStyle name="20 % - Markeringsfarve6 2 3 4 3 5" xfId="35719" xr:uid="{00000000-0005-0000-0000-0000753F0000}"/>
    <cellStyle name="20 % - Markeringsfarve6 2 3 4 4" xfId="2873" xr:uid="{00000000-0005-0000-0000-0000763F0000}"/>
    <cellStyle name="20 % - Markeringsfarve6 2 3 4 4 2" xfId="8632" xr:uid="{00000000-0005-0000-0000-0000773F0000}"/>
    <cellStyle name="20 % - Markeringsfarve6 2 3 4 4 2 2" xfId="16514" xr:uid="{00000000-0005-0000-0000-0000783F0000}"/>
    <cellStyle name="20 % - Markeringsfarve6 2 3 4 4 2 2 2" xfId="32829" xr:uid="{00000000-0005-0000-0000-0000793F0000}"/>
    <cellStyle name="20 % - Markeringsfarve6 2 3 4 4 2 2 3" xfId="47793" xr:uid="{00000000-0005-0000-0000-00007A3F0000}"/>
    <cellStyle name="20 % - Markeringsfarve6 2 3 4 4 2 3" xfId="25807" xr:uid="{00000000-0005-0000-0000-00007B3F0000}"/>
    <cellStyle name="20 % - Markeringsfarve6 2 3 4 4 2 4" xfId="40794" xr:uid="{00000000-0005-0000-0000-00007C3F0000}"/>
    <cellStyle name="20 % - Markeringsfarve6 2 3 4 4 3" xfId="11433" xr:uid="{00000000-0005-0000-0000-00007D3F0000}"/>
    <cellStyle name="20 % - Markeringsfarve6 2 3 4 4 3 2" xfId="27753" xr:uid="{00000000-0005-0000-0000-00007E3F0000}"/>
    <cellStyle name="20 % - Markeringsfarve6 2 3 4 4 3 3" xfId="42719" xr:uid="{00000000-0005-0000-0000-00007F3F0000}"/>
    <cellStyle name="20 % - Markeringsfarve6 2 3 4 4 4" xfId="20731" xr:uid="{00000000-0005-0000-0000-0000803F0000}"/>
    <cellStyle name="20 % - Markeringsfarve6 2 3 4 4 5" xfId="35720" xr:uid="{00000000-0005-0000-0000-0000813F0000}"/>
    <cellStyle name="20 % - Markeringsfarve6 2 3 4 5" xfId="5642" xr:uid="{00000000-0005-0000-0000-0000823F0000}"/>
    <cellStyle name="20 % - Markeringsfarve6 2 3 4 5 2" xfId="13561" xr:uid="{00000000-0005-0000-0000-0000833F0000}"/>
    <cellStyle name="20 % - Markeringsfarve6 2 3 4 5 2 2" xfId="29876" xr:uid="{00000000-0005-0000-0000-0000843F0000}"/>
    <cellStyle name="20 % - Markeringsfarve6 2 3 4 5 2 3" xfId="44840" xr:uid="{00000000-0005-0000-0000-0000853F0000}"/>
    <cellStyle name="20 % - Markeringsfarve6 2 3 4 5 3" xfId="22854" xr:uid="{00000000-0005-0000-0000-0000863F0000}"/>
    <cellStyle name="20 % - Markeringsfarve6 2 3 4 5 4" xfId="37841" xr:uid="{00000000-0005-0000-0000-0000873F0000}"/>
    <cellStyle name="20 % - Markeringsfarve6 2 3 4 6" xfId="11429" xr:uid="{00000000-0005-0000-0000-0000883F0000}"/>
    <cellStyle name="20 % - Markeringsfarve6 2 3 4 6 2" xfId="27749" xr:uid="{00000000-0005-0000-0000-0000893F0000}"/>
    <cellStyle name="20 % - Markeringsfarve6 2 3 4 6 3" xfId="42715" xr:uid="{00000000-0005-0000-0000-00008A3F0000}"/>
    <cellStyle name="20 % - Markeringsfarve6 2 3 4 7" xfId="20727" xr:uid="{00000000-0005-0000-0000-00008B3F0000}"/>
    <cellStyle name="20 % - Markeringsfarve6 2 3 4 8" xfId="35716" xr:uid="{00000000-0005-0000-0000-00008C3F0000}"/>
    <cellStyle name="20 % - Markeringsfarve6 2 3 5" xfId="2874" xr:uid="{00000000-0005-0000-0000-00008D3F0000}"/>
    <cellStyle name="20 % - Markeringsfarve6 2 3 5 2" xfId="2875" xr:uid="{00000000-0005-0000-0000-00008E3F0000}"/>
    <cellStyle name="20 % - Markeringsfarve6 2 3 5 2 2" xfId="2876" xr:uid="{00000000-0005-0000-0000-00008F3F0000}"/>
    <cellStyle name="20 % - Markeringsfarve6 2 3 5 2 2 2" xfId="8016" xr:uid="{00000000-0005-0000-0000-0000903F0000}"/>
    <cellStyle name="20 % - Markeringsfarve6 2 3 5 2 2 2 2" xfId="15918" xr:uid="{00000000-0005-0000-0000-0000913F0000}"/>
    <cellStyle name="20 % - Markeringsfarve6 2 3 5 2 2 2 2 2" xfId="32233" xr:uid="{00000000-0005-0000-0000-0000923F0000}"/>
    <cellStyle name="20 % - Markeringsfarve6 2 3 5 2 2 2 2 3" xfId="47197" xr:uid="{00000000-0005-0000-0000-0000933F0000}"/>
    <cellStyle name="20 % - Markeringsfarve6 2 3 5 2 2 2 3" xfId="25211" xr:uid="{00000000-0005-0000-0000-0000943F0000}"/>
    <cellStyle name="20 % - Markeringsfarve6 2 3 5 2 2 2 4" xfId="40198" xr:uid="{00000000-0005-0000-0000-0000953F0000}"/>
    <cellStyle name="20 % - Markeringsfarve6 2 3 5 2 2 3" xfId="11436" xr:uid="{00000000-0005-0000-0000-0000963F0000}"/>
    <cellStyle name="20 % - Markeringsfarve6 2 3 5 2 2 3 2" xfId="27756" xr:uid="{00000000-0005-0000-0000-0000973F0000}"/>
    <cellStyle name="20 % - Markeringsfarve6 2 3 5 2 2 3 3" xfId="42722" xr:uid="{00000000-0005-0000-0000-0000983F0000}"/>
    <cellStyle name="20 % - Markeringsfarve6 2 3 5 2 2 4" xfId="20734" xr:uid="{00000000-0005-0000-0000-0000993F0000}"/>
    <cellStyle name="20 % - Markeringsfarve6 2 3 5 2 2 5" xfId="35723" xr:uid="{00000000-0005-0000-0000-00009A3F0000}"/>
    <cellStyle name="20 % - Markeringsfarve6 2 3 5 2 3" xfId="6527" xr:uid="{00000000-0005-0000-0000-00009B3F0000}"/>
    <cellStyle name="20 % - Markeringsfarve6 2 3 5 2 3 2" xfId="14442" xr:uid="{00000000-0005-0000-0000-00009C3F0000}"/>
    <cellStyle name="20 % - Markeringsfarve6 2 3 5 2 3 2 2" xfId="30757" xr:uid="{00000000-0005-0000-0000-00009D3F0000}"/>
    <cellStyle name="20 % - Markeringsfarve6 2 3 5 2 3 2 3" xfId="45721" xr:uid="{00000000-0005-0000-0000-00009E3F0000}"/>
    <cellStyle name="20 % - Markeringsfarve6 2 3 5 2 3 3" xfId="23735" xr:uid="{00000000-0005-0000-0000-00009F3F0000}"/>
    <cellStyle name="20 % - Markeringsfarve6 2 3 5 2 3 4" xfId="38722" xr:uid="{00000000-0005-0000-0000-0000A03F0000}"/>
    <cellStyle name="20 % - Markeringsfarve6 2 3 5 2 4" xfId="11435" xr:uid="{00000000-0005-0000-0000-0000A13F0000}"/>
    <cellStyle name="20 % - Markeringsfarve6 2 3 5 2 4 2" xfId="27755" xr:uid="{00000000-0005-0000-0000-0000A23F0000}"/>
    <cellStyle name="20 % - Markeringsfarve6 2 3 5 2 4 3" xfId="42721" xr:uid="{00000000-0005-0000-0000-0000A33F0000}"/>
    <cellStyle name="20 % - Markeringsfarve6 2 3 5 2 5" xfId="20733" xr:uid="{00000000-0005-0000-0000-0000A43F0000}"/>
    <cellStyle name="20 % - Markeringsfarve6 2 3 5 2 6" xfId="35722" xr:uid="{00000000-0005-0000-0000-0000A53F0000}"/>
    <cellStyle name="20 % - Markeringsfarve6 2 3 5 3" xfId="2877" xr:uid="{00000000-0005-0000-0000-0000A63F0000}"/>
    <cellStyle name="20 % - Markeringsfarve6 2 3 5 3 2" xfId="7292" xr:uid="{00000000-0005-0000-0000-0000A73F0000}"/>
    <cellStyle name="20 % - Markeringsfarve6 2 3 5 3 2 2" xfId="15203" xr:uid="{00000000-0005-0000-0000-0000A83F0000}"/>
    <cellStyle name="20 % - Markeringsfarve6 2 3 5 3 2 2 2" xfId="31518" xr:uid="{00000000-0005-0000-0000-0000A93F0000}"/>
    <cellStyle name="20 % - Markeringsfarve6 2 3 5 3 2 2 3" xfId="46482" xr:uid="{00000000-0005-0000-0000-0000AA3F0000}"/>
    <cellStyle name="20 % - Markeringsfarve6 2 3 5 3 2 3" xfId="24496" xr:uid="{00000000-0005-0000-0000-0000AB3F0000}"/>
    <cellStyle name="20 % - Markeringsfarve6 2 3 5 3 2 4" xfId="39483" xr:uid="{00000000-0005-0000-0000-0000AC3F0000}"/>
    <cellStyle name="20 % - Markeringsfarve6 2 3 5 3 3" xfId="11437" xr:uid="{00000000-0005-0000-0000-0000AD3F0000}"/>
    <cellStyle name="20 % - Markeringsfarve6 2 3 5 3 3 2" xfId="27757" xr:uid="{00000000-0005-0000-0000-0000AE3F0000}"/>
    <cellStyle name="20 % - Markeringsfarve6 2 3 5 3 3 3" xfId="42723" xr:uid="{00000000-0005-0000-0000-0000AF3F0000}"/>
    <cellStyle name="20 % - Markeringsfarve6 2 3 5 3 4" xfId="20735" xr:uid="{00000000-0005-0000-0000-0000B03F0000}"/>
    <cellStyle name="20 % - Markeringsfarve6 2 3 5 3 5" xfId="35724" xr:uid="{00000000-0005-0000-0000-0000B13F0000}"/>
    <cellStyle name="20 % - Markeringsfarve6 2 3 5 4" xfId="2878" xr:uid="{00000000-0005-0000-0000-0000B23F0000}"/>
    <cellStyle name="20 % - Markeringsfarve6 2 3 5 4 2" xfId="8357" xr:uid="{00000000-0005-0000-0000-0000B33F0000}"/>
    <cellStyle name="20 % - Markeringsfarve6 2 3 5 4 2 2" xfId="16251" xr:uid="{00000000-0005-0000-0000-0000B43F0000}"/>
    <cellStyle name="20 % - Markeringsfarve6 2 3 5 4 2 2 2" xfId="32566" xr:uid="{00000000-0005-0000-0000-0000B53F0000}"/>
    <cellStyle name="20 % - Markeringsfarve6 2 3 5 4 2 2 3" xfId="47530" xr:uid="{00000000-0005-0000-0000-0000B63F0000}"/>
    <cellStyle name="20 % - Markeringsfarve6 2 3 5 4 2 3" xfId="25544" xr:uid="{00000000-0005-0000-0000-0000B73F0000}"/>
    <cellStyle name="20 % - Markeringsfarve6 2 3 5 4 2 4" xfId="40531" xr:uid="{00000000-0005-0000-0000-0000B83F0000}"/>
    <cellStyle name="20 % - Markeringsfarve6 2 3 5 4 3" xfId="11438" xr:uid="{00000000-0005-0000-0000-0000B93F0000}"/>
    <cellStyle name="20 % - Markeringsfarve6 2 3 5 4 3 2" xfId="27758" xr:uid="{00000000-0005-0000-0000-0000BA3F0000}"/>
    <cellStyle name="20 % - Markeringsfarve6 2 3 5 4 3 3" xfId="42724" xr:uid="{00000000-0005-0000-0000-0000BB3F0000}"/>
    <cellStyle name="20 % - Markeringsfarve6 2 3 5 4 4" xfId="20736" xr:uid="{00000000-0005-0000-0000-0000BC3F0000}"/>
    <cellStyle name="20 % - Markeringsfarve6 2 3 5 4 5" xfId="35725" xr:uid="{00000000-0005-0000-0000-0000BD3F0000}"/>
    <cellStyle name="20 % - Markeringsfarve6 2 3 5 5" xfId="5643" xr:uid="{00000000-0005-0000-0000-0000BE3F0000}"/>
    <cellStyle name="20 % - Markeringsfarve6 2 3 5 5 2" xfId="13562" xr:uid="{00000000-0005-0000-0000-0000BF3F0000}"/>
    <cellStyle name="20 % - Markeringsfarve6 2 3 5 5 2 2" xfId="29877" xr:uid="{00000000-0005-0000-0000-0000C03F0000}"/>
    <cellStyle name="20 % - Markeringsfarve6 2 3 5 5 2 3" xfId="44841" xr:uid="{00000000-0005-0000-0000-0000C13F0000}"/>
    <cellStyle name="20 % - Markeringsfarve6 2 3 5 5 3" xfId="22855" xr:uid="{00000000-0005-0000-0000-0000C23F0000}"/>
    <cellStyle name="20 % - Markeringsfarve6 2 3 5 5 4" xfId="37842" xr:uid="{00000000-0005-0000-0000-0000C33F0000}"/>
    <cellStyle name="20 % - Markeringsfarve6 2 3 5 6" xfId="11434" xr:uid="{00000000-0005-0000-0000-0000C43F0000}"/>
    <cellStyle name="20 % - Markeringsfarve6 2 3 5 6 2" xfId="27754" xr:uid="{00000000-0005-0000-0000-0000C53F0000}"/>
    <cellStyle name="20 % - Markeringsfarve6 2 3 5 6 3" xfId="42720" xr:uid="{00000000-0005-0000-0000-0000C63F0000}"/>
    <cellStyle name="20 % - Markeringsfarve6 2 3 5 7" xfId="20732" xr:uid="{00000000-0005-0000-0000-0000C73F0000}"/>
    <cellStyle name="20 % - Markeringsfarve6 2 3 5 8" xfId="35721" xr:uid="{00000000-0005-0000-0000-0000C83F0000}"/>
    <cellStyle name="20 % - Markeringsfarve6 2 3 6" xfId="2879" xr:uid="{00000000-0005-0000-0000-0000C93F0000}"/>
    <cellStyle name="20 % - Markeringsfarve6 2 3 6 2" xfId="2880" xr:uid="{00000000-0005-0000-0000-0000CA3F0000}"/>
    <cellStyle name="20 % - Markeringsfarve6 2 3 6 2 2" xfId="2881" xr:uid="{00000000-0005-0000-0000-0000CB3F0000}"/>
    <cellStyle name="20 % - Markeringsfarve6 2 3 6 2 2 2" xfId="8067" xr:uid="{00000000-0005-0000-0000-0000CC3F0000}"/>
    <cellStyle name="20 % - Markeringsfarve6 2 3 6 2 2 2 2" xfId="15969" xr:uid="{00000000-0005-0000-0000-0000CD3F0000}"/>
    <cellStyle name="20 % - Markeringsfarve6 2 3 6 2 2 2 2 2" xfId="32284" xr:uid="{00000000-0005-0000-0000-0000CE3F0000}"/>
    <cellStyle name="20 % - Markeringsfarve6 2 3 6 2 2 2 2 3" xfId="47248" xr:uid="{00000000-0005-0000-0000-0000CF3F0000}"/>
    <cellStyle name="20 % - Markeringsfarve6 2 3 6 2 2 2 3" xfId="25262" xr:uid="{00000000-0005-0000-0000-0000D03F0000}"/>
    <cellStyle name="20 % - Markeringsfarve6 2 3 6 2 2 2 4" xfId="40249" xr:uid="{00000000-0005-0000-0000-0000D13F0000}"/>
    <cellStyle name="20 % - Markeringsfarve6 2 3 6 2 2 3" xfId="11441" xr:uid="{00000000-0005-0000-0000-0000D23F0000}"/>
    <cellStyle name="20 % - Markeringsfarve6 2 3 6 2 2 3 2" xfId="27761" xr:uid="{00000000-0005-0000-0000-0000D33F0000}"/>
    <cellStyle name="20 % - Markeringsfarve6 2 3 6 2 2 3 3" xfId="42727" xr:uid="{00000000-0005-0000-0000-0000D43F0000}"/>
    <cellStyle name="20 % - Markeringsfarve6 2 3 6 2 2 4" xfId="20739" xr:uid="{00000000-0005-0000-0000-0000D53F0000}"/>
    <cellStyle name="20 % - Markeringsfarve6 2 3 6 2 2 5" xfId="35728" xr:uid="{00000000-0005-0000-0000-0000D63F0000}"/>
    <cellStyle name="20 % - Markeringsfarve6 2 3 6 2 3" xfId="6569" xr:uid="{00000000-0005-0000-0000-0000D73F0000}"/>
    <cellStyle name="20 % - Markeringsfarve6 2 3 6 2 3 2" xfId="14484" xr:uid="{00000000-0005-0000-0000-0000D83F0000}"/>
    <cellStyle name="20 % - Markeringsfarve6 2 3 6 2 3 2 2" xfId="30799" xr:uid="{00000000-0005-0000-0000-0000D93F0000}"/>
    <cellStyle name="20 % - Markeringsfarve6 2 3 6 2 3 2 3" xfId="45763" xr:uid="{00000000-0005-0000-0000-0000DA3F0000}"/>
    <cellStyle name="20 % - Markeringsfarve6 2 3 6 2 3 3" xfId="23777" xr:uid="{00000000-0005-0000-0000-0000DB3F0000}"/>
    <cellStyle name="20 % - Markeringsfarve6 2 3 6 2 3 4" xfId="38764" xr:uid="{00000000-0005-0000-0000-0000DC3F0000}"/>
    <cellStyle name="20 % - Markeringsfarve6 2 3 6 2 4" xfId="11440" xr:uid="{00000000-0005-0000-0000-0000DD3F0000}"/>
    <cellStyle name="20 % - Markeringsfarve6 2 3 6 2 4 2" xfId="27760" xr:uid="{00000000-0005-0000-0000-0000DE3F0000}"/>
    <cellStyle name="20 % - Markeringsfarve6 2 3 6 2 4 3" xfId="42726" xr:uid="{00000000-0005-0000-0000-0000DF3F0000}"/>
    <cellStyle name="20 % - Markeringsfarve6 2 3 6 2 5" xfId="20738" xr:uid="{00000000-0005-0000-0000-0000E03F0000}"/>
    <cellStyle name="20 % - Markeringsfarve6 2 3 6 2 6" xfId="35727" xr:uid="{00000000-0005-0000-0000-0000E13F0000}"/>
    <cellStyle name="20 % - Markeringsfarve6 2 3 6 3" xfId="2882" xr:uid="{00000000-0005-0000-0000-0000E23F0000}"/>
    <cellStyle name="20 % - Markeringsfarve6 2 3 6 3 2" xfId="7344" xr:uid="{00000000-0005-0000-0000-0000E33F0000}"/>
    <cellStyle name="20 % - Markeringsfarve6 2 3 6 3 2 2" xfId="15255" xr:uid="{00000000-0005-0000-0000-0000E43F0000}"/>
    <cellStyle name="20 % - Markeringsfarve6 2 3 6 3 2 2 2" xfId="31570" xr:uid="{00000000-0005-0000-0000-0000E53F0000}"/>
    <cellStyle name="20 % - Markeringsfarve6 2 3 6 3 2 2 3" xfId="46534" xr:uid="{00000000-0005-0000-0000-0000E63F0000}"/>
    <cellStyle name="20 % - Markeringsfarve6 2 3 6 3 2 3" xfId="24548" xr:uid="{00000000-0005-0000-0000-0000E73F0000}"/>
    <cellStyle name="20 % - Markeringsfarve6 2 3 6 3 2 4" xfId="39535" xr:uid="{00000000-0005-0000-0000-0000E83F0000}"/>
    <cellStyle name="20 % - Markeringsfarve6 2 3 6 3 3" xfId="11442" xr:uid="{00000000-0005-0000-0000-0000E93F0000}"/>
    <cellStyle name="20 % - Markeringsfarve6 2 3 6 3 3 2" xfId="27762" xr:uid="{00000000-0005-0000-0000-0000EA3F0000}"/>
    <cellStyle name="20 % - Markeringsfarve6 2 3 6 3 3 3" xfId="42728" xr:uid="{00000000-0005-0000-0000-0000EB3F0000}"/>
    <cellStyle name="20 % - Markeringsfarve6 2 3 6 3 4" xfId="20740" xr:uid="{00000000-0005-0000-0000-0000EC3F0000}"/>
    <cellStyle name="20 % - Markeringsfarve6 2 3 6 3 5" xfId="35729" xr:uid="{00000000-0005-0000-0000-0000ED3F0000}"/>
    <cellStyle name="20 % - Markeringsfarve6 2 3 6 4" xfId="2883" xr:uid="{00000000-0005-0000-0000-0000EE3F0000}"/>
    <cellStyle name="20 % - Markeringsfarve6 2 3 6 4 2" xfId="8589" xr:uid="{00000000-0005-0000-0000-0000EF3F0000}"/>
    <cellStyle name="20 % - Markeringsfarve6 2 3 6 4 2 2" xfId="16473" xr:uid="{00000000-0005-0000-0000-0000F03F0000}"/>
    <cellStyle name="20 % - Markeringsfarve6 2 3 6 4 2 2 2" xfId="32788" xr:uid="{00000000-0005-0000-0000-0000F13F0000}"/>
    <cellStyle name="20 % - Markeringsfarve6 2 3 6 4 2 2 3" xfId="47752" xr:uid="{00000000-0005-0000-0000-0000F23F0000}"/>
    <cellStyle name="20 % - Markeringsfarve6 2 3 6 4 2 3" xfId="25766" xr:uid="{00000000-0005-0000-0000-0000F33F0000}"/>
    <cellStyle name="20 % - Markeringsfarve6 2 3 6 4 2 4" xfId="40753" xr:uid="{00000000-0005-0000-0000-0000F43F0000}"/>
    <cellStyle name="20 % - Markeringsfarve6 2 3 6 4 3" xfId="11443" xr:uid="{00000000-0005-0000-0000-0000F53F0000}"/>
    <cellStyle name="20 % - Markeringsfarve6 2 3 6 4 3 2" xfId="27763" xr:uid="{00000000-0005-0000-0000-0000F63F0000}"/>
    <cellStyle name="20 % - Markeringsfarve6 2 3 6 4 3 3" xfId="42729" xr:uid="{00000000-0005-0000-0000-0000F73F0000}"/>
    <cellStyle name="20 % - Markeringsfarve6 2 3 6 4 4" xfId="20741" xr:uid="{00000000-0005-0000-0000-0000F83F0000}"/>
    <cellStyle name="20 % - Markeringsfarve6 2 3 6 4 5" xfId="35730" xr:uid="{00000000-0005-0000-0000-0000F93F0000}"/>
    <cellStyle name="20 % - Markeringsfarve6 2 3 6 5" xfId="5644" xr:uid="{00000000-0005-0000-0000-0000FA3F0000}"/>
    <cellStyle name="20 % - Markeringsfarve6 2 3 6 5 2" xfId="13563" xr:uid="{00000000-0005-0000-0000-0000FB3F0000}"/>
    <cellStyle name="20 % - Markeringsfarve6 2 3 6 5 2 2" xfId="29878" xr:uid="{00000000-0005-0000-0000-0000FC3F0000}"/>
    <cellStyle name="20 % - Markeringsfarve6 2 3 6 5 2 3" xfId="44842" xr:uid="{00000000-0005-0000-0000-0000FD3F0000}"/>
    <cellStyle name="20 % - Markeringsfarve6 2 3 6 5 3" xfId="22856" xr:uid="{00000000-0005-0000-0000-0000FE3F0000}"/>
    <cellStyle name="20 % - Markeringsfarve6 2 3 6 5 4" xfId="37843" xr:uid="{00000000-0005-0000-0000-0000FF3F0000}"/>
    <cellStyle name="20 % - Markeringsfarve6 2 3 6 6" xfId="11439" xr:uid="{00000000-0005-0000-0000-000000400000}"/>
    <cellStyle name="20 % - Markeringsfarve6 2 3 6 6 2" xfId="27759" xr:uid="{00000000-0005-0000-0000-000001400000}"/>
    <cellStyle name="20 % - Markeringsfarve6 2 3 6 6 3" xfId="42725" xr:uid="{00000000-0005-0000-0000-000002400000}"/>
    <cellStyle name="20 % - Markeringsfarve6 2 3 6 7" xfId="20737" xr:uid="{00000000-0005-0000-0000-000003400000}"/>
    <cellStyle name="20 % - Markeringsfarve6 2 3 6 8" xfId="35726" xr:uid="{00000000-0005-0000-0000-000004400000}"/>
    <cellStyle name="20 % - Markeringsfarve6 2 3 7" xfId="2884" xr:uid="{00000000-0005-0000-0000-000005400000}"/>
    <cellStyle name="20 % - Markeringsfarve6 2 3 7 2" xfId="2885" xr:uid="{00000000-0005-0000-0000-000006400000}"/>
    <cellStyle name="20 % - Markeringsfarve6 2 3 7 2 2" xfId="7542" xr:uid="{00000000-0005-0000-0000-000007400000}"/>
    <cellStyle name="20 % - Markeringsfarve6 2 3 7 2 2 2" xfId="15444" xr:uid="{00000000-0005-0000-0000-000008400000}"/>
    <cellStyle name="20 % - Markeringsfarve6 2 3 7 2 2 2 2" xfId="31759" xr:uid="{00000000-0005-0000-0000-000009400000}"/>
    <cellStyle name="20 % - Markeringsfarve6 2 3 7 2 2 2 3" xfId="46723" xr:uid="{00000000-0005-0000-0000-00000A400000}"/>
    <cellStyle name="20 % - Markeringsfarve6 2 3 7 2 2 3" xfId="24737" xr:uid="{00000000-0005-0000-0000-00000B400000}"/>
    <cellStyle name="20 % - Markeringsfarve6 2 3 7 2 2 4" xfId="39724" xr:uid="{00000000-0005-0000-0000-00000C400000}"/>
    <cellStyle name="20 % - Markeringsfarve6 2 3 7 2 3" xfId="11445" xr:uid="{00000000-0005-0000-0000-00000D400000}"/>
    <cellStyle name="20 % - Markeringsfarve6 2 3 7 2 3 2" xfId="27765" xr:uid="{00000000-0005-0000-0000-00000E400000}"/>
    <cellStyle name="20 % - Markeringsfarve6 2 3 7 2 3 3" xfId="42731" xr:uid="{00000000-0005-0000-0000-00000F400000}"/>
    <cellStyle name="20 % - Markeringsfarve6 2 3 7 2 4" xfId="20743" xr:uid="{00000000-0005-0000-0000-000010400000}"/>
    <cellStyle name="20 % - Markeringsfarve6 2 3 7 2 5" xfId="35732" xr:uid="{00000000-0005-0000-0000-000011400000}"/>
    <cellStyle name="20 % - Markeringsfarve6 2 3 7 3" xfId="6127" xr:uid="{00000000-0005-0000-0000-000012400000}"/>
    <cellStyle name="20 % - Markeringsfarve6 2 3 7 3 2" xfId="14045" xr:uid="{00000000-0005-0000-0000-000013400000}"/>
    <cellStyle name="20 % - Markeringsfarve6 2 3 7 3 2 2" xfId="30360" xr:uid="{00000000-0005-0000-0000-000014400000}"/>
    <cellStyle name="20 % - Markeringsfarve6 2 3 7 3 2 3" xfId="45324" xr:uid="{00000000-0005-0000-0000-000015400000}"/>
    <cellStyle name="20 % - Markeringsfarve6 2 3 7 3 3" xfId="23338" xr:uid="{00000000-0005-0000-0000-000016400000}"/>
    <cellStyle name="20 % - Markeringsfarve6 2 3 7 3 4" xfId="38325" xr:uid="{00000000-0005-0000-0000-000017400000}"/>
    <cellStyle name="20 % - Markeringsfarve6 2 3 7 4" xfId="11444" xr:uid="{00000000-0005-0000-0000-000018400000}"/>
    <cellStyle name="20 % - Markeringsfarve6 2 3 7 4 2" xfId="27764" xr:uid="{00000000-0005-0000-0000-000019400000}"/>
    <cellStyle name="20 % - Markeringsfarve6 2 3 7 4 3" xfId="42730" xr:uid="{00000000-0005-0000-0000-00001A400000}"/>
    <cellStyle name="20 % - Markeringsfarve6 2 3 7 5" xfId="20742" xr:uid="{00000000-0005-0000-0000-00001B400000}"/>
    <cellStyle name="20 % - Markeringsfarve6 2 3 7 6" xfId="35731" xr:uid="{00000000-0005-0000-0000-00001C400000}"/>
    <cellStyle name="20 % - Markeringsfarve6 2 3 8" xfId="2886" xr:uid="{00000000-0005-0000-0000-00001D400000}"/>
    <cellStyle name="20 % - Markeringsfarve6 2 3 8 2" xfId="6770" xr:uid="{00000000-0005-0000-0000-00001E400000}"/>
    <cellStyle name="20 % - Markeringsfarve6 2 3 8 2 2" xfId="14682" xr:uid="{00000000-0005-0000-0000-00001F400000}"/>
    <cellStyle name="20 % - Markeringsfarve6 2 3 8 2 2 2" xfId="30997" xr:uid="{00000000-0005-0000-0000-000020400000}"/>
    <cellStyle name="20 % - Markeringsfarve6 2 3 8 2 2 3" xfId="45961" xr:uid="{00000000-0005-0000-0000-000021400000}"/>
    <cellStyle name="20 % - Markeringsfarve6 2 3 8 2 3" xfId="23975" xr:uid="{00000000-0005-0000-0000-000022400000}"/>
    <cellStyle name="20 % - Markeringsfarve6 2 3 8 2 4" xfId="38962" xr:uid="{00000000-0005-0000-0000-000023400000}"/>
    <cellStyle name="20 % - Markeringsfarve6 2 3 8 3" xfId="11446" xr:uid="{00000000-0005-0000-0000-000024400000}"/>
    <cellStyle name="20 % - Markeringsfarve6 2 3 8 3 2" xfId="27766" xr:uid="{00000000-0005-0000-0000-000025400000}"/>
    <cellStyle name="20 % - Markeringsfarve6 2 3 8 3 3" xfId="42732" xr:uid="{00000000-0005-0000-0000-000026400000}"/>
    <cellStyle name="20 % - Markeringsfarve6 2 3 8 4" xfId="20744" xr:uid="{00000000-0005-0000-0000-000027400000}"/>
    <cellStyle name="20 % - Markeringsfarve6 2 3 8 5" xfId="35733" xr:uid="{00000000-0005-0000-0000-000028400000}"/>
    <cellStyle name="20 % - Markeringsfarve6 2 3 9" xfId="2887" xr:uid="{00000000-0005-0000-0000-000029400000}"/>
    <cellStyle name="20 % - Markeringsfarve6 2 3 9 2" xfId="8442" xr:uid="{00000000-0005-0000-0000-00002A400000}"/>
    <cellStyle name="20 % - Markeringsfarve6 2 3 9 2 2" xfId="16332" xr:uid="{00000000-0005-0000-0000-00002B400000}"/>
    <cellStyle name="20 % - Markeringsfarve6 2 3 9 2 2 2" xfId="32647" xr:uid="{00000000-0005-0000-0000-00002C400000}"/>
    <cellStyle name="20 % - Markeringsfarve6 2 3 9 2 2 3" xfId="47611" xr:uid="{00000000-0005-0000-0000-00002D400000}"/>
    <cellStyle name="20 % - Markeringsfarve6 2 3 9 2 3" xfId="25625" xr:uid="{00000000-0005-0000-0000-00002E400000}"/>
    <cellStyle name="20 % - Markeringsfarve6 2 3 9 2 4" xfId="40612" xr:uid="{00000000-0005-0000-0000-00002F400000}"/>
    <cellStyle name="20 % - Markeringsfarve6 2 3 9 3" xfId="11447" xr:uid="{00000000-0005-0000-0000-000030400000}"/>
    <cellStyle name="20 % - Markeringsfarve6 2 3 9 3 2" xfId="27767" xr:uid="{00000000-0005-0000-0000-000031400000}"/>
    <cellStyle name="20 % - Markeringsfarve6 2 3 9 3 3" xfId="42733" xr:uid="{00000000-0005-0000-0000-000032400000}"/>
    <cellStyle name="20 % - Markeringsfarve6 2 3 9 4" xfId="20745" xr:uid="{00000000-0005-0000-0000-000033400000}"/>
    <cellStyle name="20 % - Markeringsfarve6 2 3 9 5" xfId="35734" xr:uid="{00000000-0005-0000-0000-000034400000}"/>
    <cellStyle name="20 % - Markeringsfarve6 2 4" xfId="2888" xr:uid="{00000000-0005-0000-0000-000035400000}"/>
    <cellStyle name="20 % - Markeringsfarve6 2 4 2" xfId="2889" xr:uid="{00000000-0005-0000-0000-000036400000}"/>
    <cellStyle name="20 % - Markeringsfarve6 2 4 2 2" xfId="2890" xr:uid="{00000000-0005-0000-0000-000037400000}"/>
    <cellStyle name="20 % - Markeringsfarve6 2 4 2 2 2" xfId="7583" xr:uid="{00000000-0005-0000-0000-000038400000}"/>
    <cellStyle name="20 % - Markeringsfarve6 2 4 2 2 2 2" xfId="15485" xr:uid="{00000000-0005-0000-0000-000039400000}"/>
    <cellStyle name="20 % - Markeringsfarve6 2 4 2 2 2 2 2" xfId="31800" xr:uid="{00000000-0005-0000-0000-00003A400000}"/>
    <cellStyle name="20 % - Markeringsfarve6 2 4 2 2 2 2 3" xfId="46764" xr:uid="{00000000-0005-0000-0000-00003B400000}"/>
    <cellStyle name="20 % - Markeringsfarve6 2 4 2 2 2 3" xfId="24778" xr:uid="{00000000-0005-0000-0000-00003C400000}"/>
    <cellStyle name="20 % - Markeringsfarve6 2 4 2 2 2 4" xfId="39765" xr:uid="{00000000-0005-0000-0000-00003D400000}"/>
    <cellStyle name="20 % - Markeringsfarve6 2 4 2 2 3" xfId="11450" xr:uid="{00000000-0005-0000-0000-00003E400000}"/>
    <cellStyle name="20 % - Markeringsfarve6 2 4 2 2 3 2" xfId="27770" xr:uid="{00000000-0005-0000-0000-00003F400000}"/>
    <cellStyle name="20 % - Markeringsfarve6 2 4 2 2 3 3" xfId="42736" xr:uid="{00000000-0005-0000-0000-000040400000}"/>
    <cellStyle name="20 % - Markeringsfarve6 2 4 2 2 4" xfId="20748" xr:uid="{00000000-0005-0000-0000-000041400000}"/>
    <cellStyle name="20 % - Markeringsfarve6 2 4 2 2 5" xfId="35737" xr:uid="{00000000-0005-0000-0000-000042400000}"/>
    <cellStyle name="20 % - Markeringsfarve6 2 4 2 3" xfId="6160" xr:uid="{00000000-0005-0000-0000-000043400000}"/>
    <cellStyle name="20 % - Markeringsfarve6 2 4 2 3 2" xfId="14078" xr:uid="{00000000-0005-0000-0000-000044400000}"/>
    <cellStyle name="20 % - Markeringsfarve6 2 4 2 3 2 2" xfId="30393" xr:uid="{00000000-0005-0000-0000-000045400000}"/>
    <cellStyle name="20 % - Markeringsfarve6 2 4 2 3 2 3" xfId="45357" xr:uid="{00000000-0005-0000-0000-000046400000}"/>
    <cellStyle name="20 % - Markeringsfarve6 2 4 2 3 3" xfId="23371" xr:uid="{00000000-0005-0000-0000-000047400000}"/>
    <cellStyle name="20 % - Markeringsfarve6 2 4 2 3 4" xfId="38358" xr:uid="{00000000-0005-0000-0000-000048400000}"/>
    <cellStyle name="20 % - Markeringsfarve6 2 4 2 4" xfId="11449" xr:uid="{00000000-0005-0000-0000-000049400000}"/>
    <cellStyle name="20 % - Markeringsfarve6 2 4 2 4 2" xfId="27769" xr:uid="{00000000-0005-0000-0000-00004A400000}"/>
    <cellStyle name="20 % - Markeringsfarve6 2 4 2 4 3" xfId="42735" xr:uid="{00000000-0005-0000-0000-00004B400000}"/>
    <cellStyle name="20 % - Markeringsfarve6 2 4 2 5" xfId="20747" xr:uid="{00000000-0005-0000-0000-00004C400000}"/>
    <cellStyle name="20 % - Markeringsfarve6 2 4 2 6" xfId="35736" xr:uid="{00000000-0005-0000-0000-00004D400000}"/>
    <cellStyle name="20 % - Markeringsfarve6 2 4 2 7" xfId="57093" xr:uid="{00000000-0005-0000-0000-00004E400000}"/>
    <cellStyle name="20 % - Markeringsfarve6 2 4 3" xfId="2891" xr:uid="{00000000-0005-0000-0000-00004F400000}"/>
    <cellStyle name="20 % - Markeringsfarve6 2 4 3 2" xfId="6813" xr:uid="{00000000-0005-0000-0000-000050400000}"/>
    <cellStyle name="20 % - Markeringsfarve6 2 4 3 2 2" xfId="14725" xr:uid="{00000000-0005-0000-0000-000051400000}"/>
    <cellStyle name="20 % - Markeringsfarve6 2 4 3 2 2 2" xfId="31040" xr:uid="{00000000-0005-0000-0000-000052400000}"/>
    <cellStyle name="20 % - Markeringsfarve6 2 4 3 2 2 3" xfId="46004" xr:uid="{00000000-0005-0000-0000-000053400000}"/>
    <cellStyle name="20 % - Markeringsfarve6 2 4 3 2 3" xfId="24018" xr:uid="{00000000-0005-0000-0000-000054400000}"/>
    <cellStyle name="20 % - Markeringsfarve6 2 4 3 2 4" xfId="39005" xr:uid="{00000000-0005-0000-0000-000055400000}"/>
    <cellStyle name="20 % - Markeringsfarve6 2 4 3 3" xfId="11451" xr:uid="{00000000-0005-0000-0000-000056400000}"/>
    <cellStyle name="20 % - Markeringsfarve6 2 4 3 3 2" xfId="27771" xr:uid="{00000000-0005-0000-0000-000057400000}"/>
    <cellStyle name="20 % - Markeringsfarve6 2 4 3 3 3" xfId="42737" xr:uid="{00000000-0005-0000-0000-000058400000}"/>
    <cellStyle name="20 % - Markeringsfarve6 2 4 3 4" xfId="20749" xr:uid="{00000000-0005-0000-0000-000059400000}"/>
    <cellStyle name="20 % - Markeringsfarve6 2 4 3 5" xfId="35738" xr:uid="{00000000-0005-0000-0000-00005A400000}"/>
    <cellStyle name="20 % - Markeringsfarve6 2 4 4" xfId="2892" xr:uid="{00000000-0005-0000-0000-00005B400000}"/>
    <cellStyle name="20 % - Markeringsfarve6 2 4 4 2" xfId="8238" xr:uid="{00000000-0005-0000-0000-00005C400000}"/>
    <cellStyle name="20 % - Markeringsfarve6 2 4 4 2 2" xfId="16133" xr:uid="{00000000-0005-0000-0000-00005D400000}"/>
    <cellStyle name="20 % - Markeringsfarve6 2 4 4 2 2 2" xfId="32448" xr:uid="{00000000-0005-0000-0000-00005E400000}"/>
    <cellStyle name="20 % - Markeringsfarve6 2 4 4 2 2 3" xfId="47412" xr:uid="{00000000-0005-0000-0000-00005F400000}"/>
    <cellStyle name="20 % - Markeringsfarve6 2 4 4 2 3" xfId="25426" xr:uid="{00000000-0005-0000-0000-000060400000}"/>
    <cellStyle name="20 % - Markeringsfarve6 2 4 4 2 4" xfId="40413" xr:uid="{00000000-0005-0000-0000-000061400000}"/>
    <cellStyle name="20 % - Markeringsfarve6 2 4 4 3" xfId="11452" xr:uid="{00000000-0005-0000-0000-000062400000}"/>
    <cellStyle name="20 % - Markeringsfarve6 2 4 4 3 2" xfId="27772" xr:uid="{00000000-0005-0000-0000-000063400000}"/>
    <cellStyle name="20 % - Markeringsfarve6 2 4 4 3 3" xfId="42738" xr:uid="{00000000-0005-0000-0000-000064400000}"/>
    <cellStyle name="20 % - Markeringsfarve6 2 4 4 4" xfId="20750" xr:uid="{00000000-0005-0000-0000-000065400000}"/>
    <cellStyle name="20 % - Markeringsfarve6 2 4 4 5" xfId="35739" xr:uid="{00000000-0005-0000-0000-000066400000}"/>
    <cellStyle name="20 % - Markeringsfarve6 2 4 5" xfId="5645" xr:uid="{00000000-0005-0000-0000-000067400000}"/>
    <cellStyle name="20 % - Markeringsfarve6 2 4 5 2" xfId="13564" xr:uid="{00000000-0005-0000-0000-000068400000}"/>
    <cellStyle name="20 % - Markeringsfarve6 2 4 5 2 2" xfId="29879" xr:uid="{00000000-0005-0000-0000-000069400000}"/>
    <cellStyle name="20 % - Markeringsfarve6 2 4 5 2 3" xfId="44843" xr:uid="{00000000-0005-0000-0000-00006A400000}"/>
    <cellStyle name="20 % - Markeringsfarve6 2 4 5 3" xfId="22857" xr:uid="{00000000-0005-0000-0000-00006B400000}"/>
    <cellStyle name="20 % - Markeringsfarve6 2 4 5 4" xfId="37844" xr:uid="{00000000-0005-0000-0000-00006C400000}"/>
    <cellStyle name="20 % - Markeringsfarve6 2 4 6" xfId="11448" xr:uid="{00000000-0005-0000-0000-00006D400000}"/>
    <cellStyle name="20 % - Markeringsfarve6 2 4 6 2" xfId="27768" xr:uid="{00000000-0005-0000-0000-00006E400000}"/>
    <cellStyle name="20 % - Markeringsfarve6 2 4 6 3" xfId="42734" xr:uid="{00000000-0005-0000-0000-00006F400000}"/>
    <cellStyle name="20 % - Markeringsfarve6 2 4 7" xfId="20746" xr:uid="{00000000-0005-0000-0000-000070400000}"/>
    <cellStyle name="20 % - Markeringsfarve6 2 4 8" xfId="35735" xr:uid="{00000000-0005-0000-0000-000071400000}"/>
    <cellStyle name="20 % - Markeringsfarve6 2 4 9" xfId="53926" xr:uid="{00000000-0005-0000-0000-000072400000}"/>
    <cellStyle name="20 % - Markeringsfarve6 2 5" xfId="2893" xr:uid="{00000000-0005-0000-0000-000073400000}"/>
    <cellStyle name="20 % - Markeringsfarve6 2 5 2" xfId="2894" xr:uid="{00000000-0005-0000-0000-000074400000}"/>
    <cellStyle name="20 % - Markeringsfarve6 2 5 2 2" xfId="2895" xr:uid="{00000000-0005-0000-0000-000075400000}"/>
    <cellStyle name="20 % - Markeringsfarve6 2 5 2 2 2" xfId="7711" xr:uid="{00000000-0005-0000-0000-000076400000}"/>
    <cellStyle name="20 % - Markeringsfarve6 2 5 2 2 2 2" xfId="15613" xr:uid="{00000000-0005-0000-0000-000077400000}"/>
    <cellStyle name="20 % - Markeringsfarve6 2 5 2 2 2 2 2" xfId="31928" xr:uid="{00000000-0005-0000-0000-000078400000}"/>
    <cellStyle name="20 % - Markeringsfarve6 2 5 2 2 2 2 3" xfId="46892" xr:uid="{00000000-0005-0000-0000-000079400000}"/>
    <cellStyle name="20 % - Markeringsfarve6 2 5 2 2 2 3" xfId="24906" xr:uid="{00000000-0005-0000-0000-00007A400000}"/>
    <cellStyle name="20 % - Markeringsfarve6 2 5 2 2 2 4" xfId="39893" xr:uid="{00000000-0005-0000-0000-00007B400000}"/>
    <cellStyle name="20 % - Markeringsfarve6 2 5 2 2 3" xfId="11455" xr:uid="{00000000-0005-0000-0000-00007C400000}"/>
    <cellStyle name="20 % - Markeringsfarve6 2 5 2 2 3 2" xfId="27775" xr:uid="{00000000-0005-0000-0000-00007D400000}"/>
    <cellStyle name="20 % - Markeringsfarve6 2 5 2 2 3 3" xfId="42741" xr:uid="{00000000-0005-0000-0000-00007E400000}"/>
    <cellStyle name="20 % - Markeringsfarve6 2 5 2 2 4" xfId="20753" xr:uid="{00000000-0005-0000-0000-00007F400000}"/>
    <cellStyle name="20 % - Markeringsfarve6 2 5 2 2 5" xfId="35742" xr:uid="{00000000-0005-0000-0000-000080400000}"/>
    <cellStyle name="20 % - Markeringsfarve6 2 5 2 3" xfId="6266" xr:uid="{00000000-0005-0000-0000-000081400000}"/>
    <cellStyle name="20 % - Markeringsfarve6 2 5 2 3 2" xfId="14184" xr:uid="{00000000-0005-0000-0000-000082400000}"/>
    <cellStyle name="20 % - Markeringsfarve6 2 5 2 3 2 2" xfId="30499" xr:uid="{00000000-0005-0000-0000-000083400000}"/>
    <cellStyle name="20 % - Markeringsfarve6 2 5 2 3 2 3" xfId="45463" xr:uid="{00000000-0005-0000-0000-000084400000}"/>
    <cellStyle name="20 % - Markeringsfarve6 2 5 2 3 3" xfId="23477" xr:uid="{00000000-0005-0000-0000-000085400000}"/>
    <cellStyle name="20 % - Markeringsfarve6 2 5 2 3 4" xfId="38464" xr:uid="{00000000-0005-0000-0000-000086400000}"/>
    <cellStyle name="20 % - Markeringsfarve6 2 5 2 4" xfId="11454" xr:uid="{00000000-0005-0000-0000-000087400000}"/>
    <cellStyle name="20 % - Markeringsfarve6 2 5 2 4 2" xfId="27774" xr:uid="{00000000-0005-0000-0000-000088400000}"/>
    <cellStyle name="20 % - Markeringsfarve6 2 5 2 4 3" xfId="42740" xr:uid="{00000000-0005-0000-0000-000089400000}"/>
    <cellStyle name="20 % - Markeringsfarve6 2 5 2 5" xfId="20752" xr:uid="{00000000-0005-0000-0000-00008A400000}"/>
    <cellStyle name="20 % - Markeringsfarve6 2 5 2 6" xfId="35741" xr:uid="{00000000-0005-0000-0000-00008B400000}"/>
    <cellStyle name="20 % - Markeringsfarve6 2 5 3" xfId="2896" xr:uid="{00000000-0005-0000-0000-00008C400000}"/>
    <cellStyle name="20 % - Markeringsfarve6 2 5 3 2" xfId="6941" xr:uid="{00000000-0005-0000-0000-00008D400000}"/>
    <cellStyle name="20 % - Markeringsfarve6 2 5 3 2 2" xfId="14853" xr:uid="{00000000-0005-0000-0000-00008E400000}"/>
    <cellStyle name="20 % - Markeringsfarve6 2 5 3 2 2 2" xfId="31168" xr:uid="{00000000-0005-0000-0000-00008F400000}"/>
    <cellStyle name="20 % - Markeringsfarve6 2 5 3 2 2 3" xfId="46132" xr:uid="{00000000-0005-0000-0000-000090400000}"/>
    <cellStyle name="20 % - Markeringsfarve6 2 5 3 2 3" xfId="24146" xr:uid="{00000000-0005-0000-0000-000091400000}"/>
    <cellStyle name="20 % - Markeringsfarve6 2 5 3 2 4" xfId="39133" xr:uid="{00000000-0005-0000-0000-000092400000}"/>
    <cellStyle name="20 % - Markeringsfarve6 2 5 3 3" xfId="11456" xr:uid="{00000000-0005-0000-0000-000093400000}"/>
    <cellStyle name="20 % - Markeringsfarve6 2 5 3 3 2" xfId="27776" xr:uid="{00000000-0005-0000-0000-000094400000}"/>
    <cellStyle name="20 % - Markeringsfarve6 2 5 3 3 3" xfId="42742" xr:uid="{00000000-0005-0000-0000-000095400000}"/>
    <cellStyle name="20 % - Markeringsfarve6 2 5 3 4" xfId="20754" xr:uid="{00000000-0005-0000-0000-000096400000}"/>
    <cellStyle name="20 % - Markeringsfarve6 2 5 3 5" xfId="35743" xr:uid="{00000000-0005-0000-0000-000097400000}"/>
    <cellStyle name="20 % - Markeringsfarve6 2 5 4" xfId="2897" xr:uid="{00000000-0005-0000-0000-000098400000}"/>
    <cellStyle name="20 % - Markeringsfarve6 2 5 4 2" xfId="8542" xr:uid="{00000000-0005-0000-0000-000099400000}"/>
    <cellStyle name="20 % - Markeringsfarve6 2 5 4 2 2" xfId="16429" xr:uid="{00000000-0005-0000-0000-00009A400000}"/>
    <cellStyle name="20 % - Markeringsfarve6 2 5 4 2 2 2" xfId="32744" xr:uid="{00000000-0005-0000-0000-00009B400000}"/>
    <cellStyle name="20 % - Markeringsfarve6 2 5 4 2 2 3" xfId="47708" xr:uid="{00000000-0005-0000-0000-00009C400000}"/>
    <cellStyle name="20 % - Markeringsfarve6 2 5 4 2 3" xfId="25722" xr:uid="{00000000-0005-0000-0000-00009D400000}"/>
    <cellStyle name="20 % - Markeringsfarve6 2 5 4 2 4" xfId="40709" xr:uid="{00000000-0005-0000-0000-00009E400000}"/>
    <cellStyle name="20 % - Markeringsfarve6 2 5 4 3" xfId="11457" xr:uid="{00000000-0005-0000-0000-00009F400000}"/>
    <cellStyle name="20 % - Markeringsfarve6 2 5 4 3 2" xfId="27777" xr:uid="{00000000-0005-0000-0000-0000A0400000}"/>
    <cellStyle name="20 % - Markeringsfarve6 2 5 4 3 3" xfId="42743" xr:uid="{00000000-0005-0000-0000-0000A1400000}"/>
    <cellStyle name="20 % - Markeringsfarve6 2 5 4 4" xfId="20755" xr:uid="{00000000-0005-0000-0000-0000A2400000}"/>
    <cellStyle name="20 % - Markeringsfarve6 2 5 4 5" xfId="35744" xr:uid="{00000000-0005-0000-0000-0000A3400000}"/>
    <cellStyle name="20 % - Markeringsfarve6 2 5 5" xfId="5646" xr:uid="{00000000-0005-0000-0000-0000A4400000}"/>
    <cellStyle name="20 % - Markeringsfarve6 2 5 5 2" xfId="13565" xr:uid="{00000000-0005-0000-0000-0000A5400000}"/>
    <cellStyle name="20 % - Markeringsfarve6 2 5 5 2 2" xfId="29880" xr:uid="{00000000-0005-0000-0000-0000A6400000}"/>
    <cellStyle name="20 % - Markeringsfarve6 2 5 5 2 3" xfId="44844" xr:uid="{00000000-0005-0000-0000-0000A7400000}"/>
    <cellStyle name="20 % - Markeringsfarve6 2 5 5 3" xfId="22858" xr:uid="{00000000-0005-0000-0000-0000A8400000}"/>
    <cellStyle name="20 % - Markeringsfarve6 2 5 5 4" xfId="37845" xr:uid="{00000000-0005-0000-0000-0000A9400000}"/>
    <cellStyle name="20 % - Markeringsfarve6 2 5 6" xfId="11453" xr:uid="{00000000-0005-0000-0000-0000AA400000}"/>
    <cellStyle name="20 % - Markeringsfarve6 2 5 6 2" xfId="27773" xr:uid="{00000000-0005-0000-0000-0000AB400000}"/>
    <cellStyle name="20 % - Markeringsfarve6 2 5 6 3" xfId="42739" xr:uid="{00000000-0005-0000-0000-0000AC400000}"/>
    <cellStyle name="20 % - Markeringsfarve6 2 5 7" xfId="20751" xr:uid="{00000000-0005-0000-0000-0000AD400000}"/>
    <cellStyle name="20 % - Markeringsfarve6 2 5 8" xfId="35740" xr:uid="{00000000-0005-0000-0000-0000AE400000}"/>
    <cellStyle name="20 % - Markeringsfarve6 2 5 9" xfId="56470" xr:uid="{00000000-0005-0000-0000-0000AF400000}"/>
    <cellStyle name="20 % - Markeringsfarve6 2 6" xfId="2898" xr:uid="{00000000-0005-0000-0000-0000B0400000}"/>
    <cellStyle name="20 % - Markeringsfarve6 2 6 2" xfId="2899" xr:uid="{00000000-0005-0000-0000-0000B1400000}"/>
    <cellStyle name="20 % - Markeringsfarve6 2 6 2 2" xfId="2900" xr:uid="{00000000-0005-0000-0000-0000B2400000}"/>
    <cellStyle name="20 % - Markeringsfarve6 2 6 2 2 2" xfId="7821" xr:uid="{00000000-0005-0000-0000-0000B3400000}"/>
    <cellStyle name="20 % - Markeringsfarve6 2 6 2 2 2 2" xfId="15723" xr:uid="{00000000-0005-0000-0000-0000B4400000}"/>
    <cellStyle name="20 % - Markeringsfarve6 2 6 2 2 2 2 2" xfId="32038" xr:uid="{00000000-0005-0000-0000-0000B5400000}"/>
    <cellStyle name="20 % - Markeringsfarve6 2 6 2 2 2 2 3" xfId="47002" xr:uid="{00000000-0005-0000-0000-0000B6400000}"/>
    <cellStyle name="20 % - Markeringsfarve6 2 6 2 2 2 3" xfId="25016" xr:uid="{00000000-0005-0000-0000-0000B7400000}"/>
    <cellStyle name="20 % - Markeringsfarve6 2 6 2 2 2 4" xfId="40003" xr:uid="{00000000-0005-0000-0000-0000B8400000}"/>
    <cellStyle name="20 % - Markeringsfarve6 2 6 2 2 3" xfId="11460" xr:uid="{00000000-0005-0000-0000-0000B9400000}"/>
    <cellStyle name="20 % - Markeringsfarve6 2 6 2 2 3 2" xfId="27780" xr:uid="{00000000-0005-0000-0000-0000BA400000}"/>
    <cellStyle name="20 % - Markeringsfarve6 2 6 2 2 3 3" xfId="42746" xr:uid="{00000000-0005-0000-0000-0000BB400000}"/>
    <cellStyle name="20 % - Markeringsfarve6 2 6 2 2 4" xfId="20758" xr:uid="{00000000-0005-0000-0000-0000BC400000}"/>
    <cellStyle name="20 % - Markeringsfarve6 2 6 2 2 5" xfId="35747" xr:uid="{00000000-0005-0000-0000-0000BD400000}"/>
    <cellStyle name="20 % - Markeringsfarve6 2 6 2 3" xfId="6362" xr:uid="{00000000-0005-0000-0000-0000BE400000}"/>
    <cellStyle name="20 % - Markeringsfarve6 2 6 2 3 2" xfId="14277" xr:uid="{00000000-0005-0000-0000-0000BF400000}"/>
    <cellStyle name="20 % - Markeringsfarve6 2 6 2 3 2 2" xfId="30592" xr:uid="{00000000-0005-0000-0000-0000C0400000}"/>
    <cellStyle name="20 % - Markeringsfarve6 2 6 2 3 2 3" xfId="45556" xr:uid="{00000000-0005-0000-0000-0000C1400000}"/>
    <cellStyle name="20 % - Markeringsfarve6 2 6 2 3 3" xfId="23570" xr:uid="{00000000-0005-0000-0000-0000C2400000}"/>
    <cellStyle name="20 % - Markeringsfarve6 2 6 2 3 4" xfId="38557" xr:uid="{00000000-0005-0000-0000-0000C3400000}"/>
    <cellStyle name="20 % - Markeringsfarve6 2 6 2 4" xfId="11459" xr:uid="{00000000-0005-0000-0000-0000C4400000}"/>
    <cellStyle name="20 % - Markeringsfarve6 2 6 2 4 2" xfId="27779" xr:uid="{00000000-0005-0000-0000-0000C5400000}"/>
    <cellStyle name="20 % - Markeringsfarve6 2 6 2 4 3" xfId="42745" xr:uid="{00000000-0005-0000-0000-0000C6400000}"/>
    <cellStyle name="20 % - Markeringsfarve6 2 6 2 5" xfId="20757" xr:uid="{00000000-0005-0000-0000-0000C7400000}"/>
    <cellStyle name="20 % - Markeringsfarve6 2 6 2 6" xfId="35746" xr:uid="{00000000-0005-0000-0000-0000C8400000}"/>
    <cellStyle name="20 % - Markeringsfarve6 2 6 3" xfId="2901" xr:uid="{00000000-0005-0000-0000-0000C9400000}"/>
    <cellStyle name="20 % - Markeringsfarve6 2 6 3 2" xfId="7097" xr:uid="{00000000-0005-0000-0000-0000CA400000}"/>
    <cellStyle name="20 % - Markeringsfarve6 2 6 3 2 2" xfId="15008" xr:uid="{00000000-0005-0000-0000-0000CB400000}"/>
    <cellStyle name="20 % - Markeringsfarve6 2 6 3 2 2 2" xfId="31323" xr:uid="{00000000-0005-0000-0000-0000CC400000}"/>
    <cellStyle name="20 % - Markeringsfarve6 2 6 3 2 2 3" xfId="46287" xr:uid="{00000000-0005-0000-0000-0000CD400000}"/>
    <cellStyle name="20 % - Markeringsfarve6 2 6 3 2 3" xfId="24301" xr:uid="{00000000-0005-0000-0000-0000CE400000}"/>
    <cellStyle name="20 % - Markeringsfarve6 2 6 3 2 4" xfId="39288" xr:uid="{00000000-0005-0000-0000-0000CF400000}"/>
    <cellStyle name="20 % - Markeringsfarve6 2 6 3 3" xfId="11461" xr:uid="{00000000-0005-0000-0000-0000D0400000}"/>
    <cellStyle name="20 % - Markeringsfarve6 2 6 3 3 2" xfId="27781" xr:uid="{00000000-0005-0000-0000-0000D1400000}"/>
    <cellStyle name="20 % - Markeringsfarve6 2 6 3 3 3" xfId="42747" xr:uid="{00000000-0005-0000-0000-0000D2400000}"/>
    <cellStyle name="20 % - Markeringsfarve6 2 6 3 4" xfId="20759" xr:uid="{00000000-0005-0000-0000-0000D3400000}"/>
    <cellStyle name="20 % - Markeringsfarve6 2 6 3 5" xfId="35748" xr:uid="{00000000-0005-0000-0000-0000D4400000}"/>
    <cellStyle name="20 % - Markeringsfarve6 2 6 4" xfId="2902" xr:uid="{00000000-0005-0000-0000-0000D5400000}"/>
    <cellStyle name="20 % - Markeringsfarve6 2 6 4 2" xfId="8193" xr:uid="{00000000-0005-0000-0000-0000D6400000}"/>
    <cellStyle name="20 % - Markeringsfarve6 2 6 4 2 2" xfId="16090" xr:uid="{00000000-0005-0000-0000-0000D7400000}"/>
    <cellStyle name="20 % - Markeringsfarve6 2 6 4 2 2 2" xfId="32405" xr:uid="{00000000-0005-0000-0000-0000D8400000}"/>
    <cellStyle name="20 % - Markeringsfarve6 2 6 4 2 2 3" xfId="47369" xr:uid="{00000000-0005-0000-0000-0000D9400000}"/>
    <cellStyle name="20 % - Markeringsfarve6 2 6 4 2 3" xfId="25383" xr:uid="{00000000-0005-0000-0000-0000DA400000}"/>
    <cellStyle name="20 % - Markeringsfarve6 2 6 4 2 4" xfId="40370" xr:uid="{00000000-0005-0000-0000-0000DB400000}"/>
    <cellStyle name="20 % - Markeringsfarve6 2 6 4 3" xfId="11462" xr:uid="{00000000-0005-0000-0000-0000DC400000}"/>
    <cellStyle name="20 % - Markeringsfarve6 2 6 4 3 2" xfId="27782" xr:uid="{00000000-0005-0000-0000-0000DD400000}"/>
    <cellStyle name="20 % - Markeringsfarve6 2 6 4 3 3" xfId="42748" xr:uid="{00000000-0005-0000-0000-0000DE400000}"/>
    <cellStyle name="20 % - Markeringsfarve6 2 6 4 4" xfId="20760" xr:uid="{00000000-0005-0000-0000-0000DF400000}"/>
    <cellStyle name="20 % - Markeringsfarve6 2 6 4 5" xfId="35749" xr:uid="{00000000-0005-0000-0000-0000E0400000}"/>
    <cellStyle name="20 % - Markeringsfarve6 2 6 5" xfId="5647" xr:uid="{00000000-0005-0000-0000-0000E1400000}"/>
    <cellStyle name="20 % - Markeringsfarve6 2 6 5 2" xfId="13566" xr:uid="{00000000-0005-0000-0000-0000E2400000}"/>
    <cellStyle name="20 % - Markeringsfarve6 2 6 5 2 2" xfId="29881" xr:uid="{00000000-0005-0000-0000-0000E3400000}"/>
    <cellStyle name="20 % - Markeringsfarve6 2 6 5 2 3" xfId="44845" xr:uid="{00000000-0005-0000-0000-0000E4400000}"/>
    <cellStyle name="20 % - Markeringsfarve6 2 6 5 3" xfId="22859" xr:uid="{00000000-0005-0000-0000-0000E5400000}"/>
    <cellStyle name="20 % - Markeringsfarve6 2 6 5 4" xfId="37846" xr:uid="{00000000-0005-0000-0000-0000E6400000}"/>
    <cellStyle name="20 % - Markeringsfarve6 2 6 6" xfId="11458" xr:uid="{00000000-0005-0000-0000-0000E7400000}"/>
    <cellStyle name="20 % - Markeringsfarve6 2 6 6 2" xfId="27778" xr:uid="{00000000-0005-0000-0000-0000E8400000}"/>
    <cellStyle name="20 % - Markeringsfarve6 2 6 6 3" xfId="42744" xr:uid="{00000000-0005-0000-0000-0000E9400000}"/>
    <cellStyle name="20 % - Markeringsfarve6 2 6 7" xfId="20756" xr:uid="{00000000-0005-0000-0000-0000EA400000}"/>
    <cellStyle name="20 % - Markeringsfarve6 2 6 8" xfId="35745" xr:uid="{00000000-0005-0000-0000-0000EB400000}"/>
    <cellStyle name="20 % - Markeringsfarve6 2 7" xfId="2903" xr:uid="{00000000-0005-0000-0000-0000EC400000}"/>
    <cellStyle name="20 % - Markeringsfarve6 2 7 2" xfId="2904" xr:uid="{00000000-0005-0000-0000-0000ED400000}"/>
    <cellStyle name="20 % - Markeringsfarve6 2 7 2 2" xfId="2905" xr:uid="{00000000-0005-0000-0000-0000EE400000}"/>
    <cellStyle name="20 % - Markeringsfarve6 2 7 2 2 2" xfId="7938" xr:uid="{00000000-0005-0000-0000-0000EF400000}"/>
    <cellStyle name="20 % - Markeringsfarve6 2 7 2 2 2 2" xfId="15840" xr:uid="{00000000-0005-0000-0000-0000F0400000}"/>
    <cellStyle name="20 % - Markeringsfarve6 2 7 2 2 2 2 2" xfId="32155" xr:uid="{00000000-0005-0000-0000-0000F1400000}"/>
    <cellStyle name="20 % - Markeringsfarve6 2 7 2 2 2 2 3" xfId="47119" xr:uid="{00000000-0005-0000-0000-0000F2400000}"/>
    <cellStyle name="20 % - Markeringsfarve6 2 7 2 2 2 3" xfId="25133" xr:uid="{00000000-0005-0000-0000-0000F3400000}"/>
    <cellStyle name="20 % - Markeringsfarve6 2 7 2 2 2 4" xfId="40120" xr:uid="{00000000-0005-0000-0000-0000F4400000}"/>
    <cellStyle name="20 % - Markeringsfarve6 2 7 2 2 3" xfId="11465" xr:uid="{00000000-0005-0000-0000-0000F5400000}"/>
    <cellStyle name="20 % - Markeringsfarve6 2 7 2 2 3 2" xfId="27785" xr:uid="{00000000-0005-0000-0000-0000F6400000}"/>
    <cellStyle name="20 % - Markeringsfarve6 2 7 2 2 3 3" xfId="42751" xr:uid="{00000000-0005-0000-0000-0000F7400000}"/>
    <cellStyle name="20 % - Markeringsfarve6 2 7 2 2 4" xfId="20763" xr:uid="{00000000-0005-0000-0000-0000F8400000}"/>
    <cellStyle name="20 % - Markeringsfarve6 2 7 2 2 5" xfId="35752" xr:uid="{00000000-0005-0000-0000-0000F9400000}"/>
    <cellStyle name="20 % - Markeringsfarve6 2 7 2 3" xfId="6461" xr:uid="{00000000-0005-0000-0000-0000FA400000}"/>
    <cellStyle name="20 % - Markeringsfarve6 2 7 2 3 2" xfId="14376" xr:uid="{00000000-0005-0000-0000-0000FB400000}"/>
    <cellStyle name="20 % - Markeringsfarve6 2 7 2 3 2 2" xfId="30691" xr:uid="{00000000-0005-0000-0000-0000FC400000}"/>
    <cellStyle name="20 % - Markeringsfarve6 2 7 2 3 2 3" xfId="45655" xr:uid="{00000000-0005-0000-0000-0000FD400000}"/>
    <cellStyle name="20 % - Markeringsfarve6 2 7 2 3 3" xfId="23669" xr:uid="{00000000-0005-0000-0000-0000FE400000}"/>
    <cellStyle name="20 % - Markeringsfarve6 2 7 2 3 4" xfId="38656" xr:uid="{00000000-0005-0000-0000-0000FF400000}"/>
    <cellStyle name="20 % - Markeringsfarve6 2 7 2 4" xfId="11464" xr:uid="{00000000-0005-0000-0000-000000410000}"/>
    <cellStyle name="20 % - Markeringsfarve6 2 7 2 4 2" xfId="27784" xr:uid="{00000000-0005-0000-0000-000001410000}"/>
    <cellStyle name="20 % - Markeringsfarve6 2 7 2 4 3" xfId="42750" xr:uid="{00000000-0005-0000-0000-000002410000}"/>
    <cellStyle name="20 % - Markeringsfarve6 2 7 2 5" xfId="20762" xr:uid="{00000000-0005-0000-0000-000003410000}"/>
    <cellStyle name="20 % - Markeringsfarve6 2 7 2 6" xfId="35751" xr:uid="{00000000-0005-0000-0000-000004410000}"/>
    <cellStyle name="20 % - Markeringsfarve6 2 7 3" xfId="2906" xr:uid="{00000000-0005-0000-0000-000005410000}"/>
    <cellStyle name="20 % - Markeringsfarve6 2 7 3 2" xfId="7214" xr:uid="{00000000-0005-0000-0000-000006410000}"/>
    <cellStyle name="20 % - Markeringsfarve6 2 7 3 2 2" xfId="15125" xr:uid="{00000000-0005-0000-0000-000007410000}"/>
    <cellStyle name="20 % - Markeringsfarve6 2 7 3 2 2 2" xfId="31440" xr:uid="{00000000-0005-0000-0000-000008410000}"/>
    <cellStyle name="20 % - Markeringsfarve6 2 7 3 2 2 3" xfId="46404" xr:uid="{00000000-0005-0000-0000-000009410000}"/>
    <cellStyle name="20 % - Markeringsfarve6 2 7 3 2 3" xfId="24418" xr:uid="{00000000-0005-0000-0000-00000A410000}"/>
    <cellStyle name="20 % - Markeringsfarve6 2 7 3 2 4" xfId="39405" xr:uid="{00000000-0005-0000-0000-00000B410000}"/>
    <cellStyle name="20 % - Markeringsfarve6 2 7 3 3" xfId="11466" xr:uid="{00000000-0005-0000-0000-00000C410000}"/>
    <cellStyle name="20 % - Markeringsfarve6 2 7 3 3 2" xfId="27786" xr:uid="{00000000-0005-0000-0000-00000D410000}"/>
    <cellStyle name="20 % - Markeringsfarve6 2 7 3 3 3" xfId="42752" xr:uid="{00000000-0005-0000-0000-00000E410000}"/>
    <cellStyle name="20 % - Markeringsfarve6 2 7 3 4" xfId="20764" xr:uid="{00000000-0005-0000-0000-00000F410000}"/>
    <cellStyle name="20 % - Markeringsfarve6 2 7 3 5" xfId="35753" xr:uid="{00000000-0005-0000-0000-000010410000}"/>
    <cellStyle name="20 % - Markeringsfarve6 2 7 4" xfId="2907" xr:uid="{00000000-0005-0000-0000-000011410000}"/>
    <cellStyle name="20 % - Markeringsfarve6 2 7 4 2" xfId="8146" xr:uid="{00000000-0005-0000-0000-000012410000}"/>
    <cellStyle name="20 % - Markeringsfarve6 2 7 4 2 2" xfId="16044" xr:uid="{00000000-0005-0000-0000-000013410000}"/>
    <cellStyle name="20 % - Markeringsfarve6 2 7 4 2 2 2" xfId="32359" xr:uid="{00000000-0005-0000-0000-000014410000}"/>
    <cellStyle name="20 % - Markeringsfarve6 2 7 4 2 2 3" xfId="47323" xr:uid="{00000000-0005-0000-0000-000015410000}"/>
    <cellStyle name="20 % - Markeringsfarve6 2 7 4 2 3" xfId="25337" xr:uid="{00000000-0005-0000-0000-000016410000}"/>
    <cellStyle name="20 % - Markeringsfarve6 2 7 4 2 4" xfId="40324" xr:uid="{00000000-0005-0000-0000-000017410000}"/>
    <cellStyle name="20 % - Markeringsfarve6 2 7 4 3" xfId="11467" xr:uid="{00000000-0005-0000-0000-000018410000}"/>
    <cellStyle name="20 % - Markeringsfarve6 2 7 4 3 2" xfId="27787" xr:uid="{00000000-0005-0000-0000-000019410000}"/>
    <cellStyle name="20 % - Markeringsfarve6 2 7 4 3 3" xfId="42753" xr:uid="{00000000-0005-0000-0000-00001A410000}"/>
    <cellStyle name="20 % - Markeringsfarve6 2 7 4 4" xfId="20765" xr:uid="{00000000-0005-0000-0000-00001B410000}"/>
    <cellStyle name="20 % - Markeringsfarve6 2 7 4 5" xfId="35754" xr:uid="{00000000-0005-0000-0000-00001C410000}"/>
    <cellStyle name="20 % - Markeringsfarve6 2 7 5" xfId="5648" xr:uid="{00000000-0005-0000-0000-00001D410000}"/>
    <cellStyle name="20 % - Markeringsfarve6 2 7 5 2" xfId="13567" xr:uid="{00000000-0005-0000-0000-00001E410000}"/>
    <cellStyle name="20 % - Markeringsfarve6 2 7 5 2 2" xfId="29882" xr:uid="{00000000-0005-0000-0000-00001F410000}"/>
    <cellStyle name="20 % - Markeringsfarve6 2 7 5 2 3" xfId="44846" xr:uid="{00000000-0005-0000-0000-000020410000}"/>
    <cellStyle name="20 % - Markeringsfarve6 2 7 5 3" xfId="22860" xr:uid="{00000000-0005-0000-0000-000021410000}"/>
    <cellStyle name="20 % - Markeringsfarve6 2 7 5 4" xfId="37847" xr:uid="{00000000-0005-0000-0000-000022410000}"/>
    <cellStyle name="20 % - Markeringsfarve6 2 7 6" xfId="11463" xr:uid="{00000000-0005-0000-0000-000023410000}"/>
    <cellStyle name="20 % - Markeringsfarve6 2 7 6 2" xfId="27783" xr:uid="{00000000-0005-0000-0000-000024410000}"/>
    <cellStyle name="20 % - Markeringsfarve6 2 7 6 3" xfId="42749" xr:uid="{00000000-0005-0000-0000-000025410000}"/>
    <cellStyle name="20 % - Markeringsfarve6 2 7 7" xfId="20761" xr:uid="{00000000-0005-0000-0000-000026410000}"/>
    <cellStyle name="20 % - Markeringsfarve6 2 7 8" xfId="35750" xr:uid="{00000000-0005-0000-0000-000027410000}"/>
    <cellStyle name="20 % - Markeringsfarve6 2 8" xfId="2908" xr:uid="{00000000-0005-0000-0000-000028410000}"/>
    <cellStyle name="20 % - Markeringsfarve6 2 8 2" xfId="2909" xr:uid="{00000000-0005-0000-0000-000029410000}"/>
    <cellStyle name="20 % - Markeringsfarve6 2 8 2 2" xfId="2910" xr:uid="{00000000-0005-0000-0000-00002A410000}"/>
    <cellStyle name="20 % - Markeringsfarve6 2 8 2 2 2" xfId="8065" xr:uid="{00000000-0005-0000-0000-00002B410000}"/>
    <cellStyle name="20 % - Markeringsfarve6 2 8 2 2 2 2" xfId="15967" xr:uid="{00000000-0005-0000-0000-00002C410000}"/>
    <cellStyle name="20 % - Markeringsfarve6 2 8 2 2 2 2 2" xfId="32282" xr:uid="{00000000-0005-0000-0000-00002D410000}"/>
    <cellStyle name="20 % - Markeringsfarve6 2 8 2 2 2 2 3" xfId="47246" xr:uid="{00000000-0005-0000-0000-00002E410000}"/>
    <cellStyle name="20 % - Markeringsfarve6 2 8 2 2 2 3" xfId="25260" xr:uid="{00000000-0005-0000-0000-00002F410000}"/>
    <cellStyle name="20 % - Markeringsfarve6 2 8 2 2 2 4" xfId="40247" xr:uid="{00000000-0005-0000-0000-000030410000}"/>
    <cellStyle name="20 % - Markeringsfarve6 2 8 2 2 3" xfId="11470" xr:uid="{00000000-0005-0000-0000-000031410000}"/>
    <cellStyle name="20 % - Markeringsfarve6 2 8 2 2 3 2" xfId="27790" xr:uid="{00000000-0005-0000-0000-000032410000}"/>
    <cellStyle name="20 % - Markeringsfarve6 2 8 2 2 3 3" xfId="42756" xr:uid="{00000000-0005-0000-0000-000033410000}"/>
    <cellStyle name="20 % - Markeringsfarve6 2 8 2 2 4" xfId="20768" xr:uid="{00000000-0005-0000-0000-000034410000}"/>
    <cellStyle name="20 % - Markeringsfarve6 2 8 2 2 5" xfId="35757" xr:uid="{00000000-0005-0000-0000-000035410000}"/>
    <cellStyle name="20 % - Markeringsfarve6 2 8 2 3" xfId="6567" xr:uid="{00000000-0005-0000-0000-000036410000}"/>
    <cellStyle name="20 % - Markeringsfarve6 2 8 2 3 2" xfId="14482" xr:uid="{00000000-0005-0000-0000-000037410000}"/>
    <cellStyle name="20 % - Markeringsfarve6 2 8 2 3 2 2" xfId="30797" xr:uid="{00000000-0005-0000-0000-000038410000}"/>
    <cellStyle name="20 % - Markeringsfarve6 2 8 2 3 2 3" xfId="45761" xr:uid="{00000000-0005-0000-0000-000039410000}"/>
    <cellStyle name="20 % - Markeringsfarve6 2 8 2 3 3" xfId="23775" xr:uid="{00000000-0005-0000-0000-00003A410000}"/>
    <cellStyle name="20 % - Markeringsfarve6 2 8 2 3 4" xfId="38762" xr:uid="{00000000-0005-0000-0000-00003B410000}"/>
    <cellStyle name="20 % - Markeringsfarve6 2 8 2 4" xfId="11469" xr:uid="{00000000-0005-0000-0000-00003C410000}"/>
    <cellStyle name="20 % - Markeringsfarve6 2 8 2 4 2" xfId="27789" xr:uid="{00000000-0005-0000-0000-00003D410000}"/>
    <cellStyle name="20 % - Markeringsfarve6 2 8 2 4 3" xfId="42755" xr:uid="{00000000-0005-0000-0000-00003E410000}"/>
    <cellStyle name="20 % - Markeringsfarve6 2 8 2 5" xfId="20767" xr:uid="{00000000-0005-0000-0000-00003F410000}"/>
    <cellStyle name="20 % - Markeringsfarve6 2 8 2 6" xfId="35756" xr:uid="{00000000-0005-0000-0000-000040410000}"/>
    <cellStyle name="20 % - Markeringsfarve6 2 8 3" xfId="2911" xr:uid="{00000000-0005-0000-0000-000041410000}"/>
    <cellStyle name="20 % - Markeringsfarve6 2 8 3 2" xfId="7342" xr:uid="{00000000-0005-0000-0000-000042410000}"/>
    <cellStyle name="20 % - Markeringsfarve6 2 8 3 2 2" xfId="15253" xr:uid="{00000000-0005-0000-0000-000043410000}"/>
    <cellStyle name="20 % - Markeringsfarve6 2 8 3 2 2 2" xfId="31568" xr:uid="{00000000-0005-0000-0000-000044410000}"/>
    <cellStyle name="20 % - Markeringsfarve6 2 8 3 2 2 3" xfId="46532" xr:uid="{00000000-0005-0000-0000-000045410000}"/>
    <cellStyle name="20 % - Markeringsfarve6 2 8 3 2 3" xfId="24546" xr:uid="{00000000-0005-0000-0000-000046410000}"/>
    <cellStyle name="20 % - Markeringsfarve6 2 8 3 2 4" xfId="39533" xr:uid="{00000000-0005-0000-0000-000047410000}"/>
    <cellStyle name="20 % - Markeringsfarve6 2 8 3 3" xfId="11471" xr:uid="{00000000-0005-0000-0000-000048410000}"/>
    <cellStyle name="20 % - Markeringsfarve6 2 8 3 3 2" xfId="27791" xr:uid="{00000000-0005-0000-0000-000049410000}"/>
    <cellStyle name="20 % - Markeringsfarve6 2 8 3 3 3" xfId="42757" xr:uid="{00000000-0005-0000-0000-00004A410000}"/>
    <cellStyle name="20 % - Markeringsfarve6 2 8 3 4" xfId="20769" xr:uid="{00000000-0005-0000-0000-00004B410000}"/>
    <cellStyle name="20 % - Markeringsfarve6 2 8 3 5" xfId="35758" xr:uid="{00000000-0005-0000-0000-00004C410000}"/>
    <cellStyle name="20 % - Markeringsfarve6 2 8 4" xfId="2912" xr:uid="{00000000-0005-0000-0000-00004D410000}"/>
    <cellStyle name="20 % - Markeringsfarve6 2 8 4 2" xfId="8487" xr:uid="{00000000-0005-0000-0000-00004E410000}"/>
    <cellStyle name="20 % - Markeringsfarve6 2 8 4 2 2" xfId="16376" xr:uid="{00000000-0005-0000-0000-00004F410000}"/>
    <cellStyle name="20 % - Markeringsfarve6 2 8 4 2 2 2" xfId="32691" xr:uid="{00000000-0005-0000-0000-000050410000}"/>
    <cellStyle name="20 % - Markeringsfarve6 2 8 4 2 2 3" xfId="47655" xr:uid="{00000000-0005-0000-0000-000051410000}"/>
    <cellStyle name="20 % - Markeringsfarve6 2 8 4 2 3" xfId="25669" xr:uid="{00000000-0005-0000-0000-000052410000}"/>
    <cellStyle name="20 % - Markeringsfarve6 2 8 4 2 4" xfId="40656" xr:uid="{00000000-0005-0000-0000-000053410000}"/>
    <cellStyle name="20 % - Markeringsfarve6 2 8 4 3" xfId="11472" xr:uid="{00000000-0005-0000-0000-000054410000}"/>
    <cellStyle name="20 % - Markeringsfarve6 2 8 4 3 2" xfId="27792" xr:uid="{00000000-0005-0000-0000-000055410000}"/>
    <cellStyle name="20 % - Markeringsfarve6 2 8 4 3 3" xfId="42758" xr:uid="{00000000-0005-0000-0000-000056410000}"/>
    <cellStyle name="20 % - Markeringsfarve6 2 8 4 4" xfId="20770" xr:uid="{00000000-0005-0000-0000-000057410000}"/>
    <cellStyle name="20 % - Markeringsfarve6 2 8 4 5" xfId="35759" xr:uid="{00000000-0005-0000-0000-000058410000}"/>
    <cellStyle name="20 % - Markeringsfarve6 2 8 5" xfId="5649" xr:uid="{00000000-0005-0000-0000-000059410000}"/>
    <cellStyle name="20 % - Markeringsfarve6 2 8 5 2" xfId="13568" xr:uid="{00000000-0005-0000-0000-00005A410000}"/>
    <cellStyle name="20 % - Markeringsfarve6 2 8 5 2 2" xfId="29883" xr:uid="{00000000-0005-0000-0000-00005B410000}"/>
    <cellStyle name="20 % - Markeringsfarve6 2 8 5 2 3" xfId="44847" xr:uid="{00000000-0005-0000-0000-00005C410000}"/>
    <cellStyle name="20 % - Markeringsfarve6 2 8 5 3" xfId="22861" xr:uid="{00000000-0005-0000-0000-00005D410000}"/>
    <cellStyle name="20 % - Markeringsfarve6 2 8 5 4" xfId="37848" xr:uid="{00000000-0005-0000-0000-00005E410000}"/>
    <cellStyle name="20 % - Markeringsfarve6 2 8 6" xfId="11468" xr:uid="{00000000-0005-0000-0000-00005F410000}"/>
    <cellStyle name="20 % - Markeringsfarve6 2 8 6 2" xfId="27788" xr:uid="{00000000-0005-0000-0000-000060410000}"/>
    <cellStyle name="20 % - Markeringsfarve6 2 8 6 3" xfId="42754" xr:uid="{00000000-0005-0000-0000-000061410000}"/>
    <cellStyle name="20 % - Markeringsfarve6 2 8 7" xfId="20766" xr:uid="{00000000-0005-0000-0000-000062410000}"/>
    <cellStyle name="20 % - Markeringsfarve6 2 8 8" xfId="35755" xr:uid="{00000000-0005-0000-0000-000063410000}"/>
    <cellStyle name="20 % - Markeringsfarve6 2 9" xfId="2913" xr:uid="{00000000-0005-0000-0000-000064410000}"/>
    <cellStyle name="20 % - Markeringsfarve6 2 9 2" xfId="2914" xr:uid="{00000000-0005-0000-0000-000065410000}"/>
    <cellStyle name="20 % - Markeringsfarve6 2 9 2 2" xfId="7464" xr:uid="{00000000-0005-0000-0000-000066410000}"/>
    <cellStyle name="20 % - Markeringsfarve6 2 9 2 2 2" xfId="15366" xr:uid="{00000000-0005-0000-0000-000067410000}"/>
    <cellStyle name="20 % - Markeringsfarve6 2 9 2 2 2 2" xfId="31681" xr:uid="{00000000-0005-0000-0000-000068410000}"/>
    <cellStyle name="20 % - Markeringsfarve6 2 9 2 2 2 3" xfId="46645" xr:uid="{00000000-0005-0000-0000-000069410000}"/>
    <cellStyle name="20 % - Markeringsfarve6 2 9 2 2 3" xfId="24659" xr:uid="{00000000-0005-0000-0000-00006A410000}"/>
    <cellStyle name="20 % - Markeringsfarve6 2 9 2 2 4" xfId="39646" xr:uid="{00000000-0005-0000-0000-00006B410000}"/>
    <cellStyle name="20 % - Markeringsfarve6 2 9 2 3" xfId="11474" xr:uid="{00000000-0005-0000-0000-00006C410000}"/>
    <cellStyle name="20 % - Markeringsfarve6 2 9 2 3 2" xfId="27794" xr:uid="{00000000-0005-0000-0000-00006D410000}"/>
    <cellStyle name="20 % - Markeringsfarve6 2 9 2 3 3" xfId="42760" xr:uid="{00000000-0005-0000-0000-00006E410000}"/>
    <cellStyle name="20 % - Markeringsfarve6 2 9 2 4" xfId="20772" xr:uid="{00000000-0005-0000-0000-00006F410000}"/>
    <cellStyle name="20 % - Markeringsfarve6 2 9 2 5" xfId="35761" xr:uid="{00000000-0005-0000-0000-000070410000}"/>
    <cellStyle name="20 % - Markeringsfarve6 2 9 3" xfId="6061" xr:uid="{00000000-0005-0000-0000-000071410000}"/>
    <cellStyle name="20 % - Markeringsfarve6 2 9 3 2" xfId="13979" xr:uid="{00000000-0005-0000-0000-000072410000}"/>
    <cellStyle name="20 % - Markeringsfarve6 2 9 3 2 2" xfId="30294" xr:uid="{00000000-0005-0000-0000-000073410000}"/>
    <cellStyle name="20 % - Markeringsfarve6 2 9 3 2 3" xfId="45258" xr:uid="{00000000-0005-0000-0000-000074410000}"/>
    <cellStyle name="20 % - Markeringsfarve6 2 9 3 3" xfId="23272" xr:uid="{00000000-0005-0000-0000-000075410000}"/>
    <cellStyle name="20 % - Markeringsfarve6 2 9 3 4" xfId="38259" xr:uid="{00000000-0005-0000-0000-000076410000}"/>
    <cellStyle name="20 % - Markeringsfarve6 2 9 4" xfId="11473" xr:uid="{00000000-0005-0000-0000-000077410000}"/>
    <cellStyle name="20 % - Markeringsfarve6 2 9 4 2" xfId="27793" xr:uid="{00000000-0005-0000-0000-000078410000}"/>
    <cellStyle name="20 % - Markeringsfarve6 2 9 4 3" xfId="42759" xr:uid="{00000000-0005-0000-0000-000079410000}"/>
    <cellStyle name="20 % - Markeringsfarve6 2 9 5" xfId="20771" xr:uid="{00000000-0005-0000-0000-00007A410000}"/>
    <cellStyle name="20 % - Markeringsfarve6 2 9 6" xfId="35760" xr:uid="{00000000-0005-0000-0000-00007B410000}"/>
    <cellStyle name="20 % - Markeringsfarve6 3" xfId="2915" xr:uid="{00000000-0005-0000-0000-00007C410000}"/>
    <cellStyle name="20 % - Markeringsfarve6 3 10" xfId="2916" xr:uid="{00000000-0005-0000-0000-00007D410000}"/>
    <cellStyle name="20 % - Markeringsfarve6 3 10 2" xfId="6677" xr:uid="{00000000-0005-0000-0000-00007E410000}"/>
    <cellStyle name="20 % - Markeringsfarve6 3 10 2 2" xfId="14590" xr:uid="{00000000-0005-0000-0000-00007F410000}"/>
    <cellStyle name="20 % - Markeringsfarve6 3 10 2 2 2" xfId="30905" xr:uid="{00000000-0005-0000-0000-000080410000}"/>
    <cellStyle name="20 % - Markeringsfarve6 3 10 2 2 3" xfId="45869" xr:uid="{00000000-0005-0000-0000-000081410000}"/>
    <cellStyle name="20 % - Markeringsfarve6 3 10 2 3" xfId="23883" xr:uid="{00000000-0005-0000-0000-000082410000}"/>
    <cellStyle name="20 % - Markeringsfarve6 3 10 2 4" xfId="38870" xr:uid="{00000000-0005-0000-0000-000083410000}"/>
    <cellStyle name="20 % - Markeringsfarve6 3 10 3" xfId="11476" xr:uid="{00000000-0005-0000-0000-000084410000}"/>
    <cellStyle name="20 % - Markeringsfarve6 3 10 3 2" xfId="27796" xr:uid="{00000000-0005-0000-0000-000085410000}"/>
    <cellStyle name="20 % - Markeringsfarve6 3 10 3 3" xfId="42762" xr:uid="{00000000-0005-0000-0000-000086410000}"/>
    <cellStyle name="20 % - Markeringsfarve6 3 10 4" xfId="20774" xr:uid="{00000000-0005-0000-0000-000087410000}"/>
    <cellStyle name="20 % - Markeringsfarve6 3 10 5" xfId="35763" xr:uid="{00000000-0005-0000-0000-000088410000}"/>
    <cellStyle name="20 % - Markeringsfarve6 3 11" xfId="2917" xr:uid="{00000000-0005-0000-0000-000089410000}"/>
    <cellStyle name="20 % - Markeringsfarve6 3 11 2" xfId="8721" xr:uid="{00000000-0005-0000-0000-00008A410000}"/>
    <cellStyle name="20 % - Markeringsfarve6 3 11 2 2" xfId="16598" xr:uid="{00000000-0005-0000-0000-00008B410000}"/>
    <cellStyle name="20 % - Markeringsfarve6 3 11 2 2 2" xfId="32913" xr:uid="{00000000-0005-0000-0000-00008C410000}"/>
    <cellStyle name="20 % - Markeringsfarve6 3 11 2 2 3" xfId="47877" xr:uid="{00000000-0005-0000-0000-00008D410000}"/>
    <cellStyle name="20 % - Markeringsfarve6 3 11 2 3" xfId="25891" xr:uid="{00000000-0005-0000-0000-00008E410000}"/>
    <cellStyle name="20 % - Markeringsfarve6 3 11 2 4" xfId="40878" xr:uid="{00000000-0005-0000-0000-00008F410000}"/>
    <cellStyle name="20 % - Markeringsfarve6 3 11 3" xfId="11477" xr:uid="{00000000-0005-0000-0000-000090410000}"/>
    <cellStyle name="20 % - Markeringsfarve6 3 11 3 2" xfId="27797" xr:uid="{00000000-0005-0000-0000-000091410000}"/>
    <cellStyle name="20 % - Markeringsfarve6 3 11 3 3" xfId="42763" xr:uid="{00000000-0005-0000-0000-000092410000}"/>
    <cellStyle name="20 % - Markeringsfarve6 3 11 4" xfId="20775" xr:uid="{00000000-0005-0000-0000-000093410000}"/>
    <cellStyle name="20 % - Markeringsfarve6 3 11 5" xfId="35764" xr:uid="{00000000-0005-0000-0000-000094410000}"/>
    <cellStyle name="20 % - Markeringsfarve6 3 12" xfId="5650" xr:uid="{00000000-0005-0000-0000-000095410000}"/>
    <cellStyle name="20 % - Markeringsfarve6 3 12 2" xfId="13569" xr:uid="{00000000-0005-0000-0000-000096410000}"/>
    <cellStyle name="20 % - Markeringsfarve6 3 12 2 2" xfId="29884" xr:uid="{00000000-0005-0000-0000-000097410000}"/>
    <cellStyle name="20 % - Markeringsfarve6 3 12 2 3" xfId="44848" xr:uid="{00000000-0005-0000-0000-000098410000}"/>
    <cellStyle name="20 % - Markeringsfarve6 3 12 3" xfId="22862" xr:uid="{00000000-0005-0000-0000-000099410000}"/>
    <cellStyle name="20 % - Markeringsfarve6 3 12 4" xfId="37849" xr:uid="{00000000-0005-0000-0000-00009A410000}"/>
    <cellStyle name="20 % - Markeringsfarve6 3 13" xfId="11475" xr:uid="{00000000-0005-0000-0000-00009B410000}"/>
    <cellStyle name="20 % - Markeringsfarve6 3 13 2" xfId="27795" xr:uid="{00000000-0005-0000-0000-00009C410000}"/>
    <cellStyle name="20 % - Markeringsfarve6 3 13 3" xfId="42761" xr:uid="{00000000-0005-0000-0000-00009D410000}"/>
    <cellStyle name="20 % - Markeringsfarve6 3 14" xfId="20773" xr:uid="{00000000-0005-0000-0000-00009E410000}"/>
    <cellStyle name="20 % - Markeringsfarve6 3 15" xfId="35762" xr:uid="{00000000-0005-0000-0000-00009F410000}"/>
    <cellStyle name="20 % - Markeringsfarve6 3 16" xfId="53286" xr:uid="{00000000-0005-0000-0000-0000A0410000}"/>
    <cellStyle name="20 % - Markeringsfarve6 3 2" xfId="2918" xr:uid="{00000000-0005-0000-0000-0000A1410000}"/>
    <cellStyle name="20 % - Markeringsfarve6 3 2 10" xfId="5651" xr:uid="{00000000-0005-0000-0000-0000A2410000}"/>
    <cellStyle name="20 % - Markeringsfarve6 3 2 10 2" xfId="13570" xr:uid="{00000000-0005-0000-0000-0000A3410000}"/>
    <cellStyle name="20 % - Markeringsfarve6 3 2 10 2 2" xfId="29885" xr:uid="{00000000-0005-0000-0000-0000A4410000}"/>
    <cellStyle name="20 % - Markeringsfarve6 3 2 10 2 3" xfId="44849" xr:uid="{00000000-0005-0000-0000-0000A5410000}"/>
    <cellStyle name="20 % - Markeringsfarve6 3 2 10 3" xfId="22863" xr:uid="{00000000-0005-0000-0000-0000A6410000}"/>
    <cellStyle name="20 % - Markeringsfarve6 3 2 10 4" xfId="37850" xr:uid="{00000000-0005-0000-0000-0000A7410000}"/>
    <cellStyle name="20 % - Markeringsfarve6 3 2 11" xfId="11478" xr:uid="{00000000-0005-0000-0000-0000A8410000}"/>
    <cellStyle name="20 % - Markeringsfarve6 3 2 11 2" xfId="27798" xr:uid="{00000000-0005-0000-0000-0000A9410000}"/>
    <cellStyle name="20 % - Markeringsfarve6 3 2 11 3" xfId="42764" xr:uid="{00000000-0005-0000-0000-0000AA410000}"/>
    <cellStyle name="20 % - Markeringsfarve6 3 2 12" xfId="20776" xr:uid="{00000000-0005-0000-0000-0000AB410000}"/>
    <cellStyle name="20 % - Markeringsfarve6 3 2 13" xfId="35765" xr:uid="{00000000-0005-0000-0000-0000AC410000}"/>
    <cellStyle name="20 % - Markeringsfarve6 3 2 14" xfId="53923" xr:uid="{00000000-0005-0000-0000-0000AD410000}"/>
    <cellStyle name="20 % - Markeringsfarve6 3 2 2" xfId="2919" xr:uid="{00000000-0005-0000-0000-0000AE410000}"/>
    <cellStyle name="20 % - Markeringsfarve6 3 2 2 2" xfId="2920" xr:uid="{00000000-0005-0000-0000-0000AF410000}"/>
    <cellStyle name="20 % - Markeringsfarve6 3 2 2 2 2" xfId="2921" xr:uid="{00000000-0005-0000-0000-0000B0410000}"/>
    <cellStyle name="20 % - Markeringsfarve6 3 2 2 2 2 2" xfId="7610" xr:uid="{00000000-0005-0000-0000-0000B1410000}"/>
    <cellStyle name="20 % - Markeringsfarve6 3 2 2 2 2 2 2" xfId="15512" xr:uid="{00000000-0005-0000-0000-0000B2410000}"/>
    <cellStyle name="20 % - Markeringsfarve6 3 2 2 2 2 2 2 2" xfId="31827" xr:uid="{00000000-0005-0000-0000-0000B3410000}"/>
    <cellStyle name="20 % - Markeringsfarve6 3 2 2 2 2 2 2 3" xfId="46791" xr:uid="{00000000-0005-0000-0000-0000B4410000}"/>
    <cellStyle name="20 % - Markeringsfarve6 3 2 2 2 2 2 3" xfId="24805" xr:uid="{00000000-0005-0000-0000-0000B5410000}"/>
    <cellStyle name="20 % - Markeringsfarve6 3 2 2 2 2 2 4" xfId="39792" xr:uid="{00000000-0005-0000-0000-0000B6410000}"/>
    <cellStyle name="20 % - Markeringsfarve6 3 2 2 2 2 3" xfId="11481" xr:uid="{00000000-0005-0000-0000-0000B7410000}"/>
    <cellStyle name="20 % - Markeringsfarve6 3 2 2 2 2 3 2" xfId="27801" xr:uid="{00000000-0005-0000-0000-0000B8410000}"/>
    <cellStyle name="20 % - Markeringsfarve6 3 2 2 2 2 3 3" xfId="42767" xr:uid="{00000000-0005-0000-0000-0000B9410000}"/>
    <cellStyle name="20 % - Markeringsfarve6 3 2 2 2 2 4" xfId="20779" xr:uid="{00000000-0005-0000-0000-0000BA410000}"/>
    <cellStyle name="20 % - Markeringsfarve6 3 2 2 2 2 5" xfId="35768" xr:uid="{00000000-0005-0000-0000-0000BB410000}"/>
    <cellStyle name="20 % - Markeringsfarve6 3 2 2 2 3" xfId="6183" xr:uid="{00000000-0005-0000-0000-0000BC410000}"/>
    <cellStyle name="20 % - Markeringsfarve6 3 2 2 2 3 2" xfId="14101" xr:uid="{00000000-0005-0000-0000-0000BD410000}"/>
    <cellStyle name="20 % - Markeringsfarve6 3 2 2 2 3 2 2" xfId="30416" xr:uid="{00000000-0005-0000-0000-0000BE410000}"/>
    <cellStyle name="20 % - Markeringsfarve6 3 2 2 2 3 2 3" xfId="45380" xr:uid="{00000000-0005-0000-0000-0000BF410000}"/>
    <cellStyle name="20 % - Markeringsfarve6 3 2 2 2 3 3" xfId="23394" xr:uid="{00000000-0005-0000-0000-0000C0410000}"/>
    <cellStyle name="20 % - Markeringsfarve6 3 2 2 2 3 4" xfId="38381" xr:uid="{00000000-0005-0000-0000-0000C1410000}"/>
    <cellStyle name="20 % - Markeringsfarve6 3 2 2 2 4" xfId="11480" xr:uid="{00000000-0005-0000-0000-0000C2410000}"/>
    <cellStyle name="20 % - Markeringsfarve6 3 2 2 2 4 2" xfId="27800" xr:uid="{00000000-0005-0000-0000-0000C3410000}"/>
    <cellStyle name="20 % - Markeringsfarve6 3 2 2 2 4 3" xfId="42766" xr:uid="{00000000-0005-0000-0000-0000C4410000}"/>
    <cellStyle name="20 % - Markeringsfarve6 3 2 2 2 5" xfId="20778" xr:uid="{00000000-0005-0000-0000-0000C5410000}"/>
    <cellStyle name="20 % - Markeringsfarve6 3 2 2 2 6" xfId="35767" xr:uid="{00000000-0005-0000-0000-0000C6410000}"/>
    <cellStyle name="20 % - Markeringsfarve6 3 2 2 3" xfId="2922" xr:uid="{00000000-0005-0000-0000-0000C7410000}"/>
    <cellStyle name="20 % - Markeringsfarve6 3 2 2 3 2" xfId="6840" xr:uid="{00000000-0005-0000-0000-0000C8410000}"/>
    <cellStyle name="20 % - Markeringsfarve6 3 2 2 3 2 2" xfId="14752" xr:uid="{00000000-0005-0000-0000-0000C9410000}"/>
    <cellStyle name="20 % - Markeringsfarve6 3 2 2 3 2 2 2" xfId="31067" xr:uid="{00000000-0005-0000-0000-0000CA410000}"/>
    <cellStyle name="20 % - Markeringsfarve6 3 2 2 3 2 2 3" xfId="46031" xr:uid="{00000000-0005-0000-0000-0000CB410000}"/>
    <cellStyle name="20 % - Markeringsfarve6 3 2 2 3 2 3" xfId="24045" xr:uid="{00000000-0005-0000-0000-0000CC410000}"/>
    <cellStyle name="20 % - Markeringsfarve6 3 2 2 3 2 4" xfId="39032" xr:uid="{00000000-0005-0000-0000-0000CD410000}"/>
    <cellStyle name="20 % - Markeringsfarve6 3 2 2 3 3" xfId="11482" xr:uid="{00000000-0005-0000-0000-0000CE410000}"/>
    <cellStyle name="20 % - Markeringsfarve6 3 2 2 3 3 2" xfId="27802" xr:uid="{00000000-0005-0000-0000-0000CF410000}"/>
    <cellStyle name="20 % - Markeringsfarve6 3 2 2 3 3 3" xfId="42768" xr:uid="{00000000-0005-0000-0000-0000D0410000}"/>
    <cellStyle name="20 % - Markeringsfarve6 3 2 2 3 4" xfId="20780" xr:uid="{00000000-0005-0000-0000-0000D1410000}"/>
    <cellStyle name="20 % - Markeringsfarve6 3 2 2 3 5" xfId="35769" xr:uid="{00000000-0005-0000-0000-0000D2410000}"/>
    <cellStyle name="20 % - Markeringsfarve6 3 2 2 4" xfId="2923" xr:uid="{00000000-0005-0000-0000-0000D3410000}"/>
    <cellStyle name="20 % - Markeringsfarve6 3 2 2 4 2" xfId="8660" xr:uid="{00000000-0005-0000-0000-0000D4410000}"/>
    <cellStyle name="20 % - Markeringsfarve6 3 2 2 4 2 2" xfId="16541" xr:uid="{00000000-0005-0000-0000-0000D5410000}"/>
    <cellStyle name="20 % - Markeringsfarve6 3 2 2 4 2 2 2" xfId="32856" xr:uid="{00000000-0005-0000-0000-0000D6410000}"/>
    <cellStyle name="20 % - Markeringsfarve6 3 2 2 4 2 2 3" xfId="47820" xr:uid="{00000000-0005-0000-0000-0000D7410000}"/>
    <cellStyle name="20 % - Markeringsfarve6 3 2 2 4 2 3" xfId="25834" xr:uid="{00000000-0005-0000-0000-0000D8410000}"/>
    <cellStyle name="20 % - Markeringsfarve6 3 2 2 4 2 4" xfId="40821" xr:uid="{00000000-0005-0000-0000-0000D9410000}"/>
    <cellStyle name="20 % - Markeringsfarve6 3 2 2 4 3" xfId="11483" xr:uid="{00000000-0005-0000-0000-0000DA410000}"/>
    <cellStyle name="20 % - Markeringsfarve6 3 2 2 4 3 2" xfId="27803" xr:uid="{00000000-0005-0000-0000-0000DB410000}"/>
    <cellStyle name="20 % - Markeringsfarve6 3 2 2 4 3 3" xfId="42769" xr:uid="{00000000-0005-0000-0000-0000DC410000}"/>
    <cellStyle name="20 % - Markeringsfarve6 3 2 2 4 4" xfId="20781" xr:uid="{00000000-0005-0000-0000-0000DD410000}"/>
    <cellStyle name="20 % - Markeringsfarve6 3 2 2 4 5" xfId="35770" xr:uid="{00000000-0005-0000-0000-0000DE410000}"/>
    <cellStyle name="20 % - Markeringsfarve6 3 2 2 5" xfId="5652" xr:uid="{00000000-0005-0000-0000-0000DF410000}"/>
    <cellStyle name="20 % - Markeringsfarve6 3 2 2 5 2" xfId="13571" xr:uid="{00000000-0005-0000-0000-0000E0410000}"/>
    <cellStyle name="20 % - Markeringsfarve6 3 2 2 5 2 2" xfId="29886" xr:uid="{00000000-0005-0000-0000-0000E1410000}"/>
    <cellStyle name="20 % - Markeringsfarve6 3 2 2 5 2 3" xfId="44850" xr:uid="{00000000-0005-0000-0000-0000E2410000}"/>
    <cellStyle name="20 % - Markeringsfarve6 3 2 2 5 3" xfId="22864" xr:uid="{00000000-0005-0000-0000-0000E3410000}"/>
    <cellStyle name="20 % - Markeringsfarve6 3 2 2 5 4" xfId="37851" xr:uid="{00000000-0005-0000-0000-0000E4410000}"/>
    <cellStyle name="20 % - Markeringsfarve6 3 2 2 6" xfId="11479" xr:uid="{00000000-0005-0000-0000-0000E5410000}"/>
    <cellStyle name="20 % - Markeringsfarve6 3 2 2 6 2" xfId="27799" xr:uid="{00000000-0005-0000-0000-0000E6410000}"/>
    <cellStyle name="20 % - Markeringsfarve6 3 2 2 6 3" xfId="42765" xr:uid="{00000000-0005-0000-0000-0000E7410000}"/>
    <cellStyle name="20 % - Markeringsfarve6 3 2 2 7" xfId="20777" xr:uid="{00000000-0005-0000-0000-0000E8410000}"/>
    <cellStyle name="20 % - Markeringsfarve6 3 2 2 8" xfId="35766" xr:uid="{00000000-0005-0000-0000-0000E9410000}"/>
    <cellStyle name="20 % - Markeringsfarve6 3 2 2 9" xfId="57090" xr:uid="{00000000-0005-0000-0000-0000EA410000}"/>
    <cellStyle name="20 % - Markeringsfarve6 3 2 3" xfId="2924" xr:uid="{00000000-0005-0000-0000-0000EB410000}"/>
    <cellStyle name="20 % - Markeringsfarve6 3 2 3 2" xfId="2925" xr:uid="{00000000-0005-0000-0000-0000EC410000}"/>
    <cellStyle name="20 % - Markeringsfarve6 3 2 3 2 2" xfId="2926" xr:uid="{00000000-0005-0000-0000-0000ED410000}"/>
    <cellStyle name="20 % - Markeringsfarve6 3 2 3 2 2 2" xfId="7715" xr:uid="{00000000-0005-0000-0000-0000EE410000}"/>
    <cellStyle name="20 % - Markeringsfarve6 3 2 3 2 2 2 2" xfId="15617" xr:uid="{00000000-0005-0000-0000-0000EF410000}"/>
    <cellStyle name="20 % - Markeringsfarve6 3 2 3 2 2 2 2 2" xfId="31932" xr:uid="{00000000-0005-0000-0000-0000F0410000}"/>
    <cellStyle name="20 % - Markeringsfarve6 3 2 3 2 2 2 2 3" xfId="46896" xr:uid="{00000000-0005-0000-0000-0000F1410000}"/>
    <cellStyle name="20 % - Markeringsfarve6 3 2 3 2 2 2 3" xfId="24910" xr:uid="{00000000-0005-0000-0000-0000F2410000}"/>
    <cellStyle name="20 % - Markeringsfarve6 3 2 3 2 2 2 4" xfId="39897" xr:uid="{00000000-0005-0000-0000-0000F3410000}"/>
    <cellStyle name="20 % - Markeringsfarve6 3 2 3 2 2 3" xfId="11486" xr:uid="{00000000-0005-0000-0000-0000F4410000}"/>
    <cellStyle name="20 % - Markeringsfarve6 3 2 3 2 2 3 2" xfId="27806" xr:uid="{00000000-0005-0000-0000-0000F5410000}"/>
    <cellStyle name="20 % - Markeringsfarve6 3 2 3 2 2 3 3" xfId="42772" xr:uid="{00000000-0005-0000-0000-0000F6410000}"/>
    <cellStyle name="20 % - Markeringsfarve6 3 2 3 2 2 4" xfId="20784" xr:uid="{00000000-0005-0000-0000-0000F7410000}"/>
    <cellStyle name="20 % - Markeringsfarve6 3 2 3 2 2 5" xfId="35773" xr:uid="{00000000-0005-0000-0000-0000F8410000}"/>
    <cellStyle name="20 % - Markeringsfarve6 3 2 3 2 3" xfId="6270" xr:uid="{00000000-0005-0000-0000-0000F9410000}"/>
    <cellStyle name="20 % - Markeringsfarve6 3 2 3 2 3 2" xfId="14188" xr:uid="{00000000-0005-0000-0000-0000FA410000}"/>
    <cellStyle name="20 % - Markeringsfarve6 3 2 3 2 3 2 2" xfId="30503" xr:uid="{00000000-0005-0000-0000-0000FB410000}"/>
    <cellStyle name="20 % - Markeringsfarve6 3 2 3 2 3 2 3" xfId="45467" xr:uid="{00000000-0005-0000-0000-0000FC410000}"/>
    <cellStyle name="20 % - Markeringsfarve6 3 2 3 2 3 3" xfId="23481" xr:uid="{00000000-0005-0000-0000-0000FD410000}"/>
    <cellStyle name="20 % - Markeringsfarve6 3 2 3 2 3 4" xfId="38468" xr:uid="{00000000-0005-0000-0000-0000FE410000}"/>
    <cellStyle name="20 % - Markeringsfarve6 3 2 3 2 4" xfId="11485" xr:uid="{00000000-0005-0000-0000-0000FF410000}"/>
    <cellStyle name="20 % - Markeringsfarve6 3 2 3 2 4 2" xfId="27805" xr:uid="{00000000-0005-0000-0000-000000420000}"/>
    <cellStyle name="20 % - Markeringsfarve6 3 2 3 2 4 3" xfId="42771" xr:uid="{00000000-0005-0000-0000-000001420000}"/>
    <cellStyle name="20 % - Markeringsfarve6 3 2 3 2 5" xfId="20783" xr:uid="{00000000-0005-0000-0000-000002420000}"/>
    <cellStyle name="20 % - Markeringsfarve6 3 2 3 2 6" xfId="35772" xr:uid="{00000000-0005-0000-0000-000003420000}"/>
    <cellStyle name="20 % - Markeringsfarve6 3 2 3 3" xfId="2927" xr:uid="{00000000-0005-0000-0000-000004420000}"/>
    <cellStyle name="20 % - Markeringsfarve6 3 2 3 3 2" xfId="6945" xr:uid="{00000000-0005-0000-0000-000005420000}"/>
    <cellStyle name="20 % - Markeringsfarve6 3 2 3 3 2 2" xfId="14857" xr:uid="{00000000-0005-0000-0000-000006420000}"/>
    <cellStyle name="20 % - Markeringsfarve6 3 2 3 3 2 2 2" xfId="31172" xr:uid="{00000000-0005-0000-0000-000007420000}"/>
    <cellStyle name="20 % - Markeringsfarve6 3 2 3 3 2 2 3" xfId="46136" xr:uid="{00000000-0005-0000-0000-000008420000}"/>
    <cellStyle name="20 % - Markeringsfarve6 3 2 3 3 2 3" xfId="24150" xr:uid="{00000000-0005-0000-0000-000009420000}"/>
    <cellStyle name="20 % - Markeringsfarve6 3 2 3 3 2 4" xfId="39137" xr:uid="{00000000-0005-0000-0000-00000A420000}"/>
    <cellStyle name="20 % - Markeringsfarve6 3 2 3 3 3" xfId="11487" xr:uid="{00000000-0005-0000-0000-00000B420000}"/>
    <cellStyle name="20 % - Markeringsfarve6 3 2 3 3 3 2" xfId="27807" xr:uid="{00000000-0005-0000-0000-00000C420000}"/>
    <cellStyle name="20 % - Markeringsfarve6 3 2 3 3 3 3" xfId="42773" xr:uid="{00000000-0005-0000-0000-00000D420000}"/>
    <cellStyle name="20 % - Markeringsfarve6 3 2 3 3 4" xfId="20785" xr:uid="{00000000-0005-0000-0000-00000E420000}"/>
    <cellStyle name="20 % - Markeringsfarve6 3 2 3 3 5" xfId="35774" xr:uid="{00000000-0005-0000-0000-00000F420000}"/>
    <cellStyle name="20 % - Markeringsfarve6 3 2 3 4" xfId="2928" xr:uid="{00000000-0005-0000-0000-000010420000}"/>
    <cellStyle name="20 % - Markeringsfarve6 3 2 3 4 2" xfId="8385" xr:uid="{00000000-0005-0000-0000-000011420000}"/>
    <cellStyle name="20 % - Markeringsfarve6 3 2 3 4 2 2" xfId="16278" xr:uid="{00000000-0005-0000-0000-000012420000}"/>
    <cellStyle name="20 % - Markeringsfarve6 3 2 3 4 2 2 2" xfId="32593" xr:uid="{00000000-0005-0000-0000-000013420000}"/>
    <cellStyle name="20 % - Markeringsfarve6 3 2 3 4 2 2 3" xfId="47557" xr:uid="{00000000-0005-0000-0000-000014420000}"/>
    <cellStyle name="20 % - Markeringsfarve6 3 2 3 4 2 3" xfId="25571" xr:uid="{00000000-0005-0000-0000-000015420000}"/>
    <cellStyle name="20 % - Markeringsfarve6 3 2 3 4 2 4" xfId="40558" xr:uid="{00000000-0005-0000-0000-000016420000}"/>
    <cellStyle name="20 % - Markeringsfarve6 3 2 3 4 3" xfId="11488" xr:uid="{00000000-0005-0000-0000-000017420000}"/>
    <cellStyle name="20 % - Markeringsfarve6 3 2 3 4 3 2" xfId="27808" xr:uid="{00000000-0005-0000-0000-000018420000}"/>
    <cellStyle name="20 % - Markeringsfarve6 3 2 3 4 3 3" xfId="42774" xr:uid="{00000000-0005-0000-0000-000019420000}"/>
    <cellStyle name="20 % - Markeringsfarve6 3 2 3 4 4" xfId="20786" xr:uid="{00000000-0005-0000-0000-00001A420000}"/>
    <cellStyle name="20 % - Markeringsfarve6 3 2 3 4 5" xfId="35775" xr:uid="{00000000-0005-0000-0000-00001B420000}"/>
    <cellStyle name="20 % - Markeringsfarve6 3 2 3 5" xfId="5653" xr:uid="{00000000-0005-0000-0000-00001C420000}"/>
    <cellStyle name="20 % - Markeringsfarve6 3 2 3 5 2" xfId="13572" xr:uid="{00000000-0005-0000-0000-00001D420000}"/>
    <cellStyle name="20 % - Markeringsfarve6 3 2 3 5 2 2" xfId="29887" xr:uid="{00000000-0005-0000-0000-00001E420000}"/>
    <cellStyle name="20 % - Markeringsfarve6 3 2 3 5 2 3" xfId="44851" xr:uid="{00000000-0005-0000-0000-00001F420000}"/>
    <cellStyle name="20 % - Markeringsfarve6 3 2 3 5 3" xfId="22865" xr:uid="{00000000-0005-0000-0000-000020420000}"/>
    <cellStyle name="20 % - Markeringsfarve6 3 2 3 5 4" xfId="37852" xr:uid="{00000000-0005-0000-0000-000021420000}"/>
    <cellStyle name="20 % - Markeringsfarve6 3 2 3 6" xfId="11484" xr:uid="{00000000-0005-0000-0000-000022420000}"/>
    <cellStyle name="20 % - Markeringsfarve6 3 2 3 6 2" xfId="27804" xr:uid="{00000000-0005-0000-0000-000023420000}"/>
    <cellStyle name="20 % - Markeringsfarve6 3 2 3 6 3" xfId="42770" xr:uid="{00000000-0005-0000-0000-000024420000}"/>
    <cellStyle name="20 % - Markeringsfarve6 3 2 3 7" xfId="20782" xr:uid="{00000000-0005-0000-0000-000025420000}"/>
    <cellStyle name="20 % - Markeringsfarve6 3 2 3 8" xfId="35771" xr:uid="{00000000-0005-0000-0000-000026420000}"/>
    <cellStyle name="20 % - Markeringsfarve6 3 2 4" xfId="2929" xr:uid="{00000000-0005-0000-0000-000027420000}"/>
    <cellStyle name="20 % - Markeringsfarve6 3 2 4 2" xfId="2930" xr:uid="{00000000-0005-0000-0000-000028420000}"/>
    <cellStyle name="20 % - Markeringsfarve6 3 2 4 2 2" xfId="2931" xr:uid="{00000000-0005-0000-0000-000029420000}"/>
    <cellStyle name="20 % - Markeringsfarve6 3 2 4 2 2 2" xfId="7848" xr:uid="{00000000-0005-0000-0000-00002A420000}"/>
    <cellStyle name="20 % - Markeringsfarve6 3 2 4 2 2 2 2" xfId="15750" xr:uid="{00000000-0005-0000-0000-00002B420000}"/>
    <cellStyle name="20 % - Markeringsfarve6 3 2 4 2 2 2 2 2" xfId="32065" xr:uid="{00000000-0005-0000-0000-00002C420000}"/>
    <cellStyle name="20 % - Markeringsfarve6 3 2 4 2 2 2 2 3" xfId="47029" xr:uid="{00000000-0005-0000-0000-00002D420000}"/>
    <cellStyle name="20 % - Markeringsfarve6 3 2 4 2 2 2 3" xfId="25043" xr:uid="{00000000-0005-0000-0000-00002E420000}"/>
    <cellStyle name="20 % - Markeringsfarve6 3 2 4 2 2 2 4" xfId="40030" xr:uid="{00000000-0005-0000-0000-00002F420000}"/>
    <cellStyle name="20 % - Markeringsfarve6 3 2 4 2 2 3" xfId="11491" xr:uid="{00000000-0005-0000-0000-000030420000}"/>
    <cellStyle name="20 % - Markeringsfarve6 3 2 4 2 2 3 2" xfId="27811" xr:uid="{00000000-0005-0000-0000-000031420000}"/>
    <cellStyle name="20 % - Markeringsfarve6 3 2 4 2 2 3 3" xfId="42777" xr:uid="{00000000-0005-0000-0000-000032420000}"/>
    <cellStyle name="20 % - Markeringsfarve6 3 2 4 2 2 4" xfId="20789" xr:uid="{00000000-0005-0000-0000-000033420000}"/>
    <cellStyle name="20 % - Markeringsfarve6 3 2 4 2 2 5" xfId="35778" xr:uid="{00000000-0005-0000-0000-000034420000}"/>
    <cellStyle name="20 % - Markeringsfarve6 3 2 4 2 3" xfId="6385" xr:uid="{00000000-0005-0000-0000-000035420000}"/>
    <cellStyle name="20 % - Markeringsfarve6 3 2 4 2 3 2" xfId="14300" xr:uid="{00000000-0005-0000-0000-000036420000}"/>
    <cellStyle name="20 % - Markeringsfarve6 3 2 4 2 3 2 2" xfId="30615" xr:uid="{00000000-0005-0000-0000-000037420000}"/>
    <cellStyle name="20 % - Markeringsfarve6 3 2 4 2 3 2 3" xfId="45579" xr:uid="{00000000-0005-0000-0000-000038420000}"/>
    <cellStyle name="20 % - Markeringsfarve6 3 2 4 2 3 3" xfId="23593" xr:uid="{00000000-0005-0000-0000-000039420000}"/>
    <cellStyle name="20 % - Markeringsfarve6 3 2 4 2 3 4" xfId="38580" xr:uid="{00000000-0005-0000-0000-00003A420000}"/>
    <cellStyle name="20 % - Markeringsfarve6 3 2 4 2 4" xfId="11490" xr:uid="{00000000-0005-0000-0000-00003B420000}"/>
    <cellStyle name="20 % - Markeringsfarve6 3 2 4 2 4 2" xfId="27810" xr:uid="{00000000-0005-0000-0000-00003C420000}"/>
    <cellStyle name="20 % - Markeringsfarve6 3 2 4 2 4 3" xfId="42776" xr:uid="{00000000-0005-0000-0000-00003D420000}"/>
    <cellStyle name="20 % - Markeringsfarve6 3 2 4 2 5" xfId="20788" xr:uid="{00000000-0005-0000-0000-00003E420000}"/>
    <cellStyle name="20 % - Markeringsfarve6 3 2 4 2 6" xfId="35777" xr:uid="{00000000-0005-0000-0000-00003F420000}"/>
    <cellStyle name="20 % - Markeringsfarve6 3 2 4 3" xfId="2932" xr:uid="{00000000-0005-0000-0000-000040420000}"/>
    <cellStyle name="20 % - Markeringsfarve6 3 2 4 3 2" xfId="7124" xr:uid="{00000000-0005-0000-0000-000041420000}"/>
    <cellStyle name="20 % - Markeringsfarve6 3 2 4 3 2 2" xfId="15035" xr:uid="{00000000-0005-0000-0000-000042420000}"/>
    <cellStyle name="20 % - Markeringsfarve6 3 2 4 3 2 2 2" xfId="31350" xr:uid="{00000000-0005-0000-0000-000043420000}"/>
    <cellStyle name="20 % - Markeringsfarve6 3 2 4 3 2 2 3" xfId="46314" xr:uid="{00000000-0005-0000-0000-000044420000}"/>
    <cellStyle name="20 % - Markeringsfarve6 3 2 4 3 2 3" xfId="24328" xr:uid="{00000000-0005-0000-0000-000045420000}"/>
    <cellStyle name="20 % - Markeringsfarve6 3 2 4 3 2 4" xfId="39315" xr:uid="{00000000-0005-0000-0000-000046420000}"/>
    <cellStyle name="20 % - Markeringsfarve6 3 2 4 3 3" xfId="11492" xr:uid="{00000000-0005-0000-0000-000047420000}"/>
    <cellStyle name="20 % - Markeringsfarve6 3 2 4 3 3 2" xfId="27812" xr:uid="{00000000-0005-0000-0000-000048420000}"/>
    <cellStyle name="20 % - Markeringsfarve6 3 2 4 3 3 3" xfId="42778" xr:uid="{00000000-0005-0000-0000-000049420000}"/>
    <cellStyle name="20 % - Markeringsfarve6 3 2 4 3 4" xfId="20790" xr:uid="{00000000-0005-0000-0000-00004A420000}"/>
    <cellStyle name="20 % - Markeringsfarve6 3 2 4 3 5" xfId="35779" xr:uid="{00000000-0005-0000-0000-00004B420000}"/>
    <cellStyle name="20 % - Markeringsfarve6 3 2 4 4" xfId="2933" xr:uid="{00000000-0005-0000-0000-00004C420000}"/>
    <cellStyle name="20 % - Markeringsfarve6 3 2 4 4 2" xfId="8620" xr:uid="{00000000-0005-0000-0000-00004D420000}"/>
    <cellStyle name="20 % - Markeringsfarve6 3 2 4 4 2 2" xfId="16502" xr:uid="{00000000-0005-0000-0000-00004E420000}"/>
    <cellStyle name="20 % - Markeringsfarve6 3 2 4 4 2 2 2" xfId="32817" xr:uid="{00000000-0005-0000-0000-00004F420000}"/>
    <cellStyle name="20 % - Markeringsfarve6 3 2 4 4 2 2 3" xfId="47781" xr:uid="{00000000-0005-0000-0000-000050420000}"/>
    <cellStyle name="20 % - Markeringsfarve6 3 2 4 4 2 3" xfId="25795" xr:uid="{00000000-0005-0000-0000-000051420000}"/>
    <cellStyle name="20 % - Markeringsfarve6 3 2 4 4 2 4" xfId="40782" xr:uid="{00000000-0005-0000-0000-000052420000}"/>
    <cellStyle name="20 % - Markeringsfarve6 3 2 4 4 3" xfId="11493" xr:uid="{00000000-0005-0000-0000-000053420000}"/>
    <cellStyle name="20 % - Markeringsfarve6 3 2 4 4 3 2" xfId="27813" xr:uid="{00000000-0005-0000-0000-000054420000}"/>
    <cellStyle name="20 % - Markeringsfarve6 3 2 4 4 3 3" xfId="42779" xr:uid="{00000000-0005-0000-0000-000055420000}"/>
    <cellStyle name="20 % - Markeringsfarve6 3 2 4 4 4" xfId="20791" xr:uid="{00000000-0005-0000-0000-000056420000}"/>
    <cellStyle name="20 % - Markeringsfarve6 3 2 4 4 5" xfId="35780" xr:uid="{00000000-0005-0000-0000-000057420000}"/>
    <cellStyle name="20 % - Markeringsfarve6 3 2 4 5" xfId="5654" xr:uid="{00000000-0005-0000-0000-000058420000}"/>
    <cellStyle name="20 % - Markeringsfarve6 3 2 4 5 2" xfId="13573" xr:uid="{00000000-0005-0000-0000-000059420000}"/>
    <cellStyle name="20 % - Markeringsfarve6 3 2 4 5 2 2" xfId="29888" xr:uid="{00000000-0005-0000-0000-00005A420000}"/>
    <cellStyle name="20 % - Markeringsfarve6 3 2 4 5 2 3" xfId="44852" xr:uid="{00000000-0005-0000-0000-00005B420000}"/>
    <cellStyle name="20 % - Markeringsfarve6 3 2 4 5 3" xfId="22866" xr:uid="{00000000-0005-0000-0000-00005C420000}"/>
    <cellStyle name="20 % - Markeringsfarve6 3 2 4 5 4" xfId="37853" xr:uid="{00000000-0005-0000-0000-00005D420000}"/>
    <cellStyle name="20 % - Markeringsfarve6 3 2 4 6" xfId="11489" xr:uid="{00000000-0005-0000-0000-00005E420000}"/>
    <cellStyle name="20 % - Markeringsfarve6 3 2 4 6 2" xfId="27809" xr:uid="{00000000-0005-0000-0000-00005F420000}"/>
    <cellStyle name="20 % - Markeringsfarve6 3 2 4 6 3" xfId="42775" xr:uid="{00000000-0005-0000-0000-000060420000}"/>
    <cellStyle name="20 % - Markeringsfarve6 3 2 4 7" xfId="20787" xr:uid="{00000000-0005-0000-0000-000061420000}"/>
    <cellStyle name="20 % - Markeringsfarve6 3 2 4 8" xfId="35776" xr:uid="{00000000-0005-0000-0000-000062420000}"/>
    <cellStyle name="20 % - Markeringsfarve6 3 2 5" xfId="2934" xr:uid="{00000000-0005-0000-0000-000063420000}"/>
    <cellStyle name="20 % - Markeringsfarve6 3 2 5 2" xfId="2935" xr:uid="{00000000-0005-0000-0000-000064420000}"/>
    <cellStyle name="20 % - Markeringsfarve6 3 2 5 2 2" xfId="2936" xr:uid="{00000000-0005-0000-0000-000065420000}"/>
    <cellStyle name="20 % - Markeringsfarve6 3 2 5 2 2 2" xfId="7965" xr:uid="{00000000-0005-0000-0000-000066420000}"/>
    <cellStyle name="20 % - Markeringsfarve6 3 2 5 2 2 2 2" xfId="15867" xr:uid="{00000000-0005-0000-0000-000067420000}"/>
    <cellStyle name="20 % - Markeringsfarve6 3 2 5 2 2 2 2 2" xfId="32182" xr:uid="{00000000-0005-0000-0000-000068420000}"/>
    <cellStyle name="20 % - Markeringsfarve6 3 2 5 2 2 2 2 3" xfId="47146" xr:uid="{00000000-0005-0000-0000-000069420000}"/>
    <cellStyle name="20 % - Markeringsfarve6 3 2 5 2 2 2 3" xfId="25160" xr:uid="{00000000-0005-0000-0000-00006A420000}"/>
    <cellStyle name="20 % - Markeringsfarve6 3 2 5 2 2 2 4" xfId="40147" xr:uid="{00000000-0005-0000-0000-00006B420000}"/>
    <cellStyle name="20 % - Markeringsfarve6 3 2 5 2 2 3" xfId="11496" xr:uid="{00000000-0005-0000-0000-00006C420000}"/>
    <cellStyle name="20 % - Markeringsfarve6 3 2 5 2 2 3 2" xfId="27816" xr:uid="{00000000-0005-0000-0000-00006D420000}"/>
    <cellStyle name="20 % - Markeringsfarve6 3 2 5 2 2 3 3" xfId="42782" xr:uid="{00000000-0005-0000-0000-00006E420000}"/>
    <cellStyle name="20 % - Markeringsfarve6 3 2 5 2 2 4" xfId="20794" xr:uid="{00000000-0005-0000-0000-00006F420000}"/>
    <cellStyle name="20 % - Markeringsfarve6 3 2 5 2 2 5" xfId="35783" xr:uid="{00000000-0005-0000-0000-000070420000}"/>
    <cellStyle name="20 % - Markeringsfarve6 3 2 5 2 3" xfId="6484" xr:uid="{00000000-0005-0000-0000-000071420000}"/>
    <cellStyle name="20 % - Markeringsfarve6 3 2 5 2 3 2" xfId="14399" xr:uid="{00000000-0005-0000-0000-000072420000}"/>
    <cellStyle name="20 % - Markeringsfarve6 3 2 5 2 3 2 2" xfId="30714" xr:uid="{00000000-0005-0000-0000-000073420000}"/>
    <cellStyle name="20 % - Markeringsfarve6 3 2 5 2 3 2 3" xfId="45678" xr:uid="{00000000-0005-0000-0000-000074420000}"/>
    <cellStyle name="20 % - Markeringsfarve6 3 2 5 2 3 3" xfId="23692" xr:uid="{00000000-0005-0000-0000-000075420000}"/>
    <cellStyle name="20 % - Markeringsfarve6 3 2 5 2 3 4" xfId="38679" xr:uid="{00000000-0005-0000-0000-000076420000}"/>
    <cellStyle name="20 % - Markeringsfarve6 3 2 5 2 4" xfId="11495" xr:uid="{00000000-0005-0000-0000-000077420000}"/>
    <cellStyle name="20 % - Markeringsfarve6 3 2 5 2 4 2" xfId="27815" xr:uid="{00000000-0005-0000-0000-000078420000}"/>
    <cellStyle name="20 % - Markeringsfarve6 3 2 5 2 4 3" xfId="42781" xr:uid="{00000000-0005-0000-0000-000079420000}"/>
    <cellStyle name="20 % - Markeringsfarve6 3 2 5 2 5" xfId="20793" xr:uid="{00000000-0005-0000-0000-00007A420000}"/>
    <cellStyle name="20 % - Markeringsfarve6 3 2 5 2 6" xfId="35782" xr:uid="{00000000-0005-0000-0000-00007B420000}"/>
    <cellStyle name="20 % - Markeringsfarve6 3 2 5 3" xfId="2937" xr:uid="{00000000-0005-0000-0000-00007C420000}"/>
    <cellStyle name="20 % - Markeringsfarve6 3 2 5 3 2" xfId="7241" xr:uid="{00000000-0005-0000-0000-00007D420000}"/>
    <cellStyle name="20 % - Markeringsfarve6 3 2 5 3 2 2" xfId="15152" xr:uid="{00000000-0005-0000-0000-00007E420000}"/>
    <cellStyle name="20 % - Markeringsfarve6 3 2 5 3 2 2 2" xfId="31467" xr:uid="{00000000-0005-0000-0000-00007F420000}"/>
    <cellStyle name="20 % - Markeringsfarve6 3 2 5 3 2 2 3" xfId="46431" xr:uid="{00000000-0005-0000-0000-000080420000}"/>
    <cellStyle name="20 % - Markeringsfarve6 3 2 5 3 2 3" xfId="24445" xr:uid="{00000000-0005-0000-0000-000081420000}"/>
    <cellStyle name="20 % - Markeringsfarve6 3 2 5 3 2 4" xfId="39432" xr:uid="{00000000-0005-0000-0000-000082420000}"/>
    <cellStyle name="20 % - Markeringsfarve6 3 2 5 3 3" xfId="11497" xr:uid="{00000000-0005-0000-0000-000083420000}"/>
    <cellStyle name="20 % - Markeringsfarve6 3 2 5 3 3 2" xfId="27817" xr:uid="{00000000-0005-0000-0000-000084420000}"/>
    <cellStyle name="20 % - Markeringsfarve6 3 2 5 3 3 3" xfId="42783" xr:uid="{00000000-0005-0000-0000-000085420000}"/>
    <cellStyle name="20 % - Markeringsfarve6 3 2 5 3 4" xfId="20795" xr:uid="{00000000-0005-0000-0000-000086420000}"/>
    <cellStyle name="20 % - Markeringsfarve6 3 2 5 3 5" xfId="35784" xr:uid="{00000000-0005-0000-0000-000087420000}"/>
    <cellStyle name="20 % - Markeringsfarve6 3 2 5 4" xfId="2938" xr:uid="{00000000-0005-0000-0000-000088420000}"/>
    <cellStyle name="20 % - Markeringsfarve6 3 2 5 4 2" xfId="8344" xr:uid="{00000000-0005-0000-0000-000089420000}"/>
    <cellStyle name="20 % - Markeringsfarve6 3 2 5 4 2 2" xfId="16238" xr:uid="{00000000-0005-0000-0000-00008A420000}"/>
    <cellStyle name="20 % - Markeringsfarve6 3 2 5 4 2 2 2" xfId="32553" xr:uid="{00000000-0005-0000-0000-00008B420000}"/>
    <cellStyle name="20 % - Markeringsfarve6 3 2 5 4 2 2 3" xfId="47517" xr:uid="{00000000-0005-0000-0000-00008C420000}"/>
    <cellStyle name="20 % - Markeringsfarve6 3 2 5 4 2 3" xfId="25531" xr:uid="{00000000-0005-0000-0000-00008D420000}"/>
    <cellStyle name="20 % - Markeringsfarve6 3 2 5 4 2 4" xfId="40518" xr:uid="{00000000-0005-0000-0000-00008E420000}"/>
    <cellStyle name="20 % - Markeringsfarve6 3 2 5 4 3" xfId="11498" xr:uid="{00000000-0005-0000-0000-00008F420000}"/>
    <cellStyle name="20 % - Markeringsfarve6 3 2 5 4 3 2" xfId="27818" xr:uid="{00000000-0005-0000-0000-000090420000}"/>
    <cellStyle name="20 % - Markeringsfarve6 3 2 5 4 3 3" xfId="42784" xr:uid="{00000000-0005-0000-0000-000091420000}"/>
    <cellStyle name="20 % - Markeringsfarve6 3 2 5 4 4" xfId="20796" xr:uid="{00000000-0005-0000-0000-000092420000}"/>
    <cellStyle name="20 % - Markeringsfarve6 3 2 5 4 5" xfId="35785" xr:uid="{00000000-0005-0000-0000-000093420000}"/>
    <cellStyle name="20 % - Markeringsfarve6 3 2 5 5" xfId="5655" xr:uid="{00000000-0005-0000-0000-000094420000}"/>
    <cellStyle name="20 % - Markeringsfarve6 3 2 5 5 2" xfId="13574" xr:uid="{00000000-0005-0000-0000-000095420000}"/>
    <cellStyle name="20 % - Markeringsfarve6 3 2 5 5 2 2" xfId="29889" xr:uid="{00000000-0005-0000-0000-000096420000}"/>
    <cellStyle name="20 % - Markeringsfarve6 3 2 5 5 2 3" xfId="44853" xr:uid="{00000000-0005-0000-0000-000097420000}"/>
    <cellStyle name="20 % - Markeringsfarve6 3 2 5 5 3" xfId="22867" xr:uid="{00000000-0005-0000-0000-000098420000}"/>
    <cellStyle name="20 % - Markeringsfarve6 3 2 5 5 4" xfId="37854" xr:uid="{00000000-0005-0000-0000-000099420000}"/>
    <cellStyle name="20 % - Markeringsfarve6 3 2 5 6" xfId="11494" xr:uid="{00000000-0005-0000-0000-00009A420000}"/>
    <cellStyle name="20 % - Markeringsfarve6 3 2 5 6 2" xfId="27814" xr:uid="{00000000-0005-0000-0000-00009B420000}"/>
    <cellStyle name="20 % - Markeringsfarve6 3 2 5 6 3" xfId="42780" xr:uid="{00000000-0005-0000-0000-00009C420000}"/>
    <cellStyle name="20 % - Markeringsfarve6 3 2 5 7" xfId="20792" xr:uid="{00000000-0005-0000-0000-00009D420000}"/>
    <cellStyle name="20 % - Markeringsfarve6 3 2 5 8" xfId="35781" xr:uid="{00000000-0005-0000-0000-00009E420000}"/>
    <cellStyle name="20 % - Markeringsfarve6 3 2 6" xfId="2939" xr:uid="{00000000-0005-0000-0000-00009F420000}"/>
    <cellStyle name="20 % - Markeringsfarve6 3 2 6 2" xfId="2940" xr:uid="{00000000-0005-0000-0000-0000A0420000}"/>
    <cellStyle name="20 % - Markeringsfarve6 3 2 6 2 2" xfId="2941" xr:uid="{00000000-0005-0000-0000-0000A1420000}"/>
    <cellStyle name="20 % - Markeringsfarve6 3 2 6 2 2 2" xfId="8069" xr:uid="{00000000-0005-0000-0000-0000A2420000}"/>
    <cellStyle name="20 % - Markeringsfarve6 3 2 6 2 2 2 2" xfId="15971" xr:uid="{00000000-0005-0000-0000-0000A3420000}"/>
    <cellStyle name="20 % - Markeringsfarve6 3 2 6 2 2 2 2 2" xfId="32286" xr:uid="{00000000-0005-0000-0000-0000A4420000}"/>
    <cellStyle name="20 % - Markeringsfarve6 3 2 6 2 2 2 2 3" xfId="47250" xr:uid="{00000000-0005-0000-0000-0000A5420000}"/>
    <cellStyle name="20 % - Markeringsfarve6 3 2 6 2 2 2 3" xfId="25264" xr:uid="{00000000-0005-0000-0000-0000A6420000}"/>
    <cellStyle name="20 % - Markeringsfarve6 3 2 6 2 2 2 4" xfId="40251" xr:uid="{00000000-0005-0000-0000-0000A7420000}"/>
    <cellStyle name="20 % - Markeringsfarve6 3 2 6 2 2 3" xfId="11501" xr:uid="{00000000-0005-0000-0000-0000A8420000}"/>
    <cellStyle name="20 % - Markeringsfarve6 3 2 6 2 2 3 2" xfId="27821" xr:uid="{00000000-0005-0000-0000-0000A9420000}"/>
    <cellStyle name="20 % - Markeringsfarve6 3 2 6 2 2 3 3" xfId="42787" xr:uid="{00000000-0005-0000-0000-0000AA420000}"/>
    <cellStyle name="20 % - Markeringsfarve6 3 2 6 2 2 4" xfId="20799" xr:uid="{00000000-0005-0000-0000-0000AB420000}"/>
    <cellStyle name="20 % - Markeringsfarve6 3 2 6 2 2 5" xfId="35788" xr:uid="{00000000-0005-0000-0000-0000AC420000}"/>
    <cellStyle name="20 % - Markeringsfarve6 3 2 6 2 3" xfId="6571" xr:uid="{00000000-0005-0000-0000-0000AD420000}"/>
    <cellStyle name="20 % - Markeringsfarve6 3 2 6 2 3 2" xfId="14486" xr:uid="{00000000-0005-0000-0000-0000AE420000}"/>
    <cellStyle name="20 % - Markeringsfarve6 3 2 6 2 3 2 2" xfId="30801" xr:uid="{00000000-0005-0000-0000-0000AF420000}"/>
    <cellStyle name="20 % - Markeringsfarve6 3 2 6 2 3 2 3" xfId="45765" xr:uid="{00000000-0005-0000-0000-0000B0420000}"/>
    <cellStyle name="20 % - Markeringsfarve6 3 2 6 2 3 3" xfId="23779" xr:uid="{00000000-0005-0000-0000-0000B1420000}"/>
    <cellStyle name="20 % - Markeringsfarve6 3 2 6 2 3 4" xfId="38766" xr:uid="{00000000-0005-0000-0000-0000B2420000}"/>
    <cellStyle name="20 % - Markeringsfarve6 3 2 6 2 4" xfId="11500" xr:uid="{00000000-0005-0000-0000-0000B3420000}"/>
    <cellStyle name="20 % - Markeringsfarve6 3 2 6 2 4 2" xfId="27820" xr:uid="{00000000-0005-0000-0000-0000B4420000}"/>
    <cellStyle name="20 % - Markeringsfarve6 3 2 6 2 4 3" xfId="42786" xr:uid="{00000000-0005-0000-0000-0000B5420000}"/>
    <cellStyle name="20 % - Markeringsfarve6 3 2 6 2 5" xfId="20798" xr:uid="{00000000-0005-0000-0000-0000B6420000}"/>
    <cellStyle name="20 % - Markeringsfarve6 3 2 6 2 6" xfId="35787" xr:uid="{00000000-0005-0000-0000-0000B7420000}"/>
    <cellStyle name="20 % - Markeringsfarve6 3 2 6 3" xfId="2942" xr:uid="{00000000-0005-0000-0000-0000B8420000}"/>
    <cellStyle name="20 % - Markeringsfarve6 3 2 6 3 2" xfId="7346" xr:uid="{00000000-0005-0000-0000-0000B9420000}"/>
    <cellStyle name="20 % - Markeringsfarve6 3 2 6 3 2 2" xfId="15257" xr:uid="{00000000-0005-0000-0000-0000BA420000}"/>
    <cellStyle name="20 % - Markeringsfarve6 3 2 6 3 2 2 2" xfId="31572" xr:uid="{00000000-0005-0000-0000-0000BB420000}"/>
    <cellStyle name="20 % - Markeringsfarve6 3 2 6 3 2 2 3" xfId="46536" xr:uid="{00000000-0005-0000-0000-0000BC420000}"/>
    <cellStyle name="20 % - Markeringsfarve6 3 2 6 3 2 3" xfId="24550" xr:uid="{00000000-0005-0000-0000-0000BD420000}"/>
    <cellStyle name="20 % - Markeringsfarve6 3 2 6 3 2 4" xfId="39537" xr:uid="{00000000-0005-0000-0000-0000BE420000}"/>
    <cellStyle name="20 % - Markeringsfarve6 3 2 6 3 3" xfId="11502" xr:uid="{00000000-0005-0000-0000-0000BF420000}"/>
    <cellStyle name="20 % - Markeringsfarve6 3 2 6 3 3 2" xfId="27822" xr:uid="{00000000-0005-0000-0000-0000C0420000}"/>
    <cellStyle name="20 % - Markeringsfarve6 3 2 6 3 3 3" xfId="42788" xr:uid="{00000000-0005-0000-0000-0000C1420000}"/>
    <cellStyle name="20 % - Markeringsfarve6 3 2 6 3 4" xfId="20800" xr:uid="{00000000-0005-0000-0000-0000C2420000}"/>
    <cellStyle name="20 % - Markeringsfarve6 3 2 6 3 5" xfId="35789" xr:uid="{00000000-0005-0000-0000-0000C3420000}"/>
    <cellStyle name="20 % - Markeringsfarve6 3 2 6 4" xfId="2943" xr:uid="{00000000-0005-0000-0000-0000C4420000}"/>
    <cellStyle name="20 % - Markeringsfarve6 3 2 6 4 2" xfId="8588" xr:uid="{00000000-0005-0000-0000-0000C5420000}"/>
    <cellStyle name="20 % - Markeringsfarve6 3 2 6 4 2 2" xfId="16472" xr:uid="{00000000-0005-0000-0000-0000C6420000}"/>
    <cellStyle name="20 % - Markeringsfarve6 3 2 6 4 2 2 2" xfId="32787" xr:uid="{00000000-0005-0000-0000-0000C7420000}"/>
    <cellStyle name="20 % - Markeringsfarve6 3 2 6 4 2 2 3" xfId="47751" xr:uid="{00000000-0005-0000-0000-0000C8420000}"/>
    <cellStyle name="20 % - Markeringsfarve6 3 2 6 4 2 3" xfId="25765" xr:uid="{00000000-0005-0000-0000-0000C9420000}"/>
    <cellStyle name="20 % - Markeringsfarve6 3 2 6 4 2 4" xfId="40752" xr:uid="{00000000-0005-0000-0000-0000CA420000}"/>
    <cellStyle name="20 % - Markeringsfarve6 3 2 6 4 3" xfId="11503" xr:uid="{00000000-0005-0000-0000-0000CB420000}"/>
    <cellStyle name="20 % - Markeringsfarve6 3 2 6 4 3 2" xfId="27823" xr:uid="{00000000-0005-0000-0000-0000CC420000}"/>
    <cellStyle name="20 % - Markeringsfarve6 3 2 6 4 3 3" xfId="42789" xr:uid="{00000000-0005-0000-0000-0000CD420000}"/>
    <cellStyle name="20 % - Markeringsfarve6 3 2 6 4 4" xfId="20801" xr:uid="{00000000-0005-0000-0000-0000CE420000}"/>
    <cellStyle name="20 % - Markeringsfarve6 3 2 6 4 5" xfId="35790" xr:uid="{00000000-0005-0000-0000-0000CF420000}"/>
    <cellStyle name="20 % - Markeringsfarve6 3 2 6 5" xfId="5656" xr:uid="{00000000-0005-0000-0000-0000D0420000}"/>
    <cellStyle name="20 % - Markeringsfarve6 3 2 6 5 2" xfId="13575" xr:uid="{00000000-0005-0000-0000-0000D1420000}"/>
    <cellStyle name="20 % - Markeringsfarve6 3 2 6 5 2 2" xfId="29890" xr:uid="{00000000-0005-0000-0000-0000D2420000}"/>
    <cellStyle name="20 % - Markeringsfarve6 3 2 6 5 2 3" xfId="44854" xr:uid="{00000000-0005-0000-0000-0000D3420000}"/>
    <cellStyle name="20 % - Markeringsfarve6 3 2 6 5 3" xfId="22868" xr:uid="{00000000-0005-0000-0000-0000D4420000}"/>
    <cellStyle name="20 % - Markeringsfarve6 3 2 6 5 4" xfId="37855" xr:uid="{00000000-0005-0000-0000-0000D5420000}"/>
    <cellStyle name="20 % - Markeringsfarve6 3 2 6 6" xfId="11499" xr:uid="{00000000-0005-0000-0000-0000D6420000}"/>
    <cellStyle name="20 % - Markeringsfarve6 3 2 6 6 2" xfId="27819" xr:uid="{00000000-0005-0000-0000-0000D7420000}"/>
    <cellStyle name="20 % - Markeringsfarve6 3 2 6 6 3" xfId="42785" xr:uid="{00000000-0005-0000-0000-0000D8420000}"/>
    <cellStyle name="20 % - Markeringsfarve6 3 2 6 7" xfId="20797" xr:uid="{00000000-0005-0000-0000-0000D9420000}"/>
    <cellStyle name="20 % - Markeringsfarve6 3 2 6 8" xfId="35786" xr:uid="{00000000-0005-0000-0000-0000DA420000}"/>
    <cellStyle name="20 % - Markeringsfarve6 3 2 7" xfId="2944" xr:uid="{00000000-0005-0000-0000-0000DB420000}"/>
    <cellStyle name="20 % - Markeringsfarve6 3 2 7 2" xfId="2945" xr:uid="{00000000-0005-0000-0000-0000DC420000}"/>
    <cellStyle name="20 % - Markeringsfarve6 3 2 7 2 2" xfId="7491" xr:uid="{00000000-0005-0000-0000-0000DD420000}"/>
    <cellStyle name="20 % - Markeringsfarve6 3 2 7 2 2 2" xfId="15393" xr:uid="{00000000-0005-0000-0000-0000DE420000}"/>
    <cellStyle name="20 % - Markeringsfarve6 3 2 7 2 2 2 2" xfId="31708" xr:uid="{00000000-0005-0000-0000-0000DF420000}"/>
    <cellStyle name="20 % - Markeringsfarve6 3 2 7 2 2 2 3" xfId="46672" xr:uid="{00000000-0005-0000-0000-0000E0420000}"/>
    <cellStyle name="20 % - Markeringsfarve6 3 2 7 2 2 3" xfId="24686" xr:uid="{00000000-0005-0000-0000-0000E1420000}"/>
    <cellStyle name="20 % - Markeringsfarve6 3 2 7 2 2 4" xfId="39673" xr:uid="{00000000-0005-0000-0000-0000E2420000}"/>
    <cellStyle name="20 % - Markeringsfarve6 3 2 7 2 3" xfId="11505" xr:uid="{00000000-0005-0000-0000-0000E3420000}"/>
    <cellStyle name="20 % - Markeringsfarve6 3 2 7 2 3 2" xfId="27825" xr:uid="{00000000-0005-0000-0000-0000E4420000}"/>
    <cellStyle name="20 % - Markeringsfarve6 3 2 7 2 3 3" xfId="42791" xr:uid="{00000000-0005-0000-0000-0000E5420000}"/>
    <cellStyle name="20 % - Markeringsfarve6 3 2 7 2 4" xfId="20803" xr:uid="{00000000-0005-0000-0000-0000E6420000}"/>
    <cellStyle name="20 % - Markeringsfarve6 3 2 7 2 5" xfId="35792" xr:uid="{00000000-0005-0000-0000-0000E7420000}"/>
    <cellStyle name="20 % - Markeringsfarve6 3 2 7 3" xfId="6084" xr:uid="{00000000-0005-0000-0000-0000E8420000}"/>
    <cellStyle name="20 % - Markeringsfarve6 3 2 7 3 2" xfId="14002" xr:uid="{00000000-0005-0000-0000-0000E9420000}"/>
    <cellStyle name="20 % - Markeringsfarve6 3 2 7 3 2 2" xfId="30317" xr:uid="{00000000-0005-0000-0000-0000EA420000}"/>
    <cellStyle name="20 % - Markeringsfarve6 3 2 7 3 2 3" xfId="45281" xr:uid="{00000000-0005-0000-0000-0000EB420000}"/>
    <cellStyle name="20 % - Markeringsfarve6 3 2 7 3 3" xfId="23295" xr:uid="{00000000-0005-0000-0000-0000EC420000}"/>
    <cellStyle name="20 % - Markeringsfarve6 3 2 7 3 4" xfId="38282" xr:uid="{00000000-0005-0000-0000-0000ED420000}"/>
    <cellStyle name="20 % - Markeringsfarve6 3 2 7 4" xfId="11504" xr:uid="{00000000-0005-0000-0000-0000EE420000}"/>
    <cellStyle name="20 % - Markeringsfarve6 3 2 7 4 2" xfId="27824" xr:uid="{00000000-0005-0000-0000-0000EF420000}"/>
    <cellStyle name="20 % - Markeringsfarve6 3 2 7 4 3" xfId="42790" xr:uid="{00000000-0005-0000-0000-0000F0420000}"/>
    <cellStyle name="20 % - Markeringsfarve6 3 2 7 5" xfId="20802" xr:uid="{00000000-0005-0000-0000-0000F1420000}"/>
    <cellStyle name="20 % - Markeringsfarve6 3 2 7 6" xfId="35791" xr:uid="{00000000-0005-0000-0000-0000F2420000}"/>
    <cellStyle name="20 % - Markeringsfarve6 3 2 8" xfId="2946" xr:uid="{00000000-0005-0000-0000-0000F3420000}"/>
    <cellStyle name="20 % - Markeringsfarve6 3 2 8 2" xfId="6719" xr:uid="{00000000-0005-0000-0000-0000F4420000}"/>
    <cellStyle name="20 % - Markeringsfarve6 3 2 8 2 2" xfId="14631" xr:uid="{00000000-0005-0000-0000-0000F5420000}"/>
    <cellStyle name="20 % - Markeringsfarve6 3 2 8 2 2 2" xfId="30946" xr:uid="{00000000-0005-0000-0000-0000F6420000}"/>
    <cellStyle name="20 % - Markeringsfarve6 3 2 8 2 2 3" xfId="45910" xr:uid="{00000000-0005-0000-0000-0000F7420000}"/>
    <cellStyle name="20 % - Markeringsfarve6 3 2 8 2 3" xfId="23924" xr:uid="{00000000-0005-0000-0000-0000F8420000}"/>
    <cellStyle name="20 % - Markeringsfarve6 3 2 8 2 4" xfId="38911" xr:uid="{00000000-0005-0000-0000-0000F9420000}"/>
    <cellStyle name="20 % - Markeringsfarve6 3 2 8 3" xfId="11506" xr:uid="{00000000-0005-0000-0000-0000FA420000}"/>
    <cellStyle name="20 % - Markeringsfarve6 3 2 8 3 2" xfId="27826" xr:uid="{00000000-0005-0000-0000-0000FB420000}"/>
    <cellStyle name="20 % - Markeringsfarve6 3 2 8 3 3" xfId="42792" xr:uid="{00000000-0005-0000-0000-0000FC420000}"/>
    <cellStyle name="20 % - Markeringsfarve6 3 2 8 4" xfId="20804" xr:uid="{00000000-0005-0000-0000-0000FD420000}"/>
    <cellStyle name="20 % - Markeringsfarve6 3 2 8 5" xfId="35793" xr:uid="{00000000-0005-0000-0000-0000FE420000}"/>
    <cellStyle name="20 % - Markeringsfarve6 3 2 9" xfId="2947" xr:uid="{00000000-0005-0000-0000-0000FF420000}"/>
    <cellStyle name="20 % - Markeringsfarve6 3 2 9 2" xfId="8441" xr:uid="{00000000-0005-0000-0000-000000430000}"/>
    <cellStyle name="20 % - Markeringsfarve6 3 2 9 2 2" xfId="16331" xr:uid="{00000000-0005-0000-0000-000001430000}"/>
    <cellStyle name="20 % - Markeringsfarve6 3 2 9 2 2 2" xfId="32646" xr:uid="{00000000-0005-0000-0000-000002430000}"/>
    <cellStyle name="20 % - Markeringsfarve6 3 2 9 2 2 3" xfId="47610" xr:uid="{00000000-0005-0000-0000-000003430000}"/>
    <cellStyle name="20 % - Markeringsfarve6 3 2 9 2 3" xfId="25624" xr:uid="{00000000-0005-0000-0000-000004430000}"/>
    <cellStyle name="20 % - Markeringsfarve6 3 2 9 2 4" xfId="40611" xr:uid="{00000000-0005-0000-0000-000005430000}"/>
    <cellStyle name="20 % - Markeringsfarve6 3 2 9 3" xfId="11507" xr:uid="{00000000-0005-0000-0000-000006430000}"/>
    <cellStyle name="20 % - Markeringsfarve6 3 2 9 3 2" xfId="27827" xr:uid="{00000000-0005-0000-0000-000007430000}"/>
    <cellStyle name="20 % - Markeringsfarve6 3 2 9 3 3" xfId="42793" xr:uid="{00000000-0005-0000-0000-000008430000}"/>
    <cellStyle name="20 % - Markeringsfarve6 3 2 9 4" xfId="20805" xr:uid="{00000000-0005-0000-0000-000009430000}"/>
    <cellStyle name="20 % - Markeringsfarve6 3 2 9 5" xfId="35794" xr:uid="{00000000-0005-0000-0000-00000A430000}"/>
    <cellStyle name="20 % - Markeringsfarve6 3 3" xfId="2948" xr:uid="{00000000-0005-0000-0000-00000B430000}"/>
    <cellStyle name="20 % - Markeringsfarve6 3 3 10" xfId="5657" xr:uid="{00000000-0005-0000-0000-00000C430000}"/>
    <cellStyle name="20 % - Markeringsfarve6 3 3 10 2" xfId="13576" xr:uid="{00000000-0005-0000-0000-00000D430000}"/>
    <cellStyle name="20 % - Markeringsfarve6 3 3 10 2 2" xfId="29891" xr:uid="{00000000-0005-0000-0000-00000E430000}"/>
    <cellStyle name="20 % - Markeringsfarve6 3 3 10 2 3" xfId="44855" xr:uid="{00000000-0005-0000-0000-00000F430000}"/>
    <cellStyle name="20 % - Markeringsfarve6 3 3 10 3" xfId="22869" xr:uid="{00000000-0005-0000-0000-000010430000}"/>
    <cellStyle name="20 % - Markeringsfarve6 3 3 10 4" xfId="37856" xr:uid="{00000000-0005-0000-0000-000011430000}"/>
    <cellStyle name="20 % - Markeringsfarve6 3 3 11" xfId="11508" xr:uid="{00000000-0005-0000-0000-000012430000}"/>
    <cellStyle name="20 % - Markeringsfarve6 3 3 11 2" xfId="27828" xr:uid="{00000000-0005-0000-0000-000013430000}"/>
    <cellStyle name="20 % - Markeringsfarve6 3 3 11 3" xfId="42794" xr:uid="{00000000-0005-0000-0000-000014430000}"/>
    <cellStyle name="20 % - Markeringsfarve6 3 3 12" xfId="20806" xr:uid="{00000000-0005-0000-0000-000015430000}"/>
    <cellStyle name="20 % - Markeringsfarve6 3 3 13" xfId="35795" xr:uid="{00000000-0005-0000-0000-000016430000}"/>
    <cellStyle name="20 % - Markeringsfarve6 3 3 14" xfId="56467" xr:uid="{00000000-0005-0000-0000-000017430000}"/>
    <cellStyle name="20 % - Markeringsfarve6 3 3 2" xfId="2949" xr:uid="{00000000-0005-0000-0000-000018430000}"/>
    <cellStyle name="20 % - Markeringsfarve6 3 3 2 2" xfId="2950" xr:uid="{00000000-0005-0000-0000-000019430000}"/>
    <cellStyle name="20 % - Markeringsfarve6 3 3 2 2 2" xfId="2951" xr:uid="{00000000-0005-0000-0000-00001A430000}"/>
    <cellStyle name="20 % - Markeringsfarve6 3 3 2 2 2 2" xfId="7649" xr:uid="{00000000-0005-0000-0000-00001B430000}"/>
    <cellStyle name="20 % - Markeringsfarve6 3 3 2 2 2 2 2" xfId="15551" xr:uid="{00000000-0005-0000-0000-00001C430000}"/>
    <cellStyle name="20 % - Markeringsfarve6 3 3 2 2 2 2 2 2" xfId="31866" xr:uid="{00000000-0005-0000-0000-00001D430000}"/>
    <cellStyle name="20 % - Markeringsfarve6 3 3 2 2 2 2 2 3" xfId="46830" xr:uid="{00000000-0005-0000-0000-00001E430000}"/>
    <cellStyle name="20 % - Markeringsfarve6 3 3 2 2 2 2 3" xfId="24844" xr:uid="{00000000-0005-0000-0000-00001F430000}"/>
    <cellStyle name="20 % - Markeringsfarve6 3 3 2 2 2 2 4" xfId="39831" xr:uid="{00000000-0005-0000-0000-000020430000}"/>
    <cellStyle name="20 % - Markeringsfarve6 3 3 2 2 2 3" xfId="11511" xr:uid="{00000000-0005-0000-0000-000021430000}"/>
    <cellStyle name="20 % - Markeringsfarve6 3 3 2 2 2 3 2" xfId="27831" xr:uid="{00000000-0005-0000-0000-000022430000}"/>
    <cellStyle name="20 % - Markeringsfarve6 3 3 2 2 2 3 3" xfId="42797" xr:uid="{00000000-0005-0000-0000-000023430000}"/>
    <cellStyle name="20 % - Markeringsfarve6 3 3 2 2 2 4" xfId="20809" xr:uid="{00000000-0005-0000-0000-000024430000}"/>
    <cellStyle name="20 % - Markeringsfarve6 3 3 2 2 2 5" xfId="35798" xr:uid="{00000000-0005-0000-0000-000025430000}"/>
    <cellStyle name="20 % - Markeringsfarve6 3 3 2 2 3" xfId="6216" xr:uid="{00000000-0005-0000-0000-000026430000}"/>
    <cellStyle name="20 % - Markeringsfarve6 3 3 2 2 3 2" xfId="14134" xr:uid="{00000000-0005-0000-0000-000027430000}"/>
    <cellStyle name="20 % - Markeringsfarve6 3 3 2 2 3 2 2" xfId="30449" xr:uid="{00000000-0005-0000-0000-000028430000}"/>
    <cellStyle name="20 % - Markeringsfarve6 3 3 2 2 3 2 3" xfId="45413" xr:uid="{00000000-0005-0000-0000-000029430000}"/>
    <cellStyle name="20 % - Markeringsfarve6 3 3 2 2 3 3" xfId="23427" xr:uid="{00000000-0005-0000-0000-00002A430000}"/>
    <cellStyle name="20 % - Markeringsfarve6 3 3 2 2 3 4" xfId="38414" xr:uid="{00000000-0005-0000-0000-00002B430000}"/>
    <cellStyle name="20 % - Markeringsfarve6 3 3 2 2 4" xfId="11510" xr:uid="{00000000-0005-0000-0000-00002C430000}"/>
    <cellStyle name="20 % - Markeringsfarve6 3 3 2 2 4 2" xfId="27830" xr:uid="{00000000-0005-0000-0000-00002D430000}"/>
    <cellStyle name="20 % - Markeringsfarve6 3 3 2 2 4 3" xfId="42796" xr:uid="{00000000-0005-0000-0000-00002E430000}"/>
    <cellStyle name="20 % - Markeringsfarve6 3 3 2 2 5" xfId="20808" xr:uid="{00000000-0005-0000-0000-00002F430000}"/>
    <cellStyle name="20 % - Markeringsfarve6 3 3 2 2 6" xfId="35797" xr:uid="{00000000-0005-0000-0000-000030430000}"/>
    <cellStyle name="20 % - Markeringsfarve6 3 3 2 3" xfId="2952" xr:uid="{00000000-0005-0000-0000-000031430000}"/>
    <cellStyle name="20 % - Markeringsfarve6 3 3 2 3 2" xfId="6879" xr:uid="{00000000-0005-0000-0000-000032430000}"/>
    <cellStyle name="20 % - Markeringsfarve6 3 3 2 3 2 2" xfId="14791" xr:uid="{00000000-0005-0000-0000-000033430000}"/>
    <cellStyle name="20 % - Markeringsfarve6 3 3 2 3 2 2 2" xfId="31106" xr:uid="{00000000-0005-0000-0000-000034430000}"/>
    <cellStyle name="20 % - Markeringsfarve6 3 3 2 3 2 2 3" xfId="46070" xr:uid="{00000000-0005-0000-0000-000035430000}"/>
    <cellStyle name="20 % - Markeringsfarve6 3 3 2 3 2 3" xfId="24084" xr:uid="{00000000-0005-0000-0000-000036430000}"/>
    <cellStyle name="20 % - Markeringsfarve6 3 3 2 3 2 4" xfId="39071" xr:uid="{00000000-0005-0000-0000-000037430000}"/>
    <cellStyle name="20 % - Markeringsfarve6 3 3 2 3 3" xfId="11512" xr:uid="{00000000-0005-0000-0000-000038430000}"/>
    <cellStyle name="20 % - Markeringsfarve6 3 3 2 3 3 2" xfId="27832" xr:uid="{00000000-0005-0000-0000-000039430000}"/>
    <cellStyle name="20 % - Markeringsfarve6 3 3 2 3 3 3" xfId="42798" xr:uid="{00000000-0005-0000-0000-00003A430000}"/>
    <cellStyle name="20 % - Markeringsfarve6 3 3 2 3 4" xfId="20810" xr:uid="{00000000-0005-0000-0000-00003B430000}"/>
    <cellStyle name="20 % - Markeringsfarve6 3 3 2 3 5" xfId="35799" xr:uid="{00000000-0005-0000-0000-00003C430000}"/>
    <cellStyle name="20 % - Markeringsfarve6 3 3 2 4" xfId="2953" xr:uid="{00000000-0005-0000-0000-00003D430000}"/>
    <cellStyle name="20 % - Markeringsfarve6 3 3 2 4 2" xfId="8528" xr:uid="{00000000-0005-0000-0000-00003E430000}"/>
    <cellStyle name="20 % - Markeringsfarve6 3 3 2 4 2 2" xfId="16416" xr:uid="{00000000-0005-0000-0000-00003F430000}"/>
    <cellStyle name="20 % - Markeringsfarve6 3 3 2 4 2 2 2" xfId="32731" xr:uid="{00000000-0005-0000-0000-000040430000}"/>
    <cellStyle name="20 % - Markeringsfarve6 3 3 2 4 2 2 3" xfId="47695" xr:uid="{00000000-0005-0000-0000-000041430000}"/>
    <cellStyle name="20 % - Markeringsfarve6 3 3 2 4 2 3" xfId="25709" xr:uid="{00000000-0005-0000-0000-000042430000}"/>
    <cellStyle name="20 % - Markeringsfarve6 3 3 2 4 2 4" xfId="40696" xr:uid="{00000000-0005-0000-0000-000043430000}"/>
    <cellStyle name="20 % - Markeringsfarve6 3 3 2 4 3" xfId="11513" xr:uid="{00000000-0005-0000-0000-000044430000}"/>
    <cellStyle name="20 % - Markeringsfarve6 3 3 2 4 3 2" xfId="27833" xr:uid="{00000000-0005-0000-0000-000045430000}"/>
    <cellStyle name="20 % - Markeringsfarve6 3 3 2 4 3 3" xfId="42799" xr:uid="{00000000-0005-0000-0000-000046430000}"/>
    <cellStyle name="20 % - Markeringsfarve6 3 3 2 4 4" xfId="20811" xr:uid="{00000000-0005-0000-0000-000047430000}"/>
    <cellStyle name="20 % - Markeringsfarve6 3 3 2 4 5" xfId="35800" xr:uid="{00000000-0005-0000-0000-000048430000}"/>
    <cellStyle name="20 % - Markeringsfarve6 3 3 2 5" xfId="5658" xr:uid="{00000000-0005-0000-0000-000049430000}"/>
    <cellStyle name="20 % - Markeringsfarve6 3 3 2 5 2" xfId="13577" xr:uid="{00000000-0005-0000-0000-00004A430000}"/>
    <cellStyle name="20 % - Markeringsfarve6 3 3 2 5 2 2" xfId="29892" xr:uid="{00000000-0005-0000-0000-00004B430000}"/>
    <cellStyle name="20 % - Markeringsfarve6 3 3 2 5 2 3" xfId="44856" xr:uid="{00000000-0005-0000-0000-00004C430000}"/>
    <cellStyle name="20 % - Markeringsfarve6 3 3 2 5 3" xfId="22870" xr:uid="{00000000-0005-0000-0000-00004D430000}"/>
    <cellStyle name="20 % - Markeringsfarve6 3 3 2 5 4" xfId="37857" xr:uid="{00000000-0005-0000-0000-00004E430000}"/>
    <cellStyle name="20 % - Markeringsfarve6 3 3 2 6" xfId="11509" xr:uid="{00000000-0005-0000-0000-00004F430000}"/>
    <cellStyle name="20 % - Markeringsfarve6 3 3 2 6 2" xfId="27829" xr:uid="{00000000-0005-0000-0000-000050430000}"/>
    <cellStyle name="20 % - Markeringsfarve6 3 3 2 6 3" xfId="42795" xr:uid="{00000000-0005-0000-0000-000051430000}"/>
    <cellStyle name="20 % - Markeringsfarve6 3 3 2 7" xfId="20807" xr:uid="{00000000-0005-0000-0000-000052430000}"/>
    <cellStyle name="20 % - Markeringsfarve6 3 3 2 8" xfId="35796" xr:uid="{00000000-0005-0000-0000-000053430000}"/>
    <cellStyle name="20 % - Markeringsfarve6 3 3 3" xfId="2954" xr:uid="{00000000-0005-0000-0000-000054430000}"/>
    <cellStyle name="20 % - Markeringsfarve6 3 3 3 2" xfId="2955" xr:uid="{00000000-0005-0000-0000-000055430000}"/>
    <cellStyle name="20 % - Markeringsfarve6 3 3 3 2 2" xfId="2956" xr:uid="{00000000-0005-0000-0000-000056430000}"/>
    <cellStyle name="20 % - Markeringsfarve6 3 3 3 2 2 2" xfId="7716" xr:uid="{00000000-0005-0000-0000-000057430000}"/>
    <cellStyle name="20 % - Markeringsfarve6 3 3 3 2 2 2 2" xfId="15618" xr:uid="{00000000-0005-0000-0000-000058430000}"/>
    <cellStyle name="20 % - Markeringsfarve6 3 3 3 2 2 2 2 2" xfId="31933" xr:uid="{00000000-0005-0000-0000-000059430000}"/>
    <cellStyle name="20 % - Markeringsfarve6 3 3 3 2 2 2 2 3" xfId="46897" xr:uid="{00000000-0005-0000-0000-00005A430000}"/>
    <cellStyle name="20 % - Markeringsfarve6 3 3 3 2 2 2 3" xfId="24911" xr:uid="{00000000-0005-0000-0000-00005B430000}"/>
    <cellStyle name="20 % - Markeringsfarve6 3 3 3 2 2 2 4" xfId="39898" xr:uid="{00000000-0005-0000-0000-00005C430000}"/>
    <cellStyle name="20 % - Markeringsfarve6 3 3 3 2 2 3" xfId="11516" xr:uid="{00000000-0005-0000-0000-00005D430000}"/>
    <cellStyle name="20 % - Markeringsfarve6 3 3 3 2 2 3 2" xfId="27836" xr:uid="{00000000-0005-0000-0000-00005E430000}"/>
    <cellStyle name="20 % - Markeringsfarve6 3 3 3 2 2 3 3" xfId="42802" xr:uid="{00000000-0005-0000-0000-00005F430000}"/>
    <cellStyle name="20 % - Markeringsfarve6 3 3 3 2 2 4" xfId="20814" xr:uid="{00000000-0005-0000-0000-000060430000}"/>
    <cellStyle name="20 % - Markeringsfarve6 3 3 3 2 2 5" xfId="35803" xr:uid="{00000000-0005-0000-0000-000061430000}"/>
    <cellStyle name="20 % - Markeringsfarve6 3 3 3 2 3" xfId="6271" xr:uid="{00000000-0005-0000-0000-000062430000}"/>
    <cellStyle name="20 % - Markeringsfarve6 3 3 3 2 3 2" xfId="14189" xr:uid="{00000000-0005-0000-0000-000063430000}"/>
    <cellStyle name="20 % - Markeringsfarve6 3 3 3 2 3 2 2" xfId="30504" xr:uid="{00000000-0005-0000-0000-000064430000}"/>
    <cellStyle name="20 % - Markeringsfarve6 3 3 3 2 3 2 3" xfId="45468" xr:uid="{00000000-0005-0000-0000-000065430000}"/>
    <cellStyle name="20 % - Markeringsfarve6 3 3 3 2 3 3" xfId="23482" xr:uid="{00000000-0005-0000-0000-000066430000}"/>
    <cellStyle name="20 % - Markeringsfarve6 3 3 3 2 3 4" xfId="38469" xr:uid="{00000000-0005-0000-0000-000067430000}"/>
    <cellStyle name="20 % - Markeringsfarve6 3 3 3 2 4" xfId="11515" xr:uid="{00000000-0005-0000-0000-000068430000}"/>
    <cellStyle name="20 % - Markeringsfarve6 3 3 3 2 4 2" xfId="27835" xr:uid="{00000000-0005-0000-0000-000069430000}"/>
    <cellStyle name="20 % - Markeringsfarve6 3 3 3 2 4 3" xfId="42801" xr:uid="{00000000-0005-0000-0000-00006A430000}"/>
    <cellStyle name="20 % - Markeringsfarve6 3 3 3 2 5" xfId="20813" xr:uid="{00000000-0005-0000-0000-00006B430000}"/>
    <cellStyle name="20 % - Markeringsfarve6 3 3 3 2 6" xfId="35802" xr:uid="{00000000-0005-0000-0000-00006C430000}"/>
    <cellStyle name="20 % - Markeringsfarve6 3 3 3 3" xfId="2957" xr:uid="{00000000-0005-0000-0000-00006D430000}"/>
    <cellStyle name="20 % - Markeringsfarve6 3 3 3 3 2" xfId="6946" xr:uid="{00000000-0005-0000-0000-00006E430000}"/>
    <cellStyle name="20 % - Markeringsfarve6 3 3 3 3 2 2" xfId="14858" xr:uid="{00000000-0005-0000-0000-00006F430000}"/>
    <cellStyle name="20 % - Markeringsfarve6 3 3 3 3 2 2 2" xfId="31173" xr:uid="{00000000-0005-0000-0000-000070430000}"/>
    <cellStyle name="20 % - Markeringsfarve6 3 3 3 3 2 2 3" xfId="46137" xr:uid="{00000000-0005-0000-0000-000071430000}"/>
    <cellStyle name="20 % - Markeringsfarve6 3 3 3 3 2 3" xfId="24151" xr:uid="{00000000-0005-0000-0000-000072430000}"/>
    <cellStyle name="20 % - Markeringsfarve6 3 3 3 3 2 4" xfId="39138" xr:uid="{00000000-0005-0000-0000-000073430000}"/>
    <cellStyle name="20 % - Markeringsfarve6 3 3 3 3 3" xfId="11517" xr:uid="{00000000-0005-0000-0000-000074430000}"/>
    <cellStyle name="20 % - Markeringsfarve6 3 3 3 3 3 2" xfId="27837" xr:uid="{00000000-0005-0000-0000-000075430000}"/>
    <cellStyle name="20 % - Markeringsfarve6 3 3 3 3 3 3" xfId="42803" xr:uid="{00000000-0005-0000-0000-000076430000}"/>
    <cellStyle name="20 % - Markeringsfarve6 3 3 3 3 4" xfId="20815" xr:uid="{00000000-0005-0000-0000-000077430000}"/>
    <cellStyle name="20 % - Markeringsfarve6 3 3 3 3 5" xfId="35804" xr:uid="{00000000-0005-0000-0000-000078430000}"/>
    <cellStyle name="20 % - Markeringsfarve6 3 3 3 4" xfId="2958" xr:uid="{00000000-0005-0000-0000-000079430000}"/>
    <cellStyle name="20 % - Markeringsfarve6 3 3 3 4 2" xfId="8178" xr:uid="{00000000-0005-0000-0000-00007A430000}"/>
    <cellStyle name="20 % - Markeringsfarve6 3 3 3 4 2 2" xfId="16076" xr:uid="{00000000-0005-0000-0000-00007B430000}"/>
    <cellStyle name="20 % - Markeringsfarve6 3 3 3 4 2 2 2" xfId="32391" xr:uid="{00000000-0005-0000-0000-00007C430000}"/>
    <cellStyle name="20 % - Markeringsfarve6 3 3 3 4 2 2 3" xfId="47355" xr:uid="{00000000-0005-0000-0000-00007D430000}"/>
    <cellStyle name="20 % - Markeringsfarve6 3 3 3 4 2 3" xfId="25369" xr:uid="{00000000-0005-0000-0000-00007E430000}"/>
    <cellStyle name="20 % - Markeringsfarve6 3 3 3 4 2 4" xfId="40356" xr:uid="{00000000-0005-0000-0000-00007F430000}"/>
    <cellStyle name="20 % - Markeringsfarve6 3 3 3 4 3" xfId="11518" xr:uid="{00000000-0005-0000-0000-000080430000}"/>
    <cellStyle name="20 % - Markeringsfarve6 3 3 3 4 3 2" xfId="27838" xr:uid="{00000000-0005-0000-0000-000081430000}"/>
    <cellStyle name="20 % - Markeringsfarve6 3 3 3 4 3 3" xfId="42804" xr:uid="{00000000-0005-0000-0000-000082430000}"/>
    <cellStyle name="20 % - Markeringsfarve6 3 3 3 4 4" xfId="20816" xr:uid="{00000000-0005-0000-0000-000083430000}"/>
    <cellStyle name="20 % - Markeringsfarve6 3 3 3 4 5" xfId="35805" xr:uid="{00000000-0005-0000-0000-000084430000}"/>
    <cellStyle name="20 % - Markeringsfarve6 3 3 3 5" xfId="5659" xr:uid="{00000000-0005-0000-0000-000085430000}"/>
    <cellStyle name="20 % - Markeringsfarve6 3 3 3 5 2" xfId="13578" xr:uid="{00000000-0005-0000-0000-000086430000}"/>
    <cellStyle name="20 % - Markeringsfarve6 3 3 3 5 2 2" xfId="29893" xr:uid="{00000000-0005-0000-0000-000087430000}"/>
    <cellStyle name="20 % - Markeringsfarve6 3 3 3 5 2 3" xfId="44857" xr:uid="{00000000-0005-0000-0000-000088430000}"/>
    <cellStyle name="20 % - Markeringsfarve6 3 3 3 5 3" xfId="22871" xr:uid="{00000000-0005-0000-0000-000089430000}"/>
    <cellStyle name="20 % - Markeringsfarve6 3 3 3 5 4" xfId="37858" xr:uid="{00000000-0005-0000-0000-00008A430000}"/>
    <cellStyle name="20 % - Markeringsfarve6 3 3 3 6" xfId="11514" xr:uid="{00000000-0005-0000-0000-00008B430000}"/>
    <cellStyle name="20 % - Markeringsfarve6 3 3 3 6 2" xfId="27834" xr:uid="{00000000-0005-0000-0000-00008C430000}"/>
    <cellStyle name="20 % - Markeringsfarve6 3 3 3 6 3" xfId="42800" xr:uid="{00000000-0005-0000-0000-00008D430000}"/>
    <cellStyle name="20 % - Markeringsfarve6 3 3 3 7" xfId="20812" xr:uid="{00000000-0005-0000-0000-00008E430000}"/>
    <cellStyle name="20 % - Markeringsfarve6 3 3 3 8" xfId="35801" xr:uid="{00000000-0005-0000-0000-00008F430000}"/>
    <cellStyle name="20 % - Markeringsfarve6 3 3 4" xfId="2959" xr:uid="{00000000-0005-0000-0000-000090430000}"/>
    <cellStyle name="20 % - Markeringsfarve6 3 3 4 2" xfId="2960" xr:uid="{00000000-0005-0000-0000-000091430000}"/>
    <cellStyle name="20 % - Markeringsfarve6 3 3 4 2 2" xfId="2961" xr:uid="{00000000-0005-0000-0000-000092430000}"/>
    <cellStyle name="20 % - Markeringsfarve6 3 3 4 2 2 2" xfId="7887" xr:uid="{00000000-0005-0000-0000-000093430000}"/>
    <cellStyle name="20 % - Markeringsfarve6 3 3 4 2 2 2 2" xfId="15789" xr:uid="{00000000-0005-0000-0000-000094430000}"/>
    <cellStyle name="20 % - Markeringsfarve6 3 3 4 2 2 2 2 2" xfId="32104" xr:uid="{00000000-0005-0000-0000-000095430000}"/>
    <cellStyle name="20 % - Markeringsfarve6 3 3 4 2 2 2 2 3" xfId="47068" xr:uid="{00000000-0005-0000-0000-000096430000}"/>
    <cellStyle name="20 % - Markeringsfarve6 3 3 4 2 2 2 3" xfId="25082" xr:uid="{00000000-0005-0000-0000-000097430000}"/>
    <cellStyle name="20 % - Markeringsfarve6 3 3 4 2 2 2 4" xfId="40069" xr:uid="{00000000-0005-0000-0000-000098430000}"/>
    <cellStyle name="20 % - Markeringsfarve6 3 3 4 2 2 3" xfId="11521" xr:uid="{00000000-0005-0000-0000-000099430000}"/>
    <cellStyle name="20 % - Markeringsfarve6 3 3 4 2 2 3 2" xfId="27841" xr:uid="{00000000-0005-0000-0000-00009A430000}"/>
    <cellStyle name="20 % - Markeringsfarve6 3 3 4 2 2 3 3" xfId="42807" xr:uid="{00000000-0005-0000-0000-00009B430000}"/>
    <cellStyle name="20 % - Markeringsfarve6 3 3 4 2 2 4" xfId="20819" xr:uid="{00000000-0005-0000-0000-00009C430000}"/>
    <cellStyle name="20 % - Markeringsfarve6 3 3 4 2 2 5" xfId="35808" xr:uid="{00000000-0005-0000-0000-00009D430000}"/>
    <cellStyle name="20 % - Markeringsfarve6 3 3 4 2 3" xfId="6418" xr:uid="{00000000-0005-0000-0000-00009E430000}"/>
    <cellStyle name="20 % - Markeringsfarve6 3 3 4 2 3 2" xfId="14333" xr:uid="{00000000-0005-0000-0000-00009F430000}"/>
    <cellStyle name="20 % - Markeringsfarve6 3 3 4 2 3 2 2" xfId="30648" xr:uid="{00000000-0005-0000-0000-0000A0430000}"/>
    <cellStyle name="20 % - Markeringsfarve6 3 3 4 2 3 2 3" xfId="45612" xr:uid="{00000000-0005-0000-0000-0000A1430000}"/>
    <cellStyle name="20 % - Markeringsfarve6 3 3 4 2 3 3" xfId="23626" xr:uid="{00000000-0005-0000-0000-0000A2430000}"/>
    <cellStyle name="20 % - Markeringsfarve6 3 3 4 2 3 4" xfId="38613" xr:uid="{00000000-0005-0000-0000-0000A3430000}"/>
    <cellStyle name="20 % - Markeringsfarve6 3 3 4 2 4" xfId="11520" xr:uid="{00000000-0005-0000-0000-0000A4430000}"/>
    <cellStyle name="20 % - Markeringsfarve6 3 3 4 2 4 2" xfId="27840" xr:uid="{00000000-0005-0000-0000-0000A5430000}"/>
    <cellStyle name="20 % - Markeringsfarve6 3 3 4 2 4 3" xfId="42806" xr:uid="{00000000-0005-0000-0000-0000A6430000}"/>
    <cellStyle name="20 % - Markeringsfarve6 3 3 4 2 5" xfId="20818" xr:uid="{00000000-0005-0000-0000-0000A7430000}"/>
    <cellStyle name="20 % - Markeringsfarve6 3 3 4 2 6" xfId="35807" xr:uid="{00000000-0005-0000-0000-0000A8430000}"/>
    <cellStyle name="20 % - Markeringsfarve6 3 3 4 3" xfId="2962" xr:uid="{00000000-0005-0000-0000-0000A9430000}"/>
    <cellStyle name="20 % - Markeringsfarve6 3 3 4 3 2" xfId="7163" xr:uid="{00000000-0005-0000-0000-0000AA430000}"/>
    <cellStyle name="20 % - Markeringsfarve6 3 3 4 3 2 2" xfId="15074" xr:uid="{00000000-0005-0000-0000-0000AB430000}"/>
    <cellStyle name="20 % - Markeringsfarve6 3 3 4 3 2 2 2" xfId="31389" xr:uid="{00000000-0005-0000-0000-0000AC430000}"/>
    <cellStyle name="20 % - Markeringsfarve6 3 3 4 3 2 2 3" xfId="46353" xr:uid="{00000000-0005-0000-0000-0000AD430000}"/>
    <cellStyle name="20 % - Markeringsfarve6 3 3 4 3 2 3" xfId="24367" xr:uid="{00000000-0005-0000-0000-0000AE430000}"/>
    <cellStyle name="20 % - Markeringsfarve6 3 3 4 3 2 4" xfId="39354" xr:uid="{00000000-0005-0000-0000-0000AF430000}"/>
    <cellStyle name="20 % - Markeringsfarve6 3 3 4 3 3" xfId="11522" xr:uid="{00000000-0005-0000-0000-0000B0430000}"/>
    <cellStyle name="20 % - Markeringsfarve6 3 3 4 3 3 2" xfId="27842" xr:uid="{00000000-0005-0000-0000-0000B1430000}"/>
    <cellStyle name="20 % - Markeringsfarve6 3 3 4 3 3 3" xfId="42808" xr:uid="{00000000-0005-0000-0000-0000B2430000}"/>
    <cellStyle name="20 % - Markeringsfarve6 3 3 4 3 4" xfId="20820" xr:uid="{00000000-0005-0000-0000-0000B3430000}"/>
    <cellStyle name="20 % - Markeringsfarve6 3 3 4 3 5" xfId="35809" xr:uid="{00000000-0005-0000-0000-0000B4430000}"/>
    <cellStyle name="20 % - Markeringsfarve6 3 3 4 4" xfId="2963" xr:uid="{00000000-0005-0000-0000-0000B5430000}"/>
    <cellStyle name="20 % - Markeringsfarve6 3 3 4 4 2" xfId="6694" xr:uid="{00000000-0005-0000-0000-0000B6430000}"/>
    <cellStyle name="20 % - Markeringsfarve6 3 3 4 4 2 2" xfId="14606" xr:uid="{00000000-0005-0000-0000-0000B7430000}"/>
    <cellStyle name="20 % - Markeringsfarve6 3 3 4 4 2 2 2" xfId="30921" xr:uid="{00000000-0005-0000-0000-0000B8430000}"/>
    <cellStyle name="20 % - Markeringsfarve6 3 3 4 4 2 2 3" xfId="45885" xr:uid="{00000000-0005-0000-0000-0000B9430000}"/>
    <cellStyle name="20 % - Markeringsfarve6 3 3 4 4 2 3" xfId="23899" xr:uid="{00000000-0005-0000-0000-0000BA430000}"/>
    <cellStyle name="20 % - Markeringsfarve6 3 3 4 4 2 4" xfId="38886" xr:uid="{00000000-0005-0000-0000-0000BB430000}"/>
    <cellStyle name="20 % - Markeringsfarve6 3 3 4 4 3" xfId="11523" xr:uid="{00000000-0005-0000-0000-0000BC430000}"/>
    <cellStyle name="20 % - Markeringsfarve6 3 3 4 4 3 2" xfId="27843" xr:uid="{00000000-0005-0000-0000-0000BD430000}"/>
    <cellStyle name="20 % - Markeringsfarve6 3 3 4 4 3 3" xfId="42809" xr:uid="{00000000-0005-0000-0000-0000BE430000}"/>
    <cellStyle name="20 % - Markeringsfarve6 3 3 4 4 4" xfId="20821" xr:uid="{00000000-0005-0000-0000-0000BF430000}"/>
    <cellStyle name="20 % - Markeringsfarve6 3 3 4 4 5" xfId="35810" xr:uid="{00000000-0005-0000-0000-0000C0430000}"/>
    <cellStyle name="20 % - Markeringsfarve6 3 3 4 5" xfId="5660" xr:uid="{00000000-0005-0000-0000-0000C1430000}"/>
    <cellStyle name="20 % - Markeringsfarve6 3 3 4 5 2" xfId="13579" xr:uid="{00000000-0005-0000-0000-0000C2430000}"/>
    <cellStyle name="20 % - Markeringsfarve6 3 3 4 5 2 2" xfId="29894" xr:uid="{00000000-0005-0000-0000-0000C3430000}"/>
    <cellStyle name="20 % - Markeringsfarve6 3 3 4 5 2 3" xfId="44858" xr:uid="{00000000-0005-0000-0000-0000C4430000}"/>
    <cellStyle name="20 % - Markeringsfarve6 3 3 4 5 3" xfId="22872" xr:uid="{00000000-0005-0000-0000-0000C5430000}"/>
    <cellStyle name="20 % - Markeringsfarve6 3 3 4 5 4" xfId="37859" xr:uid="{00000000-0005-0000-0000-0000C6430000}"/>
    <cellStyle name="20 % - Markeringsfarve6 3 3 4 6" xfId="11519" xr:uid="{00000000-0005-0000-0000-0000C7430000}"/>
    <cellStyle name="20 % - Markeringsfarve6 3 3 4 6 2" xfId="27839" xr:uid="{00000000-0005-0000-0000-0000C8430000}"/>
    <cellStyle name="20 % - Markeringsfarve6 3 3 4 6 3" xfId="42805" xr:uid="{00000000-0005-0000-0000-0000C9430000}"/>
    <cellStyle name="20 % - Markeringsfarve6 3 3 4 7" xfId="20817" xr:uid="{00000000-0005-0000-0000-0000CA430000}"/>
    <cellStyle name="20 % - Markeringsfarve6 3 3 4 8" xfId="35806" xr:uid="{00000000-0005-0000-0000-0000CB430000}"/>
    <cellStyle name="20 % - Markeringsfarve6 3 3 5" xfId="2964" xr:uid="{00000000-0005-0000-0000-0000CC430000}"/>
    <cellStyle name="20 % - Markeringsfarve6 3 3 5 2" xfId="2965" xr:uid="{00000000-0005-0000-0000-0000CD430000}"/>
    <cellStyle name="20 % - Markeringsfarve6 3 3 5 2 2" xfId="2966" xr:uid="{00000000-0005-0000-0000-0000CE430000}"/>
    <cellStyle name="20 % - Markeringsfarve6 3 3 5 2 2 2" xfId="8004" xr:uid="{00000000-0005-0000-0000-0000CF430000}"/>
    <cellStyle name="20 % - Markeringsfarve6 3 3 5 2 2 2 2" xfId="15906" xr:uid="{00000000-0005-0000-0000-0000D0430000}"/>
    <cellStyle name="20 % - Markeringsfarve6 3 3 5 2 2 2 2 2" xfId="32221" xr:uid="{00000000-0005-0000-0000-0000D1430000}"/>
    <cellStyle name="20 % - Markeringsfarve6 3 3 5 2 2 2 2 3" xfId="47185" xr:uid="{00000000-0005-0000-0000-0000D2430000}"/>
    <cellStyle name="20 % - Markeringsfarve6 3 3 5 2 2 2 3" xfId="25199" xr:uid="{00000000-0005-0000-0000-0000D3430000}"/>
    <cellStyle name="20 % - Markeringsfarve6 3 3 5 2 2 2 4" xfId="40186" xr:uid="{00000000-0005-0000-0000-0000D4430000}"/>
    <cellStyle name="20 % - Markeringsfarve6 3 3 5 2 2 3" xfId="11526" xr:uid="{00000000-0005-0000-0000-0000D5430000}"/>
    <cellStyle name="20 % - Markeringsfarve6 3 3 5 2 2 3 2" xfId="27846" xr:uid="{00000000-0005-0000-0000-0000D6430000}"/>
    <cellStyle name="20 % - Markeringsfarve6 3 3 5 2 2 3 3" xfId="42812" xr:uid="{00000000-0005-0000-0000-0000D7430000}"/>
    <cellStyle name="20 % - Markeringsfarve6 3 3 5 2 2 4" xfId="20824" xr:uid="{00000000-0005-0000-0000-0000D8430000}"/>
    <cellStyle name="20 % - Markeringsfarve6 3 3 5 2 2 5" xfId="35813" xr:uid="{00000000-0005-0000-0000-0000D9430000}"/>
    <cellStyle name="20 % - Markeringsfarve6 3 3 5 2 3" xfId="6517" xr:uid="{00000000-0005-0000-0000-0000DA430000}"/>
    <cellStyle name="20 % - Markeringsfarve6 3 3 5 2 3 2" xfId="14432" xr:uid="{00000000-0005-0000-0000-0000DB430000}"/>
    <cellStyle name="20 % - Markeringsfarve6 3 3 5 2 3 2 2" xfId="30747" xr:uid="{00000000-0005-0000-0000-0000DC430000}"/>
    <cellStyle name="20 % - Markeringsfarve6 3 3 5 2 3 2 3" xfId="45711" xr:uid="{00000000-0005-0000-0000-0000DD430000}"/>
    <cellStyle name="20 % - Markeringsfarve6 3 3 5 2 3 3" xfId="23725" xr:uid="{00000000-0005-0000-0000-0000DE430000}"/>
    <cellStyle name="20 % - Markeringsfarve6 3 3 5 2 3 4" xfId="38712" xr:uid="{00000000-0005-0000-0000-0000DF430000}"/>
    <cellStyle name="20 % - Markeringsfarve6 3 3 5 2 4" xfId="11525" xr:uid="{00000000-0005-0000-0000-0000E0430000}"/>
    <cellStyle name="20 % - Markeringsfarve6 3 3 5 2 4 2" xfId="27845" xr:uid="{00000000-0005-0000-0000-0000E1430000}"/>
    <cellStyle name="20 % - Markeringsfarve6 3 3 5 2 4 3" xfId="42811" xr:uid="{00000000-0005-0000-0000-0000E2430000}"/>
    <cellStyle name="20 % - Markeringsfarve6 3 3 5 2 5" xfId="20823" xr:uid="{00000000-0005-0000-0000-0000E3430000}"/>
    <cellStyle name="20 % - Markeringsfarve6 3 3 5 2 6" xfId="35812" xr:uid="{00000000-0005-0000-0000-0000E4430000}"/>
    <cellStyle name="20 % - Markeringsfarve6 3 3 5 3" xfId="2967" xr:uid="{00000000-0005-0000-0000-0000E5430000}"/>
    <cellStyle name="20 % - Markeringsfarve6 3 3 5 3 2" xfId="7280" xr:uid="{00000000-0005-0000-0000-0000E6430000}"/>
    <cellStyle name="20 % - Markeringsfarve6 3 3 5 3 2 2" xfId="15191" xr:uid="{00000000-0005-0000-0000-0000E7430000}"/>
    <cellStyle name="20 % - Markeringsfarve6 3 3 5 3 2 2 2" xfId="31506" xr:uid="{00000000-0005-0000-0000-0000E8430000}"/>
    <cellStyle name="20 % - Markeringsfarve6 3 3 5 3 2 2 3" xfId="46470" xr:uid="{00000000-0005-0000-0000-0000E9430000}"/>
    <cellStyle name="20 % - Markeringsfarve6 3 3 5 3 2 3" xfId="24484" xr:uid="{00000000-0005-0000-0000-0000EA430000}"/>
    <cellStyle name="20 % - Markeringsfarve6 3 3 5 3 2 4" xfId="39471" xr:uid="{00000000-0005-0000-0000-0000EB430000}"/>
    <cellStyle name="20 % - Markeringsfarve6 3 3 5 3 3" xfId="11527" xr:uid="{00000000-0005-0000-0000-0000EC430000}"/>
    <cellStyle name="20 % - Markeringsfarve6 3 3 5 3 3 2" xfId="27847" xr:uid="{00000000-0005-0000-0000-0000ED430000}"/>
    <cellStyle name="20 % - Markeringsfarve6 3 3 5 3 3 3" xfId="42813" xr:uid="{00000000-0005-0000-0000-0000EE430000}"/>
    <cellStyle name="20 % - Markeringsfarve6 3 3 5 3 4" xfId="20825" xr:uid="{00000000-0005-0000-0000-0000EF430000}"/>
    <cellStyle name="20 % - Markeringsfarve6 3 3 5 3 5" xfId="35814" xr:uid="{00000000-0005-0000-0000-0000F0430000}"/>
    <cellStyle name="20 % - Markeringsfarve6 3 3 5 4" xfId="2968" xr:uid="{00000000-0005-0000-0000-0000F1430000}"/>
    <cellStyle name="20 % - Markeringsfarve6 3 3 5 4 2" xfId="8478" xr:uid="{00000000-0005-0000-0000-0000F2430000}"/>
    <cellStyle name="20 % - Markeringsfarve6 3 3 5 4 2 2" xfId="16367" xr:uid="{00000000-0005-0000-0000-0000F3430000}"/>
    <cellStyle name="20 % - Markeringsfarve6 3 3 5 4 2 2 2" xfId="32682" xr:uid="{00000000-0005-0000-0000-0000F4430000}"/>
    <cellStyle name="20 % - Markeringsfarve6 3 3 5 4 2 2 3" xfId="47646" xr:uid="{00000000-0005-0000-0000-0000F5430000}"/>
    <cellStyle name="20 % - Markeringsfarve6 3 3 5 4 2 3" xfId="25660" xr:uid="{00000000-0005-0000-0000-0000F6430000}"/>
    <cellStyle name="20 % - Markeringsfarve6 3 3 5 4 2 4" xfId="40647" xr:uid="{00000000-0005-0000-0000-0000F7430000}"/>
    <cellStyle name="20 % - Markeringsfarve6 3 3 5 4 3" xfId="11528" xr:uid="{00000000-0005-0000-0000-0000F8430000}"/>
    <cellStyle name="20 % - Markeringsfarve6 3 3 5 4 3 2" xfId="27848" xr:uid="{00000000-0005-0000-0000-0000F9430000}"/>
    <cellStyle name="20 % - Markeringsfarve6 3 3 5 4 3 3" xfId="42814" xr:uid="{00000000-0005-0000-0000-0000FA430000}"/>
    <cellStyle name="20 % - Markeringsfarve6 3 3 5 4 4" xfId="20826" xr:uid="{00000000-0005-0000-0000-0000FB430000}"/>
    <cellStyle name="20 % - Markeringsfarve6 3 3 5 4 5" xfId="35815" xr:uid="{00000000-0005-0000-0000-0000FC430000}"/>
    <cellStyle name="20 % - Markeringsfarve6 3 3 5 5" xfId="5661" xr:uid="{00000000-0005-0000-0000-0000FD430000}"/>
    <cellStyle name="20 % - Markeringsfarve6 3 3 5 5 2" xfId="13580" xr:uid="{00000000-0005-0000-0000-0000FE430000}"/>
    <cellStyle name="20 % - Markeringsfarve6 3 3 5 5 2 2" xfId="29895" xr:uid="{00000000-0005-0000-0000-0000FF430000}"/>
    <cellStyle name="20 % - Markeringsfarve6 3 3 5 5 2 3" xfId="44859" xr:uid="{00000000-0005-0000-0000-000000440000}"/>
    <cellStyle name="20 % - Markeringsfarve6 3 3 5 5 3" xfId="22873" xr:uid="{00000000-0005-0000-0000-000001440000}"/>
    <cellStyle name="20 % - Markeringsfarve6 3 3 5 5 4" xfId="37860" xr:uid="{00000000-0005-0000-0000-000002440000}"/>
    <cellStyle name="20 % - Markeringsfarve6 3 3 5 6" xfId="11524" xr:uid="{00000000-0005-0000-0000-000003440000}"/>
    <cellStyle name="20 % - Markeringsfarve6 3 3 5 6 2" xfId="27844" xr:uid="{00000000-0005-0000-0000-000004440000}"/>
    <cellStyle name="20 % - Markeringsfarve6 3 3 5 6 3" xfId="42810" xr:uid="{00000000-0005-0000-0000-000005440000}"/>
    <cellStyle name="20 % - Markeringsfarve6 3 3 5 7" xfId="20822" xr:uid="{00000000-0005-0000-0000-000006440000}"/>
    <cellStyle name="20 % - Markeringsfarve6 3 3 5 8" xfId="35811" xr:uid="{00000000-0005-0000-0000-000007440000}"/>
    <cellStyle name="20 % - Markeringsfarve6 3 3 6" xfId="2969" xr:uid="{00000000-0005-0000-0000-000008440000}"/>
    <cellStyle name="20 % - Markeringsfarve6 3 3 6 2" xfId="2970" xr:uid="{00000000-0005-0000-0000-000009440000}"/>
    <cellStyle name="20 % - Markeringsfarve6 3 3 6 2 2" xfId="2971" xr:uid="{00000000-0005-0000-0000-00000A440000}"/>
    <cellStyle name="20 % - Markeringsfarve6 3 3 6 2 2 2" xfId="8070" xr:uid="{00000000-0005-0000-0000-00000B440000}"/>
    <cellStyle name="20 % - Markeringsfarve6 3 3 6 2 2 2 2" xfId="15972" xr:uid="{00000000-0005-0000-0000-00000C440000}"/>
    <cellStyle name="20 % - Markeringsfarve6 3 3 6 2 2 2 2 2" xfId="32287" xr:uid="{00000000-0005-0000-0000-00000D440000}"/>
    <cellStyle name="20 % - Markeringsfarve6 3 3 6 2 2 2 2 3" xfId="47251" xr:uid="{00000000-0005-0000-0000-00000E440000}"/>
    <cellStyle name="20 % - Markeringsfarve6 3 3 6 2 2 2 3" xfId="25265" xr:uid="{00000000-0005-0000-0000-00000F440000}"/>
    <cellStyle name="20 % - Markeringsfarve6 3 3 6 2 2 2 4" xfId="40252" xr:uid="{00000000-0005-0000-0000-000010440000}"/>
    <cellStyle name="20 % - Markeringsfarve6 3 3 6 2 2 3" xfId="11531" xr:uid="{00000000-0005-0000-0000-000011440000}"/>
    <cellStyle name="20 % - Markeringsfarve6 3 3 6 2 2 3 2" xfId="27851" xr:uid="{00000000-0005-0000-0000-000012440000}"/>
    <cellStyle name="20 % - Markeringsfarve6 3 3 6 2 2 3 3" xfId="42817" xr:uid="{00000000-0005-0000-0000-000013440000}"/>
    <cellStyle name="20 % - Markeringsfarve6 3 3 6 2 2 4" xfId="20829" xr:uid="{00000000-0005-0000-0000-000014440000}"/>
    <cellStyle name="20 % - Markeringsfarve6 3 3 6 2 2 5" xfId="35818" xr:uid="{00000000-0005-0000-0000-000015440000}"/>
    <cellStyle name="20 % - Markeringsfarve6 3 3 6 2 3" xfId="6572" xr:uid="{00000000-0005-0000-0000-000016440000}"/>
    <cellStyle name="20 % - Markeringsfarve6 3 3 6 2 3 2" xfId="14487" xr:uid="{00000000-0005-0000-0000-000017440000}"/>
    <cellStyle name="20 % - Markeringsfarve6 3 3 6 2 3 2 2" xfId="30802" xr:uid="{00000000-0005-0000-0000-000018440000}"/>
    <cellStyle name="20 % - Markeringsfarve6 3 3 6 2 3 2 3" xfId="45766" xr:uid="{00000000-0005-0000-0000-000019440000}"/>
    <cellStyle name="20 % - Markeringsfarve6 3 3 6 2 3 3" xfId="23780" xr:uid="{00000000-0005-0000-0000-00001A440000}"/>
    <cellStyle name="20 % - Markeringsfarve6 3 3 6 2 3 4" xfId="38767" xr:uid="{00000000-0005-0000-0000-00001B440000}"/>
    <cellStyle name="20 % - Markeringsfarve6 3 3 6 2 4" xfId="11530" xr:uid="{00000000-0005-0000-0000-00001C440000}"/>
    <cellStyle name="20 % - Markeringsfarve6 3 3 6 2 4 2" xfId="27850" xr:uid="{00000000-0005-0000-0000-00001D440000}"/>
    <cellStyle name="20 % - Markeringsfarve6 3 3 6 2 4 3" xfId="42816" xr:uid="{00000000-0005-0000-0000-00001E440000}"/>
    <cellStyle name="20 % - Markeringsfarve6 3 3 6 2 5" xfId="20828" xr:uid="{00000000-0005-0000-0000-00001F440000}"/>
    <cellStyle name="20 % - Markeringsfarve6 3 3 6 2 6" xfId="35817" xr:uid="{00000000-0005-0000-0000-000020440000}"/>
    <cellStyle name="20 % - Markeringsfarve6 3 3 6 3" xfId="2972" xr:uid="{00000000-0005-0000-0000-000021440000}"/>
    <cellStyle name="20 % - Markeringsfarve6 3 3 6 3 2" xfId="7347" xr:uid="{00000000-0005-0000-0000-000022440000}"/>
    <cellStyle name="20 % - Markeringsfarve6 3 3 6 3 2 2" xfId="15258" xr:uid="{00000000-0005-0000-0000-000023440000}"/>
    <cellStyle name="20 % - Markeringsfarve6 3 3 6 3 2 2 2" xfId="31573" xr:uid="{00000000-0005-0000-0000-000024440000}"/>
    <cellStyle name="20 % - Markeringsfarve6 3 3 6 3 2 2 3" xfId="46537" xr:uid="{00000000-0005-0000-0000-000025440000}"/>
    <cellStyle name="20 % - Markeringsfarve6 3 3 6 3 2 3" xfId="24551" xr:uid="{00000000-0005-0000-0000-000026440000}"/>
    <cellStyle name="20 % - Markeringsfarve6 3 3 6 3 2 4" xfId="39538" xr:uid="{00000000-0005-0000-0000-000027440000}"/>
    <cellStyle name="20 % - Markeringsfarve6 3 3 6 3 3" xfId="11532" xr:uid="{00000000-0005-0000-0000-000028440000}"/>
    <cellStyle name="20 % - Markeringsfarve6 3 3 6 3 3 2" xfId="27852" xr:uid="{00000000-0005-0000-0000-000029440000}"/>
    <cellStyle name="20 % - Markeringsfarve6 3 3 6 3 3 3" xfId="42818" xr:uid="{00000000-0005-0000-0000-00002A440000}"/>
    <cellStyle name="20 % - Markeringsfarve6 3 3 6 3 4" xfId="20830" xr:uid="{00000000-0005-0000-0000-00002B440000}"/>
    <cellStyle name="20 % - Markeringsfarve6 3 3 6 3 5" xfId="35819" xr:uid="{00000000-0005-0000-0000-00002C440000}"/>
    <cellStyle name="20 % - Markeringsfarve6 3 3 6 4" xfId="2973" xr:uid="{00000000-0005-0000-0000-00002D440000}"/>
    <cellStyle name="20 % - Markeringsfarve6 3 3 6 4 2" xfId="8718" xr:uid="{00000000-0005-0000-0000-00002E440000}"/>
    <cellStyle name="20 % - Markeringsfarve6 3 3 6 4 2 2" xfId="16595" xr:uid="{00000000-0005-0000-0000-00002F440000}"/>
    <cellStyle name="20 % - Markeringsfarve6 3 3 6 4 2 2 2" xfId="32910" xr:uid="{00000000-0005-0000-0000-000030440000}"/>
    <cellStyle name="20 % - Markeringsfarve6 3 3 6 4 2 2 3" xfId="47874" xr:uid="{00000000-0005-0000-0000-000031440000}"/>
    <cellStyle name="20 % - Markeringsfarve6 3 3 6 4 2 3" xfId="25888" xr:uid="{00000000-0005-0000-0000-000032440000}"/>
    <cellStyle name="20 % - Markeringsfarve6 3 3 6 4 2 4" xfId="40875" xr:uid="{00000000-0005-0000-0000-000033440000}"/>
    <cellStyle name="20 % - Markeringsfarve6 3 3 6 4 3" xfId="11533" xr:uid="{00000000-0005-0000-0000-000034440000}"/>
    <cellStyle name="20 % - Markeringsfarve6 3 3 6 4 3 2" xfId="27853" xr:uid="{00000000-0005-0000-0000-000035440000}"/>
    <cellStyle name="20 % - Markeringsfarve6 3 3 6 4 3 3" xfId="42819" xr:uid="{00000000-0005-0000-0000-000036440000}"/>
    <cellStyle name="20 % - Markeringsfarve6 3 3 6 4 4" xfId="20831" xr:uid="{00000000-0005-0000-0000-000037440000}"/>
    <cellStyle name="20 % - Markeringsfarve6 3 3 6 4 5" xfId="35820" xr:uid="{00000000-0005-0000-0000-000038440000}"/>
    <cellStyle name="20 % - Markeringsfarve6 3 3 6 5" xfId="5662" xr:uid="{00000000-0005-0000-0000-000039440000}"/>
    <cellStyle name="20 % - Markeringsfarve6 3 3 6 5 2" xfId="13581" xr:uid="{00000000-0005-0000-0000-00003A440000}"/>
    <cellStyle name="20 % - Markeringsfarve6 3 3 6 5 2 2" xfId="29896" xr:uid="{00000000-0005-0000-0000-00003B440000}"/>
    <cellStyle name="20 % - Markeringsfarve6 3 3 6 5 2 3" xfId="44860" xr:uid="{00000000-0005-0000-0000-00003C440000}"/>
    <cellStyle name="20 % - Markeringsfarve6 3 3 6 5 3" xfId="22874" xr:uid="{00000000-0005-0000-0000-00003D440000}"/>
    <cellStyle name="20 % - Markeringsfarve6 3 3 6 5 4" xfId="37861" xr:uid="{00000000-0005-0000-0000-00003E440000}"/>
    <cellStyle name="20 % - Markeringsfarve6 3 3 6 6" xfId="11529" xr:uid="{00000000-0005-0000-0000-00003F440000}"/>
    <cellStyle name="20 % - Markeringsfarve6 3 3 6 6 2" xfId="27849" xr:uid="{00000000-0005-0000-0000-000040440000}"/>
    <cellStyle name="20 % - Markeringsfarve6 3 3 6 6 3" xfId="42815" xr:uid="{00000000-0005-0000-0000-000041440000}"/>
    <cellStyle name="20 % - Markeringsfarve6 3 3 6 7" xfId="20827" xr:uid="{00000000-0005-0000-0000-000042440000}"/>
    <cellStyle name="20 % - Markeringsfarve6 3 3 6 8" xfId="35816" xr:uid="{00000000-0005-0000-0000-000043440000}"/>
    <cellStyle name="20 % - Markeringsfarve6 3 3 7" xfId="2974" xr:uid="{00000000-0005-0000-0000-000044440000}"/>
    <cellStyle name="20 % - Markeringsfarve6 3 3 7 2" xfId="2975" xr:uid="{00000000-0005-0000-0000-000045440000}"/>
    <cellStyle name="20 % - Markeringsfarve6 3 3 7 2 2" xfId="7530" xr:uid="{00000000-0005-0000-0000-000046440000}"/>
    <cellStyle name="20 % - Markeringsfarve6 3 3 7 2 2 2" xfId="15432" xr:uid="{00000000-0005-0000-0000-000047440000}"/>
    <cellStyle name="20 % - Markeringsfarve6 3 3 7 2 2 2 2" xfId="31747" xr:uid="{00000000-0005-0000-0000-000048440000}"/>
    <cellStyle name="20 % - Markeringsfarve6 3 3 7 2 2 2 3" xfId="46711" xr:uid="{00000000-0005-0000-0000-000049440000}"/>
    <cellStyle name="20 % - Markeringsfarve6 3 3 7 2 2 3" xfId="24725" xr:uid="{00000000-0005-0000-0000-00004A440000}"/>
    <cellStyle name="20 % - Markeringsfarve6 3 3 7 2 2 4" xfId="39712" xr:uid="{00000000-0005-0000-0000-00004B440000}"/>
    <cellStyle name="20 % - Markeringsfarve6 3 3 7 2 3" xfId="11535" xr:uid="{00000000-0005-0000-0000-00004C440000}"/>
    <cellStyle name="20 % - Markeringsfarve6 3 3 7 2 3 2" xfId="27855" xr:uid="{00000000-0005-0000-0000-00004D440000}"/>
    <cellStyle name="20 % - Markeringsfarve6 3 3 7 2 3 3" xfId="42821" xr:uid="{00000000-0005-0000-0000-00004E440000}"/>
    <cellStyle name="20 % - Markeringsfarve6 3 3 7 2 4" xfId="20833" xr:uid="{00000000-0005-0000-0000-00004F440000}"/>
    <cellStyle name="20 % - Markeringsfarve6 3 3 7 2 5" xfId="35822" xr:uid="{00000000-0005-0000-0000-000050440000}"/>
    <cellStyle name="20 % - Markeringsfarve6 3 3 7 3" xfId="6117" xr:uid="{00000000-0005-0000-0000-000051440000}"/>
    <cellStyle name="20 % - Markeringsfarve6 3 3 7 3 2" xfId="14035" xr:uid="{00000000-0005-0000-0000-000052440000}"/>
    <cellStyle name="20 % - Markeringsfarve6 3 3 7 3 2 2" xfId="30350" xr:uid="{00000000-0005-0000-0000-000053440000}"/>
    <cellStyle name="20 % - Markeringsfarve6 3 3 7 3 2 3" xfId="45314" xr:uid="{00000000-0005-0000-0000-000054440000}"/>
    <cellStyle name="20 % - Markeringsfarve6 3 3 7 3 3" xfId="23328" xr:uid="{00000000-0005-0000-0000-000055440000}"/>
    <cellStyle name="20 % - Markeringsfarve6 3 3 7 3 4" xfId="38315" xr:uid="{00000000-0005-0000-0000-000056440000}"/>
    <cellStyle name="20 % - Markeringsfarve6 3 3 7 4" xfId="11534" xr:uid="{00000000-0005-0000-0000-000057440000}"/>
    <cellStyle name="20 % - Markeringsfarve6 3 3 7 4 2" xfId="27854" xr:uid="{00000000-0005-0000-0000-000058440000}"/>
    <cellStyle name="20 % - Markeringsfarve6 3 3 7 4 3" xfId="42820" xr:uid="{00000000-0005-0000-0000-000059440000}"/>
    <cellStyle name="20 % - Markeringsfarve6 3 3 7 5" xfId="20832" xr:uid="{00000000-0005-0000-0000-00005A440000}"/>
    <cellStyle name="20 % - Markeringsfarve6 3 3 7 6" xfId="35821" xr:uid="{00000000-0005-0000-0000-00005B440000}"/>
    <cellStyle name="20 % - Markeringsfarve6 3 3 8" xfId="2976" xr:uid="{00000000-0005-0000-0000-00005C440000}"/>
    <cellStyle name="20 % - Markeringsfarve6 3 3 8 2" xfId="6758" xr:uid="{00000000-0005-0000-0000-00005D440000}"/>
    <cellStyle name="20 % - Markeringsfarve6 3 3 8 2 2" xfId="14670" xr:uid="{00000000-0005-0000-0000-00005E440000}"/>
    <cellStyle name="20 % - Markeringsfarve6 3 3 8 2 2 2" xfId="30985" xr:uid="{00000000-0005-0000-0000-00005F440000}"/>
    <cellStyle name="20 % - Markeringsfarve6 3 3 8 2 2 3" xfId="45949" xr:uid="{00000000-0005-0000-0000-000060440000}"/>
    <cellStyle name="20 % - Markeringsfarve6 3 3 8 2 3" xfId="23963" xr:uid="{00000000-0005-0000-0000-000061440000}"/>
    <cellStyle name="20 % - Markeringsfarve6 3 3 8 2 4" xfId="38950" xr:uid="{00000000-0005-0000-0000-000062440000}"/>
    <cellStyle name="20 % - Markeringsfarve6 3 3 8 3" xfId="11536" xr:uid="{00000000-0005-0000-0000-000063440000}"/>
    <cellStyle name="20 % - Markeringsfarve6 3 3 8 3 2" xfId="27856" xr:uid="{00000000-0005-0000-0000-000064440000}"/>
    <cellStyle name="20 % - Markeringsfarve6 3 3 8 3 3" xfId="42822" xr:uid="{00000000-0005-0000-0000-000065440000}"/>
    <cellStyle name="20 % - Markeringsfarve6 3 3 8 4" xfId="20834" xr:uid="{00000000-0005-0000-0000-000066440000}"/>
    <cellStyle name="20 % - Markeringsfarve6 3 3 8 5" xfId="35823" xr:uid="{00000000-0005-0000-0000-000067440000}"/>
    <cellStyle name="20 % - Markeringsfarve6 3 3 9" xfId="2977" xr:uid="{00000000-0005-0000-0000-000068440000}"/>
    <cellStyle name="20 % - Markeringsfarve6 3 3 9 2" xfId="8237" xr:uid="{00000000-0005-0000-0000-000069440000}"/>
    <cellStyle name="20 % - Markeringsfarve6 3 3 9 2 2" xfId="16132" xr:uid="{00000000-0005-0000-0000-00006A440000}"/>
    <cellStyle name="20 % - Markeringsfarve6 3 3 9 2 2 2" xfId="32447" xr:uid="{00000000-0005-0000-0000-00006B440000}"/>
    <cellStyle name="20 % - Markeringsfarve6 3 3 9 2 2 3" xfId="47411" xr:uid="{00000000-0005-0000-0000-00006C440000}"/>
    <cellStyle name="20 % - Markeringsfarve6 3 3 9 2 3" xfId="25425" xr:uid="{00000000-0005-0000-0000-00006D440000}"/>
    <cellStyle name="20 % - Markeringsfarve6 3 3 9 2 4" xfId="40412" xr:uid="{00000000-0005-0000-0000-00006E440000}"/>
    <cellStyle name="20 % - Markeringsfarve6 3 3 9 3" xfId="11537" xr:uid="{00000000-0005-0000-0000-00006F440000}"/>
    <cellStyle name="20 % - Markeringsfarve6 3 3 9 3 2" xfId="27857" xr:uid="{00000000-0005-0000-0000-000070440000}"/>
    <cellStyle name="20 % - Markeringsfarve6 3 3 9 3 3" xfId="42823" xr:uid="{00000000-0005-0000-0000-000071440000}"/>
    <cellStyle name="20 % - Markeringsfarve6 3 3 9 4" xfId="20835" xr:uid="{00000000-0005-0000-0000-000072440000}"/>
    <cellStyle name="20 % - Markeringsfarve6 3 3 9 5" xfId="35824" xr:uid="{00000000-0005-0000-0000-000073440000}"/>
    <cellStyle name="20 % - Markeringsfarve6 3 4" xfId="2978" xr:uid="{00000000-0005-0000-0000-000074440000}"/>
    <cellStyle name="20 % - Markeringsfarve6 3 4 2" xfId="2979" xr:uid="{00000000-0005-0000-0000-000075440000}"/>
    <cellStyle name="20 % - Markeringsfarve6 3 4 2 2" xfId="2980" xr:uid="{00000000-0005-0000-0000-000076440000}"/>
    <cellStyle name="20 % - Markeringsfarve6 3 4 2 2 2" xfId="7571" xr:uid="{00000000-0005-0000-0000-000077440000}"/>
    <cellStyle name="20 % - Markeringsfarve6 3 4 2 2 2 2" xfId="15473" xr:uid="{00000000-0005-0000-0000-000078440000}"/>
    <cellStyle name="20 % - Markeringsfarve6 3 4 2 2 2 2 2" xfId="31788" xr:uid="{00000000-0005-0000-0000-000079440000}"/>
    <cellStyle name="20 % - Markeringsfarve6 3 4 2 2 2 2 3" xfId="46752" xr:uid="{00000000-0005-0000-0000-00007A440000}"/>
    <cellStyle name="20 % - Markeringsfarve6 3 4 2 2 2 3" xfId="24766" xr:uid="{00000000-0005-0000-0000-00007B440000}"/>
    <cellStyle name="20 % - Markeringsfarve6 3 4 2 2 2 4" xfId="39753" xr:uid="{00000000-0005-0000-0000-00007C440000}"/>
    <cellStyle name="20 % - Markeringsfarve6 3 4 2 2 3" xfId="11540" xr:uid="{00000000-0005-0000-0000-00007D440000}"/>
    <cellStyle name="20 % - Markeringsfarve6 3 4 2 2 3 2" xfId="27860" xr:uid="{00000000-0005-0000-0000-00007E440000}"/>
    <cellStyle name="20 % - Markeringsfarve6 3 4 2 2 3 3" xfId="42826" xr:uid="{00000000-0005-0000-0000-00007F440000}"/>
    <cellStyle name="20 % - Markeringsfarve6 3 4 2 2 4" xfId="20838" xr:uid="{00000000-0005-0000-0000-000080440000}"/>
    <cellStyle name="20 % - Markeringsfarve6 3 4 2 2 5" xfId="35827" xr:uid="{00000000-0005-0000-0000-000081440000}"/>
    <cellStyle name="20 % - Markeringsfarve6 3 4 2 3" xfId="6150" xr:uid="{00000000-0005-0000-0000-000082440000}"/>
    <cellStyle name="20 % - Markeringsfarve6 3 4 2 3 2" xfId="14068" xr:uid="{00000000-0005-0000-0000-000083440000}"/>
    <cellStyle name="20 % - Markeringsfarve6 3 4 2 3 2 2" xfId="30383" xr:uid="{00000000-0005-0000-0000-000084440000}"/>
    <cellStyle name="20 % - Markeringsfarve6 3 4 2 3 2 3" xfId="45347" xr:uid="{00000000-0005-0000-0000-000085440000}"/>
    <cellStyle name="20 % - Markeringsfarve6 3 4 2 3 3" xfId="23361" xr:uid="{00000000-0005-0000-0000-000086440000}"/>
    <cellStyle name="20 % - Markeringsfarve6 3 4 2 3 4" xfId="38348" xr:uid="{00000000-0005-0000-0000-000087440000}"/>
    <cellStyle name="20 % - Markeringsfarve6 3 4 2 4" xfId="11539" xr:uid="{00000000-0005-0000-0000-000088440000}"/>
    <cellStyle name="20 % - Markeringsfarve6 3 4 2 4 2" xfId="27859" xr:uid="{00000000-0005-0000-0000-000089440000}"/>
    <cellStyle name="20 % - Markeringsfarve6 3 4 2 4 3" xfId="42825" xr:uid="{00000000-0005-0000-0000-00008A440000}"/>
    <cellStyle name="20 % - Markeringsfarve6 3 4 2 5" xfId="20837" xr:uid="{00000000-0005-0000-0000-00008B440000}"/>
    <cellStyle name="20 % - Markeringsfarve6 3 4 2 6" xfId="35826" xr:uid="{00000000-0005-0000-0000-00008C440000}"/>
    <cellStyle name="20 % - Markeringsfarve6 3 4 3" xfId="2981" xr:uid="{00000000-0005-0000-0000-00008D440000}"/>
    <cellStyle name="20 % - Markeringsfarve6 3 4 3 2" xfId="6801" xr:uid="{00000000-0005-0000-0000-00008E440000}"/>
    <cellStyle name="20 % - Markeringsfarve6 3 4 3 2 2" xfId="14713" xr:uid="{00000000-0005-0000-0000-00008F440000}"/>
    <cellStyle name="20 % - Markeringsfarve6 3 4 3 2 2 2" xfId="31028" xr:uid="{00000000-0005-0000-0000-000090440000}"/>
    <cellStyle name="20 % - Markeringsfarve6 3 4 3 2 2 3" xfId="45992" xr:uid="{00000000-0005-0000-0000-000091440000}"/>
    <cellStyle name="20 % - Markeringsfarve6 3 4 3 2 3" xfId="24006" xr:uid="{00000000-0005-0000-0000-000092440000}"/>
    <cellStyle name="20 % - Markeringsfarve6 3 4 3 2 4" xfId="38993" xr:uid="{00000000-0005-0000-0000-000093440000}"/>
    <cellStyle name="20 % - Markeringsfarve6 3 4 3 3" xfId="11541" xr:uid="{00000000-0005-0000-0000-000094440000}"/>
    <cellStyle name="20 % - Markeringsfarve6 3 4 3 3 2" xfId="27861" xr:uid="{00000000-0005-0000-0000-000095440000}"/>
    <cellStyle name="20 % - Markeringsfarve6 3 4 3 3 3" xfId="42827" xr:uid="{00000000-0005-0000-0000-000096440000}"/>
    <cellStyle name="20 % - Markeringsfarve6 3 4 3 4" xfId="20839" xr:uid="{00000000-0005-0000-0000-000097440000}"/>
    <cellStyle name="20 % - Markeringsfarve6 3 4 3 5" xfId="35828" xr:uid="{00000000-0005-0000-0000-000098440000}"/>
    <cellStyle name="20 % - Markeringsfarve6 3 4 4" xfId="2982" xr:uid="{00000000-0005-0000-0000-000099440000}"/>
    <cellStyle name="20 % - Markeringsfarve6 3 4 4 2" xfId="8438" xr:uid="{00000000-0005-0000-0000-00009A440000}"/>
    <cellStyle name="20 % - Markeringsfarve6 3 4 4 2 2" xfId="16328" xr:uid="{00000000-0005-0000-0000-00009B440000}"/>
    <cellStyle name="20 % - Markeringsfarve6 3 4 4 2 2 2" xfId="32643" xr:uid="{00000000-0005-0000-0000-00009C440000}"/>
    <cellStyle name="20 % - Markeringsfarve6 3 4 4 2 2 3" xfId="47607" xr:uid="{00000000-0005-0000-0000-00009D440000}"/>
    <cellStyle name="20 % - Markeringsfarve6 3 4 4 2 3" xfId="25621" xr:uid="{00000000-0005-0000-0000-00009E440000}"/>
    <cellStyle name="20 % - Markeringsfarve6 3 4 4 2 4" xfId="40608" xr:uid="{00000000-0005-0000-0000-00009F440000}"/>
    <cellStyle name="20 % - Markeringsfarve6 3 4 4 3" xfId="11542" xr:uid="{00000000-0005-0000-0000-0000A0440000}"/>
    <cellStyle name="20 % - Markeringsfarve6 3 4 4 3 2" xfId="27862" xr:uid="{00000000-0005-0000-0000-0000A1440000}"/>
    <cellStyle name="20 % - Markeringsfarve6 3 4 4 3 3" xfId="42828" xr:uid="{00000000-0005-0000-0000-0000A2440000}"/>
    <cellStyle name="20 % - Markeringsfarve6 3 4 4 4" xfId="20840" xr:uid="{00000000-0005-0000-0000-0000A3440000}"/>
    <cellStyle name="20 % - Markeringsfarve6 3 4 4 5" xfId="35829" xr:uid="{00000000-0005-0000-0000-0000A4440000}"/>
    <cellStyle name="20 % - Markeringsfarve6 3 4 5" xfId="5663" xr:uid="{00000000-0005-0000-0000-0000A5440000}"/>
    <cellStyle name="20 % - Markeringsfarve6 3 4 5 2" xfId="13582" xr:uid="{00000000-0005-0000-0000-0000A6440000}"/>
    <cellStyle name="20 % - Markeringsfarve6 3 4 5 2 2" xfId="29897" xr:uid="{00000000-0005-0000-0000-0000A7440000}"/>
    <cellStyle name="20 % - Markeringsfarve6 3 4 5 2 3" xfId="44861" xr:uid="{00000000-0005-0000-0000-0000A8440000}"/>
    <cellStyle name="20 % - Markeringsfarve6 3 4 5 3" xfId="22875" xr:uid="{00000000-0005-0000-0000-0000A9440000}"/>
    <cellStyle name="20 % - Markeringsfarve6 3 4 5 4" xfId="37862" xr:uid="{00000000-0005-0000-0000-0000AA440000}"/>
    <cellStyle name="20 % - Markeringsfarve6 3 4 6" xfId="11538" xr:uid="{00000000-0005-0000-0000-0000AB440000}"/>
    <cellStyle name="20 % - Markeringsfarve6 3 4 6 2" xfId="27858" xr:uid="{00000000-0005-0000-0000-0000AC440000}"/>
    <cellStyle name="20 % - Markeringsfarve6 3 4 6 3" xfId="42824" xr:uid="{00000000-0005-0000-0000-0000AD440000}"/>
    <cellStyle name="20 % - Markeringsfarve6 3 4 7" xfId="20836" xr:uid="{00000000-0005-0000-0000-0000AE440000}"/>
    <cellStyle name="20 % - Markeringsfarve6 3 4 8" xfId="35825" xr:uid="{00000000-0005-0000-0000-0000AF440000}"/>
    <cellStyle name="20 % - Markeringsfarve6 3 5" xfId="2983" xr:uid="{00000000-0005-0000-0000-0000B0440000}"/>
    <cellStyle name="20 % - Markeringsfarve6 3 5 2" xfId="2984" xr:uid="{00000000-0005-0000-0000-0000B1440000}"/>
    <cellStyle name="20 % - Markeringsfarve6 3 5 2 2" xfId="2985" xr:uid="{00000000-0005-0000-0000-0000B2440000}"/>
    <cellStyle name="20 % - Markeringsfarve6 3 5 2 2 2" xfId="7714" xr:uid="{00000000-0005-0000-0000-0000B3440000}"/>
    <cellStyle name="20 % - Markeringsfarve6 3 5 2 2 2 2" xfId="15616" xr:uid="{00000000-0005-0000-0000-0000B4440000}"/>
    <cellStyle name="20 % - Markeringsfarve6 3 5 2 2 2 2 2" xfId="31931" xr:uid="{00000000-0005-0000-0000-0000B5440000}"/>
    <cellStyle name="20 % - Markeringsfarve6 3 5 2 2 2 2 3" xfId="46895" xr:uid="{00000000-0005-0000-0000-0000B6440000}"/>
    <cellStyle name="20 % - Markeringsfarve6 3 5 2 2 2 3" xfId="24909" xr:uid="{00000000-0005-0000-0000-0000B7440000}"/>
    <cellStyle name="20 % - Markeringsfarve6 3 5 2 2 2 4" xfId="39896" xr:uid="{00000000-0005-0000-0000-0000B8440000}"/>
    <cellStyle name="20 % - Markeringsfarve6 3 5 2 2 3" xfId="11545" xr:uid="{00000000-0005-0000-0000-0000B9440000}"/>
    <cellStyle name="20 % - Markeringsfarve6 3 5 2 2 3 2" xfId="27865" xr:uid="{00000000-0005-0000-0000-0000BA440000}"/>
    <cellStyle name="20 % - Markeringsfarve6 3 5 2 2 3 3" xfId="42831" xr:uid="{00000000-0005-0000-0000-0000BB440000}"/>
    <cellStyle name="20 % - Markeringsfarve6 3 5 2 2 4" xfId="20843" xr:uid="{00000000-0005-0000-0000-0000BC440000}"/>
    <cellStyle name="20 % - Markeringsfarve6 3 5 2 2 5" xfId="35832" xr:uid="{00000000-0005-0000-0000-0000BD440000}"/>
    <cellStyle name="20 % - Markeringsfarve6 3 5 2 3" xfId="6269" xr:uid="{00000000-0005-0000-0000-0000BE440000}"/>
    <cellStyle name="20 % - Markeringsfarve6 3 5 2 3 2" xfId="14187" xr:uid="{00000000-0005-0000-0000-0000BF440000}"/>
    <cellStyle name="20 % - Markeringsfarve6 3 5 2 3 2 2" xfId="30502" xr:uid="{00000000-0005-0000-0000-0000C0440000}"/>
    <cellStyle name="20 % - Markeringsfarve6 3 5 2 3 2 3" xfId="45466" xr:uid="{00000000-0005-0000-0000-0000C1440000}"/>
    <cellStyle name="20 % - Markeringsfarve6 3 5 2 3 3" xfId="23480" xr:uid="{00000000-0005-0000-0000-0000C2440000}"/>
    <cellStyle name="20 % - Markeringsfarve6 3 5 2 3 4" xfId="38467" xr:uid="{00000000-0005-0000-0000-0000C3440000}"/>
    <cellStyle name="20 % - Markeringsfarve6 3 5 2 4" xfId="11544" xr:uid="{00000000-0005-0000-0000-0000C4440000}"/>
    <cellStyle name="20 % - Markeringsfarve6 3 5 2 4 2" xfId="27864" xr:uid="{00000000-0005-0000-0000-0000C5440000}"/>
    <cellStyle name="20 % - Markeringsfarve6 3 5 2 4 3" xfId="42830" xr:uid="{00000000-0005-0000-0000-0000C6440000}"/>
    <cellStyle name="20 % - Markeringsfarve6 3 5 2 5" xfId="20842" xr:uid="{00000000-0005-0000-0000-0000C7440000}"/>
    <cellStyle name="20 % - Markeringsfarve6 3 5 2 6" xfId="35831" xr:uid="{00000000-0005-0000-0000-0000C8440000}"/>
    <cellStyle name="20 % - Markeringsfarve6 3 5 3" xfId="2986" xr:uid="{00000000-0005-0000-0000-0000C9440000}"/>
    <cellStyle name="20 % - Markeringsfarve6 3 5 3 2" xfId="6944" xr:uid="{00000000-0005-0000-0000-0000CA440000}"/>
    <cellStyle name="20 % - Markeringsfarve6 3 5 3 2 2" xfId="14856" xr:uid="{00000000-0005-0000-0000-0000CB440000}"/>
    <cellStyle name="20 % - Markeringsfarve6 3 5 3 2 2 2" xfId="31171" xr:uid="{00000000-0005-0000-0000-0000CC440000}"/>
    <cellStyle name="20 % - Markeringsfarve6 3 5 3 2 2 3" xfId="46135" xr:uid="{00000000-0005-0000-0000-0000CD440000}"/>
    <cellStyle name="20 % - Markeringsfarve6 3 5 3 2 3" xfId="24149" xr:uid="{00000000-0005-0000-0000-0000CE440000}"/>
    <cellStyle name="20 % - Markeringsfarve6 3 5 3 2 4" xfId="39136" xr:uid="{00000000-0005-0000-0000-0000CF440000}"/>
    <cellStyle name="20 % - Markeringsfarve6 3 5 3 3" xfId="11546" xr:uid="{00000000-0005-0000-0000-0000D0440000}"/>
    <cellStyle name="20 % - Markeringsfarve6 3 5 3 3 2" xfId="27866" xr:uid="{00000000-0005-0000-0000-0000D1440000}"/>
    <cellStyle name="20 % - Markeringsfarve6 3 5 3 3 3" xfId="42832" xr:uid="{00000000-0005-0000-0000-0000D2440000}"/>
    <cellStyle name="20 % - Markeringsfarve6 3 5 3 4" xfId="20844" xr:uid="{00000000-0005-0000-0000-0000D3440000}"/>
    <cellStyle name="20 % - Markeringsfarve6 3 5 3 5" xfId="35833" xr:uid="{00000000-0005-0000-0000-0000D4440000}"/>
    <cellStyle name="20 % - Markeringsfarve6 3 5 4" xfId="2987" xr:uid="{00000000-0005-0000-0000-0000D5440000}"/>
    <cellStyle name="20 % - Markeringsfarve6 3 5 4 2" xfId="8652" xr:uid="{00000000-0005-0000-0000-0000D6440000}"/>
    <cellStyle name="20 % - Markeringsfarve6 3 5 4 2 2" xfId="16533" xr:uid="{00000000-0005-0000-0000-0000D7440000}"/>
    <cellStyle name="20 % - Markeringsfarve6 3 5 4 2 2 2" xfId="32848" xr:uid="{00000000-0005-0000-0000-0000D8440000}"/>
    <cellStyle name="20 % - Markeringsfarve6 3 5 4 2 2 3" xfId="47812" xr:uid="{00000000-0005-0000-0000-0000D9440000}"/>
    <cellStyle name="20 % - Markeringsfarve6 3 5 4 2 3" xfId="25826" xr:uid="{00000000-0005-0000-0000-0000DA440000}"/>
    <cellStyle name="20 % - Markeringsfarve6 3 5 4 2 4" xfId="40813" xr:uid="{00000000-0005-0000-0000-0000DB440000}"/>
    <cellStyle name="20 % - Markeringsfarve6 3 5 4 3" xfId="11547" xr:uid="{00000000-0005-0000-0000-0000DC440000}"/>
    <cellStyle name="20 % - Markeringsfarve6 3 5 4 3 2" xfId="27867" xr:uid="{00000000-0005-0000-0000-0000DD440000}"/>
    <cellStyle name="20 % - Markeringsfarve6 3 5 4 3 3" xfId="42833" xr:uid="{00000000-0005-0000-0000-0000DE440000}"/>
    <cellStyle name="20 % - Markeringsfarve6 3 5 4 4" xfId="20845" xr:uid="{00000000-0005-0000-0000-0000DF440000}"/>
    <cellStyle name="20 % - Markeringsfarve6 3 5 4 5" xfId="35834" xr:uid="{00000000-0005-0000-0000-0000E0440000}"/>
    <cellStyle name="20 % - Markeringsfarve6 3 5 5" xfId="5664" xr:uid="{00000000-0005-0000-0000-0000E1440000}"/>
    <cellStyle name="20 % - Markeringsfarve6 3 5 5 2" xfId="13583" xr:uid="{00000000-0005-0000-0000-0000E2440000}"/>
    <cellStyle name="20 % - Markeringsfarve6 3 5 5 2 2" xfId="29898" xr:uid="{00000000-0005-0000-0000-0000E3440000}"/>
    <cellStyle name="20 % - Markeringsfarve6 3 5 5 2 3" xfId="44862" xr:uid="{00000000-0005-0000-0000-0000E4440000}"/>
    <cellStyle name="20 % - Markeringsfarve6 3 5 5 3" xfId="22876" xr:uid="{00000000-0005-0000-0000-0000E5440000}"/>
    <cellStyle name="20 % - Markeringsfarve6 3 5 5 4" xfId="37863" xr:uid="{00000000-0005-0000-0000-0000E6440000}"/>
    <cellStyle name="20 % - Markeringsfarve6 3 5 6" xfId="11543" xr:uid="{00000000-0005-0000-0000-0000E7440000}"/>
    <cellStyle name="20 % - Markeringsfarve6 3 5 6 2" xfId="27863" xr:uid="{00000000-0005-0000-0000-0000E8440000}"/>
    <cellStyle name="20 % - Markeringsfarve6 3 5 6 3" xfId="42829" xr:uid="{00000000-0005-0000-0000-0000E9440000}"/>
    <cellStyle name="20 % - Markeringsfarve6 3 5 7" xfId="20841" xr:uid="{00000000-0005-0000-0000-0000EA440000}"/>
    <cellStyle name="20 % - Markeringsfarve6 3 5 8" xfId="35830" xr:uid="{00000000-0005-0000-0000-0000EB440000}"/>
    <cellStyle name="20 % - Markeringsfarve6 3 6" xfId="2988" xr:uid="{00000000-0005-0000-0000-0000EC440000}"/>
    <cellStyle name="20 % - Markeringsfarve6 3 6 2" xfId="2989" xr:uid="{00000000-0005-0000-0000-0000ED440000}"/>
    <cellStyle name="20 % - Markeringsfarve6 3 6 2 2" xfId="2990" xr:uid="{00000000-0005-0000-0000-0000EE440000}"/>
    <cellStyle name="20 % - Markeringsfarve6 3 6 2 2 2" xfId="7809" xr:uid="{00000000-0005-0000-0000-0000EF440000}"/>
    <cellStyle name="20 % - Markeringsfarve6 3 6 2 2 2 2" xfId="15711" xr:uid="{00000000-0005-0000-0000-0000F0440000}"/>
    <cellStyle name="20 % - Markeringsfarve6 3 6 2 2 2 2 2" xfId="32026" xr:uid="{00000000-0005-0000-0000-0000F1440000}"/>
    <cellStyle name="20 % - Markeringsfarve6 3 6 2 2 2 2 3" xfId="46990" xr:uid="{00000000-0005-0000-0000-0000F2440000}"/>
    <cellStyle name="20 % - Markeringsfarve6 3 6 2 2 2 3" xfId="25004" xr:uid="{00000000-0005-0000-0000-0000F3440000}"/>
    <cellStyle name="20 % - Markeringsfarve6 3 6 2 2 2 4" xfId="39991" xr:uid="{00000000-0005-0000-0000-0000F4440000}"/>
    <cellStyle name="20 % - Markeringsfarve6 3 6 2 2 3" xfId="11550" xr:uid="{00000000-0005-0000-0000-0000F5440000}"/>
    <cellStyle name="20 % - Markeringsfarve6 3 6 2 2 3 2" xfId="27870" xr:uid="{00000000-0005-0000-0000-0000F6440000}"/>
    <cellStyle name="20 % - Markeringsfarve6 3 6 2 2 3 3" xfId="42836" xr:uid="{00000000-0005-0000-0000-0000F7440000}"/>
    <cellStyle name="20 % - Markeringsfarve6 3 6 2 2 4" xfId="20848" xr:uid="{00000000-0005-0000-0000-0000F8440000}"/>
    <cellStyle name="20 % - Markeringsfarve6 3 6 2 2 5" xfId="35837" xr:uid="{00000000-0005-0000-0000-0000F9440000}"/>
    <cellStyle name="20 % - Markeringsfarve6 3 6 2 3" xfId="6352" xr:uid="{00000000-0005-0000-0000-0000FA440000}"/>
    <cellStyle name="20 % - Markeringsfarve6 3 6 2 3 2" xfId="14267" xr:uid="{00000000-0005-0000-0000-0000FB440000}"/>
    <cellStyle name="20 % - Markeringsfarve6 3 6 2 3 2 2" xfId="30582" xr:uid="{00000000-0005-0000-0000-0000FC440000}"/>
    <cellStyle name="20 % - Markeringsfarve6 3 6 2 3 2 3" xfId="45546" xr:uid="{00000000-0005-0000-0000-0000FD440000}"/>
    <cellStyle name="20 % - Markeringsfarve6 3 6 2 3 3" xfId="23560" xr:uid="{00000000-0005-0000-0000-0000FE440000}"/>
    <cellStyle name="20 % - Markeringsfarve6 3 6 2 3 4" xfId="38547" xr:uid="{00000000-0005-0000-0000-0000FF440000}"/>
    <cellStyle name="20 % - Markeringsfarve6 3 6 2 4" xfId="11549" xr:uid="{00000000-0005-0000-0000-000000450000}"/>
    <cellStyle name="20 % - Markeringsfarve6 3 6 2 4 2" xfId="27869" xr:uid="{00000000-0005-0000-0000-000001450000}"/>
    <cellStyle name="20 % - Markeringsfarve6 3 6 2 4 3" xfId="42835" xr:uid="{00000000-0005-0000-0000-000002450000}"/>
    <cellStyle name="20 % - Markeringsfarve6 3 6 2 5" xfId="20847" xr:uid="{00000000-0005-0000-0000-000003450000}"/>
    <cellStyle name="20 % - Markeringsfarve6 3 6 2 6" xfId="35836" xr:uid="{00000000-0005-0000-0000-000004450000}"/>
    <cellStyle name="20 % - Markeringsfarve6 3 6 3" xfId="2991" xr:uid="{00000000-0005-0000-0000-000005450000}"/>
    <cellStyle name="20 % - Markeringsfarve6 3 6 3 2" xfId="7085" xr:uid="{00000000-0005-0000-0000-000006450000}"/>
    <cellStyle name="20 % - Markeringsfarve6 3 6 3 2 2" xfId="14996" xr:uid="{00000000-0005-0000-0000-000007450000}"/>
    <cellStyle name="20 % - Markeringsfarve6 3 6 3 2 2 2" xfId="31311" xr:uid="{00000000-0005-0000-0000-000008450000}"/>
    <cellStyle name="20 % - Markeringsfarve6 3 6 3 2 2 3" xfId="46275" xr:uid="{00000000-0005-0000-0000-000009450000}"/>
    <cellStyle name="20 % - Markeringsfarve6 3 6 3 2 3" xfId="24289" xr:uid="{00000000-0005-0000-0000-00000A450000}"/>
    <cellStyle name="20 % - Markeringsfarve6 3 6 3 2 4" xfId="39276" xr:uid="{00000000-0005-0000-0000-00000B450000}"/>
    <cellStyle name="20 % - Markeringsfarve6 3 6 3 3" xfId="11551" xr:uid="{00000000-0005-0000-0000-00000C450000}"/>
    <cellStyle name="20 % - Markeringsfarve6 3 6 3 3 2" xfId="27871" xr:uid="{00000000-0005-0000-0000-00000D450000}"/>
    <cellStyle name="20 % - Markeringsfarve6 3 6 3 3 3" xfId="42837" xr:uid="{00000000-0005-0000-0000-00000E450000}"/>
    <cellStyle name="20 % - Markeringsfarve6 3 6 3 4" xfId="20849" xr:uid="{00000000-0005-0000-0000-00000F450000}"/>
    <cellStyle name="20 % - Markeringsfarve6 3 6 3 5" xfId="35838" xr:uid="{00000000-0005-0000-0000-000010450000}"/>
    <cellStyle name="20 % - Markeringsfarve6 3 6 4" xfId="2992" xr:uid="{00000000-0005-0000-0000-000011450000}"/>
    <cellStyle name="20 % - Markeringsfarve6 3 6 4 2" xfId="8376" xr:uid="{00000000-0005-0000-0000-000012450000}"/>
    <cellStyle name="20 % - Markeringsfarve6 3 6 4 2 2" xfId="16269" xr:uid="{00000000-0005-0000-0000-000013450000}"/>
    <cellStyle name="20 % - Markeringsfarve6 3 6 4 2 2 2" xfId="32584" xr:uid="{00000000-0005-0000-0000-000014450000}"/>
    <cellStyle name="20 % - Markeringsfarve6 3 6 4 2 2 3" xfId="47548" xr:uid="{00000000-0005-0000-0000-000015450000}"/>
    <cellStyle name="20 % - Markeringsfarve6 3 6 4 2 3" xfId="25562" xr:uid="{00000000-0005-0000-0000-000016450000}"/>
    <cellStyle name="20 % - Markeringsfarve6 3 6 4 2 4" xfId="40549" xr:uid="{00000000-0005-0000-0000-000017450000}"/>
    <cellStyle name="20 % - Markeringsfarve6 3 6 4 3" xfId="11552" xr:uid="{00000000-0005-0000-0000-000018450000}"/>
    <cellStyle name="20 % - Markeringsfarve6 3 6 4 3 2" xfId="27872" xr:uid="{00000000-0005-0000-0000-000019450000}"/>
    <cellStyle name="20 % - Markeringsfarve6 3 6 4 3 3" xfId="42838" xr:uid="{00000000-0005-0000-0000-00001A450000}"/>
    <cellStyle name="20 % - Markeringsfarve6 3 6 4 4" xfId="20850" xr:uid="{00000000-0005-0000-0000-00001B450000}"/>
    <cellStyle name="20 % - Markeringsfarve6 3 6 4 5" xfId="35839" xr:uid="{00000000-0005-0000-0000-00001C450000}"/>
    <cellStyle name="20 % - Markeringsfarve6 3 6 5" xfId="5665" xr:uid="{00000000-0005-0000-0000-00001D450000}"/>
    <cellStyle name="20 % - Markeringsfarve6 3 6 5 2" xfId="13584" xr:uid="{00000000-0005-0000-0000-00001E450000}"/>
    <cellStyle name="20 % - Markeringsfarve6 3 6 5 2 2" xfId="29899" xr:uid="{00000000-0005-0000-0000-00001F450000}"/>
    <cellStyle name="20 % - Markeringsfarve6 3 6 5 2 3" xfId="44863" xr:uid="{00000000-0005-0000-0000-000020450000}"/>
    <cellStyle name="20 % - Markeringsfarve6 3 6 5 3" xfId="22877" xr:uid="{00000000-0005-0000-0000-000021450000}"/>
    <cellStyle name="20 % - Markeringsfarve6 3 6 5 4" xfId="37864" xr:uid="{00000000-0005-0000-0000-000022450000}"/>
    <cellStyle name="20 % - Markeringsfarve6 3 6 6" xfId="11548" xr:uid="{00000000-0005-0000-0000-000023450000}"/>
    <cellStyle name="20 % - Markeringsfarve6 3 6 6 2" xfId="27868" xr:uid="{00000000-0005-0000-0000-000024450000}"/>
    <cellStyle name="20 % - Markeringsfarve6 3 6 6 3" xfId="42834" xr:uid="{00000000-0005-0000-0000-000025450000}"/>
    <cellStyle name="20 % - Markeringsfarve6 3 6 7" xfId="20846" xr:uid="{00000000-0005-0000-0000-000026450000}"/>
    <cellStyle name="20 % - Markeringsfarve6 3 6 8" xfId="35835" xr:uid="{00000000-0005-0000-0000-000027450000}"/>
    <cellStyle name="20 % - Markeringsfarve6 3 7" xfId="2993" xr:uid="{00000000-0005-0000-0000-000028450000}"/>
    <cellStyle name="20 % - Markeringsfarve6 3 7 2" xfId="2994" xr:uid="{00000000-0005-0000-0000-000029450000}"/>
    <cellStyle name="20 % - Markeringsfarve6 3 7 2 2" xfId="2995" xr:uid="{00000000-0005-0000-0000-00002A450000}"/>
    <cellStyle name="20 % - Markeringsfarve6 3 7 2 2 2" xfId="7926" xr:uid="{00000000-0005-0000-0000-00002B450000}"/>
    <cellStyle name="20 % - Markeringsfarve6 3 7 2 2 2 2" xfId="15828" xr:uid="{00000000-0005-0000-0000-00002C450000}"/>
    <cellStyle name="20 % - Markeringsfarve6 3 7 2 2 2 2 2" xfId="32143" xr:uid="{00000000-0005-0000-0000-00002D450000}"/>
    <cellStyle name="20 % - Markeringsfarve6 3 7 2 2 2 2 3" xfId="47107" xr:uid="{00000000-0005-0000-0000-00002E450000}"/>
    <cellStyle name="20 % - Markeringsfarve6 3 7 2 2 2 3" xfId="25121" xr:uid="{00000000-0005-0000-0000-00002F450000}"/>
    <cellStyle name="20 % - Markeringsfarve6 3 7 2 2 2 4" xfId="40108" xr:uid="{00000000-0005-0000-0000-000030450000}"/>
    <cellStyle name="20 % - Markeringsfarve6 3 7 2 2 3" xfId="11555" xr:uid="{00000000-0005-0000-0000-000031450000}"/>
    <cellStyle name="20 % - Markeringsfarve6 3 7 2 2 3 2" xfId="27875" xr:uid="{00000000-0005-0000-0000-000032450000}"/>
    <cellStyle name="20 % - Markeringsfarve6 3 7 2 2 3 3" xfId="42841" xr:uid="{00000000-0005-0000-0000-000033450000}"/>
    <cellStyle name="20 % - Markeringsfarve6 3 7 2 2 4" xfId="20853" xr:uid="{00000000-0005-0000-0000-000034450000}"/>
    <cellStyle name="20 % - Markeringsfarve6 3 7 2 2 5" xfId="35842" xr:uid="{00000000-0005-0000-0000-000035450000}"/>
    <cellStyle name="20 % - Markeringsfarve6 3 7 2 3" xfId="6451" xr:uid="{00000000-0005-0000-0000-000036450000}"/>
    <cellStyle name="20 % - Markeringsfarve6 3 7 2 3 2" xfId="14366" xr:uid="{00000000-0005-0000-0000-000037450000}"/>
    <cellStyle name="20 % - Markeringsfarve6 3 7 2 3 2 2" xfId="30681" xr:uid="{00000000-0005-0000-0000-000038450000}"/>
    <cellStyle name="20 % - Markeringsfarve6 3 7 2 3 2 3" xfId="45645" xr:uid="{00000000-0005-0000-0000-000039450000}"/>
    <cellStyle name="20 % - Markeringsfarve6 3 7 2 3 3" xfId="23659" xr:uid="{00000000-0005-0000-0000-00003A450000}"/>
    <cellStyle name="20 % - Markeringsfarve6 3 7 2 3 4" xfId="38646" xr:uid="{00000000-0005-0000-0000-00003B450000}"/>
    <cellStyle name="20 % - Markeringsfarve6 3 7 2 4" xfId="11554" xr:uid="{00000000-0005-0000-0000-00003C450000}"/>
    <cellStyle name="20 % - Markeringsfarve6 3 7 2 4 2" xfId="27874" xr:uid="{00000000-0005-0000-0000-00003D450000}"/>
    <cellStyle name="20 % - Markeringsfarve6 3 7 2 4 3" xfId="42840" xr:uid="{00000000-0005-0000-0000-00003E450000}"/>
    <cellStyle name="20 % - Markeringsfarve6 3 7 2 5" xfId="20852" xr:uid="{00000000-0005-0000-0000-00003F450000}"/>
    <cellStyle name="20 % - Markeringsfarve6 3 7 2 6" xfId="35841" xr:uid="{00000000-0005-0000-0000-000040450000}"/>
    <cellStyle name="20 % - Markeringsfarve6 3 7 3" xfId="2996" xr:uid="{00000000-0005-0000-0000-000041450000}"/>
    <cellStyle name="20 % - Markeringsfarve6 3 7 3 2" xfId="7202" xr:uid="{00000000-0005-0000-0000-000042450000}"/>
    <cellStyle name="20 % - Markeringsfarve6 3 7 3 2 2" xfId="15113" xr:uid="{00000000-0005-0000-0000-000043450000}"/>
    <cellStyle name="20 % - Markeringsfarve6 3 7 3 2 2 2" xfId="31428" xr:uid="{00000000-0005-0000-0000-000044450000}"/>
    <cellStyle name="20 % - Markeringsfarve6 3 7 3 2 2 3" xfId="46392" xr:uid="{00000000-0005-0000-0000-000045450000}"/>
    <cellStyle name="20 % - Markeringsfarve6 3 7 3 2 3" xfId="24406" xr:uid="{00000000-0005-0000-0000-000046450000}"/>
    <cellStyle name="20 % - Markeringsfarve6 3 7 3 2 4" xfId="39393" xr:uid="{00000000-0005-0000-0000-000047450000}"/>
    <cellStyle name="20 % - Markeringsfarve6 3 7 3 3" xfId="11556" xr:uid="{00000000-0005-0000-0000-000048450000}"/>
    <cellStyle name="20 % - Markeringsfarve6 3 7 3 3 2" xfId="27876" xr:uid="{00000000-0005-0000-0000-000049450000}"/>
    <cellStyle name="20 % - Markeringsfarve6 3 7 3 3 3" xfId="42842" xr:uid="{00000000-0005-0000-0000-00004A450000}"/>
    <cellStyle name="20 % - Markeringsfarve6 3 7 3 4" xfId="20854" xr:uid="{00000000-0005-0000-0000-00004B450000}"/>
    <cellStyle name="20 % - Markeringsfarve6 3 7 3 5" xfId="35843" xr:uid="{00000000-0005-0000-0000-00004C450000}"/>
    <cellStyle name="20 % - Markeringsfarve6 3 7 4" xfId="2997" xr:uid="{00000000-0005-0000-0000-00004D450000}"/>
    <cellStyle name="20 % - Markeringsfarve6 3 7 4 2" xfId="8611" xr:uid="{00000000-0005-0000-0000-00004E450000}"/>
    <cellStyle name="20 % - Markeringsfarve6 3 7 4 2 2" xfId="16494" xr:uid="{00000000-0005-0000-0000-00004F450000}"/>
    <cellStyle name="20 % - Markeringsfarve6 3 7 4 2 2 2" xfId="32809" xr:uid="{00000000-0005-0000-0000-000050450000}"/>
    <cellStyle name="20 % - Markeringsfarve6 3 7 4 2 2 3" xfId="47773" xr:uid="{00000000-0005-0000-0000-000051450000}"/>
    <cellStyle name="20 % - Markeringsfarve6 3 7 4 2 3" xfId="25787" xr:uid="{00000000-0005-0000-0000-000052450000}"/>
    <cellStyle name="20 % - Markeringsfarve6 3 7 4 2 4" xfId="40774" xr:uid="{00000000-0005-0000-0000-000053450000}"/>
    <cellStyle name="20 % - Markeringsfarve6 3 7 4 3" xfId="11557" xr:uid="{00000000-0005-0000-0000-000054450000}"/>
    <cellStyle name="20 % - Markeringsfarve6 3 7 4 3 2" xfId="27877" xr:uid="{00000000-0005-0000-0000-000055450000}"/>
    <cellStyle name="20 % - Markeringsfarve6 3 7 4 3 3" xfId="42843" xr:uid="{00000000-0005-0000-0000-000056450000}"/>
    <cellStyle name="20 % - Markeringsfarve6 3 7 4 4" xfId="20855" xr:uid="{00000000-0005-0000-0000-000057450000}"/>
    <cellStyle name="20 % - Markeringsfarve6 3 7 4 5" xfId="35844" xr:uid="{00000000-0005-0000-0000-000058450000}"/>
    <cellStyle name="20 % - Markeringsfarve6 3 7 5" xfId="5666" xr:uid="{00000000-0005-0000-0000-000059450000}"/>
    <cellStyle name="20 % - Markeringsfarve6 3 7 5 2" xfId="13585" xr:uid="{00000000-0005-0000-0000-00005A450000}"/>
    <cellStyle name="20 % - Markeringsfarve6 3 7 5 2 2" xfId="29900" xr:uid="{00000000-0005-0000-0000-00005B450000}"/>
    <cellStyle name="20 % - Markeringsfarve6 3 7 5 2 3" xfId="44864" xr:uid="{00000000-0005-0000-0000-00005C450000}"/>
    <cellStyle name="20 % - Markeringsfarve6 3 7 5 3" xfId="22878" xr:uid="{00000000-0005-0000-0000-00005D450000}"/>
    <cellStyle name="20 % - Markeringsfarve6 3 7 5 4" xfId="37865" xr:uid="{00000000-0005-0000-0000-00005E450000}"/>
    <cellStyle name="20 % - Markeringsfarve6 3 7 6" xfId="11553" xr:uid="{00000000-0005-0000-0000-00005F450000}"/>
    <cellStyle name="20 % - Markeringsfarve6 3 7 6 2" xfId="27873" xr:uid="{00000000-0005-0000-0000-000060450000}"/>
    <cellStyle name="20 % - Markeringsfarve6 3 7 6 3" xfId="42839" xr:uid="{00000000-0005-0000-0000-000061450000}"/>
    <cellStyle name="20 % - Markeringsfarve6 3 7 7" xfId="20851" xr:uid="{00000000-0005-0000-0000-000062450000}"/>
    <cellStyle name="20 % - Markeringsfarve6 3 7 8" xfId="35840" xr:uid="{00000000-0005-0000-0000-000063450000}"/>
    <cellStyle name="20 % - Markeringsfarve6 3 8" xfId="2998" xr:uid="{00000000-0005-0000-0000-000064450000}"/>
    <cellStyle name="20 % - Markeringsfarve6 3 8 2" xfId="2999" xr:uid="{00000000-0005-0000-0000-000065450000}"/>
    <cellStyle name="20 % - Markeringsfarve6 3 8 2 2" xfId="3000" xr:uid="{00000000-0005-0000-0000-000066450000}"/>
    <cellStyle name="20 % - Markeringsfarve6 3 8 2 2 2" xfId="8068" xr:uid="{00000000-0005-0000-0000-000067450000}"/>
    <cellStyle name="20 % - Markeringsfarve6 3 8 2 2 2 2" xfId="15970" xr:uid="{00000000-0005-0000-0000-000068450000}"/>
    <cellStyle name="20 % - Markeringsfarve6 3 8 2 2 2 2 2" xfId="32285" xr:uid="{00000000-0005-0000-0000-000069450000}"/>
    <cellStyle name="20 % - Markeringsfarve6 3 8 2 2 2 2 3" xfId="47249" xr:uid="{00000000-0005-0000-0000-00006A450000}"/>
    <cellStyle name="20 % - Markeringsfarve6 3 8 2 2 2 3" xfId="25263" xr:uid="{00000000-0005-0000-0000-00006B450000}"/>
    <cellStyle name="20 % - Markeringsfarve6 3 8 2 2 2 4" xfId="40250" xr:uid="{00000000-0005-0000-0000-00006C450000}"/>
    <cellStyle name="20 % - Markeringsfarve6 3 8 2 2 3" xfId="11560" xr:uid="{00000000-0005-0000-0000-00006D450000}"/>
    <cellStyle name="20 % - Markeringsfarve6 3 8 2 2 3 2" xfId="27880" xr:uid="{00000000-0005-0000-0000-00006E450000}"/>
    <cellStyle name="20 % - Markeringsfarve6 3 8 2 2 3 3" xfId="42846" xr:uid="{00000000-0005-0000-0000-00006F450000}"/>
    <cellStyle name="20 % - Markeringsfarve6 3 8 2 2 4" xfId="20858" xr:uid="{00000000-0005-0000-0000-000070450000}"/>
    <cellStyle name="20 % - Markeringsfarve6 3 8 2 2 5" xfId="35847" xr:uid="{00000000-0005-0000-0000-000071450000}"/>
    <cellStyle name="20 % - Markeringsfarve6 3 8 2 3" xfId="6570" xr:uid="{00000000-0005-0000-0000-000072450000}"/>
    <cellStyle name="20 % - Markeringsfarve6 3 8 2 3 2" xfId="14485" xr:uid="{00000000-0005-0000-0000-000073450000}"/>
    <cellStyle name="20 % - Markeringsfarve6 3 8 2 3 2 2" xfId="30800" xr:uid="{00000000-0005-0000-0000-000074450000}"/>
    <cellStyle name="20 % - Markeringsfarve6 3 8 2 3 2 3" xfId="45764" xr:uid="{00000000-0005-0000-0000-000075450000}"/>
    <cellStyle name="20 % - Markeringsfarve6 3 8 2 3 3" xfId="23778" xr:uid="{00000000-0005-0000-0000-000076450000}"/>
    <cellStyle name="20 % - Markeringsfarve6 3 8 2 3 4" xfId="38765" xr:uid="{00000000-0005-0000-0000-000077450000}"/>
    <cellStyle name="20 % - Markeringsfarve6 3 8 2 4" xfId="11559" xr:uid="{00000000-0005-0000-0000-000078450000}"/>
    <cellStyle name="20 % - Markeringsfarve6 3 8 2 4 2" xfId="27879" xr:uid="{00000000-0005-0000-0000-000079450000}"/>
    <cellStyle name="20 % - Markeringsfarve6 3 8 2 4 3" xfId="42845" xr:uid="{00000000-0005-0000-0000-00007A450000}"/>
    <cellStyle name="20 % - Markeringsfarve6 3 8 2 5" xfId="20857" xr:uid="{00000000-0005-0000-0000-00007B450000}"/>
    <cellStyle name="20 % - Markeringsfarve6 3 8 2 6" xfId="35846" xr:uid="{00000000-0005-0000-0000-00007C450000}"/>
    <cellStyle name="20 % - Markeringsfarve6 3 8 3" xfId="3001" xr:uid="{00000000-0005-0000-0000-00007D450000}"/>
    <cellStyle name="20 % - Markeringsfarve6 3 8 3 2" xfId="7345" xr:uid="{00000000-0005-0000-0000-00007E450000}"/>
    <cellStyle name="20 % - Markeringsfarve6 3 8 3 2 2" xfId="15256" xr:uid="{00000000-0005-0000-0000-00007F450000}"/>
    <cellStyle name="20 % - Markeringsfarve6 3 8 3 2 2 2" xfId="31571" xr:uid="{00000000-0005-0000-0000-000080450000}"/>
    <cellStyle name="20 % - Markeringsfarve6 3 8 3 2 2 3" xfId="46535" xr:uid="{00000000-0005-0000-0000-000081450000}"/>
    <cellStyle name="20 % - Markeringsfarve6 3 8 3 2 3" xfId="24549" xr:uid="{00000000-0005-0000-0000-000082450000}"/>
    <cellStyle name="20 % - Markeringsfarve6 3 8 3 2 4" xfId="39536" xr:uid="{00000000-0005-0000-0000-000083450000}"/>
    <cellStyle name="20 % - Markeringsfarve6 3 8 3 3" xfId="11561" xr:uid="{00000000-0005-0000-0000-000084450000}"/>
    <cellStyle name="20 % - Markeringsfarve6 3 8 3 3 2" xfId="27881" xr:uid="{00000000-0005-0000-0000-000085450000}"/>
    <cellStyle name="20 % - Markeringsfarve6 3 8 3 3 3" xfId="42847" xr:uid="{00000000-0005-0000-0000-000086450000}"/>
    <cellStyle name="20 % - Markeringsfarve6 3 8 3 4" xfId="20859" xr:uid="{00000000-0005-0000-0000-000087450000}"/>
    <cellStyle name="20 % - Markeringsfarve6 3 8 3 5" xfId="35848" xr:uid="{00000000-0005-0000-0000-000088450000}"/>
    <cellStyle name="20 % - Markeringsfarve6 3 8 4" xfId="3002" xr:uid="{00000000-0005-0000-0000-000089450000}"/>
    <cellStyle name="20 % - Markeringsfarve6 3 8 4 2" xfId="8334" xr:uid="{00000000-0005-0000-0000-00008A450000}"/>
    <cellStyle name="20 % - Markeringsfarve6 3 8 4 2 2" xfId="16228" xr:uid="{00000000-0005-0000-0000-00008B450000}"/>
    <cellStyle name="20 % - Markeringsfarve6 3 8 4 2 2 2" xfId="32543" xr:uid="{00000000-0005-0000-0000-00008C450000}"/>
    <cellStyle name="20 % - Markeringsfarve6 3 8 4 2 2 3" xfId="47507" xr:uid="{00000000-0005-0000-0000-00008D450000}"/>
    <cellStyle name="20 % - Markeringsfarve6 3 8 4 2 3" xfId="25521" xr:uid="{00000000-0005-0000-0000-00008E450000}"/>
    <cellStyle name="20 % - Markeringsfarve6 3 8 4 2 4" xfId="40508" xr:uid="{00000000-0005-0000-0000-00008F450000}"/>
    <cellStyle name="20 % - Markeringsfarve6 3 8 4 3" xfId="11562" xr:uid="{00000000-0005-0000-0000-000090450000}"/>
    <cellStyle name="20 % - Markeringsfarve6 3 8 4 3 2" xfId="27882" xr:uid="{00000000-0005-0000-0000-000091450000}"/>
    <cellStyle name="20 % - Markeringsfarve6 3 8 4 3 3" xfId="42848" xr:uid="{00000000-0005-0000-0000-000092450000}"/>
    <cellStyle name="20 % - Markeringsfarve6 3 8 4 4" xfId="20860" xr:uid="{00000000-0005-0000-0000-000093450000}"/>
    <cellStyle name="20 % - Markeringsfarve6 3 8 4 5" xfId="35849" xr:uid="{00000000-0005-0000-0000-000094450000}"/>
    <cellStyle name="20 % - Markeringsfarve6 3 8 5" xfId="5667" xr:uid="{00000000-0005-0000-0000-000095450000}"/>
    <cellStyle name="20 % - Markeringsfarve6 3 8 5 2" xfId="13586" xr:uid="{00000000-0005-0000-0000-000096450000}"/>
    <cellStyle name="20 % - Markeringsfarve6 3 8 5 2 2" xfId="29901" xr:uid="{00000000-0005-0000-0000-000097450000}"/>
    <cellStyle name="20 % - Markeringsfarve6 3 8 5 2 3" xfId="44865" xr:uid="{00000000-0005-0000-0000-000098450000}"/>
    <cellStyle name="20 % - Markeringsfarve6 3 8 5 3" xfId="22879" xr:uid="{00000000-0005-0000-0000-000099450000}"/>
    <cellStyle name="20 % - Markeringsfarve6 3 8 5 4" xfId="37866" xr:uid="{00000000-0005-0000-0000-00009A450000}"/>
    <cellStyle name="20 % - Markeringsfarve6 3 8 6" xfId="11558" xr:uid="{00000000-0005-0000-0000-00009B450000}"/>
    <cellStyle name="20 % - Markeringsfarve6 3 8 6 2" xfId="27878" xr:uid="{00000000-0005-0000-0000-00009C450000}"/>
    <cellStyle name="20 % - Markeringsfarve6 3 8 6 3" xfId="42844" xr:uid="{00000000-0005-0000-0000-00009D450000}"/>
    <cellStyle name="20 % - Markeringsfarve6 3 8 7" xfId="20856" xr:uid="{00000000-0005-0000-0000-00009E450000}"/>
    <cellStyle name="20 % - Markeringsfarve6 3 8 8" xfId="35845" xr:uid="{00000000-0005-0000-0000-00009F450000}"/>
    <cellStyle name="20 % - Markeringsfarve6 3 9" xfId="3003" xr:uid="{00000000-0005-0000-0000-0000A0450000}"/>
    <cellStyle name="20 % - Markeringsfarve6 3 9 2" xfId="3004" xr:uid="{00000000-0005-0000-0000-0000A1450000}"/>
    <cellStyle name="20 % - Markeringsfarve6 3 9 2 2" xfId="7452" xr:uid="{00000000-0005-0000-0000-0000A2450000}"/>
    <cellStyle name="20 % - Markeringsfarve6 3 9 2 2 2" xfId="15354" xr:uid="{00000000-0005-0000-0000-0000A3450000}"/>
    <cellStyle name="20 % - Markeringsfarve6 3 9 2 2 2 2" xfId="31669" xr:uid="{00000000-0005-0000-0000-0000A4450000}"/>
    <cellStyle name="20 % - Markeringsfarve6 3 9 2 2 2 3" xfId="46633" xr:uid="{00000000-0005-0000-0000-0000A5450000}"/>
    <cellStyle name="20 % - Markeringsfarve6 3 9 2 2 3" xfId="24647" xr:uid="{00000000-0005-0000-0000-0000A6450000}"/>
    <cellStyle name="20 % - Markeringsfarve6 3 9 2 2 4" xfId="39634" xr:uid="{00000000-0005-0000-0000-0000A7450000}"/>
    <cellStyle name="20 % - Markeringsfarve6 3 9 2 3" xfId="11564" xr:uid="{00000000-0005-0000-0000-0000A8450000}"/>
    <cellStyle name="20 % - Markeringsfarve6 3 9 2 3 2" xfId="27884" xr:uid="{00000000-0005-0000-0000-0000A9450000}"/>
    <cellStyle name="20 % - Markeringsfarve6 3 9 2 3 3" xfId="42850" xr:uid="{00000000-0005-0000-0000-0000AA450000}"/>
    <cellStyle name="20 % - Markeringsfarve6 3 9 2 4" xfId="20862" xr:uid="{00000000-0005-0000-0000-0000AB450000}"/>
    <cellStyle name="20 % - Markeringsfarve6 3 9 2 5" xfId="35851" xr:uid="{00000000-0005-0000-0000-0000AC450000}"/>
    <cellStyle name="20 % - Markeringsfarve6 3 9 3" xfId="6051" xr:uid="{00000000-0005-0000-0000-0000AD450000}"/>
    <cellStyle name="20 % - Markeringsfarve6 3 9 3 2" xfId="13969" xr:uid="{00000000-0005-0000-0000-0000AE450000}"/>
    <cellStyle name="20 % - Markeringsfarve6 3 9 3 2 2" xfId="30284" xr:uid="{00000000-0005-0000-0000-0000AF450000}"/>
    <cellStyle name="20 % - Markeringsfarve6 3 9 3 2 3" xfId="45248" xr:uid="{00000000-0005-0000-0000-0000B0450000}"/>
    <cellStyle name="20 % - Markeringsfarve6 3 9 3 3" xfId="23262" xr:uid="{00000000-0005-0000-0000-0000B1450000}"/>
    <cellStyle name="20 % - Markeringsfarve6 3 9 3 4" xfId="38249" xr:uid="{00000000-0005-0000-0000-0000B2450000}"/>
    <cellStyle name="20 % - Markeringsfarve6 3 9 4" xfId="11563" xr:uid="{00000000-0005-0000-0000-0000B3450000}"/>
    <cellStyle name="20 % - Markeringsfarve6 3 9 4 2" xfId="27883" xr:uid="{00000000-0005-0000-0000-0000B4450000}"/>
    <cellStyle name="20 % - Markeringsfarve6 3 9 4 3" xfId="42849" xr:uid="{00000000-0005-0000-0000-0000B5450000}"/>
    <cellStyle name="20 % - Markeringsfarve6 3 9 5" xfId="20861" xr:uid="{00000000-0005-0000-0000-0000B6450000}"/>
    <cellStyle name="20 % - Markeringsfarve6 3 9 6" xfId="35850" xr:uid="{00000000-0005-0000-0000-0000B7450000}"/>
    <cellStyle name="20 % - Markeringsfarve6 4" xfId="3005" xr:uid="{00000000-0005-0000-0000-0000B8450000}"/>
    <cellStyle name="20 % - Markeringsfarve6 4 10" xfId="5668" xr:uid="{00000000-0005-0000-0000-0000B9450000}"/>
    <cellStyle name="20 % - Markeringsfarve6 4 10 2" xfId="13587" xr:uid="{00000000-0005-0000-0000-0000BA450000}"/>
    <cellStyle name="20 % - Markeringsfarve6 4 10 2 2" xfId="29902" xr:uid="{00000000-0005-0000-0000-0000BB450000}"/>
    <cellStyle name="20 % - Markeringsfarve6 4 10 2 3" xfId="44866" xr:uid="{00000000-0005-0000-0000-0000BC450000}"/>
    <cellStyle name="20 % - Markeringsfarve6 4 10 3" xfId="22880" xr:uid="{00000000-0005-0000-0000-0000BD450000}"/>
    <cellStyle name="20 % - Markeringsfarve6 4 10 4" xfId="37867" xr:uid="{00000000-0005-0000-0000-0000BE450000}"/>
    <cellStyle name="20 % - Markeringsfarve6 4 11" xfId="11565" xr:uid="{00000000-0005-0000-0000-0000BF450000}"/>
    <cellStyle name="20 % - Markeringsfarve6 4 11 2" xfId="27885" xr:uid="{00000000-0005-0000-0000-0000C0450000}"/>
    <cellStyle name="20 % - Markeringsfarve6 4 11 3" xfId="42851" xr:uid="{00000000-0005-0000-0000-0000C1450000}"/>
    <cellStyle name="20 % - Markeringsfarve6 4 12" xfId="20863" xr:uid="{00000000-0005-0000-0000-0000C2450000}"/>
    <cellStyle name="20 % - Markeringsfarve6 4 13" xfId="35852" xr:uid="{00000000-0005-0000-0000-0000C3450000}"/>
    <cellStyle name="20 % - Markeringsfarve6 4 14" xfId="53285" xr:uid="{00000000-0005-0000-0000-0000C4450000}"/>
    <cellStyle name="20 % - Markeringsfarve6 4 2" xfId="3006" xr:uid="{00000000-0005-0000-0000-0000C5450000}"/>
    <cellStyle name="20 % - Markeringsfarve6 4 2 2" xfId="3007" xr:uid="{00000000-0005-0000-0000-0000C6450000}"/>
    <cellStyle name="20 % - Markeringsfarve6 4 2 2 2" xfId="3008" xr:uid="{00000000-0005-0000-0000-0000C7450000}"/>
    <cellStyle name="20 % - Markeringsfarve6 4 2 2 2 2" xfId="7596" xr:uid="{00000000-0005-0000-0000-0000C8450000}"/>
    <cellStyle name="20 % - Markeringsfarve6 4 2 2 2 2 2" xfId="15498" xr:uid="{00000000-0005-0000-0000-0000C9450000}"/>
    <cellStyle name="20 % - Markeringsfarve6 4 2 2 2 2 2 2" xfId="31813" xr:uid="{00000000-0005-0000-0000-0000CA450000}"/>
    <cellStyle name="20 % - Markeringsfarve6 4 2 2 2 2 2 3" xfId="46777" xr:uid="{00000000-0005-0000-0000-0000CB450000}"/>
    <cellStyle name="20 % - Markeringsfarve6 4 2 2 2 2 3" xfId="24791" xr:uid="{00000000-0005-0000-0000-0000CC450000}"/>
    <cellStyle name="20 % - Markeringsfarve6 4 2 2 2 2 4" xfId="39778" xr:uid="{00000000-0005-0000-0000-0000CD450000}"/>
    <cellStyle name="20 % - Markeringsfarve6 4 2 2 2 3" xfId="11568" xr:uid="{00000000-0005-0000-0000-0000CE450000}"/>
    <cellStyle name="20 % - Markeringsfarve6 4 2 2 2 3 2" xfId="27888" xr:uid="{00000000-0005-0000-0000-0000CF450000}"/>
    <cellStyle name="20 % - Markeringsfarve6 4 2 2 2 3 3" xfId="42854" xr:uid="{00000000-0005-0000-0000-0000D0450000}"/>
    <cellStyle name="20 % - Markeringsfarve6 4 2 2 2 4" xfId="20866" xr:uid="{00000000-0005-0000-0000-0000D1450000}"/>
    <cellStyle name="20 % - Markeringsfarve6 4 2 2 2 5" xfId="35855" xr:uid="{00000000-0005-0000-0000-0000D2450000}"/>
    <cellStyle name="20 % - Markeringsfarve6 4 2 2 3" xfId="6171" xr:uid="{00000000-0005-0000-0000-0000D3450000}"/>
    <cellStyle name="20 % - Markeringsfarve6 4 2 2 3 2" xfId="14089" xr:uid="{00000000-0005-0000-0000-0000D4450000}"/>
    <cellStyle name="20 % - Markeringsfarve6 4 2 2 3 2 2" xfId="30404" xr:uid="{00000000-0005-0000-0000-0000D5450000}"/>
    <cellStyle name="20 % - Markeringsfarve6 4 2 2 3 2 3" xfId="45368" xr:uid="{00000000-0005-0000-0000-0000D6450000}"/>
    <cellStyle name="20 % - Markeringsfarve6 4 2 2 3 3" xfId="23382" xr:uid="{00000000-0005-0000-0000-0000D7450000}"/>
    <cellStyle name="20 % - Markeringsfarve6 4 2 2 3 4" xfId="38369" xr:uid="{00000000-0005-0000-0000-0000D8450000}"/>
    <cellStyle name="20 % - Markeringsfarve6 4 2 2 4" xfId="11567" xr:uid="{00000000-0005-0000-0000-0000D9450000}"/>
    <cellStyle name="20 % - Markeringsfarve6 4 2 2 4 2" xfId="27887" xr:uid="{00000000-0005-0000-0000-0000DA450000}"/>
    <cellStyle name="20 % - Markeringsfarve6 4 2 2 4 3" xfId="42853" xr:uid="{00000000-0005-0000-0000-0000DB450000}"/>
    <cellStyle name="20 % - Markeringsfarve6 4 2 2 5" xfId="20865" xr:uid="{00000000-0005-0000-0000-0000DC450000}"/>
    <cellStyle name="20 % - Markeringsfarve6 4 2 2 6" xfId="35854" xr:uid="{00000000-0005-0000-0000-0000DD450000}"/>
    <cellStyle name="20 % - Markeringsfarve6 4 2 2 7" xfId="57089" xr:uid="{00000000-0005-0000-0000-0000DE450000}"/>
    <cellStyle name="20 % - Markeringsfarve6 4 2 3" xfId="3009" xr:uid="{00000000-0005-0000-0000-0000DF450000}"/>
    <cellStyle name="20 % - Markeringsfarve6 4 2 3 2" xfId="6826" xr:uid="{00000000-0005-0000-0000-0000E0450000}"/>
    <cellStyle name="20 % - Markeringsfarve6 4 2 3 2 2" xfId="14738" xr:uid="{00000000-0005-0000-0000-0000E1450000}"/>
    <cellStyle name="20 % - Markeringsfarve6 4 2 3 2 2 2" xfId="31053" xr:uid="{00000000-0005-0000-0000-0000E2450000}"/>
    <cellStyle name="20 % - Markeringsfarve6 4 2 3 2 2 3" xfId="46017" xr:uid="{00000000-0005-0000-0000-0000E3450000}"/>
    <cellStyle name="20 % - Markeringsfarve6 4 2 3 2 3" xfId="24031" xr:uid="{00000000-0005-0000-0000-0000E4450000}"/>
    <cellStyle name="20 % - Markeringsfarve6 4 2 3 2 4" xfId="39018" xr:uid="{00000000-0005-0000-0000-0000E5450000}"/>
    <cellStyle name="20 % - Markeringsfarve6 4 2 3 3" xfId="11569" xr:uid="{00000000-0005-0000-0000-0000E6450000}"/>
    <cellStyle name="20 % - Markeringsfarve6 4 2 3 3 2" xfId="27889" xr:uid="{00000000-0005-0000-0000-0000E7450000}"/>
    <cellStyle name="20 % - Markeringsfarve6 4 2 3 3 3" xfId="42855" xr:uid="{00000000-0005-0000-0000-0000E8450000}"/>
    <cellStyle name="20 % - Markeringsfarve6 4 2 3 4" xfId="20867" xr:uid="{00000000-0005-0000-0000-0000E9450000}"/>
    <cellStyle name="20 % - Markeringsfarve6 4 2 3 5" xfId="35856" xr:uid="{00000000-0005-0000-0000-0000EA450000}"/>
    <cellStyle name="20 % - Markeringsfarve6 4 2 4" xfId="3010" xr:uid="{00000000-0005-0000-0000-0000EB450000}"/>
    <cellStyle name="20 % - Markeringsfarve6 4 2 4 2" xfId="8234" xr:uid="{00000000-0005-0000-0000-0000EC450000}"/>
    <cellStyle name="20 % - Markeringsfarve6 4 2 4 2 2" xfId="16129" xr:uid="{00000000-0005-0000-0000-0000ED450000}"/>
    <cellStyle name="20 % - Markeringsfarve6 4 2 4 2 2 2" xfId="32444" xr:uid="{00000000-0005-0000-0000-0000EE450000}"/>
    <cellStyle name="20 % - Markeringsfarve6 4 2 4 2 2 3" xfId="47408" xr:uid="{00000000-0005-0000-0000-0000EF450000}"/>
    <cellStyle name="20 % - Markeringsfarve6 4 2 4 2 3" xfId="25422" xr:uid="{00000000-0005-0000-0000-0000F0450000}"/>
    <cellStyle name="20 % - Markeringsfarve6 4 2 4 2 4" xfId="40409" xr:uid="{00000000-0005-0000-0000-0000F1450000}"/>
    <cellStyle name="20 % - Markeringsfarve6 4 2 4 3" xfId="11570" xr:uid="{00000000-0005-0000-0000-0000F2450000}"/>
    <cellStyle name="20 % - Markeringsfarve6 4 2 4 3 2" xfId="27890" xr:uid="{00000000-0005-0000-0000-0000F3450000}"/>
    <cellStyle name="20 % - Markeringsfarve6 4 2 4 3 3" xfId="42856" xr:uid="{00000000-0005-0000-0000-0000F4450000}"/>
    <cellStyle name="20 % - Markeringsfarve6 4 2 4 4" xfId="20868" xr:uid="{00000000-0005-0000-0000-0000F5450000}"/>
    <cellStyle name="20 % - Markeringsfarve6 4 2 4 5" xfId="35857" xr:uid="{00000000-0005-0000-0000-0000F6450000}"/>
    <cellStyle name="20 % - Markeringsfarve6 4 2 5" xfId="5669" xr:uid="{00000000-0005-0000-0000-0000F7450000}"/>
    <cellStyle name="20 % - Markeringsfarve6 4 2 5 2" xfId="13588" xr:uid="{00000000-0005-0000-0000-0000F8450000}"/>
    <cellStyle name="20 % - Markeringsfarve6 4 2 5 2 2" xfId="29903" xr:uid="{00000000-0005-0000-0000-0000F9450000}"/>
    <cellStyle name="20 % - Markeringsfarve6 4 2 5 2 3" xfId="44867" xr:uid="{00000000-0005-0000-0000-0000FA450000}"/>
    <cellStyle name="20 % - Markeringsfarve6 4 2 5 3" xfId="22881" xr:uid="{00000000-0005-0000-0000-0000FB450000}"/>
    <cellStyle name="20 % - Markeringsfarve6 4 2 5 4" xfId="37868" xr:uid="{00000000-0005-0000-0000-0000FC450000}"/>
    <cellStyle name="20 % - Markeringsfarve6 4 2 6" xfId="11566" xr:uid="{00000000-0005-0000-0000-0000FD450000}"/>
    <cellStyle name="20 % - Markeringsfarve6 4 2 6 2" xfId="27886" xr:uid="{00000000-0005-0000-0000-0000FE450000}"/>
    <cellStyle name="20 % - Markeringsfarve6 4 2 6 3" xfId="42852" xr:uid="{00000000-0005-0000-0000-0000FF450000}"/>
    <cellStyle name="20 % - Markeringsfarve6 4 2 7" xfId="20864" xr:uid="{00000000-0005-0000-0000-000000460000}"/>
    <cellStyle name="20 % - Markeringsfarve6 4 2 8" xfId="35853" xr:uid="{00000000-0005-0000-0000-000001460000}"/>
    <cellStyle name="20 % - Markeringsfarve6 4 2 9" xfId="53922" xr:uid="{00000000-0005-0000-0000-000002460000}"/>
    <cellStyle name="20 % - Markeringsfarve6 4 3" xfId="3011" xr:uid="{00000000-0005-0000-0000-000003460000}"/>
    <cellStyle name="20 % - Markeringsfarve6 4 3 2" xfId="3012" xr:uid="{00000000-0005-0000-0000-000004460000}"/>
    <cellStyle name="20 % - Markeringsfarve6 4 3 2 2" xfId="3013" xr:uid="{00000000-0005-0000-0000-000005460000}"/>
    <cellStyle name="20 % - Markeringsfarve6 4 3 2 2 2" xfId="7717" xr:uid="{00000000-0005-0000-0000-000006460000}"/>
    <cellStyle name="20 % - Markeringsfarve6 4 3 2 2 2 2" xfId="15619" xr:uid="{00000000-0005-0000-0000-000007460000}"/>
    <cellStyle name="20 % - Markeringsfarve6 4 3 2 2 2 2 2" xfId="31934" xr:uid="{00000000-0005-0000-0000-000008460000}"/>
    <cellStyle name="20 % - Markeringsfarve6 4 3 2 2 2 2 3" xfId="46898" xr:uid="{00000000-0005-0000-0000-000009460000}"/>
    <cellStyle name="20 % - Markeringsfarve6 4 3 2 2 2 3" xfId="24912" xr:uid="{00000000-0005-0000-0000-00000A460000}"/>
    <cellStyle name="20 % - Markeringsfarve6 4 3 2 2 2 4" xfId="39899" xr:uid="{00000000-0005-0000-0000-00000B460000}"/>
    <cellStyle name="20 % - Markeringsfarve6 4 3 2 2 3" xfId="11573" xr:uid="{00000000-0005-0000-0000-00000C460000}"/>
    <cellStyle name="20 % - Markeringsfarve6 4 3 2 2 3 2" xfId="27893" xr:uid="{00000000-0005-0000-0000-00000D460000}"/>
    <cellStyle name="20 % - Markeringsfarve6 4 3 2 2 3 3" xfId="42859" xr:uid="{00000000-0005-0000-0000-00000E460000}"/>
    <cellStyle name="20 % - Markeringsfarve6 4 3 2 2 4" xfId="20871" xr:uid="{00000000-0005-0000-0000-00000F460000}"/>
    <cellStyle name="20 % - Markeringsfarve6 4 3 2 2 5" xfId="35860" xr:uid="{00000000-0005-0000-0000-000010460000}"/>
    <cellStyle name="20 % - Markeringsfarve6 4 3 2 3" xfId="6272" xr:uid="{00000000-0005-0000-0000-000011460000}"/>
    <cellStyle name="20 % - Markeringsfarve6 4 3 2 3 2" xfId="14190" xr:uid="{00000000-0005-0000-0000-000012460000}"/>
    <cellStyle name="20 % - Markeringsfarve6 4 3 2 3 2 2" xfId="30505" xr:uid="{00000000-0005-0000-0000-000013460000}"/>
    <cellStyle name="20 % - Markeringsfarve6 4 3 2 3 2 3" xfId="45469" xr:uid="{00000000-0005-0000-0000-000014460000}"/>
    <cellStyle name="20 % - Markeringsfarve6 4 3 2 3 3" xfId="23483" xr:uid="{00000000-0005-0000-0000-000015460000}"/>
    <cellStyle name="20 % - Markeringsfarve6 4 3 2 3 4" xfId="38470" xr:uid="{00000000-0005-0000-0000-000016460000}"/>
    <cellStyle name="20 % - Markeringsfarve6 4 3 2 4" xfId="11572" xr:uid="{00000000-0005-0000-0000-000017460000}"/>
    <cellStyle name="20 % - Markeringsfarve6 4 3 2 4 2" xfId="27892" xr:uid="{00000000-0005-0000-0000-000018460000}"/>
    <cellStyle name="20 % - Markeringsfarve6 4 3 2 4 3" xfId="42858" xr:uid="{00000000-0005-0000-0000-000019460000}"/>
    <cellStyle name="20 % - Markeringsfarve6 4 3 2 5" xfId="20870" xr:uid="{00000000-0005-0000-0000-00001A460000}"/>
    <cellStyle name="20 % - Markeringsfarve6 4 3 2 6" xfId="35859" xr:uid="{00000000-0005-0000-0000-00001B460000}"/>
    <cellStyle name="20 % - Markeringsfarve6 4 3 3" xfId="3014" xr:uid="{00000000-0005-0000-0000-00001C460000}"/>
    <cellStyle name="20 % - Markeringsfarve6 4 3 3 2" xfId="6947" xr:uid="{00000000-0005-0000-0000-00001D460000}"/>
    <cellStyle name="20 % - Markeringsfarve6 4 3 3 2 2" xfId="14859" xr:uid="{00000000-0005-0000-0000-00001E460000}"/>
    <cellStyle name="20 % - Markeringsfarve6 4 3 3 2 2 2" xfId="31174" xr:uid="{00000000-0005-0000-0000-00001F460000}"/>
    <cellStyle name="20 % - Markeringsfarve6 4 3 3 2 2 3" xfId="46138" xr:uid="{00000000-0005-0000-0000-000020460000}"/>
    <cellStyle name="20 % - Markeringsfarve6 4 3 3 2 3" xfId="24152" xr:uid="{00000000-0005-0000-0000-000021460000}"/>
    <cellStyle name="20 % - Markeringsfarve6 4 3 3 2 4" xfId="39139" xr:uid="{00000000-0005-0000-0000-000022460000}"/>
    <cellStyle name="20 % - Markeringsfarve6 4 3 3 3" xfId="11574" xr:uid="{00000000-0005-0000-0000-000023460000}"/>
    <cellStyle name="20 % - Markeringsfarve6 4 3 3 3 2" xfId="27894" xr:uid="{00000000-0005-0000-0000-000024460000}"/>
    <cellStyle name="20 % - Markeringsfarve6 4 3 3 3 3" xfId="42860" xr:uid="{00000000-0005-0000-0000-000025460000}"/>
    <cellStyle name="20 % - Markeringsfarve6 4 3 3 4" xfId="20872" xr:uid="{00000000-0005-0000-0000-000026460000}"/>
    <cellStyle name="20 % - Markeringsfarve6 4 3 3 5" xfId="35861" xr:uid="{00000000-0005-0000-0000-000027460000}"/>
    <cellStyle name="20 % - Markeringsfarve6 4 3 4" xfId="3015" xr:uid="{00000000-0005-0000-0000-000028460000}"/>
    <cellStyle name="20 % - Markeringsfarve6 4 3 4 2" xfId="8519" xr:uid="{00000000-0005-0000-0000-000029460000}"/>
    <cellStyle name="20 % - Markeringsfarve6 4 3 4 2 2" xfId="16407" xr:uid="{00000000-0005-0000-0000-00002A460000}"/>
    <cellStyle name="20 % - Markeringsfarve6 4 3 4 2 2 2" xfId="32722" xr:uid="{00000000-0005-0000-0000-00002B460000}"/>
    <cellStyle name="20 % - Markeringsfarve6 4 3 4 2 2 3" xfId="47686" xr:uid="{00000000-0005-0000-0000-00002C460000}"/>
    <cellStyle name="20 % - Markeringsfarve6 4 3 4 2 3" xfId="25700" xr:uid="{00000000-0005-0000-0000-00002D460000}"/>
    <cellStyle name="20 % - Markeringsfarve6 4 3 4 2 4" xfId="40687" xr:uid="{00000000-0005-0000-0000-00002E460000}"/>
    <cellStyle name="20 % - Markeringsfarve6 4 3 4 3" xfId="11575" xr:uid="{00000000-0005-0000-0000-00002F460000}"/>
    <cellStyle name="20 % - Markeringsfarve6 4 3 4 3 2" xfId="27895" xr:uid="{00000000-0005-0000-0000-000030460000}"/>
    <cellStyle name="20 % - Markeringsfarve6 4 3 4 3 3" xfId="42861" xr:uid="{00000000-0005-0000-0000-000031460000}"/>
    <cellStyle name="20 % - Markeringsfarve6 4 3 4 4" xfId="20873" xr:uid="{00000000-0005-0000-0000-000032460000}"/>
    <cellStyle name="20 % - Markeringsfarve6 4 3 4 5" xfId="35862" xr:uid="{00000000-0005-0000-0000-000033460000}"/>
    <cellStyle name="20 % - Markeringsfarve6 4 3 5" xfId="5670" xr:uid="{00000000-0005-0000-0000-000034460000}"/>
    <cellStyle name="20 % - Markeringsfarve6 4 3 5 2" xfId="13589" xr:uid="{00000000-0005-0000-0000-000035460000}"/>
    <cellStyle name="20 % - Markeringsfarve6 4 3 5 2 2" xfId="29904" xr:uid="{00000000-0005-0000-0000-000036460000}"/>
    <cellStyle name="20 % - Markeringsfarve6 4 3 5 2 3" xfId="44868" xr:uid="{00000000-0005-0000-0000-000037460000}"/>
    <cellStyle name="20 % - Markeringsfarve6 4 3 5 3" xfId="22882" xr:uid="{00000000-0005-0000-0000-000038460000}"/>
    <cellStyle name="20 % - Markeringsfarve6 4 3 5 4" xfId="37869" xr:uid="{00000000-0005-0000-0000-000039460000}"/>
    <cellStyle name="20 % - Markeringsfarve6 4 3 6" xfId="11571" xr:uid="{00000000-0005-0000-0000-00003A460000}"/>
    <cellStyle name="20 % - Markeringsfarve6 4 3 6 2" xfId="27891" xr:uid="{00000000-0005-0000-0000-00003B460000}"/>
    <cellStyle name="20 % - Markeringsfarve6 4 3 6 3" xfId="42857" xr:uid="{00000000-0005-0000-0000-00003C460000}"/>
    <cellStyle name="20 % - Markeringsfarve6 4 3 7" xfId="20869" xr:uid="{00000000-0005-0000-0000-00003D460000}"/>
    <cellStyle name="20 % - Markeringsfarve6 4 3 8" xfId="35858" xr:uid="{00000000-0005-0000-0000-00003E460000}"/>
    <cellStyle name="20 % - Markeringsfarve6 4 3 9" xfId="56466" xr:uid="{00000000-0005-0000-0000-00003F460000}"/>
    <cellStyle name="20 % - Markeringsfarve6 4 4" xfId="3016" xr:uid="{00000000-0005-0000-0000-000040460000}"/>
    <cellStyle name="20 % - Markeringsfarve6 4 4 2" xfId="3017" xr:uid="{00000000-0005-0000-0000-000041460000}"/>
    <cellStyle name="20 % - Markeringsfarve6 4 4 2 2" xfId="3018" xr:uid="{00000000-0005-0000-0000-000042460000}"/>
    <cellStyle name="20 % - Markeringsfarve6 4 4 2 2 2" xfId="7834" xr:uid="{00000000-0005-0000-0000-000043460000}"/>
    <cellStyle name="20 % - Markeringsfarve6 4 4 2 2 2 2" xfId="15736" xr:uid="{00000000-0005-0000-0000-000044460000}"/>
    <cellStyle name="20 % - Markeringsfarve6 4 4 2 2 2 2 2" xfId="32051" xr:uid="{00000000-0005-0000-0000-000045460000}"/>
    <cellStyle name="20 % - Markeringsfarve6 4 4 2 2 2 2 3" xfId="47015" xr:uid="{00000000-0005-0000-0000-000046460000}"/>
    <cellStyle name="20 % - Markeringsfarve6 4 4 2 2 2 3" xfId="25029" xr:uid="{00000000-0005-0000-0000-000047460000}"/>
    <cellStyle name="20 % - Markeringsfarve6 4 4 2 2 2 4" xfId="40016" xr:uid="{00000000-0005-0000-0000-000048460000}"/>
    <cellStyle name="20 % - Markeringsfarve6 4 4 2 2 3" xfId="11578" xr:uid="{00000000-0005-0000-0000-000049460000}"/>
    <cellStyle name="20 % - Markeringsfarve6 4 4 2 2 3 2" xfId="27898" xr:uid="{00000000-0005-0000-0000-00004A460000}"/>
    <cellStyle name="20 % - Markeringsfarve6 4 4 2 2 3 3" xfId="42864" xr:uid="{00000000-0005-0000-0000-00004B460000}"/>
    <cellStyle name="20 % - Markeringsfarve6 4 4 2 2 4" xfId="20876" xr:uid="{00000000-0005-0000-0000-00004C460000}"/>
    <cellStyle name="20 % - Markeringsfarve6 4 4 2 2 5" xfId="35865" xr:uid="{00000000-0005-0000-0000-00004D460000}"/>
    <cellStyle name="20 % - Markeringsfarve6 4 4 2 3" xfId="6373" xr:uid="{00000000-0005-0000-0000-00004E460000}"/>
    <cellStyle name="20 % - Markeringsfarve6 4 4 2 3 2" xfId="14288" xr:uid="{00000000-0005-0000-0000-00004F460000}"/>
    <cellStyle name="20 % - Markeringsfarve6 4 4 2 3 2 2" xfId="30603" xr:uid="{00000000-0005-0000-0000-000050460000}"/>
    <cellStyle name="20 % - Markeringsfarve6 4 4 2 3 2 3" xfId="45567" xr:uid="{00000000-0005-0000-0000-000051460000}"/>
    <cellStyle name="20 % - Markeringsfarve6 4 4 2 3 3" xfId="23581" xr:uid="{00000000-0005-0000-0000-000052460000}"/>
    <cellStyle name="20 % - Markeringsfarve6 4 4 2 3 4" xfId="38568" xr:uid="{00000000-0005-0000-0000-000053460000}"/>
    <cellStyle name="20 % - Markeringsfarve6 4 4 2 4" xfId="11577" xr:uid="{00000000-0005-0000-0000-000054460000}"/>
    <cellStyle name="20 % - Markeringsfarve6 4 4 2 4 2" xfId="27897" xr:uid="{00000000-0005-0000-0000-000055460000}"/>
    <cellStyle name="20 % - Markeringsfarve6 4 4 2 4 3" xfId="42863" xr:uid="{00000000-0005-0000-0000-000056460000}"/>
    <cellStyle name="20 % - Markeringsfarve6 4 4 2 5" xfId="20875" xr:uid="{00000000-0005-0000-0000-000057460000}"/>
    <cellStyle name="20 % - Markeringsfarve6 4 4 2 6" xfId="35864" xr:uid="{00000000-0005-0000-0000-000058460000}"/>
    <cellStyle name="20 % - Markeringsfarve6 4 4 3" xfId="3019" xr:uid="{00000000-0005-0000-0000-000059460000}"/>
    <cellStyle name="20 % - Markeringsfarve6 4 4 3 2" xfId="7110" xr:uid="{00000000-0005-0000-0000-00005A460000}"/>
    <cellStyle name="20 % - Markeringsfarve6 4 4 3 2 2" xfId="15021" xr:uid="{00000000-0005-0000-0000-00005B460000}"/>
    <cellStyle name="20 % - Markeringsfarve6 4 4 3 2 2 2" xfId="31336" xr:uid="{00000000-0005-0000-0000-00005C460000}"/>
    <cellStyle name="20 % - Markeringsfarve6 4 4 3 2 2 3" xfId="46300" xr:uid="{00000000-0005-0000-0000-00005D460000}"/>
    <cellStyle name="20 % - Markeringsfarve6 4 4 3 2 3" xfId="24314" xr:uid="{00000000-0005-0000-0000-00005E460000}"/>
    <cellStyle name="20 % - Markeringsfarve6 4 4 3 2 4" xfId="39301" xr:uid="{00000000-0005-0000-0000-00005F460000}"/>
    <cellStyle name="20 % - Markeringsfarve6 4 4 3 3" xfId="11579" xr:uid="{00000000-0005-0000-0000-000060460000}"/>
    <cellStyle name="20 % - Markeringsfarve6 4 4 3 3 2" xfId="27899" xr:uid="{00000000-0005-0000-0000-000061460000}"/>
    <cellStyle name="20 % - Markeringsfarve6 4 4 3 3 3" xfId="42865" xr:uid="{00000000-0005-0000-0000-000062460000}"/>
    <cellStyle name="20 % - Markeringsfarve6 4 4 3 4" xfId="20877" xr:uid="{00000000-0005-0000-0000-000063460000}"/>
    <cellStyle name="20 % - Markeringsfarve6 4 4 3 5" xfId="35866" xr:uid="{00000000-0005-0000-0000-000064460000}"/>
    <cellStyle name="20 % - Markeringsfarve6 4 4 4" xfId="3020" xr:uid="{00000000-0005-0000-0000-000065460000}"/>
    <cellStyle name="20 % - Markeringsfarve6 4 4 4 2" xfId="8168" xr:uid="{00000000-0005-0000-0000-000066460000}"/>
    <cellStyle name="20 % - Markeringsfarve6 4 4 4 2 2" xfId="16066" xr:uid="{00000000-0005-0000-0000-000067460000}"/>
    <cellStyle name="20 % - Markeringsfarve6 4 4 4 2 2 2" xfId="32381" xr:uid="{00000000-0005-0000-0000-000068460000}"/>
    <cellStyle name="20 % - Markeringsfarve6 4 4 4 2 2 3" xfId="47345" xr:uid="{00000000-0005-0000-0000-000069460000}"/>
    <cellStyle name="20 % - Markeringsfarve6 4 4 4 2 3" xfId="25359" xr:uid="{00000000-0005-0000-0000-00006A460000}"/>
    <cellStyle name="20 % - Markeringsfarve6 4 4 4 2 4" xfId="40346" xr:uid="{00000000-0005-0000-0000-00006B460000}"/>
    <cellStyle name="20 % - Markeringsfarve6 4 4 4 3" xfId="11580" xr:uid="{00000000-0005-0000-0000-00006C460000}"/>
    <cellStyle name="20 % - Markeringsfarve6 4 4 4 3 2" xfId="27900" xr:uid="{00000000-0005-0000-0000-00006D460000}"/>
    <cellStyle name="20 % - Markeringsfarve6 4 4 4 3 3" xfId="42866" xr:uid="{00000000-0005-0000-0000-00006E460000}"/>
    <cellStyle name="20 % - Markeringsfarve6 4 4 4 4" xfId="20878" xr:uid="{00000000-0005-0000-0000-00006F460000}"/>
    <cellStyle name="20 % - Markeringsfarve6 4 4 4 5" xfId="35867" xr:uid="{00000000-0005-0000-0000-000070460000}"/>
    <cellStyle name="20 % - Markeringsfarve6 4 4 5" xfId="5671" xr:uid="{00000000-0005-0000-0000-000071460000}"/>
    <cellStyle name="20 % - Markeringsfarve6 4 4 5 2" xfId="13590" xr:uid="{00000000-0005-0000-0000-000072460000}"/>
    <cellStyle name="20 % - Markeringsfarve6 4 4 5 2 2" xfId="29905" xr:uid="{00000000-0005-0000-0000-000073460000}"/>
    <cellStyle name="20 % - Markeringsfarve6 4 4 5 2 3" xfId="44869" xr:uid="{00000000-0005-0000-0000-000074460000}"/>
    <cellStyle name="20 % - Markeringsfarve6 4 4 5 3" xfId="22883" xr:uid="{00000000-0005-0000-0000-000075460000}"/>
    <cellStyle name="20 % - Markeringsfarve6 4 4 5 4" xfId="37870" xr:uid="{00000000-0005-0000-0000-000076460000}"/>
    <cellStyle name="20 % - Markeringsfarve6 4 4 6" xfId="11576" xr:uid="{00000000-0005-0000-0000-000077460000}"/>
    <cellStyle name="20 % - Markeringsfarve6 4 4 6 2" xfId="27896" xr:uid="{00000000-0005-0000-0000-000078460000}"/>
    <cellStyle name="20 % - Markeringsfarve6 4 4 6 3" xfId="42862" xr:uid="{00000000-0005-0000-0000-000079460000}"/>
    <cellStyle name="20 % - Markeringsfarve6 4 4 7" xfId="20874" xr:uid="{00000000-0005-0000-0000-00007A460000}"/>
    <cellStyle name="20 % - Markeringsfarve6 4 4 8" xfId="35863" xr:uid="{00000000-0005-0000-0000-00007B460000}"/>
    <cellStyle name="20 % - Markeringsfarve6 4 5" xfId="3021" xr:uid="{00000000-0005-0000-0000-00007C460000}"/>
    <cellStyle name="20 % - Markeringsfarve6 4 5 2" xfId="3022" xr:uid="{00000000-0005-0000-0000-00007D460000}"/>
    <cellStyle name="20 % - Markeringsfarve6 4 5 2 2" xfId="3023" xr:uid="{00000000-0005-0000-0000-00007E460000}"/>
    <cellStyle name="20 % - Markeringsfarve6 4 5 2 2 2" xfId="7951" xr:uid="{00000000-0005-0000-0000-00007F460000}"/>
    <cellStyle name="20 % - Markeringsfarve6 4 5 2 2 2 2" xfId="15853" xr:uid="{00000000-0005-0000-0000-000080460000}"/>
    <cellStyle name="20 % - Markeringsfarve6 4 5 2 2 2 2 2" xfId="32168" xr:uid="{00000000-0005-0000-0000-000081460000}"/>
    <cellStyle name="20 % - Markeringsfarve6 4 5 2 2 2 2 3" xfId="47132" xr:uid="{00000000-0005-0000-0000-000082460000}"/>
    <cellStyle name="20 % - Markeringsfarve6 4 5 2 2 2 3" xfId="25146" xr:uid="{00000000-0005-0000-0000-000083460000}"/>
    <cellStyle name="20 % - Markeringsfarve6 4 5 2 2 2 4" xfId="40133" xr:uid="{00000000-0005-0000-0000-000084460000}"/>
    <cellStyle name="20 % - Markeringsfarve6 4 5 2 2 3" xfId="11583" xr:uid="{00000000-0005-0000-0000-000085460000}"/>
    <cellStyle name="20 % - Markeringsfarve6 4 5 2 2 3 2" xfId="27903" xr:uid="{00000000-0005-0000-0000-000086460000}"/>
    <cellStyle name="20 % - Markeringsfarve6 4 5 2 2 3 3" xfId="42869" xr:uid="{00000000-0005-0000-0000-000087460000}"/>
    <cellStyle name="20 % - Markeringsfarve6 4 5 2 2 4" xfId="20881" xr:uid="{00000000-0005-0000-0000-000088460000}"/>
    <cellStyle name="20 % - Markeringsfarve6 4 5 2 2 5" xfId="35870" xr:uid="{00000000-0005-0000-0000-000089460000}"/>
    <cellStyle name="20 % - Markeringsfarve6 4 5 2 3" xfId="6472" xr:uid="{00000000-0005-0000-0000-00008A460000}"/>
    <cellStyle name="20 % - Markeringsfarve6 4 5 2 3 2" xfId="14387" xr:uid="{00000000-0005-0000-0000-00008B460000}"/>
    <cellStyle name="20 % - Markeringsfarve6 4 5 2 3 2 2" xfId="30702" xr:uid="{00000000-0005-0000-0000-00008C460000}"/>
    <cellStyle name="20 % - Markeringsfarve6 4 5 2 3 2 3" xfId="45666" xr:uid="{00000000-0005-0000-0000-00008D460000}"/>
    <cellStyle name="20 % - Markeringsfarve6 4 5 2 3 3" xfId="23680" xr:uid="{00000000-0005-0000-0000-00008E460000}"/>
    <cellStyle name="20 % - Markeringsfarve6 4 5 2 3 4" xfId="38667" xr:uid="{00000000-0005-0000-0000-00008F460000}"/>
    <cellStyle name="20 % - Markeringsfarve6 4 5 2 4" xfId="11582" xr:uid="{00000000-0005-0000-0000-000090460000}"/>
    <cellStyle name="20 % - Markeringsfarve6 4 5 2 4 2" xfId="27902" xr:uid="{00000000-0005-0000-0000-000091460000}"/>
    <cellStyle name="20 % - Markeringsfarve6 4 5 2 4 3" xfId="42868" xr:uid="{00000000-0005-0000-0000-000092460000}"/>
    <cellStyle name="20 % - Markeringsfarve6 4 5 2 5" xfId="20880" xr:uid="{00000000-0005-0000-0000-000093460000}"/>
    <cellStyle name="20 % - Markeringsfarve6 4 5 2 6" xfId="35869" xr:uid="{00000000-0005-0000-0000-000094460000}"/>
    <cellStyle name="20 % - Markeringsfarve6 4 5 3" xfId="3024" xr:uid="{00000000-0005-0000-0000-000095460000}"/>
    <cellStyle name="20 % - Markeringsfarve6 4 5 3 2" xfId="7227" xr:uid="{00000000-0005-0000-0000-000096460000}"/>
    <cellStyle name="20 % - Markeringsfarve6 4 5 3 2 2" xfId="15138" xr:uid="{00000000-0005-0000-0000-000097460000}"/>
    <cellStyle name="20 % - Markeringsfarve6 4 5 3 2 2 2" xfId="31453" xr:uid="{00000000-0005-0000-0000-000098460000}"/>
    <cellStyle name="20 % - Markeringsfarve6 4 5 3 2 2 3" xfId="46417" xr:uid="{00000000-0005-0000-0000-000099460000}"/>
    <cellStyle name="20 % - Markeringsfarve6 4 5 3 2 3" xfId="24431" xr:uid="{00000000-0005-0000-0000-00009A460000}"/>
    <cellStyle name="20 % - Markeringsfarve6 4 5 3 2 4" xfId="39418" xr:uid="{00000000-0005-0000-0000-00009B460000}"/>
    <cellStyle name="20 % - Markeringsfarve6 4 5 3 3" xfId="11584" xr:uid="{00000000-0005-0000-0000-00009C460000}"/>
    <cellStyle name="20 % - Markeringsfarve6 4 5 3 3 2" xfId="27904" xr:uid="{00000000-0005-0000-0000-00009D460000}"/>
    <cellStyle name="20 % - Markeringsfarve6 4 5 3 3 3" xfId="42870" xr:uid="{00000000-0005-0000-0000-00009E460000}"/>
    <cellStyle name="20 % - Markeringsfarve6 4 5 3 4" xfId="20882" xr:uid="{00000000-0005-0000-0000-00009F460000}"/>
    <cellStyle name="20 % - Markeringsfarve6 4 5 3 5" xfId="35871" xr:uid="{00000000-0005-0000-0000-0000A0460000}"/>
    <cellStyle name="20 % - Markeringsfarve6 4 5 4" xfId="3025" xr:uid="{00000000-0005-0000-0000-0000A1460000}"/>
    <cellStyle name="20 % - Markeringsfarve6 4 5 4 2" xfId="8505" xr:uid="{00000000-0005-0000-0000-0000A2460000}"/>
    <cellStyle name="20 % - Markeringsfarve6 4 5 4 2 2" xfId="16393" xr:uid="{00000000-0005-0000-0000-0000A3460000}"/>
    <cellStyle name="20 % - Markeringsfarve6 4 5 4 2 2 2" xfId="32708" xr:uid="{00000000-0005-0000-0000-0000A4460000}"/>
    <cellStyle name="20 % - Markeringsfarve6 4 5 4 2 2 3" xfId="47672" xr:uid="{00000000-0005-0000-0000-0000A5460000}"/>
    <cellStyle name="20 % - Markeringsfarve6 4 5 4 2 3" xfId="25686" xr:uid="{00000000-0005-0000-0000-0000A6460000}"/>
    <cellStyle name="20 % - Markeringsfarve6 4 5 4 2 4" xfId="40673" xr:uid="{00000000-0005-0000-0000-0000A7460000}"/>
    <cellStyle name="20 % - Markeringsfarve6 4 5 4 3" xfId="11585" xr:uid="{00000000-0005-0000-0000-0000A8460000}"/>
    <cellStyle name="20 % - Markeringsfarve6 4 5 4 3 2" xfId="27905" xr:uid="{00000000-0005-0000-0000-0000A9460000}"/>
    <cellStyle name="20 % - Markeringsfarve6 4 5 4 3 3" xfId="42871" xr:uid="{00000000-0005-0000-0000-0000AA460000}"/>
    <cellStyle name="20 % - Markeringsfarve6 4 5 4 4" xfId="20883" xr:uid="{00000000-0005-0000-0000-0000AB460000}"/>
    <cellStyle name="20 % - Markeringsfarve6 4 5 4 5" xfId="35872" xr:uid="{00000000-0005-0000-0000-0000AC460000}"/>
    <cellStyle name="20 % - Markeringsfarve6 4 5 5" xfId="5672" xr:uid="{00000000-0005-0000-0000-0000AD460000}"/>
    <cellStyle name="20 % - Markeringsfarve6 4 5 5 2" xfId="13591" xr:uid="{00000000-0005-0000-0000-0000AE460000}"/>
    <cellStyle name="20 % - Markeringsfarve6 4 5 5 2 2" xfId="29906" xr:uid="{00000000-0005-0000-0000-0000AF460000}"/>
    <cellStyle name="20 % - Markeringsfarve6 4 5 5 2 3" xfId="44870" xr:uid="{00000000-0005-0000-0000-0000B0460000}"/>
    <cellStyle name="20 % - Markeringsfarve6 4 5 5 3" xfId="22884" xr:uid="{00000000-0005-0000-0000-0000B1460000}"/>
    <cellStyle name="20 % - Markeringsfarve6 4 5 5 4" xfId="37871" xr:uid="{00000000-0005-0000-0000-0000B2460000}"/>
    <cellStyle name="20 % - Markeringsfarve6 4 5 6" xfId="11581" xr:uid="{00000000-0005-0000-0000-0000B3460000}"/>
    <cellStyle name="20 % - Markeringsfarve6 4 5 6 2" xfId="27901" xr:uid="{00000000-0005-0000-0000-0000B4460000}"/>
    <cellStyle name="20 % - Markeringsfarve6 4 5 6 3" xfId="42867" xr:uid="{00000000-0005-0000-0000-0000B5460000}"/>
    <cellStyle name="20 % - Markeringsfarve6 4 5 7" xfId="20879" xr:uid="{00000000-0005-0000-0000-0000B6460000}"/>
    <cellStyle name="20 % - Markeringsfarve6 4 5 8" xfId="35868" xr:uid="{00000000-0005-0000-0000-0000B7460000}"/>
    <cellStyle name="20 % - Markeringsfarve6 4 6" xfId="3026" xr:uid="{00000000-0005-0000-0000-0000B8460000}"/>
    <cellStyle name="20 % - Markeringsfarve6 4 6 2" xfId="3027" xr:uid="{00000000-0005-0000-0000-0000B9460000}"/>
    <cellStyle name="20 % - Markeringsfarve6 4 6 2 2" xfId="3028" xr:uid="{00000000-0005-0000-0000-0000BA460000}"/>
    <cellStyle name="20 % - Markeringsfarve6 4 6 2 2 2" xfId="8071" xr:uid="{00000000-0005-0000-0000-0000BB460000}"/>
    <cellStyle name="20 % - Markeringsfarve6 4 6 2 2 2 2" xfId="15973" xr:uid="{00000000-0005-0000-0000-0000BC460000}"/>
    <cellStyle name="20 % - Markeringsfarve6 4 6 2 2 2 2 2" xfId="32288" xr:uid="{00000000-0005-0000-0000-0000BD460000}"/>
    <cellStyle name="20 % - Markeringsfarve6 4 6 2 2 2 2 3" xfId="47252" xr:uid="{00000000-0005-0000-0000-0000BE460000}"/>
    <cellStyle name="20 % - Markeringsfarve6 4 6 2 2 2 3" xfId="25266" xr:uid="{00000000-0005-0000-0000-0000BF460000}"/>
    <cellStyle name="20 % - Markeringsfarve6 4 6 2 2 2 4" xfId="40253" xr:uid="{00000000-0005-0000-0000-0000C0460000}"/>
    <cellStyle name="20 % - Markeringsfarve6 4 6 2 2 3" xfId="11588" xr:uid="{00000000-0005-0000-0000-0000C1460000}"/>
    <cellStyle name="20 % - Markeringsfarve6 4 6 2 2 3 2" xfId="27908" xr:uid="{00000000-0005-0000-0000-0000C2460000}"/>
    <cellStyle name="20 % - Markeringsfarve6 4 6 2 2 3 3" xfId="42874" xr:uid="{00000000-0005-0000-0000-0000C3460000}"/>
    <cellStyle name="20 % - Markeringsfarve6 4 6 2 2 4" xfId="20886" xr:uid="{00000000-0005-0000-0000-0000C4460000}"/>
    <cellStyle name="20 % - Markeringsfarve6 4 6 2 2 5" xfId="35875" xr:uid="{00000000-0005-0000-0000-0000C5460000}"/>
    <cellStyle name="20 % - Markeringsfarve6 4 6 2 3" xfId="6573" xr:uid="{00000000-0005-0000-0000-0000C6460000}"/>
    <cellStyle name="20 % - Markeringsfarve6 4 6 2 3 2" xfId="14488" xr:uid="{00000000-0005-0000-0000-0000C7460000}"/>
    <cellStyle name="20 % - Markeringsfarve6 4 6 2 3 2 2" xfId="30803" xr:uid="{00000000-0005-0000-0000-0000C8460000}"/>
    <cellStyle name="20 % - Markeringsfarve6 4 6 2 3 2 3" xfId="45767" xr:uid="{00000000-0005-0000-0000-0000C9460000}"/>
    <cellStyle name="20 % - Markeringsfarve6 4 6 2 3 3" xfId="23781" xr:uid="{00000000-0005-0000-0000-0000CA460000}"/>
    <cellStyle name="20 % - Markeringsfarve6 4 6 2 3 4" xfId="38768" xr:uid="{00000000-0005-0000-0000-0000CB460000}"/>
    <cellStyle name="20 % - Markeringsfarve6 4 6 2 4" xfId="11587" xr:uid="{00000000-0005-0000-0000-0000CC460000}"/>
    <cellStyle name="20 % - Markeringsfarve6 4 6 2 4 2" xfId="27907" xr:uid="{00000000-0005-0000-0000-0000CD460000}"/>
    <cellStyle name="20 % - Markeringsfarve6 4 6 2 4 3" xfId="42873" xr:uid="{00000000-0005-0000-0000-0000CE460000}"/>
    <cellStyle name="20 % - Markeringsfarve6 4 6 2 5" xfId="20885" xr:uid="{00000000-0005-0000-0000-0000CF460000}"/>
    <cellStyle name="20 % - Markeringsfarve6 4 6 2 6" xfId="35874" xr:uid="{00000000-0005-0000-0000-0000D0460000}"/>
    <cellStyle name="20 % - Markeringsfarve6 4 6 3" xfId="3029" xr:uid="{00000000-0005-0000-0000-0000D1460000}"/>
    <cellStyle name="20 % - Markeringsfarve6 4 6 3 2" xfId="7348" xr:uid="{00000000-0005-0000-0000-0000D2460000}"/>
    <cellStyle name="20 % - Markeringsfarve6 4 6 3 2 2" xfId="15259" xr:uid="{00000000-0005-0000-0000-0000D3460000}"/>
    <cellStyle name="20 % - Markeringsfarve6 4 6 3 2 2 2" xfId="31574" xr:uid="{00000000-0005-0000-0000-0000D4460000}"/>
    <cellStyle name="20 % - Markeringsfarve6 4 6 3 2 2 3" xfId="46538" xr:uid="{00000000-0005-0000-0000-0000D5460000}"/>
    <cellStyle name="20 % - Markeringsfarve6 4 6 3 2 3" xfId="24552" xr:uid="{00000000-0005-0000-0000-0000D6460000}"/>
    <cellStyle name="20 % - Markeringsfarve6 4 6 3 2 4" xfId="39539" xr:uid="{00000000-0005-0000-0000-0000D7460000}"/>
    <cellStyle name="20 % - Markeringsfarve6 4 6 3 3" xfId="11589" xr:uid="{00000000-0005-0000-0000-0000D8460000}"/>
    <cellStyle name="20 % - Markeringsfarve6 4 6 3 3 2" xfId="27909" xr:uid="{00000000-0005-0000-0000-0000D9460000}"/>
    <cellStyle name="20 % - Markeringsfarve6 4 6 3 3 3" xfId="42875" xr:uid="{00000000-0005-0000-0000-0000DA460000}"/>
    <cellStyle name="20 % - Markeringsfarve6 4 6 3 4" xfId="20887" xr:uid="{00000000-0005-0000-0000-0000DB460000}"/>
    <cellStyle name="20 % - Markeringsfarve6 4 6 3 5" xfId="35876" xr:uid="{00000000-0005-0000-0000-0000DC460000}"/>
    <cellStyle name="20 % - Markeringsfarve6 4 6 4" xfId="3030" xr:uid="{00000000-0005-0000-0000-0000DD460000}"/>
    <cellStyle name="20 % - Markeringsfarve6 4 6 4 2" xfId="8720" xr:uid="{00000000-0005-0000-0000-0000DE460000}"/>
    <cellStyle name="20 % - Markeringsfarve6 4 6 4 2 2" xfId="16597" xr:uid="{00000000-0005-0000-0000-0000DF460000}"/>
    <cellStyle name="20 % - Markeringsfarve6 4 6 4 2 2 2" xfId="32912" xr:uid="{00000000-0005-0000-0000-0000E0460000}"/>
    <cellStyle name="20 % - Markeringsfarve6 4 6 4 2 2 3" xfId="47876" xr:uid="{00000000-0005-0000-0000-0000E1460000}"/>
    <cellStyle name="20 % - Markeringsfarve6 4 6 4 2 3" xfId="25890" xr:uid="{00000000-0005-0000-0000-0000E2460000}"/>
    <cellStyle name="20 % - Markeringsfarve6 4 6 4 2 4" xfId="40877" xr:uid="{00000000-0005-0000-0000-0000E3460000}"/>
    <cellStyle name="20 % - Markeringsfarve6 4 6 4 3" xfId="11590" xr:uid="{00000000-0005-0000-0000-0000E4460000}"/>
    <cellStyle name="20 % - Markeringsfarve6 4 6 4 3 2" xfId="27910" xr:uid="{00000000-0005-0000-0000-0000E5460000}"/>
    <cellStyle name="20 % - Markeringsfarve6 4 6 4 3 3" xfId="42876" xr:uid="{00000000-0005-0000-0000-0000E6460000}"/>
    <cellStyle name="20 % - Markeringsfarve6 4 6 4 4" xfId="20888" xr:uid="{00000000-0005-0000-0000-0000E7460000}"/>
    <cellStyle name="20 % - Markeringsfarve6 4 6 4 5" xfId="35877" xr:uid="{00000000-0005-0000-0000-0000E8460000}"/>
    <cellStyle name="20 % - Markeringsfarve6 4 6 5" xfId="5673" xr:uid="{00000000-0005-0000-0000-0000E9460000}"/>
    <cellStyle name="20 % - Markeringsfarve6 4 6 5 2" xfId="13592" xr:uid="{00000000-0005-0000-0000-0000EA460000}"/>
    <cellStyle name="20 % - Markeringsfarve6 4 6 5 2 2" xfId="29907" xr:uid="{00000000-0005-0000-0000-0000EB460000}"/>
    <cellStyle name="20 % - Markeringsfarve6 4 6 5 2 3" xfId="44871" xr:uid="{00000000-0005-0000-0000-0000EC460000}"/>
    <cellStyle name="20 % - Markeringsfarve6 4 6 5 3" xfId="22885" xr:uid="{00000000-0005-0000-0000-0000ED460000}"/>
    <cellStyle name="20 % - Markeringsfarve6 4 6 5 4" xfId="37872" xr:uid="{00000000-0005-0000-0000-0000EE460000}"/>
    <cellStyle name="20 % - Markeringsfarve6 4 6 6" xfId="11586" xr:uid="{00000000-0005-0000-0000-0000EF460000}"/>
    <cellStyle name="20 % - Markeringsfarve6 4 6 6 2" xfId="27906" xr:uid="{00000000-0005-0000-0000-0000F0460000}"/>
    <cellStyle name="20 % - Markeringsfarve6 4 6 6 3" xfId="42872" xr:uid="{00000000-0005-0000-0000-0000F1460000}"/>
    <cellStyle name="20 % - Markeringsfarve6 4 6 7" xfId="20884" xr:uid="{00000000-0005-0000-0000-0000F2460000}"/>
    <cellStyle name="20 % - Markeringsfarve6 4 6 8" xfId="35873" xr:uid="{00000000-0005-0000-0000-0000F3460000}"/>
    <cellStyle name="20 % - Markeringsfarve6 4 7" xfId="3031" xr:uid="{00000000-0005-0000-0000-0000F4460000}"/>
    <cellStyle name="20 % - Markeringsfarve6 4 7 2" xfId="3032" xr:uid="{00000000-0005-0000-0000-0000F5460000}"/>
    <cellStyle name="20 % - Markeringsfarve6 4 7 2 2" xfId="7477" xr:uid="{00000000-0005-0000-0000-0000F6460000}"/>
    <cellStyle name="20 % - Markeringsfarve6 4 7 2 2 2" xfId="15379" xr:uid="{00000000-0005-0000-0000-0000F7460000}"/>
    <cellStyle name="20 % - Markeringsfarve6 4 7 2 2 2 2" xfId="31694" xr:uid="{00000000-0005-0000-0000-0000F8460000}"/>
    <cellStyle name="20 % - Markeringsfarve6 4 7 2 2 2 3" xfId="46658" xr:uid="{00000000-0005-0000-0000-0000F9460000}"/>
    <cellStyle name="20 % - Markeringsfarve6 4 7 2 2 3" xfId="24672" xr:uid="{00000000-0005-0000-0000-0000FA460000}"/>
    <cellStyle name="20 % - Markeringsfarve6 4 7 2 2 4" xfId="39659" xr:uid="{00000000-0005-0000-0000-0000FB460000}"/>
    <cellStyle name="20 % - Markeringsfarve6 4 7 2 3" xfId="11592" xr:uid="{00000000-0005-0000-0000-0000FC460000}"/>
    <cellStyle name="20 % - Markeringsfarve6 4 7 2 3 2" xfId="27912" xr:uid="{00000000-0005-0000-0000-0000FD460000}"/>
    <cellStyle name="20 % - Markeringsfarve6 4 7 2 3 3" xfId="42878" xr:uid="{00000000-0005-0000-0000-0000FE460000}"/>
    <cellStyle name="20 % - Markeringsfarve6 4 7 2 4" xfId="20890" xr:uid="{00000000-0005-0000-0000-0000FF460000}"/>
    <cellStyle name="20 % - Markeringsfarve6 4 7 2 5" xfId="35879" xr:uid="{00000000-0005-0000-0000-000000470000}"/>
    <cellStyle name="20 % - Markeringsfarve6 4 7 3" xfId="6072" xr:uid="{00000000-0005-0000-0000-000001470000}"/>
    <cellStyle name="20 % - Markeringsfarve6 4 7 3 2" xfId="13990" xr:uid="{00000000-0005-0000-0000-000002470000}"/>
    <cellStyle name="20 % - Markeringsfarve6 4 7 3 2 2" xfId="30305" xr:uid="{00000000-0005-0000-0000-000003470000}"/>
    <cellStyle name="20 % - Markeringsfarve6 4 7 3 2 3" xfId="45269" xr:uid="{00000000-0005-0000-0000-000004470000}"/>
    <cellStyle name="20 % - Markeringsfarve6 4 7 3 3" xfId="23283" xr:uid="{00000000-0005-0000-0000-000005470000}"/>
    <cellStyle name="20 % - Markeringsfarve6 4 7 3 4" xfId="38270" xr:uid="{00000000-0005-0000-0000-000006470000}"/>
    <cellStyle name="20 % - Markeringsfarve6 4 7 4" xfId="11591" xr:uid="{00000000-0005-0000-0000-000007470000}"/>
    <cellStyle name="20 % - Markeringsfarve6 4 7 4 2" xfId="27911" xr:uid="{00000000-0005-0000-0000-000008470000}"/>
    <cellStyle name="20 % - Markeringsfarve6 4 7 4 3" xfId="42877" xr:uid="{00000000-0005-0000-0000-000009470000}"/>
    <cellStyle name="20 % - Markeringsfarve6 4 7 5" xfId="20889" xr:uid="{00000000-0005-0000-0000-00000A470000}"/>
    <cellStyle name="20 % - Markeringsfarve6 4 7 6" xfId="35878" xr:uid="{00000000-0005-0000-0000-00000B470000}"/>
    <cellStyle name="20 % - Markeringsfarve6 4 8" xfId="3033" xr:uid="{00000000-0005-0000-0000-00000C470000}"/>
    <cellStyle name="20 % - Markeringsfarve6 4 8 2" xfId="6705" xr:uid="{00000000-0005-0000-0000-00000D470000}"/>
    <cellStyle name="20 % - Markeringsfarve6 4 8 2 2" xfId="14617" xr:uid="{00000000-0005-0000-0000-00000E470000}"/>
    <cellStyle name="20 % - Markeringsfarve6 4 8 2 2 2" xfId="30932" xr:uid="{00000000-0005-0000-0000-00000F470000}"/>
    <cellStyle name="20 % - Markeringsfarve6 4 8 2 2 3" xfId="45896" xr:uid="{00000000-0005-0000-0000-000010470000}"/>
    <cellStyle name="20 % - Markeringsfarve6 4 8 2 3" xfId="23910" xr:uid="{00000000-0005-0000-0000-000011470000}"/>
    <cellStyle name="20 % - Markeringsfarve6 4 8 2 4" xfId="38897" xr:uid="{00000000-0005-0000-0000-000012470000}"/>
    <cellStyle name="20 % - Markeringsfarve6 4 8 3" xfId="11593" xr:uid="{00000000-0005-0000-0000-000013470000}"/>
    <cellStyle name="20 % - Markeringsfarve6 4 8 3 2" xfId="27913" xr:uid="{00000000-0005-0000-0000-000014470000}"/>
    <cellStyle name="20 % - Markeringsfarve6 4 8 3 3" xfId="42879" xr:uid="{00000000-0005-0000-0000-000015470000}"/>
    <cellStyle name="20 % - Markeringsfarve6 4 8 4" xfId="20891" xr:uid="{00000000-0005-0000-0000-000016470000}"/>
    <cellStyle name="20 % - Markeringsfarve6 4 8 5" xfId="35880" xr:uid="{00000000-0005-0000-0000-000017470000}"/>
    <cellStyle name="20 % - Markeringsfarve6 4 9" xfId="3034" xr:uid="{00000000-0005-0000-0000-000018470000}"/>
    <cellStyle name="20 % - Markeringsfarve6 4 9 2" xfId="8585" xr:uid="{00000000-0005-0000-0000-000019470000}"/>
    <cellStyle name="20 % - Markeringsfarve6 4 9 2 2" xfId="16469" xr:uid="{00000000-0005-0000-0000-00001A470000}"/>
    <cellStyle name="20 % - Markeringsfarve6 4 9 2 2 2" xfId="32784" xr:uid="{00000000-0005-0000-0000-00001B470000}"/>
    <cellStyle name="20 % - Markeringsfarve6 4 9 2 2 3" xfId="47748" xr:uid="{00000000-0005-0000-0000-00001C470000}"/>
    <cellStyle name="20 % - Markeringsfarve6 4 9 2 3" xfId="25762" xr:uid="{00000000-0005-0000-0000-00001D470000}"/>
    <cellStyle name="20 % - Markeringsfarve6 4 9 2 4" xfId="40749" xr:uid="{00000000-0005-0000-0000-00001E470000}"/>
    <cellStyle name="20 % - Markeringsfarve6 4 9 3" xfId="11594" xr:uid="{00000000-0005-0000-0000-00001F470000}"/>
    <cellStyle name="20 % - Markeringsfarve6 4 9 3 2" xfId="27914" xr:uid="{00000000-0005-0000-0000-000020470000}"/>
    <cellStyle name="20 % - Markeringsfarve6 4 9 3 3" xfId="42880" xr:uid="{00000000-0005-0000-0000-000021470000}"/>
    <cellStyle name="20 % - Markeringsfarve6 4 9 4" xfId="20892" xr:uid="{00000000-0005-0000-0000-000022470000}"/>
    <cellStyle name="20 % - Markeringsfarve6 4 9 5" xfId="35881" xr:uid="{00000000-0005-0000-0000-000023470000}"/>
    <cellStyle name="20 % - Markeringsfarve6 5" xfId="3035" xr:uid="{00000000-0005-0000-0000-000024470000}"/>
    <cellStyle name="20 % - Markeringsfarve6 5 10" xfId="5674" xr:uid="{00000000-0005-0000-0000-000025470000}"/>
    <cellStyle name="20 % - Markeringsfarve6 5 10 2" xfId="13593" xr:uid="{00000000-0005-0000-0000-000026470000}"/>
    <cellStyle name="20 % - Markeringsfarve6 5 10 2 2" xfId="29908" xr:uid="{00000000-0005-0000-0000-000027470000}"/>
    <cellStyle name="20 % - Markeringsfarve6 5 10 2 3" xfId="44872" xr:uid="{00000000-0005-0000-0000-000028470000}"/>
    <cellStyle name="20 % - Markeringsfarve6 5 10 3" xfId="22886" xr:uid="{00000000-0005-0000-0000-000029470000}"/>
    <cellStyle name="20 % - Markeringsfarve6 5 10 4" xfId="37873" xr:uid="{00000000-0005-0000-0000-00002A470000}"/>
    <cellStyle name="20 % - Markeringsfarve6 5 11" xfId="11595" xr:uid="{00000000-0005-0000-0000-00002B470000}"/>
    <cellStyle name="20 % - Markeringsfarve6 5 11 2" xfId="27915" xr:uid="{00000000-0005-0000-0000-00002C470000}"/>
    <cellStyle name="20 % - Markeringsfarve6 5 11 3" xfId="42881" xr:uid="{00000000-0005-0000-0000-00002D470000}"/>
    <cellStyle name="20 % - Markeringsfarve6 5 12" xfId="20893" xr:uid="{00000000-0005-0000-0000-00002E470000}"/>
    <cellStyle name="20 % - Markeringsfarve6 5 13" xfId="35882" xr:uid="{00000000-0005-0000-0000-00002F470000}"/>
    <cellStyle name="20 % - Markeringsfarve6 5 14" xfId="53284" xr:uid="{00000000-0005-0000-0000-000030470000}"/>
    <cellStyle name="20 % - Markeringsfarve6 5 2" xfId="3036" xr:uid="{00000000-0005-0000-0000-000031470000}"/>
    <cellStyle name="20 % - Markeringsfarve6 5 2 2" xfId="3037" xr:uid="{00000000-0005-0000-0000-000032470000}"/>
    <cellStyle name="20 % - Markeringsfarve6 5 2 2 2" xfId="3038" xr:uid="{00000000-0005-0000-0000-000033470000}"/>
    <cellStyle name="20 % - Markeringsfarve6 5 2 2 2 2" xfId="7635" xr:uid="{00000000-0005-0000-0000-000034470000}"/>
    <cellStyle name="20 % - Markeringsfarve6 5 2 2 2 2 2" xfId="15537" xr:uid="{00000000-0005-0000-0000-000035470000}"/>
    <cellStyle name="20 % - Markeringsfarve6 5 2 2 2 2 2 2" xfId="31852" xr:uid="{00000000-0005-0000-0000-000036470000}"/>
    <cellStyle name="20 % - Markeringsfarve6 5 2 2 2 2 2 3" xfId="46816" xr:uid="{00000000-0005-0000-0000-000037470000}"/>
    <cellStyle name="20 % - Markeringsfarve6 5 2 2 2 2 3" xfId="24830" xr:uid="{00000000-0005-0000-0000-000038470000}"/>
    <cellStyle name="20 % - Markeringsfarve6 5 2 2 2 2 4" xfId="39817" xr:uid="{00000000-0005-0000-0000-000039470000}"/>
    <cellStyle name="20 % - Markeringsfarve6 5 2 2 2 3" xfId="11598" xr:uid="{00000000-0005-0000-0000-00003A470000}"/>
    <cellStyle name="20 % - Markeringsfarve6 5 2 2 2 3 2" xfId="27918" xr:uid="{00000000-0005-0000-0000-00003B470000}"/>
    <cellStyle name="20 % - Markeringsfarve6 5 2 2 2 3 3" xfId="42884" xr:uid="{00000000-0005-0000-0000-00003C470000}"/>
    <cellStyle name="20 % - Markeringsfarve6 5 2 2 2 4" xfId="20896" xr:uid="{00000000-0005-0000-0000-00003D470000}"/>
    <cellStyle name="20 % - Markeringsfarve6 5 2 2 2 5" xfId="35885" xr:uid="{00000000-0005-0000-0000-00003E470000}"/>
    <cellStyle name="20 % - Markeringsfarve6 5 2 2 3" xfId="6204" xr:uid="{00000000-0005-0000-0000-00003F470000}"/>
    <cellStyle name="20 % - Markeringsfarve6 5 2 2 3 2" xfId="14122" xr:uid="{00000000-0005-0000-0000-000040470000}"/>
    <cellStyle name="20 % - Markeringsfarve6 5 2 2 3 2 2" xfId="30437" xr:uid="{00000000-0005-0000-0000-000041470000}"/>
    <cellStyle name="20 % - Markeringsfarve6 5 2 2 3 2 3" xfId="45401" xr:uid="{00000000-0005-0000-0000-000042470000}"/>
    <cellStyle name="20 % - Markeringsfarve6 5 2 2 3 3" xfId="23415" xr:uid="{00000000-0005-0000-0000-000043470000}"/>
    <cellStyle name="20 % - Markeringsfarve6 5 2 2 3 4" xfId="38402" xr:uid="{00000000-0005-0000-0000-000044470000}"/>
    <cellStyle name="20 % - Markeringsfarve6 5 2 2 4" xfId="11597" xr:uid="{00000000-0005-0000-0000-000045470000}"/>
    <cellStyle name="20 % - Markeringsfarve6 5 2 2 4 2" xfId="27917" xr:uid="{00000000-0005-0000-0000-000046470000}"/>
    <cellStyle name="20 % - Markeringsfarve6 5 2 2 4 3" xfId="42883" xr:uid="{00000000-0005-0000-0000-000047470000}"/>
    <cellStyle name="20 % - Markeringsfarve6 5 2 2 5" xfId="20895" xr:uid="{00000000-0005-0000-0000-000048470000}"/>
    <cellStyle name="20 % - Markeringsfarve6 5 2 2 6" xfId="35884" xr:uid="{00000000-0005-0000-0000-000049470000}"/>
    <cellStyle name="20 % - Markeringsfarve6 5 2 2 7" xfId="57088" xr:uid="{00000000-0005-0000-0000-00004A470000}"/>
    <cellStyle name="20 % - Markeringsfarve6 5 2 3" xfId="3039" xr:uid="{00000000-0005-0000-0000-00004B470000}"/>
    <cellStyle name="20 % - Markeringsfarve6 5 2 3 2" xfId="6865" xr:uid="{00000000-0005-0000-0000-00004C470000}"/>
    <cellStyle name="20 % - Markeringsfarve6 5 2 3 2 2" xfId="14777" xr:uid="{00000000-0005-0000-0000-00004D470000}"/>
    <cellStyle name="20 % - Markeringsfarve6 5 2 3 2 2 2" xfId="31092" xr:uid="{00000000-0005-0000-0000-00004E470000}"/>
    <cellStyle name="20 % - Markeringsfarve6 5 2 3 2 2 3" xfId="46056" xr:uid="{00000000-0005-0000-0000-00004F470000}"/>
    <cellStyle name="20 % - Markeringsfarve6 5 2 3 2 3" xfId="24070" xr:uid="{00000000-0005-0000-0000-000050470000}"/>
    <cellStyle name="20 % - Markeringsfarve6 5 2 3 2 4" xfId="39057" xr:uid="{00000000-0005-0000-0000-000051470000}"/>
    <cellStyle name="20 % - Markeringsfarve6 5 2 3 3" xfId="11599" xr:uid="{00000000-0005-0000-0000-000052470000}"/>
    <cellStyle name="20 % - Markeringsfarve6 5 2 3 3 2" xfId="27919" xr:uid="{00000000-0005-0000-0000-000053470000}"/>
    <cellStyle name="20 % - Markeringsfarve6 5 2 3 3 3" xfId="42885" xr:uid="{00000000-0005-0000-0000-000054470000}"/>
    <cellStyle name="20 % - Markeringsfarve6 5 2 3 4" xfId="20897" xr:uid="{00000000-0005-0000-0000-000055470000}"/>
    <cellStyle name="20 % - Markeringsfarve6 5 2 3 5" xfId="35886" xr:uid="{00000000-0005-0000-0000-000056470000}"/>
    <cellStyle name="20 % - Markeringsfarve6 5 2 4" xfId="3040" xr:uid="{00000000-0005-0000-0000-000057470000}"/>
    <cellStyle name="20 % - Markeringsfarve6 5 2 4 2" xfId="8679" xr:uid="{00000000-0005-0000-0000-000058470000}"/>
    <cellStyle name="20 % - Markeringsfarve6 5 2 4 2 2" xfId="16559" xr:uid="{00000000-0005-0000-0000-000059470000}"/>
    <cellStyle name="20 % - Markeringsfarve6 5 2 4 2 2 2" xfId="32874" xr:uid="{00000000-0005-0000-0000-00005A470000}"/>
    <cellStyle name="20 % - Markeringsfarve6 5 2 4 2 2 3" xfId="47838" xr:uid="{00000000-0005-0000-0000-00005B470000}"/>
    <cellStyle name="20 % - Markeringsfarve6 5 2 4 2 3" xfId="25852" xr:uid="{00000000-0005-0000-0000-00005C470000}"/>
    <cellStyle name="20 % - Markeringsfarve6 5 2 4 2 4" xfId="40839" xr:uid="{00000000-0005-0000-0000-00005D470000}"/>
    <cellStyle name="20 % - Markeringsfarve6 5 2 4 3" xfId="11600" xr:uid="{00000000-0005-0000-0000-00005E470000}"/>
    <cellStyle name="20 % - Markeringsfarve6 5 2 4 3 2" xfId="27920" xr:uid="{00000000-0005-0000-0000-00005F470000}"/>
    <cellStyle name="20 % - Markeringsfarve6 5 2 4 3 3" xfId="42886" xr:uid="{00000000-0005-0000-0000-000060470000}"/>
    <cellStyle name="20 % - Markeringsfarve6 5 2 4 4" xfId="20898" xr:uid="{00000000-0005-0000-0000-000061470000}"/>
    <cellStyle name="20 % - Markeringsfarve6 5 2 4 5" xfId="35887" xr:uid="{00000000-0005-0000-0000-000062470000}"/>
    <cellStyle name="20 % - Markeringsfarve6 5 2 5" xfId="5675" xr:uid="{00000000-0005-0000-0000-000063470000}"/>
    <cellStyle name="20 % - Markeringsfarve6 5 2 5 2" xfId="13594" xr:uid="{00000000-0005-0000-0000-000064470000}"/>
    <cellStyle name="20 % - Markeringsfarve6 5 2 5 2 2" xfId="29909" xr:uid="{00000000-0005-0000-0000-000065470000}"/>
    <cellStyle name="20 % - Markeringsfarve6 5 2 5 2 3" xfId="44873" xr:uid="{00000000-0005-0000-0000-000066470000}"/>
    <cellStyle name="20 % - Markeringsfarve6 5 2 5 3" xfId="22887" xr:uid="{00000000-0005-0000-0000-000067470000}"/>
    <cellStyle name="20 % - Markeringsfarve6 5 2 5 4" xfId="37874" xr:uid="{00000000-0005-0000-0000-000068470000}"/>
    <cellStyle name="20 % - Markeringsfarve6 5 2 6" xfId="11596" xr:uid="{00000000-0005-0000-0000-000069470000}"/>
    <cellStyle name="20 % - Markeringsfarve6 5 2 6 2" xfId="27916" xr:uid="{00000000-0005-0000-0000-00006A470000}"/>
    <cellStyle name="20 % - Markeringsfarve6 5 2 6 3" xfId="42882" xr:uid="{00000000-0005-0000-0000-00006B470000}"/>
    <cellStyle name="20 % - Markeringsfarve6 5 2 7" xfId="20894" xr:uid="{00000000-0005-0000-0000-00006C470000}"/>
    <cellStyle name="20 % - Markeringsfarve6 5 2 8" xfId="35883" xr:uid="{00000000-0005-0000-0000-00006D470000}"/>
    <cellStyle name="20 % - Markeringsfarve6 5 2 9" xfId="53921" xr:uid="{00000000-0005-0000-0000-00006E470000}"/>
    <cellStyle name="20 % - Markeringsfarve6 5 3" xfId="3041" xr:uid="{00000000-0005-0000-0000-00006F470000}"/>
    <cellStyle name="20 % - Markeringsfarve6 5 3 2" xfId="3042" xr:uid="{00000000-0005-0000-0000-000070470000}"/>
    <cellStyle name="20 % - Markeringsfarve6 5 3 2 2" xfId="3043" xr:uid="{00000000-0005-0000-0000-000071470000}"/>
    <cellStyle name="20 % - Markeringsfarve6 5 3 2 2 2" xfId="7718" xr:uid="{00000000-0005-0000-0000-000072470000}"/>
    <cellStyle name="20 % - Markeringsfarve6 5 3 2 2 2 2" xfId="15620" xr:uid="{00000000-0005-0000-0000-000073470000}"/>
    <cellStyle name="20 % - Markeringsfarve6 5 3 2 2 2 2 2" xfId="31935" xr:uid="{00000000-0005-0000-0000-000074470000}"/>
    <cellStyle name="20 % - Markeringsfarve6 5 3 2 2 2 2 3" xfId="46899" xr:uid="{00000000-0005-0000-0000-000075470000}"/>
    <cellStyle name="20 % - Markeringsfarve6 5 3 2 2 2 3" xfId="24913" xr:uid="{00000000-0005-0000-0000-000076470000}"/>
    <cellStyle name="20 % - Markeringsfarve6 5 3 2 2 2 4" xfId="39900" xr:uid="{00000000-0005-0000-0000-000077470000}"/>
    <cellStyle name="20 % - Markeringsfarve6 5 3 2 2 3" xfId="11603" xr:uid="{00000000-0005-0000-0000-000078470000}"/>
    <cellStyle name="20 % - Markeringsfarve6 5 3 2 2 3 2" xfId="27923" xr:uid="{00000000-0005-0000-0000-000079470000}"/>
    <cellStyle name="20 % - Markeringsfarve6 5 3 2 2 3 3" xfId="42889" xr:uid="{00000000-0005-0000-0000-00007A470000}"/>
    <cellStyle name="20 % - Markeringsfarve6 5 3 2 2 4" xfId="20901" xr:uid="{00000000-0005-0000-0000-00007B470000}"/>
    <cellStyle name="20 % - Markeringsfarve6 5 3 2 2 5" xfId="35890" xr:uid="{00000000-0005-0000-0000-00007C470000}"/>
    <cellStyle name="20 % - Markeringsfarve6 5 3 2 3" xfId="6273" xr:uid="{00000000-0005-0000-0000-00007D470000}"/>
    <cellStyle name="20 % - Markeringsfarve6 5 3 2 3 2" xfId="14191" xr:uid="{00000000-0005-0000-0000-00007E470000}"/>
    <cellStyle name="20 % - Markeringsfarve6 5 3 2 3 2 2" xfId="30506" xr:uid="{00000000-0005-0000-0000-00007F470000}"/>
    <cellStyle name="20 % - Markeringsfarve6 5 3 2 3 2 3" xfId="45470" xr:uid="{00000000-0005-0000-0000-000080470000}"/>
    <cellStyle name="20 % - Markeringsfarve6 5 3 2 3 3" xfId="23484" xr:uid="{00000000-0005-0000-0000-000081470000}"/>
    <cellStyle name="20 % - Markeringsfarve6 5 3 2 3 4" xfId="38471" xr:uid="{00000000-0005-0000-0000-000082470000}"/>
    <cellStyle name="20 % - Markeringsfarve6 5 3 2 4" xfId="11602" xr:uid="{00000000-0005-0000-0000-000083470000}"/>
    <cellStyle name="20 % - Markeringsfarve6 5 3 2 4 2" xfId="27922" xr:uid="{00000000-0005-0000-0000-000084470000}"/>
    <cellStyle name="20 % - Markeringsfarve6 5 3 2 4 3" xfId="42888" xr:uid="{00000000-0005-0000-0000-000085470000}"/>
    <cellStyle name="20 % - Markeringsfarve6 5 3 2 5" xfId="20900" xr:uid="{00000000-0005-0000-0000-000086470000}"/>
    <cellStyle name="20 % - Markeringsfarve6 5 3 2 6" xfId="35889" xr:uid="{00000000-0005-0000-0000-000087470000}"/>
    <cellStyle name="20 % - Markeringsfarve6 5 3 3" xfId="3044" xr:uid="{00000000-0005-0000-0000-000088470000}"/>
    <cellStyle name="20 % - Markeringsfarve6 5 3 3 2" xfId="6948" xr:uid="{00000000-0005-0000-0000-000089470000}"/>
    <cellStyle name="20 % - Markeringsfarve6 5 3 3 2 2" xfId="14860" xr:uid="{00000000-0005-0000-0000-00008A470000}"/>
    <cellStyle name="20 % - Markeringsfarve6 5 3 3 2 2 2" xfId="31175" xr:uid="{00000000-0005-0000-0000-00008B470000}"/>
    <cellStyle name="20 % - Markeringsfarve6 5 3 3 2 2 3" xfId="46139" xr:uid="{00000000-0005-0000-0000-00008C470000}"/>
    <cellStyle name="20 % - Markeringsfarve6 5 3 3 2 3" xfId="24153" xr:uid="{00000000-0005-0000-0000-00008D470000}"/>
    <cellStyle name="20 % - Markeringsfarve6 5 3 3 2 4" xfId="39140" xr:uid="{00000000-0005-0000-0000-00008E470000}"/>
    <cellStyle name="20 % - Markeringsfarve6 5 3 3 3" xfId="11604" xr:uid="{00000000-0005-0000-0000-00008F470000}"/>
    <cellStyle name="20 % - Markeringsfarve6 5 3 3 3 2" xfId="27924" xr:uid="{00000000-0005-0000-0000-000090470000}"/>
    <cellStyle name="20 % - Markeringsfarve6 5 3 3 3 3" xfId="42890" xr:uid="{00000000-0005-0000-0000-000091470000}"/>
    <cellStyle name="20 % - Markeringsfarve6 5 3 3 4" xfId="20902" xr:uid="{00000000-0005-0000-0000-000092470000}"/>
    <cellStyle name="20 % - Markeringsfarve6 5 3 3 5" xfId="35891" xr:uid="{00000000-0005-0000-0000-000093470000}"/>
    <cellStyle name="20 % - Markeringsfarve6 5 3 4" xfId="3045" xr:uid="{00000000-0005-0000-0000-000094470000}"/>
    <cellStyle name="20 % - Markeringsfarve6 5 3 4 2" xfId="8403" xr:uid="{00000000-0005-0000-0000-000095470000}"/>
    <cellStyle name="20 % - Markeringsfarve6 5 3 4 2 2" xfId="16295" xr:uid="{00000000-0005-0000-0000-000096470000}"/>
    <cellStyle name="20 % - Markeringsfarve6 5 3 4 2 2 2" xfId="32610" xr:uid="{00000000-0005-0000-0000-000097470000}"/>
    <cellStyle name="20 % - Markeringsfarve6 5 3 4 2 2 3" xfId="47574" xr:uid="{00000000-0005-0000-0000-000098470000}"/>
    <cellStyle name="20 % - Markeringsfarve6 5 3 4 2 3" xfId="25588" xr:uid="{00000000-0005-0000-0000-000099470000}"/>
    <cellStyle name="20 % - Markeringsfarve6 5 3 4 2 4" xfId="40575" xr:uid="{00000000-0005-0000-0000-00009A470000}"/>
    <cellStyle name="20 % - Markeringsfarve6 5 3 4 3" xfId="11605" xr:uid="{00000000-0005-0000-0000-00009B470000}"/>
    <cellStyle name="20 % - Markeringsfarve6 5 3 4 3 2" xfId="27925" xr:uid="{00000000-0005-0000-0000-00009C470000}"/>
    <cellStyle name="20 % - Markeringsfarve6 5 3 4 3 3" xfId="42891" xr:uid="{00000000-0005-0000-0000-00009D470000}"/>
    <cellStyle name="20 % - Markeringsfarve6 5 3 4 4" xfId="20903" xr:uid="{00000000-0005-0000-0000-00009E470000}"/>
    <cellStyle name="20 % - Markeringsfarve6 5 3 4 5" xfId="35892" xr:uid="{00000000-0005-0000-0000-00009F470000}"/>
    <cellStyle name="20 % - Markeringsfarve6 5 3 5" xfId="5676" xr:uid="{00000000-0005-0000-0000-0000A0470000}"/>
    <cellStyle name="20 % - Markeringsfarve6 5 3 5 2" xfId="13595" xr:uid="{00000000-0005-0000-0000-0000A1470000}"/>
    <cellStyle name="20 % - Markeringsfarve6 5 3 5 2 2" xfId="29910" xr:uid="{00000000-0005-0000-0000-0000A2470000}"/>
    <cellStyle name="20 % - Markeringsfarve6 5 3 5 2 3" xfId="44874" xr:uid="{00000000-0005-0000-0000-0000A3470000}"/>
    <cellStyle name="20 % - Markeringsfarve6 5 3 5 3" xfId="22888" xr:uid="{00000000-0005-0000-0000-0000A4470000}"/>
    <cellStyle name="20 % - Markeringsfarve6 5 3 5 4" xfId="37875" xr:uid="{00000000-0005-0000-0000-0000A5470000}"/>
    <cellStyle name="20 % - Markeringsfarve6 5 3 6" xfId="11601" xr:uid="{00000000-0005-0000-0000-0000A6470000}"/>
    <cellStyle name="20 % - Markeringsfarve6 5 3 6 2" xfId="27921" xr:uid="{00000000-0005-0000-0000-0000A7470000}"/>
    <cellStyle name="20 % - Markeringsfarve6 5 3 6 3" xfId="42887" xr:uid="{00000000-0005-0000-0000-0000A8470000}"/>
    <cellStyle name="20 % - Markeringsfarve6 5 3 7" xfId="20899" xr:uid="{00000000-0005-0000-0000-0000A9470000}"/>
    <cellStyle name="20 % - Markeringsfarve6 5 3 8" xfId="35888" xr:uid="{00000000-0005-0000-0000-0000AA470000}"/>
    <cellStyle name="20 % - Markeringsfarve6 5 3 9" xfId="56465" xr:uid="{00000000-0005-0000-0000-0000AB470000}"/>
    <cellStyle name="20 % - Markeringsfarve6 5 4" xfId="3046" xr:uid="{00000000-0005-0000-0000-0000AC470000}"/>
    <cellStyle name="20 % - Markeringsfarve6 5 4 2" xfId="3047" xr:uid="{00000000-0005-0000-0000-0000AD470000}"/>
    <cellStyle name="20 % - Markeringsfarve6 5 4 2 2" xfId="3048" xr:uid="{00000000-0005-0000-0000-0000AE470000}"/>
    <cellStyle name="20 % - Markeringsfarve6 5 4 2 2 2" xfId="7873" xr:uid="{00000000-0005-0000-0000-0000AF470000}"/>
    <cellStyle name="20 % - Markeringsfarve6 5 4 2 2 2 2" xfId="15775" xr:uid="{00000000-0005-0000-0000-0000B0470000}"/>
    <cellStyle name="20 % - Markeringsfarve6 5 4 2 2 2 2 2" xfId="32090" xr:uid="{00000000-0005-0000-0000-0000B1470000}"/>
    <cellStyle name="20 % - Markeringsfarve6 5 4 2 2 2 2 3" xfId="47054" xr:uid="{00000000-0005-0000-0000-0000B2470000}"/>
    <cellStyle name="20 % - Markeringsfarve6 5 4 2 2 2 3" xfId="25068" xr:uid="{00000000-0005-0000-0000-0000B3470000}"/>
    <cellStyle name="20 % - Markeringsfarve6 5 4 2 2 2 4" xfId="40055" xr:uid="{00000000-0005-0000-0000-0000B4470000}"/>
    <cellStyle name="20 % - Markeringsfarve6 5 4 2 2 3" xfId="11608" xr:uid="{00000000-0005-0000-0000-0000B5470000}"/>
    <cellStyle name="20 % - Markeringsfarve6 5 4 2 2 3 2" xfId="27928" xr:uid="{00000000-0005-0000-0000-0000B6470000}"/>
    <cellStyle name="20 % - Markeringsfarve6 5 4 2 2 3 3" xfId="42894" xr:uid="{00000000-0005-0000-0000-0000B7470000}"/>
    <cellStyle name="20 % - Markeringsfarve6 5 4 2 2 4" xfId="20906" xr:uid="{00000000-0005-0000-0000-0000B8470000}"/>
    <cellStyle name="20 % - Markeringsfarve6 5 4 2 2 5" xfId="35895" xr:uid="{00000000-0005-0000-0000-0000B9470000}"/>
    <cellStyle name="20 % - Markeringsfarve6 5 4 2 3" xfId="6406" xr:uid="{00000000-0005-0000-0000-0000BA470000}"/>
    <cellStyle name="20 % - Markeringsfarve6 5 4 2 3 2" xfId="14321" xr:uid="{00000000-0005-0000-0000-0000BB470000}"/>
    <cellStyle name="20 % - Markeringsfarve6 5 4 2 3 2 2" xfId="30636" xr:uid="{00000000-0005-0000-0000-0000BC470000}"/>
    <cellStyle name="20 % - Markeringsfarve6 5 4 2 3 2 3" xfId="45600" xr:uid="{00000000-0005-0000-0000-0000BD470000}"/>
    <cellStyle name="20 % - Markeringsfarve6 5 4 2 3 3" xfId="23614" xr:uid="{00000000-0005-0000-0000-0000BE470000}"/>
    <cellStyle name="20 % - Markeringsfarve6 5 4 2 3 4" xfId="38601" xr:uid="{00000000-0005-0000-0000-0000BF470000}"/>
    <cellStyle name="20 % - Markeringsfarve6 5 4 2 4" xfId="11607" xr:uid="{00000000-0005-0000-0000-0000C0470000}"/>
    <cellStyle name="20 % - Markeringsfarve6 5 4 2 4 2" xfId="27927" xr:uid="{00000000-0005-0000-0000-0000C1470000}"/>
    <cellStyle name="20 % - Markeringsfarve6 5 4 2 4 3" xfId="42893" xr:uid="{00000000-0005-0000-0000-0000C2470000}"/>
    <cellStyle name="20 % - Markeringsfarve6 5 4 2 5" xfId="20905" xr:uid="{00000000-0005-0000-0000-0000C3470000}"/>
    <cellStyle name="20 % - Markeringsfarve6 5 4 2 6" xfId="35894" xr:uid="{00000000-0005-0000-0000-0000C4470000}"/>
    <cellStyle name="20 % - Markeringsfarve6 5 4 3" xfId="3049" xr:uid="{00000000-0005-0000-0000-0000C5470000}"/>
    <cellStyle name="20 % - Markeringsfarve6 5 4 3 2" xfId="7149" xr:uid="{00000000-0005-0000-0000-0000C6470000}"/>
    <cellStyle name="20 % - Markeringsfarve6 5 4 3 2 2" xfId="15060" xr:uid="{00000000-0005-0000-0000-0000C7470000}"/>
    <cellStyle name="20 % - Markeringsfarve6 5 4 3 2 2 2" xfId="31375" xr:uid="{00000000-0005-0000-0000-0000C8470000}"/>
    <cellStyle name="20 % - Markeringsfarve6 5 4 3 2 2 3" xfId="46339" xr:uid="{00000000-0005-0000-0000-0000C9470000}"/>
    <cellStyle name="20 % - Markeringsfarve6 5 4 3 2 3" xfId="24353" xr:uid="{00000000-0005-0000-0000-0000CA470000}"/>
    <cellStyle name="20 % - Markeringsfarve6 5 4 3 2 4" xfId="39340" xr:uid="{00000000-0005-0000-0000-0000CB470000}"/>
    <cellStyle name="20 % - Markeringsfarve6 5 4 3 3" xfId="11609" xr:uid="{00000000-0005-0000-0000-0000CC470000}"/>
    <cellStyle name="20 % - Markeringsfarve6 5 4 3 3 2" xfId="27929" xr:uid="{00000000-0005-0000-0000-0000CD470000}"/>
    <cellStyle name="20 % - Markeringsfarve6 5 4 3 3 3" xfId="42895" xr:uid="{00000000-0005-0000-0000-0000CE470000}"/>
    <cellStyle name="20 % - Markeringsfarve6 5 4 3 4" xfId="20907" xr:uid="{00000000-0005-0000-0000-0000CF470000}"/>
    <cellStyle name="20 % - Markeringsfarve6 5 4 3 5" xfId="35896" xr:uid="{00000000-0005-0000-0000-0000D0470000}"/>
    <cellStyle name="20 % - Markeringsfarve6 5 4 4" xfId="3050" xr:uid="{00000000-0005-0000-0000-0000D1470000}"/>
    <cellStyle name="20 % - Markeringsfarve6 5 4 4 2" xfId="8637" xr:uid="{00000000-0005-0000-0000-0000D2470000}"/>
    <cellStyle name="20 % - Markeringsfarve6 5 4 4 2 2" xfId="16519" xr:uid="{00000000-0005-0000-0000-0000D3470000}"/>
    <cellStyle name="20 % - Markeringsfarve6 5 4 4 2 2 2" xfId="32834" xr:uid="{00000000-0005-0000-0000-0000D4470000}"/>
    <cellStyle name="20 % - Markeringsfarve6 5 4 4 2 2 3" xfId="47798" xr:uid="{00000000-0005-0000-0000-0000D5470000}"/>
    <cellStyle name="20 % - Markeringsfarve6 5 4 4 2 3" xfId="25812" xr:uid="{00000000-0005-0000-0000-0000D6470000}"/>
    <cellStyle name="20 % - Markeringsfarve6 5 4 4 2 4" xfId="40799" xr:uid="{00000000-0005-0000-0000-0000D7470000}"/>
    <cellStyle name="20 % - Markeringsfarve6 5 4 4 3" xfId="11610" xr:uid="{00000000-0005-0000-0000-0000D8470000}"/>
    <cellStyle name="20 % - Markeringsfarve6 5 4 4 3 2" xfId="27930" xr:uid="{00000000-0005-0000-0000-0000D9470000}"/>
    <cellStyle name="20 % - Markeringsfarve6 5 4 4 3 3" xfId="42896" xr:uid="{00000000-0005-0000-0000-0000DA470000}"/>
    <cellStyle name="20 % - Markeringsfarve6 5 4 4 4" xfId="20908" xr:uid="{00000000-0005-0000-0000-0000DB470000}"/>
    <cellStyle name="20 % - Markeringsfarve6 5 4 4 5" xfId="35897" xr:uid="{00000000-0005-0000-0000-0000DC470000}"/>
    <cellStyle name="20 % - Markeringsfarve6 5 4 5" xfId="5677" xr:uid="{00000000-0005-0000-0000-0000DD470000}"/>
    <cellStyle name="20 % - Markeringsfarve6 5 4 5 2" xfId="13596" xr:uid="{00000000-0005-0000-0000-0000DE470000}"/>
    <cellStyle name="20 % - Markeringsfarve6 5 4 5 2 2" xfId="29911" xr:uid="{00000000-0005-0000-0000-0000DF470000}"/>
    <cellStyle name="20 % - Markeringsfarve6 5 4 5 2 3" xfId="44875" xr:uid="{00000000-0005-0000-0000-0000E0470000}"/>
    <cellStyle name="20 % - Markeringsfarve6 5 4 5 3" xfId="22889" xr:uid="{00000000-0005-0000-0000-0000E1470000}"/>
    <cellStyle name="20 % - Markeringsfarve6 5 4 5 4" xfId="37876" xr:uid="{00000000-0005-0000-0000-0000E2470000}"/>
    <cellStyle name="20 % - Markeringsfarve6 5 4 6" xfId="11606" xr:uid="{00000000-0005-0000-0000-0000E3470000}"/>
    <cellStyle name="20 % - Markeringsfarve6 5 4 6 2" xfId="27926" xr:uid="{00000000-0005-0000-0000-0000E4470000}"/>
    <cellStyle name="20 % - Markeringsfarve6 5 4 6 3" xfId="42892" xr:uid="{00000000-0005-0000-0000-0000E5470000}"/>
    <cellStyle name="20 % - Markeringsfarve6 5 4 7" xfId="20904" xr:uid="{00000000-0005-0000-0000-0000E6470000}"/>
    <cellStyle name="20 % - Markeringsfarve6 5 4 8" xfId="35893" xr:uid="{00000000-0005-0000-0000-0000E7470000}"/>
    <cellStyle name="20 % - Markeringsfarve6 5 5" xfId="3051" xr:uid="{00000000-0005-0000-0000-0000E8470000}"/>
    <cellStyle name="20 % - Markeringsfarve6 5 5 2" xfId="3052" xr:uid="{00000000-0005-0000-0000-0000E9470000}"/>
    <cellStyle name="20 % - Markeringsfarve6 5 5 2 2" xfId="3053" xr:uid="{00000000-0005-0000-0000-0000EA470000}"/>
    <cellStyle name="20 % - Markeringsfarve6 5 5 2 2 2" xfId="7990" xr:uid="{00000000-0005-0000-0000-0000EB470000}"/>
    <cellStyle name="20 % - Markeringsfarve6 5 5 2 2 2 2" xfId="15892" xr:uid="{00000000-0005-0000-0000-0000EC470000}"/>
    <cellStyle name="20 % - Markeringsfarve6 5 5 2 2 2 2 2" xfId="32207" xr:uid="{00000000-0005-0000-0000-0000ED470000}"/>
    <cellStyle name="20 % - Markeringsfarve6 5 5 2 2 2 2 3" xfId="47171" xr:uid="{00000000-0005-0000-0000-0000EE470000}"/>
    <cellStyle name="20 % - Markeringsfarve6 5 5 2 2 2 3" xfId="25185" xr:uid="{00000000-0005-0000-0000-0000EF470000}"/>
    <cellStyle name="20 % - Markeringsfarve6 5 5 2 2 2 4" xfId="40172" xr:uid="{00000000-0005-0000-0000-0000F0470000}"/>
    <cellStyle name="20 % - Markeringsfarve6 5 5 2 2 3" xfId="11613" xr:uid="{00000000-0005-0000-0000-0000F1470000}"/>
    <cellStyle name="20 % - Markeringsfarve6 5 5 2 2 3 2" xfId="27933" xr:uid="{00000000-0005-0000-0000-0000F2470000}"/>
    <cellStyle name="20 % - Markeringsfarve6 5 5 2 2 3 3" xfId="42899" xr:uid="{00000000-0005-0000-0000-0000F3470000}"/>
    <cellStyle name="20 % - Markeringsfarve6 5 5 2 2 4" xfId="20911" xr:uid="{00000000-0005-0000-0000-0000F4470000}"/>
    <cellStyle name="20 % - Markeringsfarve6 5 5 2 2 5" xfId="35900" xr:uid="{00000000-0005-0000-0000-0000F5470000}"/>
    <cellStyle name="20 % - Markeringsfarve6 5 5 2 3" xfId="6505" xr:uid="{00000000-0005-0000-0000-0000F6470000}"/>
    <cellStyle name="20 % - Markeringsfarve6 5 5 2 3 2" xfId="14420" xr:uid="{00000000-0005-0000-0000-0000F7470000}"/>
    <cellStyle name="20 % - Markeringsfarve6 5 5 2 3 2 2" xfId="30735" xr:uid="{00000000-0005-0000-0000-0000F8470000}"/>
    <cellStyle name="20 % - Markeringsfarve6 5 5 2 3 2 3" xfId="45699" xr:uid="{00000000-0005-0000-0000-0000F9470000}"/>
    <cellStyle name="20 % - Markeringsfarve6 5 5 2 3 3" xfId="23713" xr:uid="{00000000-0005-0000-0000-0000FA470000}"/>
    <cellStyle name="20 % - Markeringsfarve6 5 5 2 3 4" xfId="38700" xr:uid="{00000000-0005-0000-0000-0000FB470000}"/>
    <cellStyle name="20 % - Markeringsfarve6 5 5 2 4" xfId="11612" xr:uid="{00000000-0005-0000-0000-0000FC470000}"/>
    <cellStyle name="20 % - Markeringsfarve6 5 5 2 4 2" xfId="27932" xr:uid="{00000000-0005-0000-0000-0000FD470000}"/>
    <cellStyle name="20 % - Markeringsfarve6 5 5 2 4 3" xfId="42898" xr:uid="{00000000-0005-0000-0000-0000FE470000}"/>
    <cellStyle name="20 % - Markeringsfarve6 5 5 2 5" xfId="20910" xr:uid="{00000000-0005-0000-0000-0000FF470000}"/>
    <cellStyle name="20 % - Markeringsfarve6 5 5 2 6" xfId="35899" xr:uid="{00000000-0005-0000-0000-000000480000}"/>
    <cellStyle name="20 % - Markeringsfarve6 5 5 3" xfId="3054" xr:uid="{00000000-0005-0000-0000-000001480000}"/>
    <cellStyle name="20 % - Markeringsfarve6 5 5 3 2" xfId="7266" xr:uid="{00000000-0005-0000-0000-000002480000}"/>
    <cellStyle name="20 % - Markeringsfarve6 5 5 3 2 2" xfId="15177" xr:uid="{00000000-0005-0000-0000-000003480000}"/>
    <cellStyle name="20 % - Markeringsfarve6 5 5 3 2 2 2" xfId="31492" xr:uid="{00000000-0005-0000-0000-000004480000}"/>
    <cellStyle name="20 % - Markeringsfarve6 5 5 3 2 2 3" xfId="46456" xr:uid="{00000000-0005-0000-0000-000005480000}"/>
    <cellStyle name="20 % - Markeringsfarve6 5 5 3 2 3" xfId="24470" xr:uid="{00000000-0005-0000-0000-000006480000}"/>
    <cellStyle name="20 % - Markeringsfarve6 5 5 3 2 4" xfId="39457" xr:uid="{00000000-0005-0000-0000-000007480000}"/>
    <cellStyle name="20 % - Markeringsfarve6 5 5 3 3" xfId="11614" xr:uid="{00000000-0005-0000-0000-000008480000}"/>
    <cellStyle name="20 % - Markeringsfarve6 5 5 3 3 2" xfId="27934" xr:uid="{00000000-0005-0000-0000-000009480000}"/>
    <cellStyle name="20 % - Markeringsfarve6 5 5 3 3 3" xfId="42900" xr:uid="{00000000-0005-0000-0000-00000A480000}"/>
    <cellStyle name="20 % - Markeringsfarve6 5 5 3 4" xfId="20912" xr:uid="{00000000-0005-0000-0000-00000B480000}"/>
    <cellStyle name="20 % - Markeringsfarve6 5 5 3 5" xfId="35901" xr:uid="{00000000-0005-0000-0000-00000C480000}"/>
    <cellStyle name="20 % - Markeringsfarve6 5 5 4" xfId="3055" xr:uid="{00000000-0005-0000-0000-00000D480000}"/>
    <cellStyle name="20 % - Markeringsfarve6 5 5 4 2" xfId="8362" xr:uid="{00000000-0005-0000-0000-00000E480000}"/>
    <cellStyle name="20 % - Markeringsfarve6 5 5 4 2 2" xfId="16256" xr:uid="{00000000-0005-0000-0000-00000F480000}"/>
    <cellStyle name="20 % - Markeringsfarve6 5 5 4 2 2 2" xfId="32571" xr:uid="{00000000-0005-0000-0000-000010480000}"/>
    <cellStyle name="20 % - Markeringsfarve6 5 5 4 2 2 3" xfId="47535" xr:uid="{00000000-0005-0000-0000-000011480000}"/>
    <cellStyle name="20 % - Markeringsfarve6 5 5 4 2 3" xfId="25549" xr:uid="{00000000-0005-0000-0000-000012480000}"/>
    <cellStyle name="20 % - Markeringsfarve6 5 5 4 2 4" xfId="40536" xr:uid="{00000000-0005-0000-0000-000013480000}"/>
    <cellStyle name="20 % - Markeringsfarve6 5 5 4 3" xfId="11615" xr:uid="{00000000-0005-0000-0000-000014480000}"/>
    <cellStyle name="20 % - Markeringsfarve6 5 5 4 3 2" xfId="27935" xr:uid="{00000000-0005-0000-0000-000015480000}"/>
    <cellStyle name="20 % - Markeringsfarve6 5 5 4 3 3" xfId="42901" xr:uid="{00000000-0005-0000-0000-000016480000}"/>
    <cellStyle name="20 % - Markeringsfarve6 5 5 4 4" xfId="20913" xr:uid="{00000000-0005-0000-0000-000017480000}"/>
    <cellStyle name="20 % - Markeringsfarve6 5 5 4 5" xfId="35902" xr:uid="{00000000-0005-0000-0000-000018480000}"/>
    <cellStyle name="20 % - Markeringsfarve6 5 5 5" xfId="5678" xr:uid="{00000000-0005-0000-0000-000019480000}"/>
    <cellStyle name="20 % - Markeringsfarve6 5 5 5 2" xfId="13597" xr:uid="{00000000-0005-0000-0000-00001A480000}"/>
    <cellStyle name="20 % - Markeringsfarve6 5 5 5 2 2" xfId="29912" xr:uid="{00000000-0005-0000-0000-00001B480000}"/>
    <cellStyle name="20 % - Markeringsfarve6 5 5 5 2 3" xfId="44876" xr:uid="{00000000-0005-0000-0000-00001C480000}"/>
    <cellStyle name="20 % - Markeringsfarve6 5 5 5 3" xfId="22890" xr:uid="{00000000-0005-0000-0000-00001D480000}"/>
    <cellStyle name="20 % - Markeringsfarve6 5 5 5 4" xfId="37877" xr:uid="{00000000-0005-0000-0000-00001E480000}"/>
    <cellStyle name="20 % - Markeringsfarve6 5 5 6" xfId="11611" xr:uid="{00000000-0005-0000-0000-00001F480000}"/>
    <cellStyle name="20 % - Markeringsfarve6 5 5 6 2" xfId="27931" xr:uid="{00000000-0005-0000-0000-000020480000}"/>
    <cellStyle name="20 % - Markeringsfarve6 5 5 6 3" xfId="42897" xr:uid="{00000000-0005-0000-0000-000021480000}"/>
    <cellStyle name="20 % - Markeringsfarve6 5 5 7" xfId="20909" xr:uid="{00000000-0005-0000-0000-000022480000}"/>
    <cellStyle name="20 % - Markeringsfarve6 5 5 8" xfId="35898" xr:uid="{00000000-0005-0000-0000-000023480000}"/>
    <cellStyle name="20 % - Markeringsfarve6 5 6" xfId="3056" xr:uid="{00000000-0005-0000-0000-000024480000}"/>
    <cellStyle name="20 % - Markeringsfarve6 5 6 2" xfId="3057" xr:uid="{00000000-0005-0000-0000-000025480000}"/>
    <cellStyle name="20 % - Markeringsfarve6 5 6 2 2" xfId="3058" xr:uid="{00000000-0005-0000-0000-000026480000}"/>
    <cellStyle name="20 % - Markeringsfarve6 5 6 2 2 2" xfId="8072" xr:uid="{00000000-0005-0000-0000-000027480000}"/>
    <cellStyle name="20 % - Markeringsfarve6 5 6 2 2 2 2" xfId="15974" xr:uid="{00000000-0005-0000-0000-000028480000}"/>
    <cellStyle name="20 % - Markeringsfarve6 5 6 2 2 2 2 2" xfId="32289" xr:uid="{00000000-0005-0000-0000-000029480000}"/>
    <cellStyle name="20 % - Markeringsfarve6 5 6 2 2 2 2 3" xfId="47253" xr:uid="{00000000-0005-0000-0000-00002A480000}"/>
    <cellStyle name="20 % - Markeringsfarve6 5 6 2 2 2 3" xfId="25267" xr:uid="{00000000-0005-0000-0000-00002B480000}"/>
    <cellStyle name="20 % - Markeringsfarve6 5 6 2 2 2 4" xfId="40254" xr:uid="{00000000-0005-0000-0000-00002C480000}"/>
    <cellStyle name="20 % - Markeringsfarve6 5 6 2 2 3" xfId="11618" xr:uid="{00000000-0005-0000-0000-00002D480000}"/>
    <cellStyle name="20 % - Markeringsfarve6 5 6 2 2 3 2" xfId="27938" xr:uid="{00000000-0005-0000-0000-00002E480000}"/>
    <cellStyle name="20 % - Markeringsfarve6 5 6 2 2 3 3" xfId="42904" xr:uid="{00000000-0005-0000-0000-00002F480000}"/>
    <cellStyle name="20 % - Markeringsfarve6 5 6 2 2 4" xfId="20916" xr:uid="{00000000-0005-0000-0000-000030480000}"/>
    <cellStyle name="20 % - Markeringsfarve6 5 6 2 2 5" xfId="35905" xr:uid="{00000000-0005-0000-0000-000031480000}"/>
    <cellStyle name="20 % - Markeringsfarve6 5 6 2 3" xfId="6574" xr:uid="{00000000-0005-0000-0000-000032480000}"/>
    <cellStyle name="20 % - Markeringsfarve6 5 6 2 3 2" xfId="14489" xr:uid="{00000000-0005-0000-0000-000033480000}"/>
    <cellStyle name="20 % - Markeringsfarve6 5 6 2 3 2 2" xfId="30804" xr:uid="{00000000-0005-0000-0000-000034480000}"/>
    <cellStyle name="20 % - Markeringsfarve6 5 6 2 3 2 3" xfId="45768" xr:uid="{00000000-0005-0000-0000-000035480000}"/>
    <cellStyle name="20 % - Markeringsfarve6 5 6 2 3 3" xfId="23782" xr:uid="{00000000-0005-0000-0000-000036480000}"/>
    <cellStyle name="20 % - Markeringsfarve6 5 6 2 3 4" xfId="38769" xr:uid="{00000000-0005-0000-0000-000037480000}"/>
    <cellStyle name="20 % - Markeringsfarve6 5 6 2 4" xfId="11617" xr:uid="{00000000-0005-0000-0000-000038480000}"/>
    <cellStyle name="20 % - Markeringsfarve6 5 6 2 4 2" xfId="27937" xr:uid="{00000000-0005-0000-0000-000039480000}"/>
    <cellStyle name="20 % - Markeringsfarve6 5 6 2 4 3" xfId="42903" xr:uid="{00000000-0005-0000-0000-00003A480000}"/>
    <cellStyle name="20 % - Markeringsfarve6 5 6 2 5" xfId="20915" xr:uid="{00000000-0005-0000-0000-00003B480000}"/>
    <cellStyle name="20 % - Markeringsfarve6 5 6 2 6" xfId="35904" xr:uid="{00000000-0005-0000-0000-00003C480000}"/>
    <cellStyle name="20 % - Markeringsfarve6 5 6 3" xfId="3059" xr:uid="{00000000-0005-0000-0000-00003D480000}"/>
    <cellStyle name="20 % - Markeringsfarve6 5 6 3 2" xfId="7349" xr:uid="{00000000-0005-0000-0000-00003E480000}"/>
    <cellStyle name="20 % - Markeringsfarve6 5 6 3 2 2" xfId="15260" xr:uid="{00000000-0005-0000-0000-00003F480000}"/>
    <cellStyle name="20 % - Markeringsfarve6 5 6 3 2 2 2" xfId="31575" xr:uid="{00000000-0005-0000-0000-000040480000}"/>
    <cellStyle name="20 % - Markeringsfarve6 5 6 3 2 2 3" xfId="46539" xr:uid="{00000000-0005-0000-0000-000041480000}"/>
    <cellStyle name="20 % - Markeringsfarve6 5 6 3 2 3" xfId="24553" xr:uid="{00000000-0005-0000-0000-000042480000}"/>
    <cellStyle name="20 % - Markeringsfarve6 5 6 3 2 4" xfId="39540" xr:uid="{00000000-0005-0000-0000-000043480000}"/>
    <cellStyle name="20 % - Markeringsfarve6 5 6 3 3" xfId="11619" xr:uid="{00000000-0005-0000-0000-000044480000}"/>
    <cellStyle name="20 % - Markeringsfarve6 5 6 3 3 2" xfId="27939" xr:uid="{00000000-0005-0000-0000-000045480000}"/>
    <cellStyle name="20 % - Markeringsfarve6 5 6 3 3 3" xfId="42905" xr:uid="{00000000-0005-0000-0000-000046480000}"/>
    <cellStyle name="20 % - Markeringsfarve6 5 6 3 4" xfId="20917" xr:uid="{00000000-0005-0000-0000-000047480000}"/>
    <cellStyle name="20 % - Markeringsfarve6 5 6 3 5" xfId="35906" xr:uid="{00000000-0005-0000-0000-000048480000}"/>
    <cellStyle name="20 % - Markeringsfarve6 5 6 4" xfId="3060" xr:uid="{00000000-0005-0000-0000-000049480000}"/>
    <cellStyle name="20 % - Markeringsfarve6 5 6 4 2" xfId="8587" xr:uid="{00000000-0005-0000-0000-00004A480000}"/>
    <cellStyle name="20 % - Markeringsfarve6 5 6 4 2 2" xfId="16471" xr:uid="{00000000-0005-0000-0000-00004B480000}"/>
    <cellStyle name="20 % - Markeringsfarve6 5 6 4 2 2 2" xfId="32786" xr:uid="{00000000-0005-0000-0000-00004C480000}"/>
    <cellStyle name="20 % - Markeringsfarve6 5 6 4 2 2 3" xfId="47750" xr:uid="{00000000-0005-0000-0000-00004D480000}"/>
    <cellStyle name="20 % - Markeringsfarve6 5 6 4 2 3" xfId="25764" xr:uid="{00000000-0005-0000-0000-00004E480000}"/>
    <cellStyle name="20 % - Markeringsfarve6 5 6 4 2 4" xfId="40751" xr:uid="{00000000-0005-0000-0000-00004F480000}"/>
    <cellStyle name="20 % - Markeringsfarve6 5 6 4 3" xfId="11620" xr:uid="{00000000-0005-0000-0000-000050480000}"/>
    <cellStyle name="20 % - Markeringsfarve6 5 6 4 3 2" xfId="27940" xr:uid="{00000000-0005-0000-0000-000051480000}"/>
    <cellStyle name="20 % - Markeringsfarve6 5 6 4 3 3" xfId="42906" xr:uid="{00000000-0005-0000-0000-000052480000}"/>
    <cellStyle name="20 % - Markeringsfarve6 5 6 4 4" xfId="20918" xr:uid="{00000000-0005-0000-0000-000053480000}"/>
    <cellStyle name="20 % - Markeringsfarve6 5 6 4 5" xfId="35907" xr:uid="{00000000-0005-0000-0000-000054480000}"/>
    <cellStyle name="20 % - Markeringsfarve6 5 6 5" xfId="5679" xr:uid="{00000000-0005-0000-0000-000055480000}"/>
    <cellStyle name="20 % - Markeringsfarve6 5 6 5 2" xfId="13598" xr:uid="{00000000-0005-0000-0000-000056480000}"/>
    <cellStyle name="20 % - Markeringsfarve6 5 6 5 2 2" xfId="29913" xr:uid="{00000000-0005-0000-0000-000057480000}"/>
    <cellStyle name="20 % - Markeringsfarve6 5 6 5 2 3" xfId="44877" xr:uid="{00000000-0005-0000-0000-000058480000}"/>
    <cellStyle name="20 % - Markeringsfarve6 5 6 5 3" xfId="22891" xr:uid="{00000000-0005-0000-0000-000059480000}"/>
    <cellStyle name="20 % - Markeringsfarve6 5 6 5 4" xfId="37878" xr:uid="{00000000-0005-0000-0000-00005A480000}"/>
    <cellStyle name="20 % - Markeringsfarve6 5 6 6" xfId="11616" xr:uid="{00000000-0005-0000-0000-00005B480000}"/>
    <cellStyle name="20 % - Markeringsfarve6 5 6 6 2" xfId="27936" xr:uid="{00000000-0005-0000-0000-00005C480000}"/>
    <cellStyle name="20 % - Markeringsfarve6 5 6 6 3" xfId="42902" xr:uid="{00000000-0005-0000-0000-00005D480000}"/>
    <cellStyle name="20 % - Markeringsfarve6 5 6 7" xfId="20914" xr:uid="{00000000-0005-0000-0000-00005E480000}"/>
    <cellStyle name="20 % - Markeringsfarve6 5 6 8" xfId="35903" xr:uid="{00000000-0005-0000-0000-00005F480000}"/>
    <cellStyle name="20 % - Markeringsfarve6 5 7" xfId="3061" xr:uid="{00000000-0005-0000-0000-000060480000}"/>
    <cellStyle name="20 % - Markeringsfarve6 5 7 2" xfId="3062" xr:uid="{00000000-0005-0000-0000-000061480000}"/>
    <cellStyle name="20 % - Markeringsfarve6 5 7 2 2" xfId="7516" xr:uid="{00000000-0005-0000-0000-000062480000}"/>
    <cellStyle name="20 % - Markeringsfarve6 5 7 2 2 2" xfId="15418" xr:uid="{00000000-0005-0000-0000-000063480000}"/>
    <cellStyle name="20 % - Markeringsfarve6 5 7 2 2 2 2" xfId="31733" xr:uid="{00000000-0005-0000-0000-000064480000}"/>
    <cellStyle name="20 % - Markeringsfarve6 5 7 2 2 2 3" xfId="46697" xr:uid="{00000000-0005-0000-0000-000065480000}"/>
    <cellStyle name="20 % - Markeringsfarve6 5 7 2 2 3" xfId="24711" xr:uid="{00000000-0005-0000-0000-000066480000}"/>
    <cellStyle name="20 % - Markeringsfarve6 5 7 2 2 4" xfId="39698" xr:uid="{00000000-0005-0000-0000-000067480000}"/>
    <cellStyle name="20 % - Markeringsfarve6 5 7 2 3" xfId="11622" xr:uid="{00000000-0005-0000-0000-000068480000}"/>
    <cellStyle name="20 % - Markeringsfarve6 5 7 2 3 2" xfId="27942" xr:uid="{00000000-0005-0000-0000-000069480000}"/>
    <cellStyle name="20 % - Markeringsfarve6 5 7 2 3 3" xfId="42908" xr:uid="{00000000-0005-0000-0000-00006A480000}"/>
    <cellStyle name="20 % - Markeringsfarve6 5 7 2 4" xfId="20920" xr:uid="{00000000-0005-0000-0000-00006B480000}"/>
    <cellStyle name="20 % - Markeringsfarve6 5 7 2 5" xfId="35909" xr:uid="{00000000-0005-0000-0000-00006C480000}"/>
    <cellStyle name="20 % - Markeringsfarve6 5 7 3" xfId="6105" xr:uid="{00000000-0005-0000-0000-00006D480000}"/>
    <cellStyle name="20 % - Markeringsfarve6 5 7 3 2" xfId="14023" xr:uid="{00000000-0005-0000-0000-00006E480000}"/>
    <cellStyle name="20 % - Markeringsfarve6 5 7 3 2 2" xfId="30338" xr:uid="{00000000-0005-0000-0000-00006F480000}"/>
    <cellStyle name="20 % - Markeringsfarve6 5 7 3 2 3" xfId="45302" xr:uid="{00000000-0005-0000-0000-000070480000}"/>
    <cellStyle name="20 % - Markeringsfarve6 5 7 3 3" xfId="23316" xr:uid="{00000000-0005-0000-0000-000071480000}"/>
    <cellStyle name="20 % - Markeringsfarve6 5 7 3 4" xfId="38303" xr:uid="{00000000-0005-0000-0000-000072480000}"/>
    <cellStyle name="20 % - Markeringsfarve6 5 7 4" xfId="11621" xr:uid="{00000000-0005-0000-0000-000073480000}"/>
    <cellStyle name="20 % - Markeringsfarve6 5 7 4 2" xfId="27941" xr:uid="{00000000-0005-0000-0000-000074480000}"/>
    <cellStyle name="20 % - Markeringsfarve6 5 7 4 3" xfId="42907" xr:uid="{00000000-0005-0000-0000-000075480000}"/>
    <cellStyle name="20 % - Markeringsfarve6 5 7 5" xfId="20919" xr:uid="{00000000-0005-0000-0000-000076480000}"/>
    <cellStyle name="20 % - Markeringsfarve6 5 7 6" xfId="35908" xr:uid="{00000000-0005-0000-0000-000077480000}"/>
    <cellStyle name="20 % - Markeringsfarve6 5 8" xfId="3063" xr:uid="{00000000-0005-0000-0000-000078480000}"/>
    <cellStyle name="20 % - Markeringsfarve6 5 8 2" xfId="6744" xr:uid="{00000000-0005-0000-0000-000079480000}"/>
    <cellStyle name="20 % - Markeringsfarve6 5 8 2 2" xfId="14656" xr:uid="{00000000-0005-0000-0000-00007A480000}"/>
    <cellStyle name="20 % - Markeringsfarve6 5 8 2 2 2" xfId="30971" xr:uid="{00000000-0005-0000-0000-00007B480000}"/>
    <cellStyle name="20 % - Markeringsfarve6 5 8 2 2 3" xfId="45935" xr:uid="{00000000-0005-0000-0000-00007C480000}"/>
    <cellStyle name="20 % - Markeringsfarve6 5 8 2 3" xfId="23949" xr:uid="{00000000-0005-0000-0000-00007D480000}"/>
    <cellStyle name="20 % - Markeringsfarve6 5 8 2 4" xfId="38936" xr:uid="{00000000-0005-0000-0000-00007E480000}"/>
    <cellStyle name="20 % - Markeringsfarve6 5 8 3" xfId="11623" xr:uid="{00000000-0005-0000-0000-00007F480000}"/>
    <cellStyle name="20 % - Markeringsfarve6 5 8 3 2" xfId="27943" xr:uid="{00000000-0005-0000-0000-000080480000}"/>
    <cellStyle name="20 % - Markeringsfarve6 5 8 3 3" xfId="42909" xr:uid="{00000000-0005-0000-0000-000081480000}"/>
    <cellStyle name="20 % - Markeringsfarve6 5 8 4" xfId="20921" xr:uid="{00000000-0005-0000-0000-000082480000}"/>
    <cellStyle name="20 % - Markeringsfarve6 5 8 5" xfId="35910" xr:uid="{00000000-0005-0000-0000-000083480000}"/>
    <cellStyle name="20 % - Markeringsfarve6 5 9" xfId="3064" xr:uid="{00000000-0005-0000-0000-000084480000}"/>
    <cellStyle name="20 % - Markeringsfarve6 5 9 2" xfId="8440" xr:uid="{00000000-0005-0000-0000-000085480000}"/>
    <cellStyle name="20 % - Markeringsfarve6 5 9 2 2" xfId="16330" xr:uid="{00000000-0005-0000-0000-000086480000}"/>
    <cellStyle name="20 % - Markeringsfarve6 5 9 2 2 2" xfId="32645" xr:uid="{00000000-0005-0000-0000-000087480000}"/>
    <cellStyle name="20 % - Markeringsfarve6 5 9 2 2 3" xfId="47609" xr:uid="{00000000-0005-0000-0000-000088480000}"/>
    <cellStyle name="20 % - Markeringsfarve6 5 9 2 3" xfId="25623" xr:uid="{00000000-0005-0000-0000-000089480000}"/>
    <cellStyle name="20 % - Markeringsfarve6 5 9 2 4" xfId="40610" xr:uid="{00000000-0005-0000-0000-00008A480000}"/>
    <cellStyle name="20 % - Markeringsfarve6 5 9 3" xfId="11624" xr:uid="{00000000-0005-0000-0000-00008B480000}"/>
    <cellStyle name="20 % - Markeringsfarve6 5 9 3 2" xfId="27944" xr:uid="{00000000-0005-0000-0000-00008C480000}"/>
    <cellStyle name="20 % - Markeringsfarve6 5 9 3 3" xfId="42910" xr:uid="{00000000-0005-0000-0000-00008D480000}"/>
    <cellStyle name="20 % - Markeringsfarve6 5 9 4" xfId="20922" xr:uid="{00000000-0005-0000-0000-00008E480000}"/>
    <cellStyle name="20 % - Markeringsfarve6 5 9 5" xfId="35911" xr:uid="{00000000-0005-0000-0000-00008F480000}"/>
    <cellStyle name="20 % - Markeringsfarve6 6" xfId="3065" xr:uid="{00000000-0005-0000-0000-000090480000}"/>
    <cellStyle name="20 % - Markeringsfarve6 6 2" xfId="3066" xr:uid="{00000000-0005-0000-0000-000091480000}"/>
    <cellStyle name="20 % - Markeringsfarve6 6 2 2" xfId="3067" xr:uid="{00000000-0005-0000-0000-000092480000}"/>
    <cellStyle name="20 % - Markeringsfarve6 6 2 2 2" xfId="7557" xr:uid="{00000000-0005-0000-0000-000093480000}"/>
    <cellStyle name="20 % - Markeringsfarve6 6 2 2 2 2" xfId="15459" xr:uid="{00000000-0005-0000-0000-000094480000}"/>
    <cellStyle name="20 % - Markeringsfarve6 6 2 2 2 2 2" xfId="31774" xr:uid="{00000000-0005-0000-0000-000095480000}"/>
    <cellStyle name="20 % - Markeringsfarve6 6 2 2 2 2 3" xfId="46738" xr:uid="{00000000-0005-0000-0000-000096480000}"/>
    <cellStyle name="20 % - Markeringsfarve6 6 2 2 2 3" xfId="24752" xr:uid="{00000000-0005-0000-0000-000097480000}"/>
    <cellStyle name="20 % - Markeringsfarve6 6 2 2 2 4" xfId="39739" xr:uid="{00000000-0005-0000-0000-000098480000}"/>
    <cellStyle name="20 % - Markeringsfarve6 6 2 2 3" xfId="11627" xr:uid="{00000000-0005-0000-0000-000099480000}"/>
    <cellStyle name="20 % - Markeringsfarve6 6 2 2 3 2" xfId="27947" xr:uid="{00000000-0005-0000-0000-00009A480000}"/>
    <cellStyle name="20 % - Markeringsfarve6 6 2 2 3 3" xfId="42913" xr:uid="{00000000-0005-0000-0000-00009B480000}"/>
    <cellStyle name="20 % - Markeringsfarve6 6 2 2 4" xfId="20925" xr:uid="{00000000-0005-0000-0000-00009C480000}"/>
    <cellStyle name="20 % - Markeringsfarve6 6 2 2 5" xfId="35914" xr:uid="{00000000-0005-0000-0000-00009D480000}"/>
    <cellStyle name="20 % - Markeringsfarve6 6 2 2 6" xfId="57087" xr:uid="{00000000-0005-0000-0000-00009E480000}"/>
    <cellStyle name="20 % - Markeringsfarve6 6 2 3" xfId="6138" xr:uid="{00000000-0005-0000-0000-00009F480000}"/>
    <cellStyle name="20 % - Markeringsfarve6 6 2 3 2" xfId="14056" xr:uid="{00000000-0005-0000-0000-0000A0480000}"/>
    <cellStyle name="20 % - Markeringsfarve6 6 2 3 2 2" xfId="30371" xr:uid="{00000000-0005-0000-0000-0000A1480000}"/>
    <cellStyle name="20 % - Markeringsfarve6 6 2 3 2 3" xfId="45335" xr:uid="{00000000-0005-0000-0000-0000A2480000}"/>
    <cellStyle name="20 % - Markeringsfarve6 6 2 3 3" xfId="23349" xr:uid="{00000000-0005-0000-0000-0000A3480000}"/>
    <cellStyle name="20 % - Markeringsfarve6 6 2 3 4" xfId="38336" xr:uid="{00000000-0005-0000-0000-0000A4480000}"/>
    <cellStyle name="20 % - Markeringsfarve6 6 2 4" xfId="11626" xr:uid="{00000000-0005-0000-0000-0000A5480000}"/>
    <cellStyle name="20 % - Markeringsfarve6 6 2 4 2" xfId="27946" xr:uid="{00000000-0005-0000-0000-0000A6480000}"/>
    <cellStyle name="20 % - Markeringsfarve6 6 2 4 3" xfId="42912" xr:uid="{00000000-0005-0000-0000-0000A7480000}"/>
    <cellStyle name="20 % - Markeringsfarve6 6 2 5" xfId="20924" xr:uid="{00000000-0005-0000-0000-0000A8480000}"/>
    <cellStyle name="20 % - Markeringsfarve6 6 2 6" xfId="35913" xr:uid="{00000000-0005-0000-0000-0000A9480000}"/>
    <cellStyle name="20 % - Markeringsfarve6 6 2 7" xfId="53920" xr:uid="{00000000-0005-0000-0000-0000AA480000}"/>
    <cellStyle name="20 % - Markeringsfarve6 6 3" xfId="3068" xr:uid="{00000000-0005-0000-0000-0000AB480000}"/>
    <cellStyle name="20 % - Markeringsfarve6 6 3 2" xfId="6787" xr:uid="{00000000-0005-0000-0000-0000AC480000}"/>
    <cellStyle name="20 % - Markeringsfarve6 6 3 2 2" xfId="14699" xr:uid="{00000000-0005-0000-0000-0000AD480000}"/>
    <cellStyle name="20 % - Markeringsfarve6 6 3 2 2 2" xfId="31014" xr:uid="{00000000-0005-0000-0000-0000AE480000}"/>
    <cellStyle name="20 % - Markeringsfarve6 6 3 2 2 3" xfId="45978" xr:uid="{00000000-0005-0000-0000-0000AF480000}"/>
    <cellStyle name="20 % - Markeringsfarve6 6 3 2 3" xfId="23992" xr:uid="{00000000-0005-0000-0000-0000B0480000}"/>
    <cellStyle name="20 % - Markeringsfarve6 6 3 2 4" xfId="38979" xr:uid="{00000000-0005-0000-0000-0000B1480000}"/>
    <cellStyle name="20 % - Markeringsfarve6 6 3 3" xfId="11628" xr:uid="{00000000-0005-0000-0000-0000B2480000}"/>
    <cellStyle name="20 % - Markeringsfarve6 6 3 3 2" xfId="27948" xr:uid="{00000000-0005-0000-0000-0000B3480000}"/>
    <cellStyle name="20 % - Markeringsfarve6 6 3 3 3" xfId="42914" xr:uid="{00000000-0005-0000-0000-0000B4480000}"/>
    <cellStyle name="20 % - Markeringsfarve6 6 3 4" xfId="20926" xr:uid="{00000000-0005-0000-0000-0000B5480000}"/>
    <cellStyle name="20 % - Markeringsfarve6 6 3 5" xfId="35915" xr:uid="{00000000-0005-0000-0000-0000B6480000}"/>
    <cellStyle name="20 % - Markeringsfarve6 6 3 6" xfId="56464" xr:uid="{00000000-0005-0000-0000-0000B7480000}"/>
    <cellStyle name="20 % - Markeringsfarve6 6 4" xfId="3069" xr:uid="{00000000-0005-0000-0000-0000B8480000}"/>
    <cellStyle name="20 % - Markeringsfarve6 6 4 2" xfId="8236" xr:uid="{00000000-0005-0000-0000-0000B9480000}"/>
    <cellStyle name="20 % - Markeringsfarve6 6 4 2 2" xfId="16131" xr:uid="{00000000-0005-0000-0000-0000BA480000}"/>
    <cellStyle name="20 % - Markeringsfarve6 6 4 2 2 2" xfId="32446" xr:uid="{00000000-0005-0000-0000-0000BB480000}"/>
    <cellStyle name="20 % - Markeringsfarve6 6 4 2 2 3" xfId="47410" xr:uid="{00000000-0005-0000-0000-0000BC480000}"/>
    <cellStyle name="20 % - Markeringsfarve6 6 4 2 3" xfId="25424" xr:uid="{00000000-0005-0000-0000-0000BD480000}"/>
    <cellStyle name="20 % - Markeringsfarve6 6 4 2 4" xfId="40411" xr:uid="{00000000-0005-0000-0000-0000BE480000}"/>
    <cellStyle name="20 % - Markeringsfarve6 6 4 3" xfId="11629" xr:uid="{00000000-0005-0000-0000-0000BF480000}"/>
    <cellStyle name="20 % - Markeringsfarve6 6 4 3 2" xfId="27949" xr:uid="{00000000-0005-0000-0000-0000C0480000}"/>
    <cellStyle name="20 % - Markeringsfarve6 6 4 3 3" xfId="42915" xr:uid="{00000000-0005-0000-0000-0000C1480000}"/>
    <cellStyle name="20 % - Markeringsfarve6 6 4 4" xfId="20927" xr:uid="{00000000-0005-0000-0000-0000C2480000}"/>
    <cellStyle name="20 % - Markeringsfarve6 6 4 5" xfId="35916" xr:uid="{00000000-0005-0000-0000-0000C3480000}"/>
    <cellStyle name="20 % - Markeringsfarve6 6 5" xfId="5680" xr:uid="{00000000-0005-0000-0000-0000C4480000}"/>
    <cellStyle name="20 % - Markeringsfarve6 6 5 2" xfId="13599" xr:uid="{00000000-0005-0000-0000-0000C5480000}"/>
    <cellStyle name="20 % - Markeringsfarve6 6 5 2 2" xfId="29914" xr:uid="{00000000-0005-0000-0000-0000C6480000}"/>
    <cellStyle name="20 % - Markeringsfarve6 6 5 2 3" xfId="44878" xr:uid="{00000000-0005-0000-0000-0000C7480000}"/>
    <cellStyle name="20 % - Markeringsfarve6 6 5 3" xfId="22892" xr:uid="{00000000-0005-0000-0000-0000C8480000}"/>
    <cellStyle name="20 % - Markeringsfarve6 6 5 4" xfId="37879" xr:uid="{00000000-0005-0000-0000-0000C9480000}"/>
    <cellStyle name="20 % - Markeringsfarve6 6 6" xfId="11625" xr:uid="{00000000-0005-0000-0000-0000CA480000}"/>
    <cellStyle name="20 % - Markeringsfarve6 6 6 2" xfId="27945" xr:uid="{00000000-0005-0000-0000-0000CB480000}"/>
    <cellStyle name="20 % - Markeringsfarve6 6 6 3" xfId="42911" xr:uid="{00000000-0005-0000-0000-0000CC480000}"/>
    <cellStyle name="20 % - Markeringsfarve6 6 7" xfId="20923" xr:uid="{00000000-0005-0000-0000-0000CD480000}"/>
    <cellStyle name="20 % - Markeringsfarve6 6 8" xfId="35912" xr:uid="{00000000-0005-0000-0000-0000CE480000}"/>
    <cellStyle name="20 % - Markeringsfarve6 6 9" xfId="53283" xr:uid="{00000000-0005-0000-0000-0000CF480000}"/>
    <cellStyle name="20 % - Markeringsfarve6 7" xfId="3070" xr:uid="{00000000-0005-0000-0000-0000D0480000}"/>
    <cellStyle name="20 % - Markeringsfarve6 7 2" xfId="3071" xr:uid="{00000000-0005-0000-0000-0000D1480000}"/>
    <cellStyle name="20 % - Markeringsfarve6 7 2 2" xfId="3072" xr:uid="{00000000-0005-0000-0000-0000D2480000}"/>
    <cellStyle name="20 % - Markeringsfarve6 7 2 2 2" xfId="7710" xr:uid="{00000000-0005-0000-0000-0000D3480000}"/>
    <cellStyle name="20 % - Markeringsfarve6 7 2 2 2 2" xfId="15612" xr:uid="{00000000-0005-0000-0000-0000D4480000}"/>
    <cellStyle name="20 % - Markeringsfarve6 7 2 2 2 2 2" xfId="31927" xr:uid="{00000000-0005-0000-0000-0000D5480000}"/>
    <cellStyle name="20 % - Markeringsfarve6 7 2 2 2 2 3" xfId="46891" xr:uid="{00000000-0005-0000-0000-0000D6480000}"/>
    <cellStyle name="20 % - Markeringsfarve6 7 2 2 2 3" xfId="24905" xr:uid="{00000000-0005-0000-0000-0000D7480000}"/>
    <cellStyle name="20 % - Markeringsfarve6 7 2 2 2 4" xfId="39892" xr:uid="{00000000-0005-0000-0000-0000D8480000}"/>
    <cellStyle name="20 % - Markeringsfarve6 7 2 2 3" xfId="11632" xr:uid="{00000000-0005-0000-0000-0000D9480000}"/>
    <cellStyle name="20 % - Markeringsfarve6 7 2 2 3 2" xfId="27952" xr:uid="{00000000-0005-0000-0000-0000DA480000}"/>
    <cellStyle name="20 % - Markeringsfarve6 7 2 2 3 3" xfId="42918" xr:uid="{00000000-0005-0000-0000-0000DB480000}"/>
    <cellStyle name="20 % - Markeringsfarve6 7 2 2 4" xfId="20930" xr:uid="{00000000-0005-0000-0000-0000DC480000}"/>
    <cellStyle name="20 % - Markeringsfarve6 7 2 2 5" xfId="35919" xr:uid="{00000000-0005-0000-0000-0000DD480000}"/>
    <cellStyle name="20 % - Markeringsfarve6 7 2 3" xfId="6265" xr:uid="{00000000-0005-0000-0000-0000DE480000}"/>
    <cellStyle name="20 % - Markeringsfarve6 7 2 3 2" xfId="14183" xr:uid="{00000000-0005-0000-0000-0000DF480000}"/>
    <cellStyle name="20 % - Markeringsfarve6 7 2 3 2 2" xfId="30498" xr:uid="{00000000-0005-0000-0000-0000E0480000}"/>
    <cellStyle name="20 % - Markeringsfarve6 7 2 3 2 3" xfId="45462" xr:uid="{00000000-0005-0000-0000-0000E1480000}"/>
    <cellStyle name="20 % - Markeringsfarve6 7 2 3 3" xfId="23476" xr:uid="{00000000-0005-0000-0000-0000E2480000}"/>
    <cellStyle name="20 % - Markeringsfarve6 7 2 3 4" xfId="38463" xr:uid="{00000000-0005-0000-0000-0000E3480000}"/>
    <cellStyle name="20 % - Markeringsfarve6 7 2 4" xfId="11631" xr:uid="{00000000-0005-0000-0000-0000E4480000}"/>
    <cellStyle name="20 % - Markeringsfarve6 7 2 4 2" xfId="27951" xr:uid="{00000000-0005-0000-0000-0000E5480000}"/>
    <cellStyle name="20 % - Markeringsfarve6 7 2 4 3" xfId="42917" xr:uid="{00000000-0005-0000-0000-0000E6480000}"/>
    <cellStyle name="20 % - Markeringsfarve6 7 2 5" xfId="20929" xr:uid="{00000000-0005-0000-0000-0000E7480000}"/>
    <cellStyle name="20 % - Markeringsfarve6 7 2 6" xfId="35918" xr:uid="{00000000-0005-0000-0000-0000E8480000}"/>
    <cellStyle name="20 % - Markeringsfarve6 7 2 7" xfId="57064" xr:uid="{00000000-0005-0000-0000-0000E9480000}"/>
    <cellStyle name="20 % - Markeringsfarve6 7 3" xfId="3073" xr:uid="{00000000-0005-0000-0000-0000EA480000}"/>
    <cellStyle name="20 % - Markeringsfarve6 7 3 2" xfId="6940" xr:uid="{00000000-0005-0000-0000-0000EB480000}"/>
    <cellStyle name="20 % - Markeringsfarve6 7 3 2 2" xfId="14852" xr:uid="{00000000-0005-0000-0000-0000EC480000}"/>
    <cellStyle name="20 % - Markeringsfarve6 7 3 2 2 2" xfId="31167" xr:uid="{00000000-0005-0000-0000-0000ED480000}"/>
    <cellStyle name="20 % - Markeringsfarve6 7 3 2 2 3" xfId="46131" xr:uid="{00000000-0005-0000-0000-0000EE480000}"/>
    <cellStyle name="20 % - Markeringsfarve6 7 3 2 3" xfId="24145" xr:uid="{00000000-0005-0000-0000-0000EF480000}"/>
    <cellStyle name="20 % - Markeringsfarve6 7 3 2 4" xfId="39132" xr:uid="{00000000-0005-0000-0000-0000F0480000}"/>
    <cellStyle name="20 % - Markeringsfarve6 7 3 3" xfId="11633" xr:uid="{00000000-0005-0000-0000-0000F1480000}"/>
    <cellStyle name="20 % - Markeringsfarve6 7 3 3 2" xfId="27953" xr:uid="{00000000-0005-0000-0000-0000F2480000}"/>
    <cellStyle name="20 % - Markeringsfarve6 7 3 3 3" xfId="42919" xr:uid="{00000000-0005-0000-0000-0000F3480000}"/>
    <cellStyle name="20 % - Markeringsfarve6 7 3 4" xfId="20931" xr:uid="{00000000-0005-0000-0000-0000F4480000}"/>
    <cellStyle name="20 % - Markeringsfarve6 7 3 5" xfId="35920" xr:uid="{00000000-0005-0000-0000-0000F5480000}"/>
    <cellStyle name="20 % - Markeringsfarve6 7 4" xfId="3074" xr:uid="{00000000-0005-0000-0000-0000F6480000}"/>
    <cellStyle name="20 % - Markeringsfarve6 7 4 2" xfId="8548" xr:uid="{00000000-0005-0000-0000-0000F7480000}"/>
    <cellStyle name="20 % - Markeringsfarve6 7 4 2 2" xfId="16435" xr:uid="{00000000-0005-0000-0000-0000F8480000}"/>
    <cellStyle name="20 % - Markeringsfarve6 7 4 2 2 2" xfId="32750" xr:uid="{00000000-0005-0000-0000-0000F9480000}"/>
    <cellStyle name="20 % - Markeringsfarve6 7 4 2 2 3" xfId="47714" xr:uid="{00000000-0005-0000-0000-0000FA480000}"/>
    <cellStyle name="20 % - Markeringsfarve6 7 4 2 3" xfId="25728" xr:uid="{00000000-0005-0000-0000-0000FB480000}"/>
    <cellStyle name="20 % - Markeringsfarve6 7 4 2 4" xfId="40715" xr:uid="{00000000-0005-0000-0000-0000FC480000}"/>
    <cellStyle name="20 % - Markeringsfarve6 7 4 3" xfId="11634" xr:uid="{00000000-0005-0000-0000-0000FD480000}"/>
    <cellStyle name="20 % - Markeringsfarve6 7 4 3 2" xfId="27954" xr:uid="{00000000-0005-0000-0000-0000FE480000}"/>
    <cellStyle name="20 % - Markeringsfarve6 7 4 3 3" xfId="42920" xr:uid="{00000000-0005-0000-0000-0000FF480000}"/>
    <cellStyle name="20 % - Markeringsfarve6 7 4 4" xfId="20932" xr:uid="{00000000-0005-0000-0000-000000490000}"/>
    <cellStyle name="20 % - Markeringsfarve6 7 4 5" xfId="35921" xr:uid="{00000000-0005-0000-0000-000001490000}"/>
    <cellStyle name="20 % - Markeringsfarve6 7 5" xfId="5681" xr:uid="{00000000-0005-0000-0000-000002490000}"/>
    <cellStyle name="20 % - Markeringsfarve6 7 5 2" xfId="13600" xr:uid="{00000000-0005-0000-0000-000003490000}"/>
    <cellStyle name="20 % - Markeringsfarve6 7 5 2 2" xfId="29915" xr:uid="{00000000-0005-0000-0000-000004490000}"/>
    <cellStyle name="20 % - Markeringsfarve6 7 5 2 3" xfId="44879" xr:uid="{00000000-0005-0000-0000-000005490000}"/>
    <cellStyle name="20 % - Markeringsfarve6 7 5 3" xfId="22893" xr:uid="{00000000-0005-0000-0000-000006490000}"/>
    <cellStyle name="20 % - Markeringsfarve6 7 5 4" xfId="37880" xr:uid="{00000000-0005-0000-0000-000007490000}"/>
    <cellStyle name="20 % - Markeringsfarve6 7 6" xfId="11630" xr:uid="{00000000-0005-0000-0000-000008490000}"/>
    <cellStyle name="20 % - Markeringsfarve6 7 6 2" xfId="27950" xr:uid="{00000000-0005-0000-0000-000009490000}"/>
    <cellStyle name="20 % - Markeringsfarve6 7 6 3" xfId="42916" xr:uid="{00000000-0005-0000-0000-00000A490000}"/>
    <cellStyle name="20 % - Markeringsfarve6 7 7" xfId="20928" xr:uid="{00000000-0005-0000-0000-00000B490000}"/>
    <cellStyle name="20 % - Markeringsfarve6 7 8" xfId="35917" xr:uid="{00000000-0005-0000-0000-00000C490000}"/>
    <cellStyle name="20 % - Markeringsfarve6 7 9" xfId="53897" xr:uid="{00000000-0005-0000-0000-00000D490000}"/>
    <cellStyle name="20 % - Markeringsfarve6 8" xfId="3075" xr:uid="{00000000-0005-0000-0000-00000E490000}"/>
    <cellStyle name="20 % - Markeringsfarve6 8 2" xfId="3076" xr:uid="{00000000-0005-0000-0000-00000F490000}"/>
    <cellStyle name="20 % - Markeringsfarve6 8 2 2" xfId="3077" xr:uid="{00000000-0005-0000-0000-000010490000}"/>
    <cellStyle name="20 % - Markeringsfarve6 8 2 2 2" xfId="7795" xr:uid="{00000000-0005-0000-0000-000011490000}"/>
    <cellStyle name="20 % - Markeringsfarve6 8 2 2 2 2" xfId="15697" xr:uid="{00000000-0005-0000-0000-000012490000}"/>
    <cellStyle name="20 % - Markeringsfarve6 8 2 2 2 2 2" xfId="32012" xr:uid="{00000000-0005-0000-0000-000013490000}"/>
    <cellStyle name="20 % - Markeringsfarve6 8 2 2 2 2 3" xfId="46976" xr:uid="{00000000-0005-0000-0000-000014490000}"/>
    <cellStyle name="20 % - Markeringsfarve6 8 2 2 2 3" xfId="24990" xr:uid="{00000000-0005-0000-0000-000015490000}"/>
    <cellStyle name="20 % - Markeringsfarve6 8 2 2 2 4" xfId="39977" xr:uid="{00000000-0005-0000-0000-000016490000}"/>
    <cellStyle name="20 % - Markeringsfarve6 8 2 2 3" xfId="11637" xr:uid="{00000000-0005-0000-0000-000017490000}"/>
    <cellStyle name="20 % - Markeringsfarve6 8 2 2 3 2" xfId="27957" xr:uid="{00000000-0005-0000-0000-000018490000}"/>
    <cellStyle name="20 % - Markeringsfarve6 8 2 2 3 3" xfId="42923" xr:uid="{00000000-0005-0000-0000-000019490000}"/>
    <cellStyle name="20 % - Markeringsfarve6 8 2 2 4" xfId="20935" xr:uid="{00000000-0005-0000-0000-00001A490000}"/>
    <cellStyle name="20 % - Markeringsfarve6 8 2 2 5" xfId="35924" xr:uid="{00000000-0005-0000-0000-00001B490000}"/>
    <cellStyle name="20 % - Markeringsfarve6 8 2 3" xfId="6340" xr:uid="{00000000-0005-0000-0000-00001C490000}"/>
    <cellStyle name="20 % - Markeringsfarve6 8 2 3 2" xfId="14255" xr:uid="{00000000-0005-0000-0000-00001D490000}"/>
    <cellStyle name="20 % - Markeringsfarve6 8 2 3 2 2" xfId="30570" xr:uid="{00000000-0005-0000-0000-00001E490000}"/>
    <cellStyle name="20 % - Markeringsfarve6 8 2 3 2 3" xfId="45534" xr:uid="{00000000-0005-0000-0000-00001F490000}"/>
    <cellStyle name="20 % - Markeringsfarve6 8 2 3 3" xfId="23548" xr:uid="{00000000-0005-0000-0000-000020490000}"/>
    <cellStyle name="20 % - Markeringsfarve6 8 2 3 4" xfId="38535" xr:uid="{00000000-0005-0000-0000-000021490000}"/>
    <cellStyle name="20 % - Markeringsfarve6 8 2 4" xfId="11636" xr:uid="{00000000-0005-0000-0000-000022490000}"/>
    <cellStyle name="20 % - Markeringsfarve6 8 2 4 2" xfId="27956" xr:uid="{00000000-0005-0000-0000-000023490000}"/>
    <cellStyle name="20 % - Markeringsfarve6 8 2 4 3" xfId="42922" xr:uid="{00000000-0005-0000-0000-000024490000}"/>
    <cellStyle name="20 % - Markeringsfarve6 8 2 5" xfId="20934" xr:uid="{00000000-0005-0000-0000-000025490000}"/>
    <cellStyle name="20 % - Markeringsfarve6 8 2 6" xfId="35923" xr:uid="{00000000-0005-0000-0000-000026490000}"/>
    <cellStyle name="20 % - Markeringsfarve6 8 3" xfId="3078" xr:uid="{00000000-0005-0000-0000-000027490000}"/>
    <cellStyle name="20 % - Markeringsfarve6 8 3 2" xfId="7071" xr:uid="{00000000-0005-0000-0000-000028490000}"/>
    <cellStyle name="20 % - Markeringsfarve6 8 3 2 2" xfId="14982" xr:uid="{00000000-0005-0000-0000-000029490000}"/>
    <cellStyle name="20 % - Markeringsfarve6 8 3 2 2 2" xfId="31297" xr:uid="{00000000-0005-0000-0000-00002A490000}"/>
    <cellStyle name="20 % - Markeringsfarve6 8 3 2 2 3" xfId="46261" xr:uid="{00000000-0005-0000-0000-00002B490000}"/>
    <cellStyle name="20 % - Markeringsfarve6 8 3 2 3" xfId="24275" xr:uid="{00000000-0005-0000-0000-00002C490000}"/>
    <cellStyle name="20 % - Markeringsfarve6 8 3 2 4" xfId="39262" xr:uid="{00000000-0005-0000-0000-00002D490000}"/>
    <cellStyle name="20 % - Markeringsfarve6 8 3 3" xfId="11638" xr:uid="{00000000-0005-0000-0000-00002E490000}"/>
    <cellStyle name="20 % - Markeringsfarve6 8 3 3 2" xfId="27958" xr:uid="{00000000-0005-0000-0000-00002F490000}"/>
    <cellStyle name="20 % - Markeringsfarve6 8 3 3 3" xfId="42924" xr:uid="{00000000-0005-0000-0000-000030490000}"/>
    <cellStyle name="20 % - Markeringsfarve6 8 3 4" xfId="20936" xr:uid="{00000000-0005-0000-0000-000031490000}"/>
    <cellStyle name="20 % - Markeringsfarve6 8 3 5" xfId="35925" xr:uid="{00000000-0005-0000-0000-000032490000}"/>
    <cellStyle name="20 % - Markeringsfarve6 8 4" xfId="3079" xr:uid="{00000000-0005-0000-0000-000033490000}"/>
    <cellStyle name="20 % - Markeringsfarve6 8 4 2" xfId="8198" xr:uid="{00000000-0005-0000-0000-000034490000}"/>
    <cellStyle name="20 % - Markeringsfarve6 8 4 2 2" xfId="16095" xr:uid="{00000000-0005-0000-0000-000035490000}"/>
    <cellStyle name="20 % - Markeringsfarve6 8 4 2 2 2" xfId="32410" xr:uid="{00000000-0005-0000-0000-000036490000}"/>
    <cellStyle name="20 % - Markeringsfarve6 8 4 2 2 3" xfId="47374" xr:uid="{00000000-0005-0000-0000-000037490000}"/>
    <cellStyle name="20 % - Markeringsfarve6 8 4 2 3" xfId="25388" xr:uid="{00000000-0005-0000-0000-000038490000}"/>
    <cellStyle name="20 % - Markeringsfarve6 8 4 2 4" xfId="40375" xr:uid="{00000000-0005-0000-0000-000039490000}"/>
    <cellStyle name="20 % - Markeringsfarve6 8 4 3" xfId="11639" xr:uid="{00000000-0005-0000-0000-00003A490000}"/>
    <cellStyle name="20 % - Markeringsfarve6 8 4 3 2" xfId="27959" xr:uid="{00000000-0005-0000-0000-00003B490000}"/>
    <cellStyle name="20 % - Markeringsfarve6 8 4 3 3" xfId="42925" xr:uid="{00000000-0005-0000-0000-00003C490000}"/>
    <cellStyle name="20 % - Markeringsfarve6 8 4 4" xfId="20937" xr:uid="{00000000-0005-0000-0000-00003D490000}"/>
    <cellStyle name="20 % - Markeringsfarve6 8 4 5" xfId="35926" xr:uid="{00000000-0005-0000-0000-00003E490000}"/>
    <cellStyle name="20 % - Markeringsfarve6 8 5" xfId="5682" xr:uid="{00000000-0005-0000-0000-00003F490000}"/>
    <cellStyle name="20 % - Markeringsfarve6 8 5 2" xfId="13601" xr:uid="{00000000-0005-0000-0000-000040490000}"/>
    <cellStyle name="20 % - Markeringsfarve6 8 5 2 2" xfId="29916" xr:uid="{00000000-0005-0000-0000-000041490000}"/>
    <cellStyle name="20 % - Markeringsfarve6 8 5 2 3" xfId="44880" xr:uid="{00000000-0005-0000-0000-000042490000}"/>
    <cellStyle name="20 % - Markeringsfarve6 8 5 3" xfId="22894" xr:uid="{00000000-0005-0000-0000-000043490000}"/>
    <cellStyle name="20 % - Markeringsfarve6 8 5 4" xfId="37881" xr:uid="{00000000-0005-0000-0000-000044490000}"/>
    <cellStyle name="20 % - Markeringsfarve6 8 6" xfId="11635" xr:uid="{00000000-0005-0000-0000-000045490000}"/>
    <cellStyle name="20 % - Markeringsfarve6 8 6 2" xfId="27955" xr:uid="{00000000-0005-0000-0000-000046490000}"/>
    <cellStyle name="20 % - Markeringsfarve6 8 6 3" xfId="42921" xr:uid="{00000000-0005-0000-0000-000047490000}"/>
    <cellStyle name="20 % - Markeringsfarve6 8 7" xfId="20933" xr:uid="{00000000-0005-0000-0000-000048490000}"/>
    <cellStyle name="20 % - Markeringsfarve6 8 8" xfId="35922" xr:uid="{00000000-0005-0000-0000-000049490000}"/>
    <cellStyle name="20 % - Markeringsfarve6 9" xfId="3080" xr:uid="{00000000-0005-0000-0000-00004A490000}"/>
    <cellStyle name="20 % - Markeringsfarve6 9 2" xfId="3081" xr:uid="{00000000-0005-0000-0000-00004B490000}"/>
    <cellStyle name="20 % - Markeringsfarve6 9 2 2" xfId="3082" xr:uid="{00000000-0005-0000-0000-00004C490000}"/>
    <cellStyle name="20 % - Markeringsfarve6 9 2 2 2" xfId="7912" xr:uid="{00000000-0005-0000-0000-00004D490000}"/>
    <cellStyle name="20 % - Markeringsfarve6 9 2 2 2 2" xfId="15814" xr:uid="{00000000-0005-0000-0000-00004E490000}"/>
    <cellStyle name="20 % - Markeringsfarve6 9 2 2 2 2 2" xfId="32129" xr:uid="{00000000-0005-0000-0000-00004F490000}"/>
    <cellStyle name="20 % - Markeringsfarve6 9 2 2 2 2 3" xfId="47093" xr:uid="{00000000-0005-0000-0000-000050490000}"/>
    <cellStyle name="20 % - Markeringsfarve6 9 2 2 2 3" xfId="25107" xr:uid="{00000000-0005-0000-0000-000051490000}"/>
    <cellStyle name="20 % - Markeringsfarve6 9 2 2 2 4" xfId="40094" xr:uid="{00000000-0005-0000-0000-000052490000}"/>
    <cellStyle name="20 % - Markeringsfarve6 9 2 2 3" xfId="11642" xr:uid="{00000000-0005-0000-0000-000053490000}"/>
    <cellStyle name="20 % - Markeringsfarve6 9 2 2 3 2" xfId="27962" xr:uid="{00000000-0005-0000-0000-000054490000}"/>
    <cellStyle name="20 % - Markeringsfarve6 9 2 2 3 3" xfId="42928" xr:uid="{00000000-0005-0000-0000-000055490000}"/>
    <cellStyle name="20 % - Markeringsfarve6 9 2 2 4" xfId="20940" xr:uid="{00000000-0005-0000-0000-000056490000}"/>
    <cellStyle name="20 % - Markeringsfarve6 9 2 2 5" xfId="35929" xr:uid="{00000000-0005-0000-0000-000057490000}"/>
    <cellStyle name="20 % - Markeringsfarve6 9 2 3" xfId="6439" xr:uid="{00000000-0005-0000-0000-000058490000}"/>
    <cellStyle name="20 % - Markeringsfarve6 9 2 3 2" xfId="14354" xr:uid="{00000000-0005-0000-0000-000059490000}"/>
    <cellStyle name="20 % - Markeringsfarve6 9 2 3 2 2" xfId="30669" xr:uid="{00000000-0005-0000-0000-00005A490000}"/>
    <cellStyle name="20 % - Markeringsfarve6 9 2 3 2 3" xfId="45633" xr:uid="{00000000-0005-0000-0000-00005B490000}"/>
    <cellStyle name="20 % - Markeringsfarve6 9 2 3 3" xfId="23647" xr:uid="{00000000-0005-0000-0000-00005C490000}"/>
    <cellStyle name="20 % - Markeringsfarve6 9 2 3 4" xfId="38634" xr:uid="{00000000-0005-0000-0000-00005D490000}"/>
    <cellStyle name="20 % - Markeringsfarve6 9 2 4" xfId="11641" xr:uid="{00000000-0005-0000-0000-00005E490000}"/>
    <cellStyle name="20 % - Markeringsfarve6 9 2 4 2" xfId="27961" xr:uid="{00000000-0005-0000-0000-00005F490000}"/>
    <cellStyle name="20 % - Markeringsfarve6 9 2 4 3" xfId="42927" xr:uid="{00000000-0005-0000-0000-000060490000}"/>
    <cellStyle name="20 % - Markeringsfarve6 9 2 5" xfId="20939" xr:uid="{00000000-0005-0000-0000-000061490000}"/>
    <cellStyle name="20 % - Markeringsfarve6 9 2 6" xfId="35928" xr:uid="{00000000-0005-0000-0000-000062490000}"/>
    <cellStyle name="20 % - Markeringsfarve6 9 3" xfId="3083" xr:uid="{00000000-0005-0000-0000-000063490000}"/>
    <cellStyle name="20 % - Markeringsfarve6 9 3 2" xfId="7188" xr:uid="{00000000-0005-0000-0000-000064490000}"/>
    <cellStyle name="20 % - Markeringsfarve6 9 3 2 2" xfId="15099" xr:uid="{00000000-0005-0000-0000-000065490000}"/>
    <cellStyle name="20 % - Markeringsfarve6 9 3 2 2 2" xfId="31414" xr:uid="{00000000-0005-0000-0000-000066490000}"/>
    <cellStyle name="20 % - Markeringsfarve6 9 3 2 2 3" xfId="46378" xr:uid="{00000000-0005-0000-0000-000067490000}"/>
    <cellStyle name="20 % - Markeringsfarve6 9 3 2 3" xfId="24392" xr:uid="{00000000-0005-0000-0000-000068490000}"/>
    <cellStyle name="20 % - Markeringsfarve6 9 3 2 4" xfId="39379" xr:uid="{00000000-0005-0000-0000-000069490000}"/>
    <cellStyle name="20 % - Markeringsfarve6 9 3 3" xfId="11643" xr:uid="{00000000-0005-0000-0000-00006A490000}"/>
    <cellStyle name="20 % - Markeringsfarve6 9 3 3 2" xfId="27963" xr:uid="{00000000-0005-0000-0000-00006B490000}"/>
    <cellStyle name="20 % - Markeringsfarve6 9 3 3 3" xfId="42929" xr:uid="{00000000-0005-0000-0000-00006C490000}"/>
    <cellStyle name="20 % - Markeringsfarve6 9 3 4" xfId="20941" xr:uid="{00000000-0005-0000-0000-00006D490000}"/>
    <cellStyle name="20 % - Markeringsfarve6 9 3 5" xfId="35930" xr:uid="{00000000-0005-0000-0000-00006E490000}"/>
    <cellStyle name="20 % - Markeringsfarve6 9 4" xfId="3084" xr:uid="{00000000-0005-0000-0000-00006F490000}"/>
    <cellStyle name="20 % - Markeringsfarve6 9 4 2" xfId="8151" xr:uid="{00000000-0005-0000-0000-000070490000}"/>
    <cellStyle name="20 % - Markeringsfarve6 9 4 2 2" xfId="16049" xr:uid="{00000000-0005-0000-0000-000071490000}"/>
    <cellStyle name="20 % - Markeringsfarve6 9 4 2 2 2" xfId="32364" xr:uid="{00000000-0005-0000-0000-000072490000}"/>
    <cellStyle name="20 % - Markeringsfarve6 9 4 2 2 3" xfId="47328" xr:uid="{00000000-0005-0000-0000-000073490000}"/>
    <cellStyle name="20 % - Markeringsfarve6 9 4 2 3" xfId="25342" xr:uid="{00000000-0005-0000-0000-000074490000}"/>
    <cellStyle name="20 % - Markeringsfarve6 9 4 2 4" xfId="40329" xr:uid="{00000000-0005-0000-0000-000075490000}"/>
    <cellStyle name="20 % - Markeringsfarve6 9 4 3" xfId="11644" xr:uid="{00000000-0005-0000-0000-000076490000}"/>
    <cellStyle name="20 % - Markeringsfarve6 9 4 3 2" xfId="27964" xr:uid="{00000000-0005-0000-0000-000077490000}"/>
    <cellStyle name="20 % - Markeringsfarve6 9 4 3 3" xfId="42930" xr:uid="{00000000-0005-0000-0000-000078490000}"/>
    <cellStyle name="20 % - Markeringsfarve6 9 4 4" xfId="20942" xr:uid="{00000000-0005-0000-0000-000079490000}"/>
    <cellStyle name="20 % - Markeringsfarve6 9 4 5" xfId="35931" xr:uid="{00000000-0005-0000-0000-00007A490000}"/>
    <cellStyle name="20 % - Markeringsfarve6 9 5" xfId="5683" xr:uid="{00000000-0005-0000-0000-00007B490000}"/>
    <cellStyle name="20 % - Markeringsfarve6 9 5 2" xfId="13602" xr:uid="{00000000-0005-0000-0000-00007C490000}"/>
    <cellStyle name="20 % - Markeringsfarve6 9 5 2 2" xfId="29917" xr:uid="{00000000-0005-0000-0000-00007D490000}"/>
    <cellStyle name="20 % - Markeringsfarve6 9 5 2 3" xfId="44881" xr:uid="{00000000-0005-0000-0000-00007E490000}"/>
    <cellStyle name="20 % - Markeringsfarve6 9 5 3" xfId="22895" xr:uid="{00000000-0005-0000-0000-00007F490000}"/>
    <cellStyle name="20 % - Markeringsfarve6 9 5 4" xfId="37882" xr:uid="{00000000-0005-0000-0000-000080490000}"/>
    <cellStyle name="20 % - Markeringsfarve6 9 6" xfId="11640" xr:uid="{00000000-0005-0000-0000-000081490000}"/>
    <cellStyle name="20 % - Markeringsfarve6 9 6 2" xfId="27960" xr:uid="{00000000-0005-0000-0000-000082490000}"/>
    <cellStyle name="20 % - Markeringsfarve6 9 6 3" xfId="42926" xr:uid="{00000000-0005-0000-0000-000083490000}"/>
    <cellStyle name="20 % - Markeringsfarve6 9 7" xfId="20938" xr:uid="{00000000-0005-0000-0000-000084490000}"/>
    <cellStyle name="20 % - Markeringsfarve6 9 8" xfId="35927" xr:uid="{00000000-0005-0000-0000-000085490000}"/>
    <cellStyle name="20% - Accent1" xfId="1132" builtinId="30" customBuiltin="1"/>
    <cellStyle name="20% - Accent1 10" xfId="51004" xr:uid="{00000000-0005-0000-0000-000087490000}"/>
    <cellStyle name="20% - Accent1 11" xfId="51607" xr:uid="{00000000-0005-0000-0000-000088490000}"/>
    <cellStyle name="20% - Accent1 12" xfId="52027" xr:uid="{00000000-0005-0000-0000-000089490000}"/>
    <cellStyle name="20% - Accent1 13" xfId="53087" xr:uid="{00000000-0005-0000-0000-00008A490000}"/>
    <cellStyle name="20% - Accent1 2" xfId="8869" xr:uid="{00000000-0005-0000-0000-00008B490000}"/>
    <cellStyle name="20% - Accent1 2 2" xfId="16645" xr:uid="{00000000-0005-0000-0000-00008C490000}"/>
    <cellStyle name="20% - Accent1 2 2 2" xfId="32959" xr:uid="{00000000-0005-0000-0000-00008D490000}"/>
    <cellStyle name="20% - Accent1 2 2 3" xfId="47923" xr:uid="{00000000-0005-0000-0000-00008E490000}"/>
    <cellStyle name="20% - Accent1 2 3" xfId="25937" xr:uid="{00000000-0005-0000-0000-00008F490000}"/>
    <cellStyle name="20% - Accent1 2 4" xfId="40924" xr:uid="{00000000-0005-0000-0000-000090490000}"/>
    <cellStyle name="20% - Accent1 2 5" xfId="53125" xr:uid="{00000000-0005-0000-0000-000091490000}"/>
    <cellStyle name="20% - Accent1 3" xfId="9654" xr:uid="{00000000-0005-0000-0000-000092490000}"/>
    <cellStyle name="20% - Accent1 3 2" xfId="25985" xr:uid="{00000000-0005-0000-0000-000093490000}"/>
    <cellStyle name="20% - Accent1 3 3" xfId="40965" xr:uid="{00000000-0005-0000-0000-000094490000}"/>
    <cellStyle name="20% - Accent1 3 4" xfId="56361" xr:uid="{00000000-0005-0000-0000-000095490000}"/>
    <cellStyle name="20% - Accent1 4" xfId="18966" xr:uid="{00000000-0005-0000-0000-000096490000}"/>
    <cellStyle name="20% - Accent1 5" xfId="33963" xr:uid="{00000000-0005-0000-0000-000097490000}"/>
    <cellStyle name="20% - Accent1 6" xfId="49227" xr:uid="{00000000-0005-0000-0000-000098490000}"/>
    <cellStyle name="20% - Accent1 7" xfId="49632" xr:uid="{00000000-0005-0000-0000-000099490000}"/>
    <cellStyle name="20% - Accent1 8" xfId="50041" xr:uid="{00000000-0005-0000-0000-00009A490000}"/>
    <cellStyle name="20% - Accent1 9" xfId="50446" xr:uid="{00000000-0005-0000-0000-00009B490000}"/>
    <cellStyle name="20% - Accent2" xfId="1136" builtinId="34" customBuiltin="1"/>
    <cellStyle name="20% - Accent2 10" xfId="51007" xr:uid="{00000000-0005-0000-0000-00009D490000}"/>
    <cellStyle name="20% - Accent2 11" xfId="51609" xr:uid="{00000000-0005-0000-0000-00009E490000}"/>
    <cellStyle name="20% - Accent2 12" xfId="52029" xr:uid="{00000000-0005-0000-0000-00009F490000}"/>
    <cellStyle name="20% - Accent2 13" xfId="53089" xr:uid="{00000000-0005-0000-0000-0000A0490000}"/>
    <cellStyle name="20% - Accent2 2" xfId="8871" xr:uid="{00000000-0005-0000-0000-0000A1490000}"/>
    <cellStyle name="20% - Accent2 2 2" xfId="16647" xr:uid="{00000000-0005-0000-0000-0000A2490000}"/>
    <cellStyle name="20% - Accent2 2 2 2" xfId="32961" xr:uid="{00000000-0005-0000-0000-0000A3490000}"/>
    <cellStyle name="20% - Accent2 2 2 3" xfId="47925" xr:uid="{00000000-0005-0000-0000-0000A4490000}"/>
    <cellStyle name="20% - Accent2 2 3" xfId="25939" xr:uid="{00000000-0005-0000-0000-0000A5490000}"/>
    <cellStyle name="20% - Accent2 2 4" xfId="40926" xr:uid="{00000000-0005-0000-0000-0000A6490000}"/>
    <cellStyle name="20% - Accent2 2 5" xfId="53126" xr:uid="{00000000-0005-0000-0000-0000A7490000}"/>
    <cellStyle name="20% - Accent2 3" xfId="9656" xr:uid="{00000000-0005-0000-0000-0000A8490000}"/>
    <cellStyle name="20% - Accent2 3 2" xfId="25987" xr:uid="{00000000-0005-0000-0000-0000A9490000}"/>
    <cellStyle name="20% - Accent2 3 3" xfId="40967" xr:uid="{00000000-0005-0000-0000-0000AA490000}"/>
    <cellStyle name="20% - Accent2 3 4" xfId="56363" xr:uid="{00000000-0005-0000-0000-0000AB490000}"/>
    <cellStyle name="20% - Accent2 4" xfId="18968" xr:uid="{00000000-0005-0000-0000-0000AC490000}"/>
    <cellStyle name="20% - Accent2 5" xfId="33965" xr:uid="{00000000-0005-0000-0000-0000AD490000}"/>
    <cellStyle name="20% - Accent2 6" xfId="49229" xr:uid="{00000000-0005-0000-0000-0000AE490000}"/>
    <cellStyle name="20% - Accent2 7" xfId="49634" xr:uid="{00000000-0005-0000-0000-0000AF490000}"/>
    <cellStyle name="20% - Accent2 8" xfId="50043" xr:uid="{00000000-0005-0000-0000-0000B0490000}"/>
    <cellStyle name="20% - Accent2 9" xfId="50448" xr:uid="{00000000-0005-0000-0000-0000B1490000}"/>
    <cellStyle name="20% - Accent3" xfId="1140" builtinId="38" customBuiltin="1"/>
    <cellStyle name="20% - Accent3 10" xfId="51009" xr:uid="{00000000-0005-0000-0000-0000B3490000}"/>
    <cellStyle name="20% - Accent3 11" xfId="51611" xr:uid="{00000000-0005-0000-0000-0000B4490000}"/>
    <cellStyle name="20% - Accent3 12" xfId="52031" xr:uid="{00000000-0005-0000-0000-0000B5490000}"/>
    <cellStyle name="20% - Accent3 13" xfId="53091" xr:uid="{00000000-0005-0000-0000-0000B6490000}"/>
    <cellStyle name="20% - Accent3 2" xfId="8873" xr:uid="{00000000-0005-0000-0000-0000B7490000}"/>
    <cellStyle name="20% - Accent3 2 2" xfId="16649" xr:uid="{00000000-0005-0000-0000-0000B8490000}"/>
    <cellStyle name="20% - Accent3 2 2 2" xfId="32963" xr:uid="{00000000-0005-0000-0000-0000B9490000}"/>
    <cellStyle name="20% - Accent3 2 2 3" xfId="47927" xr:uid="{00000000-0005-0000-0000-0000BA490000}"/>
    <cellStyle name="20% - Accent3 2 3" xfId="25941" xr:uid="{00000000-0005-0000-0000-0000BB490000}"/>
    <cellStyle name="20% - Accent3 2 4" xfId="40928" xr:uid="{00000000-0005-0000-0000-0000BC490000}"/>
    <cellStyle name="20% - Accent3 2 5" xfId="53127" xr:uid="{00000000-0005-0000-0000-0000BD490000}"/>
    <cellStyle name="20% - Accent3 3" xfId="9658" xr:uid="{00000000-0005-0000-0000-0000BE490000}"/>
    <cellStyle name="20% - Accent3 3 2" xfId="25989" xr:uid="{00000000-0005-0000-0000-0000BF490000}"/>
    <cellStyle name="20% - Accent3 3 3" xfId="40969" xr:uid="{00000000-0005-0000-0000-0000C0490000}"/>
    <cellStyle name="20% - Accent3 3 4" xfId="56365" xr:uid="{00000000-0005-0000-0000-0000C1490000}"/>
    <cellStyle name="20% - Accent3 4" xfId="18970" xr:uid="{00000000-0005-0000-0000-0000C2490000}"/>
    <cellStyle name="20% - Accent3 5" xfId="33967" xr:uid="{00000000-0005-0000-0000-0000C3490000}"/>
    <cellStyle name="20% - Accent3 6" xfId="49231" xr:uid="{00000000-0005-0000-0000-0000C4490000}"/>
    <cellStyle name="20% - Accent3 7" xfId="49636" xr:uid="{00000000-0005-0000-0000-0000C5490000}"/>
    <cellStyle name="20% - Accent3 8" xfId="50045" xr:uid="{00000000-0005-0000-0000-0000C6490000}"/>
    <cellStyle name="20% - Accent3 9" xfId="50450" xr:uid="{00000000-0005-0000-0000-0000C7490000}"/>
    <cellStyle name="20% - Accent4" xfId="1144" builtinId="42" customBuiltin="1"/>
    <cellStyle name="20% - Accent4 10" xfId="51011" xr:uid="{00000000-0005-0000-0000-0000C9490000}"/>
    <cellStyle name="20% - Accent4 11" xfId="51613" xr:uid="{00000000-0005-0000-0000-0000CA490000}"/>
    <cellStyle name="20% - Accent4 12" xfId="52033" xr:uid="{00000000-0005-0000-0000-0000CB490000}"/>
    <cellStyle name="20% - Accent4 13" xfId="53093" xr:uid="{00000000-0005-0000-0000-0000CC490000}"/>
    <cellStyle name="20% - Accent4 2" xfId="8875" xr:uid="{00000000-0005-0000-0000-0000CD490000}"/>
    <cellStyle name="20% - Accent4 2 2" xfId="16651" xr:uid="{00000000-0005-0000-0000-0000CE490000}"/>
    <cellStyle name="20% - Accent4 2 2 2" xfId="32965" xr:uid="{00000000-0005-0000-0000-0000CF490000}"/>
    <cellStyle name="20% - Accent4 2 2 3" xfId="47929" xr:uid="{00000000-0005-0000-0000-0000D0490000}"/>
    <cellStyle name="20% - Accent4 2 3" xfId="25943" xr:uid="{00000000-0005-0000-0000-0000D1490000}"/>
    <cellStyle name="20% - Accent4 2 4" xfId="40930" xr:uid="{00000000-0005-0000-0000-0000D2490000}"/>
    <cellStyle name="20% - Accent4 2 5" xfId="53128" xr:uid="{00000000-0005-0000-0000-0000D3490000}"/>
    <cellStyle name="20% - Accent4 3" xfId="9660" xr:uid="{00000000-0005-0000-0000-0000D4490000}"/>
    <cellStyle name="20% - Accent4 3 2" xfId="25991" xr:uid="{00000000-0005-0000-0000-0000D5490000}"/>
    <cellStyle name="20% - Accent4 3 3" xfId="40971" xr:uid="{00000000-0005-0000-0000-0000D6490000}"/>
    <cellStyle name="20% - Accent4 3 4" xfId="56367" xr:uid="{00000000-0005-0000-0000-0000D7490000}"/>
    <cellStyle name="20% - Accent4 4" xfId="18972" xr:uid="{00000000-0005-0000-0000-0000D8490000}"/>
    <cellStyle name="20% - Accent4 5" xfId="33969" xr:uid="{00000000-0005-0000-0000-0000D9490000}"/>
    <cellStyle name="20% - Accent4 6" xfId="49233" xr:uid="{00000000-0005-0000-0000-0000DA490000}"/>
    <cellStyle name="20% - Accent4 7" xfId="49638" xr:uid="{00000000-0005-0000-0000-0000DB490000}"/>
    <cellStyle name="20% - Accent4 8" xfId="50047" xr:uid="{00000000-0005-0000-0000-0000DC490000}"/>
    <cellStyle name="20% - Accent4 9" xfId="50452" xr:uid="{00000000-0005-0000-0000-0000DD490000}"/>
    <cellStyle name="20% - Accent5" xfId="1148" builtinId="46" customBuiltin="1"/>
    <cellStyle name="20% - Accent5 10" xfId="50454" xr:uid="{00000000-0005-0000-0000-0000DF490000}"/>
    <cellStyle name="20% - Accent5 11" xfId="51014" xr:uid="{00000000-0005-0000-0000-0000E0490000}"/>
    <cellStyle name="20% - Accent5 12" xfId="51615" xr:uid="{00000000-0005-0000-0000-0000E1490000}"/>
    <cellStyle name="20% - Accent5 13" xfId="52035" xr:uid="{00000000-0005-0000-0000-0000E2490000}"/>
    <cellStyle name="20% - Accent5 14" xfId="53095" xr:uid="{00000000-0005-0000-0000-0000E3490000}"/>
    <cellStyle name="20% - Accent5 2" xfId="1517" xr:uid="{00000000-0005-0000-0000-0000E4490000}"/>
    <cellStyle name="20% - Accent5 2 2" xfId="10083" xr:uid="{00000000-0005-0000-0000-0000E5490000}"/>
    <cellStyle name="20% - Accent5 2 2 2" xfId="26403" xr:uid="{00000000-0005-0000-0000-0000E6490000}"/>
    <cellStyle name="20% - Accent5 2 2 3" xfId="41369" xr:uid="{00000000-0005-0000-0000-0000E7490000}"/>
    <cellStyle name="20% - Accent5 2 3" xfId="19381" xr:uid="{00000000-0005-0000-0000-0000E8490000}"/>
    <cellStyle name="20% - Accent5 2 4" xfId="34370" xr:uid="{00000000-0005-0000-0000-0000E9490000}"/>
    <cellStyle name="20% - Accent5 2 5" xfId="53129" xr:uid="{00000000-0005-0000-0000-0000EA490000}"/>
    <cellStyle name="20% - Accent5 3" xfId="8877" xr:uid="{00000000-0005-0000-0000-0000EB490000}"/>
    <cellStyle name="20% - Accent5 3 2" xfId="16653" xr:uid="{00000000-0005-0000-0000-0000EC490000}"/>
    <cellStyle name="20% - Accent5 3 2 2" xfId="32967" xr:uid="{00000000-0005-0000-0000-0000ED490000}"/>
    <cellStyle name="20% - Accent5 3 2 3" xfId="47931" xr:uid="{00000000-0005-0000-0000-0000EE490000}"/>
    <cellStyle name="20% - Accent5 3 3" xfId="25945" xr:uid="{00000000-0005-0000-0000-0000EF490000}"/>
    <cellStyle name="20% - Accent5 3 4" xfId="40932" xr:uid="{00000000-0005-0000-0000-0000F0490000}"/>
    <cellStyle name="20% - Accent5 3 5" xfId="56369" xr:uid="{00000000-0005-0000-0000-0000F1490000}"/>
    <cellStyle name="20% - Accent5 4" xfId="9662" xr:uid="{00000000-0005-0000-0000-0000F2490000}"/>
    <cellStyle name="20% - Accent5 4 2" xfId="25993" xr:uid="{00000000-0005-0000-0000-0000F3490000}"/>
    <cellStyle name="20% - Accent5 4 3" xfId="40973" xr:uid="{00000000-0005-0000-0000-0000F4490000}"/>
    <cellStyle name="20% - Accent5 5" xfId="18974" xr:uid="{00000000-0005-0000-0000-0000F5490000}"/>
    <cellStyle name="20% - Accent5 6" xfId="33971" xr:uid="{00000000-0005-0000-0000-0000F6490000}"/>
    <cellStyle name="20% - Accent5 7" xfId="49235" xr:uid="{00000000-0005-0000-0000-0000F7490000}"/>
    <cellStyle name="20% - Accent5 8" xfId="49640" xr:uid="{00000000-0005-0000-0000-0000F8490000}"/>
    <cellStyle name="20% - Accent5 9" xfId="50049" xr:uid="{00000000-0005-0000-0000-0000F9490000}"/>
    <cellStyle name="20% - Accent6" xfId="1152" builtinId="50" customBuiltin="1"/>
    <cellStyle name="20% - Accent6 10" xfId="51016" xr:uid="{00000000-0005-0000-0000-0000FB490000}"/>
    <cellStyle name="20% - Accent6 11" xfId="51617" xr:uid="{00000000-0005-0000-0000-0000FC490000}"/>
    <cellStyle name="20% - Accent6 12" xfId="52037" xr:uid="{00000000-0005-0000-0000-0000FD490000}"/>
    <cellStyle name="20% - Accent6 13" xfId="53097" xr:uid="{00000000-0005-0000-0000-0000FE490000}"/>
    <cellStyle name="20% - Accent6 2" xfId="8879" xr:uid="{00000000-0005-0000-0000-0000FF490000}"/>
    <cellStyle name="20% - Accent6 2 2" xfId="16655" xr:uid="{00000000-0005-0000-0000-0000004A0000}"/>
    <cellStyle name="20% - Accent6 2 2 2" xfId="32969" xr:uid="{00000000-0005-0000-0000-0000014A0000}"/>
    <cellStyle name="20% - Accent6 2 2 3" xfId="47933" xr:uid="{00000000-0005-0000-0000-0000024A0000}"/>
    <cellStyle name="20% - Accent6 2 3" xfId="25947" xr:uid="{00000000-0005-0000-0000-0000034A0000}"/>
    <cellStyle name="20% - Accent6 2 4" xfId="40934" xr:uid="{00000000-0005-0000-0000-0000044A0000}"/>
    <cellStyle name="20% - Accent6 2 5" xfId="53130" xr:uid="{00000000-0005-0000-0000-0000054A0000}"/>
    <cellStyle name="20% - Accent6 3" xfId="9664" xr:uid="{00000000-0005-0000-0000-0000064A0000}"/>
    <cellStyle name="20% - Accent6 3 2" xfId="25995" xr:uid="{00000000-0005-0000-0000-0000074A0000}"/>
    <cellStyle name="20% - Accent6 3 3" xfId="40975" xr:uid="{00000000-0005-0000-0000-0000084A0000}"/>
    <cellStyle name="20% - Accent6 3 4" xfId="56371" xr:uid="{00000000-0005-0000-0000-0000094A0000}"/>
    <cellStyle name="20% - Accent6 4" xfId="18976" xr:uid="{00000000-0005-0000-0000-00000A4A0000}"/>
    <cellStyle name="20% - Accent6 5" xfId="33973" xr:uid="{00000000-0005-0000-0000-00000B4A0000}"/>
    <cellStyle name="20% - Accent6 6" xfId="49237" xr:uid="{00000000-0005-0000-0000-00000C4A0000}"/>
    <cellStyle name="20% - Accent6 7" xfId="49642" xr:uid="{00000000-0005-0000-0000-00000D4A0000}"/>
    <cellStyle name="20% - Accent6 8" xfId="50051" xr:uid="{00000000-0005-0000-0000-00000E4A0000}"/>
    <cellStyle name="20% - Accent6 9" xfId="50456" xr:uid="{00000000-0005-0000-0000-00000F4A0000}"/>
    <cellStyle name="20% - Colore 1" xfId="1" xr:uid="{00000000-0005-0000-0000-0000104A0000}"/>
    <cellStyle name="20% - Colore 2" xfId="2" xr:uid="{00000000-0005-0000-0000-0000114A0000}"/>
    <cellStyle name="20% - Colore 3" xfId="3" xr:uid="{00000000-0005-0000-0000-0000124A0000}"/>
    <cellStyle name="20% - Colore 4" xfId="4" xr:uid="{00000000-0005-0000-0000-0000134A0000}"/>
    <cellStyle name="20% - Colore 5" xfId="5" xr:uid="{00000000-0005-0000-0000-0000144A0000}"/>
    <cellStyle name="20% - Colore 6" xfId="6" xr:uid="{00000000-0005-0000-0000-0000154A0000}"/>
    <cellStyle name="2x indented GHG Textfiels" xfId="3085" xr:uid="{00000000-0005-0000-0000-0000164A0000}"/>
    <cellStyle name="2x indented GHG Textfiels 2" xfId="11645" xr:uid="{00000000-0005-0000-0000-0000174A0000}"/>
    <cellStyle name="2x indented GHG Textfiels 2 2" xfId="27965" xr:uid="{00000000-0005-0000-0000-0000184A0000}"/>
    <cellStyle name="2x indented GHG Textfiels 3" xfId="20943" xr:uid="{00000000-0005-0000-0000-0000194A0000}"/>
    <cellStyle name="40 % - Markeringsfarve1 10" xfId="3087" xr:uid="{00000000-0005-0000-0000-00001A4A0000}"/>
    <cellStyle name="40 % - Markeringsfarve1 10 2" xfId="3088" xr:uid="{00000000-0005-0000-0000-00001B4A0000}"/>
    <cellStyle name="40 % - Markeringsfarve1 10 2 2" xfId="3089" xr:uid="{00000000-0005-0000-0000-00001C4A0000}"/>
    <cellStyle name="40 % - Markeringsfarve1 10 2 2 2" xfId="8073" xr:uid="{00000000-0005-0000-0000-00001D4A0000}"/>
    <cellStyle name="40 % - Markeringsfarve1 10 2 2 2 2" xfId="15975" xr:uid="{00000000-0005-0000-0000-00001E4A0000}"/>
    <cellStyle name="40 % - Markeringsfarve1 10 2 2 2 2 2" xfId="32290" xr:uid="{00000000-0005-0000-0000-00001F4A0000}"/>
    <cellStyle name="40 % - Markeringsfarve1 10 2 2 2 2 3" xfId="47254" xr:uid="{00000000-0005-0000-0000-0000204A0000}"/>
    <cellStyle name="40 % - Markeringsfarve1 10 2 2 2 3" xfId="25268" xr:uid="{00000000-0005-0000-0000-0000214A0000}"/>
    <cellStyle name="40 % - Markeringsfarve1 10 2 2 2 4" xfId="40255" xr:uid="{00000000-0005-0000-0000-0000224A0000}"/>
    <cellStyle name="40 % - Markeringsfarve1 10 2 2 3" xfId="11649" xr:uid="{00000000-0005-0000-0000-0000234A0000}"/>
    <cellStyle name="40 % - Markeringsfarve1 10 2 2 3 2" xfId="27969" xr:uid="{00000000-0005-0000-0000-0000244A0000}"/>
    <cellStyle name="40 % - Markeringsfarve1 10 2 2 3 3" xfId="42934" xr:uid="{00000000-0005-0000-0000-0000254A0000}"/>
    <cellStyle name="40 % - Markeringsfarve1 10 2 2 4" xfId="20947" xr:uid="{00000000-0005-0000-0000-0000264A0000}"/>
    <cellStyle name="40 % - Markeringsfarve1 10 2 2 5" xfId="35935" xr:uid="{00000000-0005-0000-0000-0000274A0000}"/>
    <cellStyle name="40 % - Markeringsfarve1 10 2 3" xfId="6575" xr:uid="{00000000-0005-0000-0000-0000284A0000}"/>
    <cellStyle name="40 % - Markeringsfarve1 10 2 3 2" xfId="14490" xr:uid="{00000000-0005-0000-0000-0000294A0000}"/>
    <cellStyle name="40 % - Markeringsfarve1 10 2 3 2 2" xfId="30805" xr:uid="{00000000-0005-0000-0000-00002A4A0000}"/>
    <cellStyle name="40 % - Markeringsfarve1 10 2 3 2 3" xfId="45769" xr:uid="{00000000-0005-0000-0000-00002B4A0000}"/>
    <cellStyle name="40 % - Markeringsfarve1 10 2 3 3" xfId="23783" xr:uid="{00000000-0005-0000-0000-00002C4A0000}"/>
    <cellStyle name="40 % - Markeringsfarve1 10 2 3 4" xfId="38770" xr:uid="{00000000-0005-0000-0000-00002D4A0000}"/>
    <cellStyle name="40 % - Markeringsfarve1 10 2 4" xfId="11648" xr:uid="{00000000-0005-0000-0000-00002E4A0000}"/>
    <cellStyle name="40 % - Markeringsfarve1 10 2 4 2" xfId="27968" xr:uid="{00000000-0005-0000-0000-00002F4A0000}"/>
    <cellStyle name="40 % - Markeringsfarve1 10 2 4 3" xfId="42933" xr:uid="{00000000-0005-0000-0000-0000304A0000}"/>
    <cellStyle name="40 % - Markeringsfarve1 10 2 5" xfId="20946" xr:uid="{00000000-0005-0000-0000-0000314A0000}"/>
    <cellStyle name="40 % - Markeringsfarve1 10 2 6" xfId="35934" xr:uid="{00000000-0005-0000-0000-0000324A0000}"/>
    <cellStyle name="40 % - Markeringsfarve1 10 3" xfId="3090" xr:uid="{00000000-0005-0000-0000-0000334A0000}"/>
    <cellStyle name="40 % - Markeringsfarve1 10 3 2" xfId="7350" xr:uid="{00000000-0005-0000-0000-0000344A0000}"/>
    <cellStyle name="40 % - Markeringsfarve1 10 3 2 2" xfId="15261" xr:uid="{00000000-0005-0000-0000-0000354A0000}"/>
    <cellStyle name="40 % - Markeringsfarve1 10 3 2 2 2" xfId="31576" xr:uid="{00000000-0005-0000-0000-0000364A0000}"/>
    <cellStyle name="40 % - Markeringsfarve1 10 3 2 2 3" xfId="46540" xr:uid="{00000000-0005-0000-0000-0000374A0000}"/>
    <cellStyle name="40 % - Markeringsfarve1 10 3 2 3" xfId="24554" xr:uid="{00000000-0005-0000-0000-0000384A0000}"/>
    <cellStyle name="40 % - Markeringsfarve1 10 3 2 4" xfId="39541" xr:uid="{00000000-0005-0000-0000-0000394A0000}"/>
    <cellStyle name="40 % - Markeringsfarve1 10 3 3" xfId="11650" xr:uid="{00000000-0005-0000-0000-00003A4A0000}"/>
    <cellStyle name="40 % - Markeringsfarve1 10 3 3 2" xfId="27970" xr:uid="{00000000-0005-0000-0000-00003B4A0000}"/>
    <cellStyle name="40 % - Markeringsfarve1 10 3 3 3" xfId="42935" xr:uid="{00000000-0005-0000-0000-00003C4A0000}"/>
    <cellStyle name="40 % - Markeringsfarve1 10 3 4" xfId="20948" xr:uid="{00000000-0005-0000-0000-00003D4A0000}"/>
    <cellStyle name="40 % - Markeringsfarve1 10 3 5" xfId="35936" xr:uid="{00000000-0005-0000-0000-00003E4A0000}"/>
    <cellStyle name="40 % - Markeringsfarve1 10 4" xfId="3091" xr:uid="{00000000-0005-0000-0000-00003F4A0000}"/>
    <cellStyle name="40 % - Markeringsfarve1 10 4 2" xfId="8439" xr:uid="{00000000-0005-0000-0000-0000404A0000}"/>
    <cellStyle name="40 % - Markeringsfarve1 10 4 2 2" xfId="16329" xr:uid="{00000000-0005-0000-0000-0000414A0000}"/>
    <cellStyle name="40 % - Markeringsfarve1 10 4 2 2 2" xfId="32644" xr:uid="{00000000-0005-0000-0000-0000424A0000}"/>
    <cellStyle name="40 % - Markeringsfarve1 10 4 2 2 3" xfId="47608" xr:uid="{00000000-0005-0000-0000-0000434A0000}"/>
    <cellStyle name="40 % - Markeringsfarve1 10 4 2 3" xfId="25622" xr:uid="{00000000-0005-0000-0000-0000444A0000}"/>
    <cellStyle name="40 % - Markeringsfarve1 10 4 2 4" xfId="40609" xr:uid="{00000000-0005-0000-0000-0000454A0000}"/>
    <cellStyle name="40 % - Markeringsfarve1 10 4 3" xfId="11651" xr:uid="{00000000-0005-0000-0000-0000464A0000}"/>
    <cellStyle name="40 % - Markeringsfarve1 10 4 3 2" xfId="27971" xr:uid="{00000000-0005-0000-0000-0000474A0000}"/>
    <cellStyle name="40 % - Markeringsfarve1 10 4 3 3" xfId="42936" xr:uid="{00000000-0005-0000-0000-0000484A0000}"/>
    <cellStyle name="40 % - Markeringsfarve1 10 4 4" xfId="20949" xr:uid="{00000000-0005-0000-0000-0000494A0000}"/>
    <cellStyle name="40 % - Markeringsfarve1 10 4 5" xfId="35937" xr:uid="{00000000-0005-0000-0000-00004A4A0000}"/>
    <cellStyle name="40 % - Markeringsfarve1 10 5" xfId="5685" xr:uid="{00000000-0005-0000-0000-00004B4A0000}"/>
    <cellStyle name="40 % - Markeringsfarve1 10 5 2" xfId="13604" xr:uid="{00000000-0005-0000-0000-00004C4A0000}"/>
    <cellStyle name="40 % - Markeringsfarve1 10 5 2 2" xfId="29919" xr:uid="{00000000-0005-0000-0000-00004D4A0000}"/>
    <cellStyle name="40 % - Markeringsfarve1 10 5 2 3" xfId="44883" xr:uid="{00000000-0005-0000-0000-00004E4A0000}"/>
    <cellStyle name="40 % - Markeringsfarve1 10 5 3" xfId="22897" xr:uid="{00000000-0005-0000-0000-00004F4A0000}"/>
    <cellStyle name="40 % - Markeringsfarve1 10 5 4" xfId="37884" xr:uid="{00000000-0005-0000-0000-0000504A0000}"/>
    <cellStyle name="40 % - Markeringsfarve1 10 6" xfId="11647" xr:uid="{00000000-0005-0000-0000-0000514A0000}"/>
    <cellStyle name="40 % - Markeringsfarve1 10 6 2" xfId="27967" xr:uid="{00000000-0005-0000-0000-0000524A0000}"/>
    <cellStyle name="40 % - Markeringsfarve1 10 6 3" xfId="42932" xr:uid="{00000000-0005-0000-0000-0000534A0000}"/>
    <cellStyle name="40 % - Markeringsfarve1 10 7" xfId="20945" xr:uid="{00000000-0005-0000-0000-0000544A0000}"/>
    <cellStyle name="40 % - Markeringsfarve1 10 8" xfId="35933" xr:uid="{00000000-0005-0000-0000-0000554A0000}"/>
    <cellStyle name="40 % - Markeringsfarve1 11" xfId="3092" xr:uid="{00000000-0005-0000-0000-0000564A0000}"/>
    <cellStyle name="40 % - Markeringsfarve1 11 2" xfId="3093" xr:uid="{00000000-0005-0000-0000-0000574A0000}"/>
    <cellStyle name="40 % - Markeringsfarve1 11 2 2" xfId="7428" xr:uid="{00000000-0005-0000-0000-0000584A0000}"/>
    <cellStyle name="40 % - Markeringsfarve1 11 2 2 2" xfId="15330" xr:uid="{00000000-0005-0000-0000-0000594A0000}"/>
    <cellStyle name="40 % - Markeringsfarve1 11 2 2 2 2" xfId="31645" xr:uid="{00000000-0005-0000-0000-00005A4A0000}"/>
    <cellStyle name="40 % - Markeringsfarve1 11 2 2 2 3" xfId="46609" xr:uid="{00000000-0005-0000-0000-00005B4A0000}"/>
    <cellStyle name="40 % - Markeringsfarve1 11 2 2 3" xfId="24623" xr:uid="{00000000-0005-0000-0000-00005C4A0000}"/>
    <cellStyle name="40 % - Markeringsfarve1 11 2 2 4" xfId="39610" xr:uid="{00000000-0005-0000-0000-00005D4A0000}"/>
    <cellStyle name="40 % - Markeringsfarve1 11 2 3" xfId="11653" xr:uid="{00000000-0005-0000-0000-00005E4A0000}"/>
    <cellStyle name="40 % - Markeringsfarve1 11 2 3 2" xfId="27973" xr:uid="{00000000-0005-0000-0000-00005F4A0000}"/>
    <cellStyle name="40 % - Markeringsfarve1 11 2 3 3" xfId="42938" xr:uid="{00000000-0005-0000-0000-0000604A0000}"/>
    <cellStyle name="40 % - Markeringsfarve1 11 2 4" xfId="20951" xr:uid="{00000000-0005-0000-0000-0000614A0000}"/>
    <cellStyle name="40 % - Markeringsfarve1 11 2 5" xfId="35939" xr:uid="{00000000-0005-0000-0000-0000624A0000}"/>
    <cellStyle name="40 % - Markeringsfarve1 11 3" xfId="3094" xr:uid="{00000000-0005-0000-0000-0000634A0000}"/>
    <cellStyle name="40 % - Markeringsfarve1 11 3 2" xfId="8665" xr:uid="{00000000-0005-0000-0000-0000644A0000}"/>
    <cellStyle name="40 % - Markeringsfarve1 11 3 2 2" xfId="16546" xr:uid="{00000000-0005-0000-0000-0000654A0000}"/>
    <cellStyle name="40 % - Markeringsfarve1 11 3 2 2 2" xfId="32861" xr:uid="{00000000-0005-0000-0000-0000664A0000}"/>
    <cellStyle name="40 % - Markeringsfarve1 11 3 2 2 3" xfId="47825" xr:uid="{00000000-0005-0000-0000-0000674A0000}"/>
    <cellStyle name="40 % - Markeringsfarve1 11 3 2 3" xfId="25839" xr:uid="{00000000-0005-0000-0000-0000684A0000}"/>
    <cellStyle name="40 % - Markeringsfarve1 11 3 2 4" xfId="40826" xr:uid="{00000000-0005-0000-0000-0000694A0000}"/>
    <cellStyle name="40 % - Markeringsfarve1 11 3 3" xfId="11654" xr:uid="{00000000-0005-0000-0000-00006A4A0000}"/>
    <cellStyle name="40 % - Markeringsfarve1 11 3 3 2" xfId="27974" xr:uid="{00000000-0005-0000-0000-00006B4A0000}"/>
    <cellStyle name="40 % - Markeringsfarve1 11 3 3 3" xfId="42939" xr:uid="{00000000-0005-0000-0000-00006C4A0000}"/>
    <cellStyle name="40 % - Markeringsfarve1 11 3 4" xfId="20952" xr:uid="{00000000-0005-0000-0000-00006D4A0000}"/>
    <cellStyle name="40 % - Markeringsfarve1 11 3 5" xfId="35940" xr:uid="{00000000-0005-0000-0000-00006E4A0000}"/>
    <cellStyle name="40 % - Markeringsfarve1 11 4" xfId="5686" xr:uid="{00000000-0005-0000-0000-00006F4A0000}"/>
    <cellStyle name="40 % - Markeringsfarve1 11 4 2" xfId="13605" xr:uid="{00000000-0005-0000-0000-0000704A0000}"/>
    <cellStyle name="40 % - Markeringsfarve1 11 4 2 2" xfId="29920" xr:uid="{00000000-0005-0000-0000-0000714A0000}"/>
    <cellStyle name="40 % - Markeringsfarve1 11 4 2 3" xfId="44884" xr:uid="{00000000-0005-0000-0000-0000724A0000}"/>
    <cellStyle name="40 % - Markeringsfarve1 11 4 3" xfId="22898" xr:uid="{00000000-0005-0000-0000-0000734A0000}"/>
    <cellStyle name="40 % - Markeringsfarve1 11 4 4" xfId="37885" xr:uid="{00000000-0005-0000-0000-0000744A0000}"/>
    <cellStyle name="40 % - Markeringsfarve1 11 5" xfId="11652" xr:uid="{00000000-0005-0000-0000-0000754A0000}"/>
    <cellStyle name="40 % - Markeringsfarve1 11 5 2" xfId="27972" xr:uid="{00000000-0005-0000-0000-0000764A0000}"/>
    <cellStyle name="40 % - Markeringsfarve1 11 5 3" xfId="42937" xr:uid="{00000000-0005-0000-0000-0000774A0000}"/>
    <cellStyle name="40 % - Markeringsfarve1 11 6" xfId="20950" xr:uid="{00000000-0005-0000-0000-0000784A0000}"/>
    <cellStyle name="40 % - Markeringsfarve1 11 7" xfId="35938" xr:uid="{00000000-0005-0000-0000-0000794A0000}"/>
    <cellStyle name="40 % - Markeringsfarve1 12" xfId="3095" xr:uid="{00000000-0005-0000-0000-00007A4A0000}"/>
    <cellStyle name="40 % - Markeringsfarve1 12 2" xfId="3096" xr:uid="{00000000-0005-0000-0000-00007B4A0000}"/>
    <cellStyle name="40 % - Markeringsfarve1 12 2 2" xfId="8390" xr:uid="{00000000-0005-0000-0000-00007C4A0000}"/>
    <cellStyle name="40 % - Markeringsfarve1 12 2 2 2" xfId="16283" xr:uid="{00000000-0005-0000-0000-00007D4A0000}"/>
    <cellStyle name="40 % - Markeringsfarve1 12 2 2 2 2" xfId="32598" xr:uid="{00000000-0005-0000-0000-00007E4A0000}"/>
    <cellStyle name="40 % - Markeringsfarve1 12 2 2 2 3" xfId="47562" xr:uid="{00000000-0005-0000-0000-00007F4A0000}"/>
    <cellStyle name="40 % - Markeringsfarve1 12 2 2 3" xfId="25576" xr:uid="{00000000-0005-0000-0000-0000804A0000}"/>
    <cellStyle name="40 % - Markeringsfarve1 12 2 2 4" xfId="40563" xr:uid="{00000000-0005-0000-0000-0000814A0000}"/>
    <cellStyle name="40 % - Markeringsfarve1 12 2 3" xfId="11656" xr:uid="{00000000-0005-0000-0000-0000824A0000}"/>
    <cellStyle name="40 % - Markeringsfarve1 12 2 3 2" xfId="27976" xr:uid="{00000000-0005-0000-0000-0000834A0000}"/>
    <cellStyle name="40 % - Markeringsfarve1 12 2 3 3" xfId="42941" xr:uid="{00000000-0005-0000-0000-0000844A0000}"/>
    <cellStyle name="40 % - Markeringsfarve1 12 2 4" xfId="20954" xr:uid="{00000000-0005-0000-0000-0000854A0000}"/>
    <cellStyle name="40 % - Markeringsfarve1 12 2 5" xfId="35942" xr:uid="{00000000-0005-0000-0000-0000864A0000}"/>
    <cellStyle name="40 % - Markeringsfarve1 12 3" xfId="5687" xr:uid="{00000000-0005-0000-0000-0000874A0000}"/>
    <cellStyle name="40 % - Markeringsfarve1 12 3 2" xfId="13606" xr:uid="{00000000-0005-0000-0000-0000884A0000}"/>
    <cellStyle name="40 % - Markeringsfarve1 12 3 2 2" xfId="29921" xr:uid="{00000000-0005-0000-0000-0000894A0000}"/>
    <cellStyle name="40 % - Markeringsfarve1 12 3 2 3" xfId="44885" xr:uid="{00000000-0005-0000-0000-00008A4A0000}"/>
    <cellStyle name="40 % - Markeringsfarve1 12 3 3" xfId="22899" xr:uid="{00000000-0005-0000-0000-00008B4A0000}"/>
    <cellStyle name="40 % - Markeringsfarve1 12 3 4" xfId="37886" xr:uid="{00000000-0005-0000-0000-00008C4A0000}"/>
    <cellStyle name="40 % - Markeringsfarve1 12 4" xfId="11655" xr:uid="{00000000-0005-0000-0000-00008D4A0000}"/>
    <cellStyle name="40 % - Markeringsfarve1 12 4 2" xfId="27975" xr:uid="{00000000-0005-0000-0000-00008E4A0000}"/>
    <cellStyle name="40 % - Markeringsfarve1 12 4 3" xfId="42940" xr:uid="{00000000-0005-0000-0000-00008F4A0000}"/>
    <cellStyle name="40 % - Markeringsfarve1 12 5" xfId="20953" xr:uid="{00000000-0005-0000-0000-0000904A0000}"/>
    <cellStyle name="40 % - Markeringsfarve1 12 6" xfId="35941" xr:uid="{00000000-0005-0000-0000-0000914A0000}"/>
    <cellStyle name="40 % - Markeringsfarve1 13" xfId="3097" xr:uid="{00000000-0005-0000-0000-0000924A0000}"/>
    <cellStyle name="40 % - Markeringsfarve1 13 2" xfId="3098" xr:uid="{00000000-0005-0000-0000-0000934A0000}"/>
    <cellStyle name="40 % - Markeringsfarve1 13 2 2" xfId="8625" xr:uid="{00000000-0005-0000-0000-0000944A0000}"/>
    <cellStyle name="40 % - Markeringsfarve1 13 2 2 2" xfId="16507" xr:uid="{00000000-0005-0000-0000-0000954A0000}"/>
    <cellStyle name="40 % - Markeringsfarve1 13 2 2 2 2" xfId="32822" xr:uid="{00000000-0005-0000-0000-0000964A0000}"/>
    <cellStyle name="40 % - Markeringsfarve1 13 2 2 2 3" xfId="47786" xr:uid="{00000000-0005-0000-0000-0000974A0000}"/>
    <cellStyle name="40 % - Markeringsfarve1 13 2 2 3" xfId="25800" xr:uid="{00000000-0005-0000-0000-0000984A0000}"/>
    <cellStyle name="40 % - Markeringsfarve1 13 2 2 4" xfId="40787" xr:uid="{00000000-0005-0000-0000-0000994A0000}"/>
    <cellStyle name="40 % - Markeringsfarve1 13 2 3" xfId="11658" xr:uid="{00000000-0005-0000-0000-00009A4A0000}"/>
    <cellStyle name="40 % - Markeringsfarve1 13 2 3 2" xfId="27978" xr:uid="{00000000-0005-0000-0000-00009B4A0000}"/>
    <cellStyle name="40 % - Markeringsfarve1 13 2 3 3" xfId="42943" xr:uid="{00000000-0005-0000-0000-00009C4A0000}"/>
    <cellStyle name="40 % - Markeringsfarve1 13 2 4" xfId="20956" xr:uid="{00000000-0005-0000-0000-00009D4A0000}"/>
    <cellStyle name="40 % - Markeringsfarve1 13 2 5" xfId="35944" xr:uid="{00000000-0005-0000-0000-00009E4A0000}"/>
    <cellStyle name="40 % - Markeringsfarve1 13 3" xfId="5688" xr:uid="{00000000-0005-0000-0000-00009F4A0000}"/>
    <cellStyle name="40 % - Markeringsfarve1 13 3 2" xfId="13607" xr:uid="{00000000-0005-0000-0000-0000A04A0000}"/>
    <cellStyle name="40 % - Markeringsfarve1 13 3 2 2" xfId="29922" xr:uid="{00000000-0005-0000-0000-0000A14A0000}"/>
    <cellStyle name="40 % - Markeringsfarve1 13 3 2 3" xfId="44886" xr:uid="{00000000-0005-0000-0000-0000A24A0000}"/>
    <cellStyle name="40 % - Markeringsfarve1 13 3 3" xfId="22900" xr:uid="{00000000-0005-0000-0000-0000A34A0000}"/>
    <cellStyle name="40 % - Markeringsfarve1 13 3 4" xfId="37887" xr:uid="{00000000-0005-0000-0000-0000A44A0000}"/>
    <cellStyle name="40 % - Markeringsfarve1 13 4" xfId="11657" xr:uid="{00000000-0005-0000-0000-0000A54A0000}"/>
    <cellStyle name="40 % - Markeringsfarve1 13 4 2" xfId="27977" xr:uid="{00000000-0005-0000-0000-0000A64A0000}"/>
    <cellStyle name="40 % - Markeringsfarve1 13 4 3" xfId="42942" xr:uid="{00000000-0005-0000-0000-0000A74A0000}"/>
    <cellStyle name="40 % - Markeringsfarve1 13 5" xfId="20955" xr:uid="{00000000-0005-0000-0000-0000A84A0000}"/>
    <cellStyle name="40 % - Markeringsfarve1 13 6" xfId="35943" xr:uid="{00000000-0005-0000-0000-0000A94A0000}"/>
    <cellStyle name="40 % - Markeringsfarve1 14" xfId="3099" xr:uid="{00000000-0005-0000-0000-0000AA4A0000}"/>
    <cellStyle name="40 % - Markeringsfarve1 14 2" xfId="3100" xr:uid="{00000000-0005-0000-0000-0000AB4A0000}"/>
    <cellStyle name="40 % - Markeringsfarve1 14 2 2" xfId="6647" xr:uid="{00000000-0005-0000-0000-0000AC4A0000}"/>
    <cellStyle name="40 % - Markeringsfarve1 14 2 2 2" xfId="14561" xr:uid="{00000000-0005-0000-0000-0000AD4A0000}"/>
    <cellStyle name="40 % - Markeringsfarve1 14 2 2 2 2" xfId="30876" xr:uid="{00000000-0005-0000-0000-0000AE4A0000}"/>
    <cellStyle name="40 % - Markeringsfarve1 14 2 2 2 3" xfId="45840" xr:uid="{00000000-0005-0000-0000-0000AF4A0000}"/>
    <cellStyle name="40 % - Markeringsfarve1 14 2 2 3" xfId="23854" xr:uid="{00000000-0005-0000-0000-0000B04A0000}"/>
    <cellStyle name="40 % - Markeringsfarve1 14 2 2 4" xfId="38841" xr:uid="{00000000-0005-0000-0000-0000B14A0000}"/>
    <cellStyle name="40 % - Markeringsfarve1 14 2 3" xfId="11660" xr:uid="{00000000-0005-0000-0000-0000B24A0000}"/>
    <cellStyle name="40 % - Markeringsfarve1 14 2 3 2" xfId="27980" xr:uid="{00000000-0005-0000-0000-0000B34A0000}"/>
    <cellStyle name="40 % - Markeringsfarve1 14 2 3 3" xfId="42945" xr:uid="{00000000-0005-0000-0000-0000B44A0000}"/>
    <cellStyle name="40 % - Markeringsfarve1 14 2 4" xfId="20958" xr:uid="{00000000-0005-0000-0000-0000B54A0000}"/>
    <cellStyle name="40 % - Markeringsfarve1 14 2 5" xfId="35946" xr:uid="{00000000-0005-0000-0000-0000B64A0000}"/>
    <cellStyle name="40 % - Markeringsfarve1 14 3" xfId="5684" xr:uid="{00000000-0005-0000-0000-0000B74A0000}"/>
    <cellStyle name="40 % - Markeringsfarve1 14 3 2" xfId="13603" xr:uid="{00000000-0005-0000-0000-0000B84A0000}"/>
    <cellStyle name="40 % - Markeringsfarve1 14 3 2 2" xfId="29918" xr:uid="{00000000-0005-0000-0000-0000B94A0000}"/>
    <cellStyle name="40 % - Markeringsfarve1 14 3 2 3" xfId="44882" xr:uid="{00000000-0005-0000-0000-0000BA4A0000}"/>
    <cellStyle name="40 % - Markeringsfarve1 14 3 3" xfId="22896" xr:uid="{00000000-0005-0000-0000-0000BB4A0000}"/>
    <cellStyle name="40 % - Markeringsfarve1 14 3 4" xfId="37883" xr:uid="{00000000-0005-0000-0000-0000BC4A0000}"/>
    <cellStyle name="40 % - Markeringsfarve1 14 4" xfId="11659" xr:uid="{00000000-0005-0000-0000-0000BD4A0000}"/>
    <cellStyle name="40 % - Markeringsfarve1 14 4 2" xfId="27979" xr:uid="{00000000-0005-0000-0000-0000BE4A0000}"/>
    <cellStyle name="40 % - Markeringsfarve1 14 4 3" xfId="42944" xr:uid="{00000000-0005-0000-0000-0000BF4A0000}"/>
    <cellStyle name="40 % - Markeringsfarve1 14 5" xfId="20957" xr:uid="{00000000-0005-0000-0000-0000C04A0000}"/>
    <cellStyle name="40 % - Markeringsfarve1 14 6" xfId="35945" xr:uid="{00000000-0005-0000-0000-0000C14A0000}"/>
    <cellStyle name="40 % - Markeringsfarve1 15" xfId="3101" xr:uid="{00000000-0005-0000-0000-0000C24A0000}"/>
    <cellStyle name="40 % - Markeringsfarve1 15 2" xfId="6649" xr:uid="{00000000-0005-0000-0000-0000C34A0000}"/>
    <cellStyle name="40 % - Markeringsfarve1 15 2 2" xfId="14563" xr:uid="{00000000-0005-0000-0000-0000C44A0000}"/>
    <cellStyle name="40 % - Markeringsfarve1 15 2 2 2" xfId="30878" xr:uid="{00000000-0005-0000-0000-0000C54A0000}"/>
    <cellStyle name="40 % - Markeringsfarve1 15 2 2 3" xfId="45842" xr:uid="{00000000-0005-0000-0000-0000C64A0000}"/>
    <cellStyle name="40 % - Markeringsfarve1 15 2 3" xfId="23856" xr:uid="{00000000-0005-0000-0000-0000C74A0000}"/>
    <cellStyle name="40 % - Markeringsfarve1 15 2 4" xfId="38843" xr:uid="{00000000-0005-0000-0000-0000C84A0000}"/>
    <cellStyle name="40 % - Markeringsfarve1 15 3" xfId="11661" xr:uid="{00000000-0005-0000-0000-0000C94A0000}"/>
    <cellStyle name="40 % - Markeringsfarve1 15 3 2" xfId="27981" xr:uid="{00000000-0005-0000-0000-0000CA4A0000}"/>
    <cellStyle name="40 % - Markeringsfarve1 15 3 3" xfId="42946" xr:uid="{00000000-0005-0000-0000-0000CB4A0000}"/>
    <cellStyle name="40 % - Markeringsfarve1 15 4" xfId="20959" xr:uid="{00000000-0005-0000-0000-0000CC4A0000}"/>
    <cellStyle name="40 % - Markeringsfarve1 15 5" xfId="35947" xr:uid="{00000000-0005-0000-0000-0000CD4A0000}"/>
    <cellStyle name="40 % - Markeringsfarve1 16" xfId="3102" xr:uid="{00000000-0005-0000-0000-0000CE4A0000}"/>
    <cellStyle name="40 % - Markeringsfarve1 16 2" xfId="8162" xr:uid="{00000000-0005-0000-0000-0000CF4A0000}"/>
    <cellStyle name="40 % - Markeringsfarve1 16 2 2" xfId="16060" xr:uid="{00000000-0005-0000-0000-0000D04A0000}"/>
    <cellStyle name="40 % - Markeringsfarve1 16 2 2 2" xfId="32375" xr:uid="{00000000-0005-0000-0000-0000D14A0000}"/>
    <cellStyle name="40 % - Markeringsfarve1 16 2 2 3" xfId="47339" xr:uid="{00000000-0005-0000-0000-0000D24A0000}"/>
    <cellStyle name="40 % - Markeringsfarve1 16 2 3" xfId="25353" xr:uid="{00000000-0005-0000-0000-0000D34A0000}"/>
    <cellStyle name="40 % - Markeringsfarve1 16 2 4" xfId="40340" xr:uid="{00000000-0005-0000-0000-0000D44A0000}"/>
    <cellStyle name="40 % - Markeringsfarve1 16 3" xfId="11662" xr:uid="{00000000-0005-0000-0000-0000D54A0000}"/>
    <cellStyle name="40 % - Markeringsfarve1 16 3 2" xfId="27982" xr:uid="{00000000-0005-0000-0000-0000D64A0000}"/>
    <cellStyle name="40 % - Markeringsfarve1 16 3 3" xfId="42947" xr:uid="{00000000-0005-0000-0000-0000D74A0000}"/>
    <cellStyle name="40 % - Markeringsfarve1 16 4" xfId="20960" xr:uid="{00000000-0005-0000-0000-0000D84A0000}"/>
    <cellStyle name="40 % - Markeringsfarve1 16 5" xfId="35948" xr:uid="{00000000-0005-0000-0000-0000D94A0000}"/>
    <cellStyle name="40 % - Markeringsfarve1 17" xfId="3103" xr:uid="{00000000-0005-0000-0000-0000DA4A0000}"/>
    <cellStyle name="40 % - Markeringsfarve1 17 2" xfId="8719" xr:uid="{00000000-0005-0000-0000-0000DB4A0000}"/>
    <cellStyle name="40 % - Markeringsfarve1 17 2 2" xfId="16596" xr:uid="{00000000-0005-0000-0000-0000DC4A0000}"/>
    <cellStyle name="40 % - Markeringsfarve1 17 2 2 2" xfId="32911" xr:uid="{00000000-0005-0000-0000-0000DD4A0000}"/>
    <cellStyle name="40 % - Markeringsfarve1 17 2 2 3" xfId="47875" xr:uid="{00000000-0005-0000-0000-0000DE4A0000}"/>
    <cellStyle name="40 % - Markeringsfarve1 17 2 3" xfId="25889" xr:uid="{00000000-0005-0000-0000-0000DF4A0000}"/>
    <cellStyle name="40 % - Markeringsfarve1 17 2 4" xfId="40876" xr:uid="{00000000-0005-0000-0000-0000E04A0000}"/>
    <cellStyle name="40 % - Markeringsfarve1 17 3" xfId="11663" xr:uid="{00000000-0005-0000-0000-0000E14A0000}"/>
    <cellStyle name="40 % - Markeringsfarve1 17 3 2" xfId="27983" xr:uid="{00000000-0005-0000-0000-0000E24A0000}"/>
    <cellStyle name="40 % - Markeringsfarve1 17 3 3" xfId="42948" xr:uid="{00000000-0005-0000-0000-0000E34A0000}"/>
    <cellStyle name="40 % - Markeringsfarve1 17 4" xfId="20961" xr:uid="{00000000-0005-0000-0000-0000E44A0000}"/>
    <cellStyle name="40 % - Markeringsfarve1 17 5" xfId="35949" xr:uid="{00000000-0005-0000-0000-0000E54A0000}"/>
    <cellStyle name="40 % - Markeringsfarve1 18" xfId="5324" xr:uid="{00000000-0005-0000-0000-0000E64A0000}"/>
    <cellStyle name="40 % - Markeringsfarve1 18 2" xfId="13253" xr:uid="{00000000-0005-0000-0000-0000E74A0000}"/>
    <cellStyle name="40 % - Markeringsfarve1 18 2 2" xfId="29568" xr:uid="{00000000-0005-0000-0000-0000E84A0000}"/>
    <cellStyle name="40 % - Markeringsfarve1 18 2 3" xfId="44532" xr:uid="{00000000-0005-0000-0000-0000E94A0000}"/>
    <cellStyle name="40 % - Markeringsfarve1 18 3" xfId="22546" xr:uid="{00000000-0005-0000-0000-0000EA4A0000}"/>
    <cellStyle name="40 % - Markeringsfarve1 18 4" xfId="37533" xr:uid="{00000000-0005-0000-0000-0000EB4A0000}"/>
    <cellStyle name="40 % - Markeringsfarve1 19" xfId="3086" xr:uid="{00000000-0005-0000-0000-0000EC4A0000}"/>
    <cellStyle name="40 % - Markeringsfarve1 19 2" xfId="11646" xr:uid="{00000000-0005-0000-0000-0000ED4A0000}"/>
    <cellStyle name="40 % - Markeringsfarve1 19 2 2" xfId="27966" xr:uid="{00000000-0005-0000-0000-0000EE4A0000}"/>
    <cellStyle name="40 % - Markeringsfarve1 19 2 3" xfId="42931" xr:uid="{00000000-0005-0000-0000-0000EF4A0000}"/>
    <cellStyle name="40 % - Markeringsfarve1 19 3" xfId="20944" xr:uid="{00000000-0005-0000-0000-0000F04A0000}"/>
    <cellStyle name="40 % - Markeringsfarve1 19 4" xfId="35932" xr:uid="{00000000-0005-0000-0000-0000F14A0000}"/>
    <cellStyle name="40 % - Markeringsfarve1 2" xfId="3104" xr:uid="{00000000-0005-0000-0000-0000F24A0000}"/>
    <cellStyle name="40 % - Markeringsfarve1 2 10" xfId="3105" xr:uid="{00000000-0005-0000-0000-0000F34A0000}"/>
    <cellStyle name="40 % - Markeringsfarve1 2 10 2" xfId="6682" xr:uid="{00000000-0005-0000-0000-0000F44A0000}"/>
    <cellStyle name="40 % - Markeringsfarve1 2 10 2 2" xfId="14594" xr:uid="{00000000-0005-0000-0000-0000F54A0000}"/>
    <cellStyle name="40 % - Markeringsfarve1 2 10 2 2 2" xfId="30909" xr:uid="{00000000-0005-0000-0000-0000F64A0000}"/>
    <cellStyle name="40 % - Markeringsfarve1 2 10 2 2 3" xfId="45873" xr:uid="{00000000-0005-0000-0000-0000F74A0000}"/>
    <cellStyle name="40 % - Markeringsfarve1 2 10 2 3" xfId="23887" xr:uid="{00000000-0005-0000-0000-0000F84A0000}"/>
    <cellStyle name="40 % - Markeringsfarve1 2 10 2 4" xfId="38874" xr:uid="{00000000-0005-0000-0000-0000F94A0000}"/>
    <cellStyle name="40 % - Markeringsfarve1 2 10 3" xfId="11665" xr:uid="{00000000-0005-0000-0000-0000FA4A0000}"/>
    <cellStyle name="40 % - Markeringsfarve1 2 10 3 2" xfId="27985" xr:uid="{00000000-0005-0000-0000-0000FB4A0000}"/>
    <cellStyle name="40 % - Markeringsfarve1 2 10 3 3" xfId="42950" xr:uid="{00000000-0005-0000-0000-0000FC4A0000}"/>
    <cellStyle name="40 % - Markeringsfarve1 2 10 4" xfId="20963" xr:uid="{00000000-0005-0000-0000-0000FD4A0000}"/>
    <cellStyle name="40 % - Markeringsfarve1 2 10 5" xfId="35951" xr:uid="{00000000-0005-0000-0000-0000FE4A0000}"/>
    <cellStyle name="40 % - Markeringsfarve1 2 11" xfId="3106" xr:uid="{00000000-0005-0000-0000-0000FF4A0000}"/>
    <cellStyle name="40 % - Markeringsfarve1 2 11 2" xfId="8349" xr:uid="{00000000-0005-0000-0000-0000004B0000}"/>
    <cellStyle name="40 % - Markeringsfarve1 2 11 2 2" xfId="16243" xr:uid="{00000000-0005-0000-0000-0000014B0000}"/>
    <cellStyle name="40 % - Markeringsfarve1 2 11 2 2 2" xfId="32558" xr:uid="{00000000-0005-0000-0000-0000024B0000}"/>
    <cellStyle name="40 % - Markeringsfarve1 2 11 2 2 3" xfId="47522" xr:uid="{00000000-0005-0000-0000-0000034B0000}"/>
    <cellStyle name="40 % - Markeringsfarve1 2 11 2 3" xfId="25536" xr:uid="{00000000-0005-0000-0000-0000044B0000}"/>
    <cellStyle name="40 % - Markeringsfarve1 2 11 2 4" xfId="40523" xr:uid="{00000000-0005-0000-0000-0000054B0000}"/>
    <cellStyle name="40 % - Markeringsfarve1 2 11 3" xfId="11666" xr:uid="{00000000-0005-0000-0000-0000064B0000}"/>
    <cellStyle name="40 % - Markeringsfarve1 2 11 3 2" xfId="27986" xr:uid="{00000000-0005-0000-0000-0000074B0000}"/>
    <cellStyle name="40 % - Markeringsfarve1 2 11 3 3" xfId="42951" xr:uid="{00000000-0005-0000-0000-0000084B0000}"/>
    <cellStyle name="40 % - Markeringsfarve1 2 11 4" xfId="20964" xr:uid="{00000000-0005-0000-0000-0000094B0000}"/>
    <cellStyle name="40 % - Markeringsfarve1 2 11 5" xfId="35952" xr:uid="{00000000-0005-0000-0000-00000A4B0000}"/>
    <cellStyle name="40 % - Markeringsfarve1 2 12" xfId="5689" xr:uid="{00000000-0005-0000-0000-00000B4B0000}"/>
    <cellStyle name="40 % - Markeringsfarve1 2 12 2" xfId="13608" xr:uid="{00000000-0005-0000-0000-00000C4B0000}"/>
    <cellStyle name="40 % - Markeringsfarve1 2 12 2 2" xfId="29923" xr:uid="{00000000-0005-0000-0000-00000D4B0000}"/>
    <cellStyle name="40 % - Markeringsfarve1 2 12 2 3" xfId="44887" xr:uid="{00000000-0005-0000-0000-00000E4B0000}"/>
    <cellStyle name="40 % - Markeringsfarve1 2 12 3" xfId="22901" xr:uid="{00000000-0005-0000-0000-00000F4B0000}"/>
    <cellStyle name="40 % - Markeringsfarve1 2 12 4" xfId="37888" xr:uid="{00000000-0005-0000-0000-0000104B0000}"/>
    <cellStyle name="40 % - Markeringsfarve1 2 13" xfId="11664" xr:uid="{00000000-0005-0000-0000-0000114B0000}"/>
    <cellStyle name="40 % - Markeringsfarve1 2 13 2" xfId="27984" xr:uid="{00000000-0005-0000-0000-0000124B0000}"/>
    <cellStyle name="40 % - Markeringsfarve1 2 13 3" xfId="42949" xr:uid="{00000000-0005-0000-0000-0000134B0000}"/>
    <cellStyle name="40 % - Markeringsfarve1 2 14" xfId="20962" xr:uid="{00000000-0005-0000-0000-0000144B0000}"/>
    <cellStyle name="40 % - Markeringsfarve1 2 15" xfId="35950" xr:uid="{00000000-0005-0000-0000-0000154B0000}"/>
    <cellStyle name="40 % - Markeringsfarve1 2 16" xfId="53282" xr:uid="{00000000-0005-0000-0000-0000164B0000}"/>
    <cellStyle name="40 % - Markeringsfarve1 2 2" xfId="3107" xr:uid="{00000000-0005-0000-0000-0000174B0000}"/>
    <cellStyle name="40 % - Markeringsfarve1 2 2 10" xfId="5690" xr:uid="{00000000-0005-0000-0000-0000184B0000}"/>
    <cellStyle name="40 % - Markeringsfarve1 2 2 10 2" xfId="13609" xr:uid="{00000000-0005-0000-0000-0000194B0000}"/>
    <cellStyle name="40 % - Markeringsfarve1 2 2 10 2 2" xfId="29924" xr:uid="{00000000-0005-0000-0000-00001A4B0000}"/>
    <cellStyle name="40 % - Markeringsfarve1 2 2 10 2 3" xfId="44888" xr:uid="{00000000-0005-0000-0000-00001B4B0000}"/>
    <cellStyle name="40 % - Markeringsfarve1 2 2 10 3" xfId="22902" xr:uid="{00000000-0005-0000-0000-00001C4B0000}"/>
    <cellStyle name="40 % - Markeringsfarve1 2 2 10 4" xfId="37889" xr:uid="{00000000-0005-0000-0000-00001D4B0000}"/>
    <cellStyle name="40 % - Markeringsfarve1 2 2 11" xfId="11667" xr:uid="{00000000-0005-0000-0000-00001E4B0000}"/>
    <cellStyle name="40 % - Markeringsfarve1 2 2 11 2" xfId="27987" xr:uid="{00000000-0005-0000-0000-00001F4B0000}"/>
    <cellStyle name="40 % - Markeringsfarve1 2 2 11 3" xfId="42952" xr:uid="{00000000-0005-0000-0000-0000204B0000}"/>
    <cellStyle name="40 % - Markeringsfarve1 2 2 12" xfId="20965" xr:uid="{00000000-0005-0000-0000-0000214B0000}"/>
    <cellStyle name="40 % - Markeringsfarve1 2 2 13" xfId="35953" xr:uid="{00000000-0005-0000-0000-0000224B0000}"/>
    <cellStyle name="40 % - Markeringsfarve1 2 2 14" xfId="53281" xr:uid="{00000000-0005-0000-0000-0000234B0000}"/>
    <cellStyle name="40 % - Markeringsfarve1 2 2 2" xfId="3108" xr:uid="{00000000-0005-0000-0000-0000244B0000}"/>
    <cellStyle name="40 % - Markeringsfarve1 2 2 2 2" xfId="3109" xr:uid="{00000000-0005-0000-0000-0000254B0000}"/>
    <cellStyle name="40 % - Markeringsfarve1 2 2 2 2 2" xfId="3110" xr:uid="{00000000-0005-0000-0000-0000264B0000}"/>
    <cellStyle name="40 % - Markeringsfarve1 2 2 2 2 2 2" xfId="7613" xr:uid="{00000000-0005-0000-0000-0000274B0000}"/>
    <cellStyle name="40 % - Markeringsfarve1 2 2 2 2 2 2 2" xfId="15515" xr:uid="{00000000-0005-0000-0000-0000284B0000}"/>
    <cellStyle name="40 % - Markeringsfarve1 2 2 2 2 2 2 2 2" xfId="31830" xr:uid="{00000000-0005-0000-0000-0000294B0000}"/>
    <cellStyle name="40 % - Markeringsfarve1 2 2 2 2 2 2 2 3" xfId="46794" xr:uid="{00000000-0005-0000-0000-00002A4B0000}"/>
    <cellStyle name="40 % - Markeringsfarve1 2 2 2 2 2 2 3" xfId="24808" xr:uid="{00000000-0005-0000-0000-00002B4B0000}"/>
    <cellStyle name="40 % - Markeringsfarve1 2 2 2 2 2 2 4" xfId="39795" xr:uid="{00000000-0005-0000-0000-00002C4B0000}"/>
    <cellStyle name="40 % - Markeringsfarve1 2 2 2 2 2 3" xfId="11670" xr:uid="{00000000-0005-0000-0000-00002D4B0000}"/>
    <cellStyle name="40 % - Markeringsfarve1 2 2 2 2 2 3 2" xfId="27990" xr:uid="{00000000-0005-0000-0000-00002E4B0000}"/>
    <cellStyle name="40 % - Markeringsfarve1 2 2 2 2 2 3 3" xfId="42955" xr:uid="{00000000-0005-0000-0000-00002F4B0000}"/>
    <cellStyle name="40 % - Markeringsfarve1 2 2 2 2 2 4" xfId="20968" xr:uid="{00000000-0005-0000-0000-0000304B0000}"/>
    <cellStyle name="40 % - Markeringsfarve1 2 2 2 2 2 5" xfId="35956" xr:uid="{00000000-0005-0000-0000-0000314B0000}"/>
    <cellStyle name="40 % - Markeringsfarve1 2 2 2 2 3" xfId="6186" xr:uid="{00000000-0005-0000-0000-0000324B0000}"/>
    <cellStyle name="40 % - Markeringsfarve1 2 2 2 2 3 2" xfId="14104" xr:uid="{00000000-0005-0000-0000-0000334B0000}"/>
    <cellStyle name="40 % - Markeringsfarve1 2 2 2 2 3 2 2" xfId="30419" xr:uid="{00000000-0005-0000-0000-0000344B0000}"/>
    <cellStyle name="40 % - Markeringsfarve1 2 2 2 2 3 2 3" xfId="45383" xr:uid="{00000000-0005-0000-0000-0000354B0000}"/>
    <cellStyle name="40 % - Markeringsfarve1 2 2 2 2 3 3" xfId="23397" xr:uid="{00000000-0005-0000-0000-0000364B0000}"/>
    <cellStyle name="40 % - Markeringsfarve1 2 2 2 2 3 4" xfId="38384" xr:uid="{00000000-0005-0000-0000-0000374B0000}"/>
    <cellStyle name="40 % - Markeringsfarve1 2 2 2 2 4" xfId="11669" xr:uid="{00000000-0005-0000-0000-0000384B0000}"/>
    <cellStyle name="40 % - Markeringsfarve1 2 2 2 2 4 2" xfId="27989" xr:uid="{00000000-0005-0000-0000-0000394B0000}"/>
    <cellStyle name="40 % - Markeringsfarve1 2 2 2 2 4 3" xfId="42954" xr:uid="{00000000-0005-0000-0000-00003A4B0000}"/>
    <cellStyle name="40 % - Markeringsfarve1 2 2 2 2 5" xfId="20967" xr:uid="{00000000-0005-0000-0000-00003B4B0000}"/>
    <cellStyle name="40 % - Markeringsfarve1 2 2 2 2 6" xfId="35955" xr:uid="{00000000-0005-0000-0000-00003C4B0000}"/>
    <cellStyle name="40 % - Markeringsfarve1 2 2 2 2 7" xfId="57085" xr:uid="{00000000-0005-0000-0000-00003D4B0000}"/>
    <cellStyle name="40 % - Markeringsfarve1 2 2 2 3" xfId="3111" xr:uid="{00000000-0005-0000-0000-00003E4B0000}"/>
    <cellStyle name="40 % - Markeringsfarve1 2 2 2 3 2" xfId="6843" xr:uid="{00000000-0005-0000-0000-00003F4B0000}"/>
    <cellStyle name="40 % - Markeringsfarve1 2 2 2 3 2 2" xfId="14755" xr:uid="{00000000-0005-0000-0000-0000404B0000}"/>
    <cellStyle name="40 % - Markeringsfarve1 2 2 2 3 2 2 2" xfId="31070" xr:uid="{00000000-0005-0000-0000-0000414B0000}"/>
    <cellStyle name="40 % - Markeringsfarve1 2 2 2 3 2 2 3" xfId="46034" xr:uid="{00000000-0005-0000-0000-0000424B0000}"/>
    <cellStyle name="40 % - Markeringsfarve1 2 2 2 3 2 3" xfId="24048" xr:uid="{00000000-0005-0000-0000-0000434B0000}"/>
    <cellStyle name="40 % - Markeringsfarve1 2 2 2 3 2 4" xfId="39035" xr:uid="{00000000-0005-0000-0000-0000444B0000}"/>
    <cellStyle name="40 % - Markeringsfarve1 2 2 2 3 3" xfId="11671" xr:uid="{00000000-0005-0000-0000-0000454B0000}"/>
    <cellStyle name="40 % - Markeringsfarve1 2 2 2 3 3 2" xfId="27991" xr:uid="{00000000-0005-0000-0000-0000464B0000}"/>
    <cellStyle name="40 % - Markeringsfarve1 2 2 2 3 3 3" xfId="42956" xr:uid="{00000000-0005-0000-0000-0000474B0000}"/>
    <cellStyle name="40 % - Markeringsfarve1 2 2 2 3 4" xfId="20969" xr:uid="{00000000-0005-0000-0000-0000484B0000}"/>
    <cellStyle name="40 % - Markeringsfarve1 2 2 2 3 5" xfId="35957" xr:uid="{00000000-0005-0000-0000-0000494B0000}"/>
    <cellStyle name="40 % - Markeringsfarve1 2 2 2 4" xfId="3112" xr:uid="{00000000-0005-0000-0000-00004A4B0000}"/>
    <cellStyle name="40 % - Markeringsfarve1 2 2 2 4 2" xfId="8235" xr:uid="{00000000-0005-0000-0000-00004B4B0000}"/>
    <cellStyle name="40 % - Markeringsfarve1 2 2 2 4 2 2" xfId="16130" xr:uid="{00000000-0005-0000-0000-00004C4B0000}"/>
    <cellStyle name="40 % - Markeringsfarve1 2 2 2 4 2 2 2" xfId="32445" xr:uid="{00000000-0005-0000-0000-00004D4B0000}"/>
    <cellStyle name="40 % - Markeringsfarve1 2 2 2 4 2 2 3" xfId="47409" xr:uid="{00000000-0005-0000-0000-00004E4B0000}"/>
    <cellStyle name="40 % - Markeringsfarve1 2 2 2 4 2 3" xfId="25423" xr:uid="{00000000-0005-0000-0000-00004F4B0000}"/>
    <cellStyle name="40 % - Markeringsfarve1 2 2 2 4 2 4" xfId="40410" xr:uid="{00000000-0005-0000-0000-0000504B0000}"/>
    <cellStyle name="40 % - Markeringsfarve1 2 2 2 4 3" xfId="11672" xr:uid="{00000000-0005-0000-0000-0000514B0000}"/>
    <cellStyle name="40 % - Markeringsfarve1 2 2 2 4 3 2" xfId="27992" xr:uid="{00000000-0005-0000-0000-0000524B0000}"/>
    <cellStyle name="40 % - Markeringsfarve1 2 2 2 4 3 3" xfId="42957" xr:uid="{00000000-0005-0000-0000-0000534B0000}"/>
    <cellStyle name="40 % - Markeringsfarve1 2 2 2 4 4" xfId="20970" xr:uid="{00000000-0005-0000-0000-0000544B0000}"/>
    <cellStyle name="40 % - Markeringsfarve1 2 2 2 4 5" xfId="35958" xr:uid="{00000000-0005-0000-0000-0000554B0000}"/>
    <cellStyle name="40 % - Markeringsfarve1 2 2 2 5" xfId="5691" xr:uid="{00000000-0005-0000-0000-0000564B0000}"/>
    <cellStyle name="40 % - Markeringsfarve1 2 2 2 5 2" xfId="13610" xr:uid="{00000000-0005-0000-0000-0000574B0000}"/>
    <cellStyle name="40 % - Markeringsfarve1 2 2 2 5 2 2" xfId="29925" xr:uid="{00000000-0005-0000-0000-0000584B0000}"/>
    <cellStyle name="40 % - Markeringsfarve1 2 2 2 5 2 3" xfId="44889" xr:uid="{00000000-0005-0000-0000-0000594B0000}"/>
    <cellStyle name="40 % - Markeringsfarve1 2 2 2 5 3" xfId="22903" xr:uid="{00000000-0005-0000-0000-00005A4B0000}"/>
    <cellStyle name="40 % - Markeringsfarve1 2 2 2 5 4" xfId="37890" xr:uid="{00000000-0005-0000-0000-00005B4B0000}"/>
    <cellStyle name="40 % - Markeringsfarve1 2 2 2 6" xfId="11668" xr:uid="{00000000-0005-0000-0000-00005C4B0000}"/>
    <cellStyle name="40 % - Markeringsfarve1 2 2 2 6 2" xfId="27988" xr:uid="{00000000-0005-0000-0000-00005D4B0000}"/>
    <cellStyle name="40 % - Markeringsfarve1 2 2 2 6 3" xfId="42953" xr:uid="{00000000-0005-0000-0000-00005E4B0000}"/>
    <cellStyle name="40 % - Markeringsfarve1 2 2 2 7" xfId="20966" xr:uid="{00000000-0005-0000-0000-00005F4B0000}"/>
    <cellStyle name="40 % - Markeringsfarve1 2 2 2 8" xfId="35954" xr:uid="{00000000-0005-0000-0000-0000604B0000}"/>
    <cellStyle name="40 % - Markeringsfarve1 2 2 2 9" xfId="53918" xr:uid="{00000000-0005-0000-0000-0000614B0000}"/>
    <cellStyle name="40 % - Markeringsfarve1 2 2 3" xfId="3113" xr:uid="{00000000-0005-0000-0000-0000624B0000}"/>
    <cellStyle name="40 % - Markeringsfarve1 2 2 3 2" xfId="3114" xr:uid="{00000000-0005-0000-0000-0000634B0000}"/>
    <cellStyle name="40 % - Markeringsfarve1 2 2 3 2 2" xfId="3115" xr:uid="{00000000-0005-0000-0000-0000644B0000}"/>
    <cellStyle name="40 % - Markeringsfarve1 2 2 3 2 2 2" xfId="7721" xr:uid="{00000000-0005-0000-0000-0000654B0000}"/>
    <cellStyle name="40 % - Markeringsfarve1 2 2 3 2 2 2 2" xfId="15623" xr:uid="{00000000-0005-0000-0000-0000664B0000}"/>
    <cellStyle name="40 % - Markeringsfarve1 2 2 3 2 2 2 2 2" xfId="31938" xr:uid="{00000000-0005-0000-0000-0000674B0000}"/>
    <cellStyle name="40 % - Markeringsfarve1 2 2 3 2 2 2 2 3" xfId="46902" xr:uid="{00000000-0005-0000-0000-0000684B0000}"/>
    <cellStyle name="40 % - Markeringsfarve1 2 2 3 2 2 2 3" xfId="24916" xr:uid="{00000000-0005-0000-0000-0000694B0000}"/>
    <cellStyle name="40 % - Markeringsfarve1 2 2 3 2 2 2 4" xfId="39903" xr:uid="{00000000-0005-0000-0000-00006A4B0000}"/>
    <cellStyle name="40 % - Markeringsfarve1 2 2 3 2 2 3" xfId="11675" xr:uid="{00000000-0005-0000-0000-00006B4B0000}"/>
    <cellStyle name="40 % - Markeringsfarve1 2 2 3 2 2 3 2" xfId="27995" xr:uid="{00000000-0005-0000-0000-00006C4B0000}"/>
    <cellStyle name="40 % - Markeringsfarve1 2 2 3 2 2 3 3" xfId="42960" xr:uid="{00000000-0005-0000-0000-00006D4B0000}"/>
    <cellStyle name="40 % - Markeringsfarve1 2 2 3 2 2 4" xfId="20973" xr:uid="{00000000-0005-0000-0000-00006E4B0000}"/>
    <cellStyle name="40 % - Markeringsfarve1 2 2 3 2 2 5" xfId="35961" xr:uid="{00000000-0005-0000-0000-00006F4B0000}"/>
    <cellStyle name="40 % - Markeringsfarve1 2 2 3 2 3" xfId="6276" xr:uid="{00000000-0005-0000-0000-0000704B0000}"/>
    <cellStyle name="40 % - Markeringsfarve1 2 2 3 2 3 2" xfId="14194" xr:uid="{00000000-0005-0000-0000-0000714B0000}"/>
    <cellStyle name="40 % - Markeringsfarve1 2 2 3 2 3 2 2" xfId="30509" xr:uid="{00000000-0005-0000-0000-0000724B0000}"/>
    <cellStyle name="40 % - Markeringsfarve1 2 2 3 2 3 2 3" xfId="45473" xr:uid="{00000000-0005-0000-0000-0000734B0000}"/>
    <cellStyle name="40 % - Markeringsfarve1 2 2 3 2 3 3" xfId="23487" xr:uid="{00000000-0005-0000-0000-0000744B0000}"/>
    <cellStyle name="40 % - Markeringsfarve1 2 2 3 2 3 4" xfId="38474" xr:uid="{00000000-0005-0000-0000-0000754B0000}"/>
    <cellStyle name="40 % - Markeringsfarve1 2 2 3 2 4" xfId="11674" xr:uid="{00000000-0005-0000-0000-0000764B0000}"/>
    <cellStyle name="40 % - Markeringsfarve1 2 2 3 2 4 2" xfId="27994" xr:uid="{00000000-0005-0000-0000-0000774B0000}"/>
    <cellStyle name="40 % - Markeringsfarve1 2 2 3 2 4 3" xfId="42959" xr:uid="{00000000-0005-0000-0000-0000784B0000}"/>
    <cellStyle name="40 % - Markeringsfarve1 2 2 3 2 5" xfId="20972" xr:uid="{00000000-0005-0000-0000-0000794B0000}"/>
    <cellStyle name="40 % - Markeringsfarve1 2 2 3 2 6" xfId="35960" xr:uid="{00000000-0005-0000-0000-00007A4B0000}"/>
    <cellStyle name="40 % - Markeringsfarve1 2 2 3 3" xfId="3116" xr:uid="{00000000-0005-0000-0000-00007B4B0000}"/>
    <cellStyle name="40 % - Markeringsfarve1 2 2 3 3 2" xfId="6951" xr:uid="{00000000-0005-0000-0000-00007C4B0000}"/>
    <cellStyle name="40 % - Markeringsfarve1 2 2 3 3 2 2" xfId="14863" xr:uid="{00000000-0005-0000-0000-00007D4B0000}"/>
    <cellStyle name="40 % - Markeringsfarve1 2 2 3 3 2 2 2" xfId="31178" xr:uid="{00000000-0005-0000-0000-00007E4B0000}"/>
    <cellStyle name="40 % - Markeringsfarve1 2 2 3 3 2 2 3" xfId="46142" xr:uid="{00000000-0005-0000-0000-00007F4B0000}"/>
    <cellStyle name="40 % - Markeringsfarve1 2 2 3 3 2 3" xfId="24156" xr:uid="{00000000-0005-0000-0000-0000804B0000}"/>
    <cellStyle name="40 % - Markeringsfarve1 2 2 3 3 2 4" xfId="39143" xr:uid="{00000000-0005-0000-0000-0000814B0000}"/>
    <cellStyle name="40 % - Markeringsfarve1 2 2 3 3 3" xfId="11676" xr:uid="{00000000-0005-0000-0000-0000824B0000}"/>
    <cellStyle name="40 % - Markeringsfarve1 2 2 3 3 3 2" xfId="27996" xr:uid="{00000000-0005-0000-0000-0000834B0000}"/>
    <cellStyle name="40 % - Markeringsfarve1 2 2 3 3 3 3" xfId="42961" xr:uid="{00000000-0005-0000-0000-0000844B0000}"/>
    <cellStyle name="40 % - Markeringsfarve1 2 2 3 3 4" xfId="20974" xr:uid="{00000000-0005-0000-0000-0000854B0000}"/>
    <cellStyle name="40 % - Markeringsfarve1 2 2 3 3 5" xfId="35962" xr:uid="{00000000-0005-0000-0000-0000864B0000}"/>
    <cellStyle name="40 % - Markeringsfarve1 2 2 3 4" xfId="3117" xr:uid="{00000000-0005-0000-0000-0000874B0000}"/>
    <cellStyle name="40 % - Markeringsfarve1 2 2 3 4 2" xfId="8533" xr:uid="{00000000-0005-0000-0000-0000884B0000}"/>
    <cellStyle name="40 % - Markeringsfarve1 2 2 3 4 2 2" xfId="16421" xr:uid="{00000000-0005-0000-0000-0000894B0000}"/>
    <cellStyle name="40 % - Markeringsfarve1 2 2 3 4 2 2 2" xfId="32736" xr:uid="{00000000-0005-0000-0000-00008A4B0000}"/>
    <cellStyle name="40 % - Markeringsfarve1 2 2 3 4 2 2 3" xfId="47700" xr:uid="{00000000-0005-0000-0000-00008B4B0000}"/>
    <cellStyle name="40 % - Markeringsfarve1 2 2 3 4 2 3" xfId="25714" xr:uid="{00000000-0005-0000-0000-00008C4B0000}"/>
    <cellStyle name="40 % - Markeringsfarve1 2 2 3 4 2 4" xfId="40701" xr:uid="{00000000-0005-0000-0000-00008D4B0000}"/>
    <cellStyle name="40 % - Markeringsfarve1 2 2 3 4 3" xfId="11677" xr:uid="{00000000-0005-0000-0000-00008E4B0000}"/>
    <cellStyle name="40 % - Markeringsfarve1 2 2 3 4 3 2" xfId="27997" xr:uid="{00000000-0005-0000-0000-00008F4B0000}"/>
    <cellStyle name="40 % - Markeringsfarve1 2 2 3 4 3 3" xfId="42962" xr:uid="{00000000-0005-0000-0000-0000904B0000}"/>
    <cellStyle name="40 % - Markeringsfarve1 2 2 3 4 4" xfId="20975" xr:uid="{00000000-0005-0000-0000-0000914B0000}"/>
    <cellStyle name="40 % - Markeringsfarve1 2 2 3 4 5" xfId="35963" xr:uid="{00000000-0005-0000-0000-0000924B0000}"/>
    <cellStyle name="40 % - Markeringsfarve1 2 2 3 5" xfId="5692" xr:uid="{00000000-0005-0000-0000-0000934B0000}"/>
    <cellStyle name="40 % - Markeringsfarve1 2 2 3 5 2" xfId="13611" xr:uid="{00000000-0005-0000-0000-0000944B0000}"/>
    <cellStyle name="40 % - Markeringsfarve1 2 2 3 5 2 2" xfId="29926" xr:uid="{00000000-0005-0000-0000-0000954B0000}"/>
    <cellStyle name="40 % - Markeringsfarve1 2 2 3 5 2 3" xfId="44890" xr:uid="{00000000-0005-0000-0000-0000964B0000}"/>
    <cellStyle name="40 % - Markeringsfarve1 2 2 3 5 3" xfId="22904" xr:uid="{00000000-0005-0000-0000-0000974B0000}"/>
    <cellStyle name="40 % - Markeringsfarve1 2 2 3 5 4" xfId="37891" xr:uid="{00000000-0005-0000-0000-0000984B0000}"/>
    <cellStyle name="40 % - Markeringsfarve1 2 2 3 6" xfId="11673" xr:uid="{00000000-0005-0000-0000-0000994B0000}"/>
    <cellStyle name="40 % - Markeringsfarve1 2 2 3 6 2" xfId="27993" xr:uid="{00000000-0005-0000-0000-00009A4B0000}"/>
    <cellStyle name="40 % - Markeringsfarve1 2 2 3 6 3" xfId="42958" xr:uid="{00000000-0005-0000-0000-00009B4B0000}"/>
    <cellStyle name="40 % - Markeringsfarve1 2 2 3 7" xfId="20971" xr:uid="{00000000-0005-0000-0000-00009C4B0000}"/>
    <cellStyle name="40 % - Markeringsfarve1 2 2 3 8" xfId="35959" xr:uid="{00000000-0005-0000-0000-00009D4B0000}"/>
    <cellStyle name="40 % - Markeringsfarve1 2 2 3 9" xfId="56462" xr:uid="{00000000-0005-0000-0000-00009E4B0000}"/>
    <cellStyle name="40 % - Markeringsfarve1 2 2 4" xfId="3118" xr:uid="{00000000-0005-0000-0000-00009F4B0000}"/>
    <cellStyle name="40 % - Markeringsfarve1 2 2 4 2" xfId="3119" xr:uid="{00000000-0005-0000-0000-0000A04B0000}"/>
    <cellStyle name="40 % - Markeringsfarve1 2 2 4 2 2" xfId="3120" xr:uid="{00000000-0005-0000-0000-0000A14B0000}"/>
    <cellStyle name="40 % - Markeringsfarve1 2 2 4 2 2 2" xfId="7851" xr:uid="{00000000-0005-0000-0000-0000A24B0000}"/>
    <cellStyle name="40 % - Markeringsfarve1 2 2 4 2 2 2 2" xfId="15753" xr:uid="{00000000-0005-0000-0000-0000A34B0000}"/>
    <cellStyle name="40 % - Markeringsfarve1 2 2 4 2 2 2 2 2" xfId="32068" xr:uid="{00000000-0005-0000-0000-0000A44B0000}"/>
    <cellStyle name="40 % - Markeringsfarve1 2 2 4 2 2 2 2 3" xfId="47032" xr:uid="{00000000-0005-0000-0000-0000A54B0000}"/>
    <cellStyle name="40 % - Markeringsfarve1 2 2 4 2 2 2 3" xfId="25046" xr:uid="{00000000-0005-0000-0000-0000A64B0000}"/>
    <cellStyle name="40 % - Markeringsfarve1 2 2 4 2 2 2 4" xfId="40033" xr:uid="{00000000-0005-0000-0000-0000A74B0000}"/>
    <cellStyle name="40 % - Markeringsfarve1 2 2 4 2 2 3" xfId="11680" xr:uid="{00000000-0005-0000-0000-0000A84B0000}"/>
    <cellStyle name="40 % - Markeringsfarve1 2 2 4 2 2 3 2" xfId="28000" xr:uid="{00000000-0005-0000-0000-0000A94B0000}"/>
    <cellStyle name="40 % - Markeringsfarve1 2 2 4 2 2 3 3" xfId="42965" xr:uid="{00000000-0005-0000-0000-0000AA4B0000}"/>
    <cellStyle name="40 % - Markeringsfarve1 2 2 4 2 2 4" xfId="20978" xr:uid="{00000000-0005-0000-0000-0000AB4B0000}"/>
    <cellStyle name="40 % - Markeringsfarve1 2 2 4 2 2 5" xfId="35966" xr:uid="{00000000-0005-0000-0000-0000AC4B0000}"/>
    <cellStyle name="40 % - Markeringsfarve1 2 2 4 2 3" xfId="6388" xr:uid="{00000000-0005-0000-0000-0000AD4B0000}"/>
    <cellStyle name="40 % - Markeringsfarve1 2 2 4 2 3 2" xfId="14303" xr:uid="{00000000-0005-0000-0000-0000AE4B0000}"/>
    <cellStyle name="40 % - Markeringsfarve1 2 2 4 2 3 2 2" xfId="30618" xr:uid="{00000000-0005-0000-0000-0000AF4B0000}"/>
    <cellStyle name="40 % - Markeringsfarve1 2 2 4 2 3 2 3" xfId="45582" xr:uid="{00000000-0005-0000-0000-0000B04B0000}"/>
    <cellStyle name="40 % - Markeringsfarve1 2 2 4 2 3 3" xfId="23596" xr:uid="{00000000-0005-0000-0000-0000B14B0000}"/>
    <cellStyle name="40 % - Markeringsfarve1 2 2 4 2 3 4" xfId="38583" xr:uid="{00000000-0005-0000-0000-0000B24B0000}"/>
    <cellStyle name="40 % - Markeringsfarve1 2 2 4 2 4" xfId="11679" xr:uid="{00000000-0005-0000-0000-0000B34B0000}"/>
    <cellStyle name="40 % - Markeringsfarve1 2 2 4 2 4 2" xfId="27999" xr:uid="{00000000-0005-0000-0000-0000B44B0000}"/>
    <cellStyle name="40 % - Markeringsfarve1 2 2 4 2 4 3" xfId="42964" xr:uid="{00000000-0005-0000-0000-0000B54B0000}"/>
    <cellStyle name="40 % - Markeringsfarve1 2 2 4 2 5" xfId="20977" xr:uid="{00000000-0005-0000-0000-0000B64B0000}"/>
    <cellStyle name="40 % - Markeringsfarve1 2 2 4 2 6" xfId="35965" xr:uid="{00000000-0005-0000-0000-0000B74B0000}"/>
    <cellStyle name="40 % - Markeringsfarve1 2 2 4 3" xfId="3121" xr:uid="{00000000-0005-0000-0000-0000B84B0000}"/>
    <cellStyle name="40 % - Markeringsfarve1 2 2 4 3 2" xfId="7127" xr:uid="{00000000-0005-0000-0000-0000B94B0000}"/>
    <cellStyle name="40 % - Markeringsfarve1 2 2 4 3 2 2" xfId="15038" xr:uid="{00000000-0005-0000-0000-0000BA4B0000}"/>
    <cellStyle name="40 % - Markeringsfarve1 2 2 4 3 2 2 2" xfId="31353" xr:uid="{00000000-0005-0000-0000-0000BB4B0000}"/>
    <cellStyle name="40 % - Markeringsfarve1 2 2 4 3 2 2 3" xfId="46317" xr:uid="{00000000-0005-0000-0000-0000BC4B0000}"/>
    <cellStyle name="40 % - Markeringsfarve1 2 2 4 3 2 3" xfId="24331" xr:uid="{00000000-0005-0000-0000-0000BD4B0000}"/>
    <cellStyle name="40 % - Markeringsfarve1 2 2 4 3 2 4" xfId="39318" xr:uid="{00000000-0005-0000-0000-0000BE4B0000}"/>
    <cellStyle name="40 % - Markeringsfarve1 2 2 4 3 3" xfId="11681" xr:uid="{00000000-0005-0000-0000-0000BF4B0000}"/>
    <cellStyle name="40 % - Markeringsfarve1 2 2 4 3 3 2" xfId="28001" xr:uid="{00000000-0005-0000-0000-0000C04B0000}"/>
    <cellStyle name="40 % - Markeringsfarve1 2 2 4 3 3 3" xfId="42966" xr:uid="{00000000-0005-0000-0000-0000C14B0000}"/>
    <cellStyle name="40 % - Markeringsfarve1 2 2 4 3 4" xfId="20979" xr:uid="{00000000-0005-0000-0000-0000C24B0000}"/>
    <cellStyle name="40 % - Markeringsfarve1 2 2 4 3 5" xfId="35967" xr:uid="{00000000-0005-0000-0000-0000C34B0000}"/>
    <cellStyle name="40 % - Markeringsfarve1 2 2 4 4" xfId="3122" xr:uid="{00000000-0005-0000-0000-0000C44B0000}"/>
    <cellStyle name="40 % - Markeringsfarve1 2 2 4 4 2" xfId="8184" xr:uid="{00000000-0005-0000-0000-0000C54B0000}"/>
    <cellStyle name="40 % - Markeringsfarve1 2 2 4 4 2 2" xfId="16082" xr:uid="{00000000-0005-0000-0000-0000C64B0000}"/>
    <cellStyle name="40 % - Markeringsfarve1 2 2 4 4 2 2 2" xfId="32397" xr:uid="{00000000-0005-0000-0000-0000C74B0000}"/>
    <cellStyle name="40 % - Markeringsfarve1 2 2 4 4 2 2 3" xfId="47361" xr:uid="{00000000-0005-0000-0000-0000C84B0000}"/>
    <cellStyle name="40 % - Markeringsfarve1 2 2 4 4 2 3" xfId="25375" xr:uid="{00000000-0005-0000-0000-0000C94B0000}"/>
    <cellStyle name="40 % - Markeringsfarve1 2 2 4 4 2 4" xfId="40362" xr:uid="{00000000-0005-0000-0000-0000CA4B0000}"/>
    <cellStyle name="40 % - Markeringsfarve1 2 2 4 4 3" xfId="11682" xr:uid="{00000000-0005-0000-0000-0000CB4B0000}"/>
    <cellStyle name="40 % - Markeringsfarve1 2 2 4 4 3 2" xfId="28002" xr:uid="{00000000-0005-0000-0000-0000CC4B0000}"/>
    <cellStyle name="40 % - Markeringsfarve1 2 2 4 4 3 3" xfId="42967" xr:uid="{00000000-0005-0000-0000-0000CD4B0000}"/>
    <cellStyle name="40 % - Markeringsfarve1 2 2 4 4 4" xfId="20980" xr:uid="{00000000-0005-0000-0000-0000CE4B0000}"/>
    <cellStyle name="40 % - Markeringsfarve1 2 2 4 4 5" xfId="35968" xr:uid="{00000000-0005-0000-0000-0000CF4B0000}"/>
    <cellStyle name="40 % - Markeringsfarve1 2 2 4 5" xfId="5693" xr:uid="{00000000-0005-0000-0000-0000D04B0000}"/>
    <cellStyle name="40 % - Markeringsfarve1 2 2 4 5 2" xfId="13612" xr:uid="{00000000-0005-0000-0000-0000D14B0000}"/>
    <cellStyle name="40 % - Markeringsfarve1 2 2 4 5 2 2" xfId="29927" xr:uid="{00000000-0005-0000-0000-0000D24B0000}"/>
    <cellStyle name="40 % - Markeringsfarve1 2 2 4 5 2 3" xfId="44891" xr:uid="{00000000-0005-0000-0000-0000D34B0000}"/>
    <cellStyle name="40 % - Markeringsfarve1 2 2 4 5 3" xfId="22905" xr:uid="{00000000-0005-0000-0000-0000D44B0000}"/>
    <cellStyle name="40 % - Markeringsfarve1 2 2 4 5 4" xfId="37892" xr:uid="{00000000-0005-0000-0000-0000D54B0000}"/>
    <cellStyle name="40 % - Markeringsfarve1 2 2 4 6" xfId="11678" xr:uid="{00000000-0005-0000-0000-0000D64B0000}"/>
    <cellStyle name="40 % - Markeringsfarve1 2 2 4 6 2" xfId="27998" xr:uid="{00000000-0005-0000-0000-0000D74B0000}"/>
    <cellStyle name="40 % - Markeringsfarve1 2 2 4 6 3" xfId="42963" xr:uid="{00000000-0005-0000-0000-0000D84B0000}"/>
    <cellStyle name="40 % - Markeringsfarve1 2 2 4 7" xfId="20976" xr:uid="{00000000-0005-0000-0000-0000D94B0000}"/>
    <cellStyle name="40 % - Markeringsfarve1 2 2 4 8" xfId="35964" xr:uid="{00000000-0005-0000-0000-0000DA4B0000}"/>
    <cellStyle name="40 % - Markeringsfarve1 2 2 5" xfId="3123" xr:uid="{00000000-0005-0000-0000-0000DB4B0000}"/>
    <cellStyle name="40 % - Markeringsfarve1 2 2 5 2" xfId="3124" xr:uid="{00000000-0005-0000-0000-0000DC4B0000}"/>
    <cellStyle name="40 % - Markeringsfarve1 2 2 5 2 2" xfId="3125" xr:uid="{00000000-0005-0000-0000-0000DD4B0000}"/>
    <cellStyle name="40 % - Markeringsfarve1 2 2 5 2 2 2" xfId="7968" xr:uid="{00000000-0005-0000-0000-0000DE4B0000}"/>
    <cellStyle name="40 % - Markeringsfarve1 2 2 5 2 2 2 2" xfId="15870" xr:uid="{00000000-0005-0000-0000-0000DF4B0000}"/>
    <cellStyle name="40 % - Markeringsfarve1 2 2 5 2 2 2 2 2" xfId="32185" xr:uid="{00000000-0005-0000-0000-0000E04B0000}"/>
    <cellStyle name="40 % - Markeringsfarve1 2 2 5 2 2 2 2 3" xfId="47149" xr:uid="{00000000-0005-0000-0000-0000E14B0000}"/>
    <cellStyle name="40 % - Markeringsfarve1 2 2 5 2 2 2 3" xfId="25163" xr:uid="{00000000-0005-0000-0000-0000E24B0000}"/>
    <cellStyle name="40 % - Markeringsfarve1 2 2 5 2 2 2 4" xfId="40150" xr:uid="{00000000-0005-0000-0000-0000E34B0000}"/>
    <cellStyle name="40 % - Markeringsfarve1 2 2 5 2 2 3" xfId="11685" xr:uid="{00000000-0005-0000-0000-0000E44B0000}"/>
    <cellStyle name="40 % - Markeringsfarve1 2 2 5 2 2 3 2" xfId="28005" xr:uid="{00000000-0005-0000-0000-0000E54B0000}"/>
    <cellStyle name="40 % - Markeringsfarve1 2 2 5 2 2 3 3" xfId="42970" xr:uid="{00000000-0005-0000-0000-0000E64B0000}"/>
    <cellStyle name="40 % - Markeringsfarve1 2 2 5 2 2 4" xfId="20983" xr:uid="{00000000-0005-0000-0000-0000E74B0000}"/>
    <cellStyle name="40 % - Markeringsfarve1 2 2 5 2 2 5" xfId="35971" xr:uid="{00000000-0005-0000-0000-0000E84B0000}"/>
    <cellStyle name="40 % - Markeringsfarve1 2 2 5 2 3" xfId="6487" xr:uid="{00000000-0005-0000-0000-0000E94B0000}"/>
    <cellStyle name="40 % - Markeringsfarve1 2 2 5 2 3 2" xfId="14402" xr:uid="{00000000-0005-0000-0000-0000EA4B0000}"/>
    <cellStyle name="40 % - Markeringsfarve1 2 2 5 2 3 2 2" xfId="30717" xr:uid="{00000000-0005-0000-0000-0000EB4B0000}"/>
    <cellStyle name="40 % - Markeringsfarve1 2 2 5 2 3 2 3" xfId="45681" xr:uid="{00000000-0005-0000-0000-0000EC4B0000}"/>
    <cellStyle name="40 % - Markeringsfarve1 2 2 5 2 3 3" xfId="23695" xr:uid="{00000000-0005-0000-0000-0000ED4B0000}"/>
    <cellStyle name="40 % - Markeringsfarve1 2 2 5 2 3 4" xfId="38682" xr:uid="{00000000-0005-0000-0000-0000EE4B0000}"/>
    <cellStyle name="40 % - Markeringsfarve1 2 2 5 2 4" xfId="11684" xr:uid="{00000000-0005-0000-0000-0000EF4B0000}"/>
    <cellStyle name="40 % - Markeringsfarve1 2 2 5 2 4 2" xfId="28004" xr:uid="{00000000-0005-0000-0000-0000F04B0000}"/>
    <cellStyle name="40 % - Markeringsfarve1 2 2 5 2 4 3" xfId="42969" xr:uid="{00000000-0005-0000-0000-0000F14B0000}"/>
    <cellStyle name="40 % - Markeringsfarve1 2 2 5 2 5" xfId="20982" xr:uid="{00000000-0005-0000-0000-0000F24B0000}"/>
    <cellStyle name="40 % - Markeringsfarve1 2 2 5 2 6" xfId="35970" xr:uid="{00000000-0005-0000-0000-0000F34B0000}"/>
    <cellStyle name="40 % - Markeringsfarve1 2 2 5 3" xfId="3126" xr:uid="{00000000-0005-0000-0000-0000F44B0000}"/>
    <cellStyle name="40 % - Markeringsfarve1 2 2 5 3 2" xfId="7244" xr:uid="{00000000-0005-0000-0000-0000F54B0000}"/>
    <cellStyle name="40 % - Markeringsfarve1 2 2 5 3 2 2" xfId="15155" xr:uid="{00000000-0005-0000-0000-0000F64B0000}"/>
    <cellStyle name="40 % - Markeringsfarve1 2 2 5 3 2 2 2" xfId="31470" xr:uid="{00000000-0005-0000-0000-0000F74B0000}"/>
    <cellStyle name="40 % - Markeringsfarve1 2 2 5 3 2 2 3" xfId="46434" xr:uid="{00000000-0005-0000-0000-0000F84B0000}"/>
    <cellStyle name="40 % - Markeringsfarve1 2 2 5 3 2 3" xfId="24448" xr:uid="{00000000-0005-0000-0000-0000F94B0000}"/>
    <cellStyle name="40 % - Markeringsfarve1 2 2 5 3 2 4" xfId="39435" xr:uid="{00000000-0005-0000-0000-0000FA4B0000}"/>
    <cellStyle name="40 % - Markeringsfarve1 2 2 5 3 3" xfId="11686" xr:uid="{00000000-0005-0000-0000-0000FB4B0000}"/>
    <cellStyle name="40 % - Markeringsfarve1 2 2 5 3 3 2" xfId="28006" xr:uid="{00000000-0005-0000-0000-0000FC4B0000}"/>
    <cellStyle name="40 % - Markeringsfarve1 2 2 5 3 3 3" xfId="42971" xr:uid="{00000000-0005-0000-0000-0000FD4B0000}"/>
    <cellStyle name="40 % - Markeringsfarve1 2 2 5 3 4" xfId="20984" xr:uid="{00000000-0005-0000-0000-0000FE4B0000}"/>
    <cellStyle name="40 % - Markeringsfarve1 2 2 5 3 5" xfId="35972" xr:uid="{00000000-0005-0000-0000-0000FF4B0000}"/>
    <cellStyle name="40 % - Markeringsfarve1 2 2 5 4" xfId="3127" xr:uid="{00000000-0005-0000-0000-0000004C0000}"/>
    <cellStyle name="40 % - Markeringsfarve1 2 2 5 4 2" xfId="6645" xr:uid="{00000000-0005-0000-0000-0000014C0000}"/>
    <cellStyle name="40 % - Markeringsfarve1 2 2 5 4 2 2" xfId="14559" xr:uid="{00000000-0005-0000-0000-0000024C0000}"/>
    <cellStyle name="40 % - Markeringsfarve1 2 2 5 4 2 2 2" xfId="30874" xr:uid="{00000000-0005-0000-0000-0000034C0000}"/>
    <cellStyle name="40 % - Markeringsfarve1 2 2 5 4 2 2 3" xfId="45838" xr:uid="{00000000-0005-0000-0000-0000044C0000}"/>
    <cellStyle name="40 % - Markeringsfarve1 2 2 5 4 2 3" xfId="23852" xr:uid="{00000000-0005-0000-0000-0000054C0000}"/>
    <cellStyle name="40 % - Markeringsfarve1 2 2 5 4 2 4" xfId="38839" xr:uid="{00000000-0005-0000-0000-0000064C0000}"/>
    <cellStyle name="40 % - Markeringsfarve1 2 2 5 4 3" xfId="11687" xr:uid="{00000000-0005-0000-0000-0000074C0000}"/>
    <cellStyle name="40 % - Markeringsfarve1 2 2 5 4 3 2" xfId="28007" xr:uid="{00000000-0005-0000-0000-0000084C0000}"/>
    <cellStyle name="40 % - Markeringsfarve1 2 2 5 4 3 3" xfId="42972" xr:uid="{00000000-0005-0000-0000-0000094C0000}"/>
    <cellStyle name="40 % - Markeringsfarve1 2 2 5 4 4" xfId="20985" xr:uid="{00000000-0005-0000-0000-00000A4C0000}"/>
    <cellStyle name="40 % - Markeringsfarve1 2 2 5 4 5" xfId="35973" xr:uid="{00000000-0005-0000-0000-00000B4C0000}"/>
    <cellStyle name="40 % - Markeringsfarve1 2 2 5 5" xfId="5694" xr:uid="{00000000-0005-0000-0000-00000C4C0000}"/>
    <cellStyle name="40 % - Markeringsfarve1 2 2 5 5 2" xfId="13613" xr:uid="{00000000-0005-0000-0000-00000D4C0000}"/>
    <cellStyle name="40 % - Markeringsfarve1 2 2 5 5 2 2" xfId="29928" xr:uid="{00000000-0005-0000-0000-00000E4C0000}"/>
    <cellStyle name="40 % - Markeringsfarve1 2 2 5 5 2 3" xfId="44892" xr:uid="{00000000-0005-0000-0000-00000F4C0000}"/>
    <cellStyle name="40 % - Markeringsfarve1 2 2 5 5 3" xfId="22906" xr:uid="{00000000-0005-0000-0000-0000104C0000}"/>
    <cellStyle name="40 % - Markeringsfarve1 2 2 5 5 4" xfId="37893" xr:uid="{00000000-0005-0000-0000-0000114C0000}"/>
    <cellStyle name="40 % - Markeringsfarve1 2 2 5 6" xfId="11683" xr:uid="{00000000-0005-0000-0000-0000124C0000}"/>
    <cellStyle name="40 % - Markeringsfarve1 2 2 5 6 2" xfId="28003" xr:uid="{00000000-0005-0000-0000-0000134C0000}"/>
    <cellStyle name="40 % - Markeringsfarve1 2 2 5 6 3" xfId="42968" xr:uid="{00000000-0005-0000-0000-0000144C0000}"/>
    <cellStyle name="40 % - Markeringsfarve1 2 2 5 7" xfId="20981" xr:uid="{00000000-0005-0000-0000-0000154C0000}"/>
    <cellStyle name="40 % - Markeringsfarve1 2 2 5 8" xfId="35969" xr:uid="{00000000-0005-0000-0000-0000164C0000}"/>
    <cellStyle name="40 % - Markeringsfarve1 2 2 6" xfId="3128" xr:uid="{00000000-0005-0000-0000-0000174C0000}"/>
    <cellStyle name="40 % - Markeringsfarve1 2 2 6 2" xfId="3129" xr:uid="{00000000-0005-0000-0000-0000184C0000}"/>
    <cellStyle name="40 % - Markeringsfarve1 2 2 6 2 2" xfId="3130" xr:uid="{00000000-0005-0000-0000-0000194C0000}"/>
    <cellStyle name="40 % - Markeringsfarve1 2 2 6 2 2 2" xfId="8075" xr:uid="{00000000-0005-0000-0000-00001A4C0000}"/>
    <cellStyle name="40 % - Markeringsfarve1 2 2 6 2 2 2 2" xfId="15977" xr:uid="{00000000-0005-0000-0000-00001B4C0000}"/>
    <cellStyle name="40 % - Markeringsfarve1 2 2 6 2 2 2 2 2" xfId="32292" xr:uid="{00000000-0005-0000-0000-00001C4C0000}"/>
    <cellStyle name="40 % - Markeringsfarve1 2 2 6 2 2 2 2 3" xfId="47256" xr:uid="{00000000-0005-0000-0000-00001D4C0000}"/>
    <cellStyle name="40 % - Markeringsfarve1 2 2 6 2 2 2 3" xfId="25270" xr:uid="{00000000-0005-0000-0000-00001E4C0000}"/>
    <cellStyle name="40 % - Markeringsfarve1 2 2 6 2 2 2 4" xfId="40257" xr:uid="{00000000-0005-0000-0000-00001F4C0000}"/>
    <cellStyle name="40 % - Markeringsfarve1 2 2 6 2 2 3" xfId="11690" xr:uid="{00000000-0005-0000-0000-0000204C0000}"/>
    <cellStyle name="40 % - Markeringsfarve1 2 2 6 2 2 3 2" xfId="28010" xr:uid="{00000000-0005-0000-0000-0000214C0000}"/>
    <cellStyle name="40 % - Markeringsfarve1 2 2 6 2 2 3 3" xfId="42975" xr:uid="{00000000-0005-0000-0000-0000224C0000}"/>
    <cellStyle name="40 % - Markeringsfarve1 2 2 6 2 2 4" xfId="20988" xr:uid="{00000000-0005-0000-0000-0000234C0000}"/>
    <cellStyle name="40 % - Markeringsfarve1 2 2 6 2 2 5" xfId="35976" xr:uid="{00000000-0005-0000-0000-0000244C0000}"/>
    <cellStyle name="40 % - Markeringsfarve1 2 2 6 2 3" xfId="6577" xr:uid="{00000000-0005-0000-0000-0000254C0000}"/>
    <cellStyle name="40 % - Markeringsfarve1 2 2 6 2 3 2" xfId="14492" xr:uid="{00000000-0005-0000-0000-0000264C0000}"/>
    <cellStyle name="40 % - Markeringsfarve1 2 2 6 2 3 2 2" xfId="30807" xr:uid="{00000000-0005-0000-0000-0000274C0000}"/>
    <cellStyle name="40 % - Markeringsfarve1 2 2 6 2 3 2 3" xfId="45771" xr:uid="{00000000-0005-0000-0000-0000284C0000}"/>
    <cellStyle name="40 % - Markeringsfarve1 2 2 6 2 3 3" xfId="23785" xr:uid="{00000000-0005-0000-0000-0000294C0000}"/>
    <cellStyle name="40 % - Markeringsfarve1 2 2 6 2 3 4" xfId="38772" xr:uid="{00000000-0005-0000-0000-00002A4C0000}"/>
    <cellStyle name="40 % - Markeringsfarve1 2 2 6 2 4" xfId="11689" xr:uid="{00000000-0005-0000-0000-00002B4C0000}"/>
    <cellStyle name="40 % - Markeringsfarve1 2 2 6 2 4 2" xfId="28009" xr:uid="{00000000-0005-0000-0000-00002C4C0000}"/>
    <cellStyle name="40 % - Markeringsfarve1 2 2 6 2 4 3" xfId="42974" xr:uid="{00000000-0005-0000-0000-00002D4C0000}"/>
    <cellStyle name="40 % - Markeringsfarve1 2 2 6 2 5" xfId="20987" xr:uid="{00000000-0005-0000-0000-00002E4C0000}"/>
    <cellStyle name="40 % - Markeringsfarve1 2 2 6 2 6" xfId="35975" xr:uid="{00000000-0005-0000-0000-00002F4C0000}"/>
    <cellStyle name="40 % - Markeringsfarve1 2 2 6 3" xfId="3131" xr:uid="{00000000-0005-0000-0000-0000304C0000}"/>
    <cellStyle name="40 % - Markeringsfarve1 2 2 6 3 2" xfId="7352" xr:uid="{00000000-0005-0000-0000-0000314C0000}"/>
    <cellStyle name="40 % - Markeringsfarve1 2 2 6 3 2 2" xfId="15263" xr:uid="{00000000-0005-0000-0000-0000324C0000}"/>
    <cellStyle name="40 % - Markeringsfarve1 2 2 6 3 2 2 2" xfId="31578" xr:uid="{00000000-0005-0000-0000-0000334C0000}"/>
    <cellStyle name="40 % - Markeringsfarve1 2 2 6 3 2 2 3" xfId="46542" xr:uid="{00000000-0005-0000-0000-0000344C0000}"/>
    <cellStyle name="40 % - Markeringsfarve1 2 2 6 3 2 3" xfId="24556" xr:uid="{00000000-0005-0000-0000-0000354C0000}"/>
    <cellStyle name="40 % - Markeringsfarve1 2 2 6 3 2 4" xfId="39543" xr:uid="{00000000-0005-0000-0000-0000364C0000}"/>
    <cellStyle name="40 % - Markeringsfarve1 2 2 6 3 3" xfId="11691" xr:uid="{00000000-0005-0000-0000-0000374C0000}"/>
    <cellStyle name="40 % - Markeringsfarve1 2 2 6 3 3 2" xfId="28011" xr:uid="{00000000-0005-0000-0000-0000384C0000}"/>
    <cellStyle name="40 % - Markeringsfarve1 2 2 6 3 3 3" xfId="42976" xr:uid="{00000000-0005-0000-0000-0000394C0000}"/>
    <cellStyle name="40 % - Markeringsfarve1 2 2 6 3 4" xfId="20989" xr:uid="{00000000-0005-0000-0000-00003A4C0000}"/>
    <cellStyle name="40 % - Markeringsfarve1 2 2 6 3 5" xfId="35977" xr:uid="{00000000-0005-0000-0000-00003B4C0000}"/>
    <cellStyle name="40 % - Markeringsfarve1 2 2 6 4" xfId="3132" xr:uid="{00000000-0005-0000-0000-00003C4C0000}"/>
    <cellStyle name="40 % - Markeringsfarve1 2 2 6 4 2" xfId="7022" xr:uid="{00000000-0005-0000-0000-00003D4C0000}"/>
    <cellStyle name="40 % - Markeringsfarve1 2 2 6 4 2 2" xfId="14934" xr:uid="{00000000-0005-0000-0000-00003E4C0000}"/>
    <cellStyle name="40 % - Markeringsfarve1 2 2 6 4 2 2 2" xfId="31249" xr:uid="{00000000-0005-0000-0000-00003F4C0000}"/>
    <cellStyle name="40 % - Markeringsfarve1 2 2 6 4 2 2 3" xfId="46213" xr:uid="{00000000-0005-0000-0000-0000404C0000}"/>
    <cellStyle name="40 % - Markeringsfarve1 2 2 6 4 2 3" xfId="24227" xr:uid="{00000000-0005-0000-0000-0000414C0000}"/>
    <cellStyle name="40 % - Markeringsfarve1 2 2 6 4 2 4" xfId="39214" xr:uid="{00000000-0005-0000-0000-0000424C0000}"/>
    <cellStyle name="40 % - Markeringsfarve1 2 2 6 4 3" xfId="11692" xr:uid="{00000000-0005-0000-0000-0000434C0000}"/>
    <cellStyle name="40 % - Markeringsfarve1 2 2 6 4 3 2" xfId="28012" xr:uid="{00000000-0005-0000-0000-0000444C0000}"/>
    <cellStyle name="40 % - Markeringsfarve1 2 2 6 4 3 3" xfId="42977" xr:uid="{00000000-0005-0000-0000-0000454C0000}"/>
    <cellStyle name="40 % - Markeringsfarve1 2 2 6 4 4" xfId="20990" xr:uid="{00000000-0005-0000-0000-0000464C0000}"/>
    <cellStyle name="40 % - Markeringsfarve1 2 2 6 4 5" xfId="35978" xr:uid="{00000000-0005-0000-0000-0000474C0000}"/>
    <cellStyle name="40 % - Markeringsfarve1 2 2 6 5" xfId="5695" xr:uid="{00000000-0005-0000-0000-0000484C0000}"/>
    <cellStyle name="40 % - Markeringsfarve1 2 2 6 5 2" xfId="13614" xr:uid="{00000000-0005-0000-0000-0000494C0000}"/>
    <cellStyle name="40 % - Markeringsfarve1 2 2 6 5 2 2" xfId="29929" xr:uid="{00000000-0005-0000-0000-00004A4C0000}"/>
    <cellStyle name="40 % - Markeringsfarve1 2 2 6 5 2 3" xfId="44893" xr:uid="{00000000-0005-0000-0000-00004B4C0000}"/>
    <cellStyle name="40 % - Markeringsfarve1 2 2 6 5 3" xfId="22907" xr:uid="{00000000-0005-0000-0000-00004C4C0000}"/>
    <cellStyle name="40 % - Markeringsfarve1 2 2 6 5 4" xfId="37894" xr:uid="{00000000-0005-0000-0000-00004D4C0000}"/>
    <cellStyle name="40 % - Markeringsfarve1 2 2 6 6" xfId="11688" xr:uid="{00000000-0005-0000-0000-00004E4C0000}"/>
    <cellStyle name="40 % - Markeringsfarve1 2 2 6 6 2" xfId="28008" xr:uid="{00000000-0005-0000-0000-00004F4C0000}"/>
    <cellStyle name="40 % - Markeringsfarve1 2 2 6 6 3" xfId="42973" xr:uid="{00000000-0005-0000-0000-0000504C0000}"/>
    <cellStyle name="40 % - Markeringsfarve1 2 2 6 7" xfId="20986" xr:uid="{00000000-0005-0000-0000-0000514C0000}"/>
    <cellStyle name="40 % - Markeringsfarve1 2 2 6 8" xfId="35974" xr:uid="{00000000-0005-0000-0000-0000524C0000}"/>
    <cellStyle name="40 % - Markeringsfarve1 2 2 7" xfId="3133" xr:uid="{00000000-0005-0000-0000-0000534C0000}"/>
    <cellStyle name="40 % - Markeringsfarve1 2 2 7 2" xfId="3134" xr:uid="{00000000-0005-0000-0000-0000544C0000}"/>
    <cellStyle name="40 % - Markeringsfarve1 2 2 7 2 2" xfId="7494" xr:uid="{00000000-0005-0000-0000-0000554C0000}"/>
    <cellStyle name="40 % - Markeringsfarve1 2 2 7 2 2 2" xfId="15396" xr:uid="{00000000-0005-0000-0000-0000564C0000}"/>
    <cellStyle name="40 % - Markeringsfarve1 2 2 7 2 2 2 2" xfId="31711" xr:uid="{00000000-0005-0000-0000-0000574C0000}"/>
    <cellStyle name="40 % - Markeringsfarve1 2 2 7 2 2 2 3" xfId="46675" xr:uid="{00000000-0005-0000-0000-0000584C0000}"/>
    <cellStyle name="40 % - Markeringsfarve1 2 2 7 2 2 3" xfId="24689" xr:uid="{00000000-0005-0000-0000-0000594C0000}"/>
    <cellStyle name="40 % - Markeringsfarve1 2 2 7 2 2 4" xfId="39676" xr:uid="{00000000-0005-0000-0000-00005A4C0000}"/>
    <cellStyle name="40 % - Markeringsfarve1 2 2 7 2 3" xfId="11694" xr:uid="{00000000-0005-0000-0000-00005B4C0000}"/>
    <cellStyle name="40 % - Markeringsfarve1 2 2 7 2 3 2" xfId="28014" xr:uid="{00000000-0005-0000-0000-00005C4C0000}"/>
    <cellStyle name="40 % - Markeringsfarve1 2 2 7 2 3 3" xfId="42979" xr:uid="{00000000-0005-0000-0000-00005D4C0000}"/>
    <cellStyle name="40 % - Markeringsfarve1 2 2 7 2 4" xfId="20992" xr:uid="{00000000-0005-0000-0000-00005E4C0000}"/>
    <cellStyle name="40 % - Markeringsfarve1 2 2 7 2 5" xfId="35980" xr:uid="{00000000-0005-0000-0000-00005F4C0000}"/>
    <cellStyle name="40 % - Markeringsfarve1 2 2 7 3" xfId="6087" xr:uid="{00000000-0005-0000-0000-0000604C0000}"/>
    <cellStyle name="40 % - Markeringsfarve1 2 2 7 3 2" xfId="14005" xr:uid="{00000000-0005-0000-0000-0000614C0000}"/>
    <cellStyle name="40 % - Markeringsfarve1 2 2 7 3 2 2" xfId="30320" xr:uid="{00000000-0005-0000-0000-0000624C0000}"/>
    <cellStyle name="40 % - Markeringsfarve1 2 2 7 3 2 3" xfId="45284" xr:uid="{00000000-0005-0000-0000-0000634C0000}"/>
    <cellStyle name="40 % - Markeringsfarve1 2 2 7 3 3" xfId="23298" xr:uid="{00000000-0005-0000-0000-0000644C0000}"/>
    <cellStyle name="40 % - Markeringsfarve1 2 2 7 3 4" xfId="38285" xr:uid="{00000000-0005-0000-0000-0000654C0000}"/>
    <cellStyle name="40 % - Markeringsfarve1 2 2 7 4" xfId="11693" xr:uid="{00000000-0005-0000-0000-0000664C0000}"/>
    <cellStyle name="40 % - Markeringsfarve1 2 2 7 4 2" xfId="28013" xr:uid="{00000000-0005-0000-0000-0000674C0000}"/>
    <cellStyle name="40 % - Markeringsfarve1 2 2 7 4 3" xfId="42978" xr:uid="{00000000-0005-0000-0000-0000684C0000}"/>
    <cellStyle name="40 % - Markeringsfarve1 2 2 7 5" xfId="20991" xr:uid="{00000000-0005-0000-0000-0000694C0000}"/>
    <cellStyle name="40 % - Markeringsfarve1 2 2 7 6" xfId="35979" xr:uid="{00000000-0005-0000-0000-00006A4C0000}"/>
    <cellStyle name="40 % - Markeringsfarve1 2 2 8" xfId="3135" xr:uid="{00000000-0005-0000-0000-00006B4C0000}"/>
    <cellStyle name="40 % - Markeringsfarve1 2 2 8 2" xfId="6722" xr:uid="{00000000-0005-0000-0000-00006C4C0000}"/>
    <cellStyle name="40 % - Markeringsfarve1 2 2 8 2 2" xfId="14634" xr:uid="{00000000-0005-0000-0000-00006D4C0000}"/>
    <cellStyle name="40 % - Markeringsfarve1 2 2 8 2 2 2" xfId="30949" xr:uid="{00000000-0005-0000-0000-00006E4C0000}"/>
    <cellStyle name="40 % - Markeringsfarve1 2 2 8 2 2 3" xfId="45913" xr:uid="{00000000-0005-0000-0000-00006F4C0000}"/>
    <cellStyle name="40 % - Markeringsfarve1 2 2 8 2 3" xfId="23927" xr:uid="{00000000-0005-0000-0000-0000704C0000}"/>
    <cellStyle name="40 % - Markeringsfarve1 2 2 8 2 4" xfId="38914" xr:uid="{00000000-0005-0000-0000-0000714C0000}"/>
    <cellStyle name="40 % - Markeringsfarve1 2 2 8 3" xfId="11695" xr:uid="{00000000-0005-0000-0000-0000724C0000}"/>
    <cellStyle name="40 % - Markeringsfarve1 2 2 8 3 2" xfId="28015" xr:uid="{00000000-0005-0000-0000-0000734C0000}"/>
    <cellStyle name="40 % - Markeringsfarve1 2 2 8 3 3" xfId="42980" xr:uid="{00000000-0005-0000-0000-0000744C0000}"/>
    <cellStyle name="40 % - Markeringsfarve1 2 2 8 4" xfId="20993" xr:uid="{00000000-0005-0000-0000-0000754C0000}"/>
    <cellStyle name="40 % - Markeringsfarve1 2 2 8 5" xfId="35981" xr:uid="{00000000-0005-0000-0000-0000764C0000}"/>
    <cellStyle name="40 % - Markeringsfarve1 2 2 9" xfId="3136" xr:uid="{00000000-0005-0000-0000-0000774C0000}"/>
    <cellStyle name="40 % - Markeringsfarve1 2 2 9 2" xfId="8586" xr:uid="{00000000-0005-0000-0000-0000784C0000}"/>
    <cellStyle name="40 % - Markeringsfarve1 2 2 9 2 2" xfId="16470" xr:uid="{00000000-0005-0000-0000-0000794C0000}"/>
    <cellStyle name="40 % - Markeringsfarve1 2 2 9 2 2 2" xfId="32785" xr:uid="{00000000-0005-0000-0000-00007A4C0000}"/>
    <cellStyle name="40 % - Markeringsfarve1 2 2 9 2 2 3" xfId="47749" xr:uid="{00000000-0005-0000-0000-00007B4C0000}"/>
    <cellStyle name="40 % - Markeringsfarve1 2 2 9 2 3" xfId="25763" xr:uid="{00000000-0005-0000-0000-00007C4C0000}"/>
    <cellStyle name="40 % - Markeringsfarve1 2 2 9 2 4" xfId="40750" xr:uid="{00000000-0005-0000-0000-00007D4C0000}"/>
    <cellStyle name="40 % - Markeringsfarve1 2 2 9 3" xfId="11696" xr:uid="{00000000-0005-0000-0000-00007E4C0000}"/>
    <cellStyle name="40 % - Markeringsfarve1 2 2 9 3 2" xfId="28016" xr:uid="{00000000-0005-0000-0000-00007F4C0000}"/>
    <cellStyle name="40 % - Markeringsfarve1 2 2 9 3 3" xfId="42981" xr:uid="{00000000-0005-0000-0000-0000804C0000}"/>
    <cellStyle name="40 % - Markeringsfarve1 2 2 9 4" xfId="20994" xr:uid="{00000000-0005-0000-0000-0000814C0000}"/>
    <cellStyle name="40 % - Markeringsfarve1 2 2 9 5" xfId="35982" xr:uid="{00000000-0005-0000-0000-0000824C0000}"/>
    <cellStyle name="40 % - Markeringsfarve1 2 3" xfId="3137" xr:uid="{00000000-0005-0000-0000-0000834C0000}"/>
    <cellStyle name="40 % - Markeringsfarve1 2 3 10" xfId="5696" xr:uid="{00000000-0005-0000-0000-0000844C0000}"/>
    <cellStyle name="40 % - Markeringsfarve1 2 3 10 2" xfId="13615" xr:uid="{00000000-0005-0000-0000-0000854C0000}"/>
    <cellStyle name="40 % - Markeringsfarve1 2 3 10 2 2" xfId="29930" xr:uid="{00000000-0005-0000-0000-0000864C0000}"/>
    <cellStyle name="40 % - Markeringsfarve1 2 3 10 2 3" xfId="44894" xr:uid="{00000000-0005-0000-0000-0000874C0000}"/>
    <cellStyle name="40 % - Markeringsfarve1 2 3 10 3" xfId="22908" xr:uid="{00000000-0005-0000-0000-0000884C0000}"/>
    <cellStyle name="40 % - Markeringsfarve1 2 3 10 4" xfId="37895" xr:uid="{00000000-0005-0000-0000-0000894C0000}"/>
    <cellStyle name="40 % - Markeringsfarve1 2 3 11" xfId="11697" xr:uid="{00000000-0005-0000-0000-00008A4C0000}"/>
    <cellStyle name="40 % - Markeringsfarve1 2 3 11 2" xfId="28017" xr:uid="{00000000-0005-0000-0000-00008B4C0000}"/>
    <cellStyle name="40 % - Markeringsfarve1 2 3 11 3" xfId="42982" xr:uid="{00000000-0005-0000-0000-00008C4C0000}"/>
    <cellStyle name="40 % - Markeringsfarve1 2 3 12" xfId="20995" xr:uid="{00000000-0005-0000-0000-00008D4C0000}"/>
    <cellStyle name="40 % - Markeringsfarve1 2 3 13" xfId="35983" xr:uid="{00000000-0005-0000-0000-00008E4C0000}"/>
    <cellStyle name="40 % - Markeringsfarve1 2 3 14" xfId="53280" xr:uid="{00000000-0005-0000-0000-00008F4C0000}"/>
    <cellStyle name="40 % - Markeringsfarve1 2 3 2" xfId="3138" xr:uid="{00000000-0005-0000-0000-0000904C0000}"/>
    <cellStyle name="40 % - Markeringsfarve1 2 3 2 2" xfId="3139" xr:uid="{00000000-0005-0000-0000-0000914C0000}"/>
    <cellStyle name="40 % - Markeringsfarve1 2 3 2 2 2" xfId="3140" xr:uid="{00000000-0005-0000-0000-0000924C0000}"/>
    <cellStyle name="40 % - Markeringsfarve1 2 3 2 2 2 2" xfId="7652" xr:uid="{00000000-0005-0000-0000-0000934C0000}"/>
    <cellStyle name="40 % - Markeringsfarve1 2 3 2 2 2 2 2" xfId="15554" xr:uid="{00000000-0005-0000-0000-0000944C0000}"/>
    <cellStyle name="40 % - Markeringsfarve1 2 3 2 2 2 2 2 2" xfId="31869" xr:uid="{00000000-0005-0000-0000-0000954C0000}"/>
    <cellStyle name="40 % - Markeringsfarve1 2 3 2 2 2 2 2 3" xfId="46833" xr:uid="{00000000-0005-0000-0000-0000964C0000}"/>
    <cellStyle name="40 % - Markeringsfarve1 2 3 2 2 2 2 3" xfId="24847" xr:uid="{00000000-0005-0000-0000-0000974C0000}"/>
    <cellStyle name="40 % - Markeringsfarve1 2 3 2 2 2 2 4" xfId="39834" xr:uid="{00000000-0005-0000-0000-0000984C0000}"/>
    <cellStyle name="40 % - Markeringsfarve1 2 3 2 2 2 3" xfId="11700" xr:uid="{00000000-0005-0000-0000-0000994C0000}"/>
    <cellStyle name="40 % - Markeringsfarve1 2 3 2 2 2 3 2" xfId="28020" xr:uid="{00000000-0005-0000-0000-00009A4C0000}"/>
    <cellStyle name="40 % - Markeringsfarve1 2 3 2 2 2 3 3" xfId="42985" xr:uid="{00000000-0005-0000-0000-00009B4C0000}"/>
    <cellStyle name="40 % - Markeringsfarve1 2 3 2 2 2 4" xfId="20998" xr:uid="{00000000-0005-0000-0000-00009C4C0000}"/>
    <cellStyle name="40 % - Markeringsfarve1 2 3 2 2 2 5" xfId="35986" xr:uid="{00000000-0005-0000-0000-00009D4C0000}"/>
    <cellStyle name="40 % - Markeringsfarve1 2 3 2 2 3" xfId="6219" xr:uid="{00000000-0005-0000-0000-00009E4C0000}"/>
    <cellStyle name="40 % - Markeringsfarve1 2 3 2 2 3 2" xfId="14137" xr:uid="{00000000-0005-0000-0000-00009F4C0000}"/>
    <cellStyle name="40 % - Markeringsfarve1 2 3 2 2 3 2 2" xfId="30452" xr:uid="{00000000-0005-0000-0000-0000A04C0000}"/>
    <cellStyle name="40 % - Markeringsfarve1 2 3 2 2 3 2 3" xfId="45416" xr:uid="{00000000-0005-0000-0000-0000A14C0000}"/>
    <cellStyle name="40 % - Markeringsfarve1 2 3 2 2 3 3" xfId="23430" xr:uid="{00000000-0005-0000-0000-0000A24C0000}"/>
    <cellStyle name="40 % - Markeringsfarve1 2 3 2 2 3 4" xfId="38417" xr:uid="{00000000-0005-0000-0000-0000A34C0000}"/>
    <cellStyle name="40 % - Markeringsfarve1 2 3 2 2 4" xfId="11699" xr:uid="{00000000-0005-0000-0000-0000A44C0000}"/>
    <cellStyle name="40 % - Markeringsfarve1 2 3 2 2 4 2" xfId="28019" xr:uid="{00000000-0005-0000-0000-0000A54C0000}"/>
    <cellStyle name="40 % - Markeringsfarve1 2 3 2 2 4 3" xfId="42984" xr:uid="{00000000-0005-0000-0000-0000A64C0000}"/>
    <cellStyle name="40 % - Markeringsfarve1 2 3 2 2 5" xfId="20997" xr:uid="{00000000-0005-0000-0000-0000A74C0000}"/>
    <cellStyle name="40 % - Markeringsfarve1 2 3 2 2 6" xfId="35985" xr:uid="{00000000-0005-0000-0000-0000A84C0000}"/>
    <cellStyle name="40 % - Markeringsfarve1 2 3 2 2 7" xfId="57084" xr:uid="{00000000-0005-0000-0000-0000A94C0000}"/>
    <cellStyle name="40 % - Markeringsfarve1 2 3 2 3" xfId="3141" xr:uid="{00000000-0005-0000-0000-0000AA4C0000}"/>
    <cellStyle name="40 % - Markeringsfarve1 2 3 2 3 2" xfId="6882" xr:uid="{00000000-0005-0000-0000-0000AB4C0000}"/>
    <cellStyle name="40 % - Markeringsfarve1 2 3 2 3 2 2" xfId="14794" xr:uid="{00000000-0005-0000-0000-0000AC4C0000}"/>
    <cellStyle name="40 % - Markeringsfarve1 2 3 2 3 2 2 2" xfId="31109" xr:uid="{00000000-0005-0000-0000-0000AD4C0000}"/>
    <cellStyle name="40 % - Markeringsfarve1 2 3 2 3 2 2 3" xfId="46073" xr:uid="{00000000-0005-0000-0000-0000AE4C0000}"/>
    <cellStyle name="40 % - Markeringsfarve1 2 3 2 3 2 3" xfId="24087" xr:uid="{00000000-0005-0000-0000-0000AF4C0000}"/>
    <cellStyle name="40 % - Markeringsfarve1 2 3 2 3 2 4" xfId="39074" xr:uid="{00000000-0005-0000-0000-0000B04C0000}"/>
    <cellStyle name="40 % - Markeringsfarve1 2 3 2 3 3" xfId="11701" xr:uid="{00000000-0005-0000-0000-0000B14C0000}"/>
    <cellStyle name="40 % - Markeringsfarve1 2 3 2 3 3 2" xfId="28021" xr:uid="{00000000-0005-0000-0000-0000B24C0000}"/>
    <cellStyle name="40 % - Markeringsfarve1 2 3 2 3 3 3" xfId="42986" xr:uid="{00000000-0005-0000-0000-0000B34C0000}"/>
    <cellStyle name="40 % - Markeringsfarve1 2 3 2 3 4" xfId="20999" xr:uid="{00000000-0005-0000-0000-0000B44C0000}"/>
    <cellStyle name="40 % - Markeringsfarve1 2 3 2 3 5" xfId="35987" xr:uid="{00000000-0005-0000-0000-0000B54C0000}"/>
    <cellStyle name="40 % - Markeringsfarve1 2 3 2 4" xfId="3142" xr:uid="{00000000-0005-0000-0000-0000B64C0000}"/>
    <cellStyle name="40 % - Markeringsfarve1 2 3 2 4 2" xfId="8715" xr:uid="{00000000-0005-0000-0000-0000B74C0000}"/>
    <cellStyle name="40 % - Markeringsfarve1 2 3 2 4 2 2" xfId="16592" xr:uid="{00000000-0005-0000-0000-0000B84C0000}"/>
    <cellStyle name="40 % - Markeringsfarve1 2 3 2 4 2 2 2" xfId="32907" xr:uid="{00000000-0005-0000-0000-0000B94C0000}"/>
    <cellStyle name="40 % - Markeringsfarve1 2 3 2 4 2 2 3" xfId="47871" xr:uid="{00000000-0005-0000-0000-0000BA4C0000}"/>
    <cellStyle name="40 % - Markeringsfarve1 2 3 2 4 2 3" xfId="25885" xr:uid="{00000000-0005-0000-0000-0000BB4C0000}"/>
    <cellStyle name="40 % - Markeringsfarve1 2 3 2 4 2 4" xfId="40872" xr:uid="{00000000-0005-0000-0000-0000BC4C0000}"/>
    <cellStyle name="40 % - Markeringsfarve1 2 3 2 4 3" xfId="11702" xr:uid="{00000000-0005-0000-0000-0000BD4C0000}"/>
    <cellStyle name="40 % - Markeringsfarve1 2 3 2 4 3 2" xfId="28022" xr:uid="{00000000-0005-0000-0000-0000BE4C0000}"/>
    <cellStyle name="40 % - Markeringsfarve1 2 3 2 4 3 3" xfId="42987" xr:uid="{00000000-0005-0000-0000-0000BF4C0000}"/>
    <cellStyle name="40 % - Markeringsfarve1 2 3 2 4 4" xfId="21000" xr:uid="{00000000-0005-0000-0000-0000C04C0000}"/>
    <cellStyle name="40 % - Markeringsfarve1 2 3 2 4 5" xfId="35988" xr:uid="{00000000-0005-0000-0000-0000C14C0000}"/>
    <cellStyle name="40 % - Markeringsfarve1 2 3 2 5" xfId="5697" xr:uid="{00000000-0005-0000-0000-0000C24C0000}"/>
    <cellStyle name="40 % - Markeringsfarve1 2 3 2 5 2" xfId="13616" xr:uid="{00000000-0005-0000-0000-0000C34C0000}"/>
    <cellStyle name="40 % - Markeringsfarve1 2 3 2 5 2 2" xfId="29931" xr:uid="{00000000-0005-0000-0000-0000C44C0000}"/>
    <cellStyle name="40 % - Markeringsfarve1 2 3 2 5 2 3" xfId="44895" xr:uid="{00000000-0005-0000-0000-0000C54C0000}"/>
    <cellStyle name="40 % - Markeringsfarve1 2 3 2 5 3" xfId="22909" xr:uid="{00000000-0005-0000-0000-0000C64C0000}"/>
    <cellStyle name="40 % - Markeringsfarve1 2 3 2 5 4" xfId="37896" xr:uid="{00000000-0005-0000-0000-0000C74C0000}"/>
    <cellStyle name="40 % - Markeringsfarve1 2 3 2 6" xfId="11698" xr:uid="{00000000-0005-0000-0000-0000C84C0000}"/>
    <cellStyle name="40 % - Markeringsfarve1 2 3 2 6 2" xfId="28018" xr:uid="{00000000-0005-0000-0000-0000C94C0000}"/>
    <cellStyle name="40 % - Markeringsfarve1 2 3 2 6 3" xfId="42983" xr:uid="{00000000-0005-0000-0000-0000CA4C0000}"/>
    <cellStyle name="40 % - Markeringsfarve1 2 3 2 7" xfId="20996" xr:uid="{00000000-0005-0000-0000-0000CB4C0000}"/>
    <cellStyle name="40 % - Markeringsfarve1 2 3 2 8" xfId="35984" xr:uid="{00000000-0005-0000-0000-0000CC4C0000}"/>
    <cellStyle name="40 % - Markeringsfarve1 2 3 2 9" xfId="53917" xr:uid="{00000000-0005-0000-0000-0000CD4C0000}"/>
    <cellStyle name="40 % - Markeringsfarve1 2 3 3" xfId="3143" xr:uid="{00000000-0005-0000-0000-0000CE4C0000}"/>
    <cellStyle name="40 % - Markeringsfarve1 2 3 3 2" xfId="3144" xr:uid="{00000000-0005-0000-0000-0000CF4C0000}"/>
    <cellStyle name="40 % - Markeringsfarve1 2 3 3 2 2" xfId="3145" xr:uid="{00000000-0005-0000-0000-0000D04C0000}"/>
    <cellStyle name="40 % - Markeringsfarve1 2 3 3 2 2 2" xfId="7722" xr:uid="{00000000-0005-0000-0000-0000D14C0000}"/>
    <cellStyle name="40 % - Markeringsfarve1 2 3 3 2 2 2 2" xfId="15624" xr:uid="{00000000-0005-0000-0000-0000D24C0000}"/>
    <cellStyle name="40 % - Markeringsfarve1 2 3 3 2 2 2 2 2" xfId="31939" xr:uid="{00000000-0005-0000-0000-0000D34C0000}"/>
    <cellStyle name="40 % - Markeringsfarve1 2 3 3 2 2 2 2 3" xfId="46903" xr:uid="{00000000-0005-0000-0000-0000D44C0000}"/>
    <cellStyle name="40 % - Markeringsfarve1 2 3 3 2 2 2 3" xfId="24917" xr:uid="{00000000-0005-0000-0000-0000D54C0000}"/>
    <cellStyle name="40 % - Markeringsfarve1 2 3 3 2 2 2 4" xfId="39904" xr:uid="{00000000-0005-0000-0000-0000D64C0000}"/>
    <cellStyle name="40 % - Markeringsfarve1 2 3 3 2 2 3" xfId="11705" xr:uid="{00000000-0005-0000-0000-0000D74C0000}"/>
    <cellStyle name="40 % - Markeringsfarve1 2 3 3 2 2 3 2" xfId="28025" xr:uid="{00000000-0005-0000-0000-0000D84C0000}"/>
    <cellStyle name="40 % - Markeringsfarve1 2 3 3 2 2 3 3" xfId="42990" xr:uid="{00000000-0005-0000-0000-0000D94C0000}"/>
    <cellStyle name="40 % - Markeringsfarve1 2 3 3 2 2 4" xfId="21003" xr:uid="{00000000-0005-0000-0000-0000DA4C0000}"/>
    <cellStyle name="40 % - Markeringsfarve1 2 3 3 2 2 5" xfId="35991" xr:uid="{00000000-0005-0000-0000-0000DB4C0000}"/>
    <cellStyle name="40 % - Markeringsfarve1 2 3 3 2 3" xfId="6277" xr:uid="{00000000-0005-0000-0000-0000DC4C0000}"/>
    <cellStyle name="40 % - Markeringsfarve1 2 3 3 2 3 2" xfId="14195" xr:uid="{00000000-0005-0000-0000-0000DD4C0000}"/>
    <cellStyle name="40 % - Markeringsfarve1 2 3 3 2 3 2 2" xfId="30510" xr:uid="{00000000-0005-0000-0000-0000DE4C0000}"/>
    <cellStyle name="40 % - Markeringsfarve1 2 3 3 2 3 2 3" xfId="45474" xr:uid="{00000000-0005-0000-0000-0000DF4C0000}"/>
    <cellStyle name="40 % - Markeringsfarve1 2 3 3 2 3 3" xfId="23488" xr:uid="{00000000-0005-0000-0000-0000E04C0000}"/>
    <cellStyle name="40 % - Markeringsfarve1 2 3 3 2 3 4" xfId="38475" xr:uid="{00000000-0005-0000-0000-0000E14C0000}"/>
    <cellStyle name="40 % - Markeringsfarve1 2 3 3 2 4" xfId="11704" xr:uid="{00000000-0005-0000-0000-0000E24C0000}"/>
    <cellStyle name="40 % - Markeringsfarve1 2 3 3 2 4 2" xfId="28024" xr:uid="{00000000-0005-0000-0000-0000E34C0000}"/>
    <cellStyle name="40 % - Markeringsfarve1 2 3 3 2 4 3" xfId="42989" xr:uid="{00000000-0005-0000-0000-0000E44C0000}"/>
    <cellStyle name="40 % - Markeringsfarve1 2 3 3 2 5" xfId="21002" xr:uid="{00000000-0005-0000-0000-0000E54C0000}"/>
    <cellStyle name="40 % - Markeringsfarve1 2 3 3 2 6" xfId="35990" xr:uid="{00000000-0005-0000-0000-0000E64C0000}"/>
    <cellStyle name="40 % - Markeringsfarve1 2 3 3 3" xfId="3146" xr:uid="{00000000-0005-0000-0000-0000E74C0000}"/>
    <cellStyle name="40 % - Markeringsfarve1 2 3 3 3 2" xfId="6952" xr:uid="{00000000-0005-0000-0000-0000E84C0000}"/>
    <cellStyle name="40 % - Markeringsfarve1 2 3 3 3 2 2" xfId="14864" xr:uid="{00000000-0005-0000-0000-0000E94C0000}"/>
    <cellStyle name="40 % - Markeringsfarve1 2 3 3 3 2 2 2" xfId="31179" xr:uid="{00000000-0005-0000-0000-0000EA4C0000}"/>
    <cellStyle name="40 % - Markeringsfarve1 2 3 3 3 2 2 3" xfId="46143" xr:uid="{00000000-0005-0000-0000-0000EB4C0000}"/>
    <cellStyle name="40 % - Markeringsfarve1 2 3 3 3 2 3" xfId="24157" xr:uid="{00000000-0005-0000-0000-0000EC4C0000}"/>
    <cellStyle name="40 % - Markeringsfarve1 2 3 3 3 2 4" xfId="39144" xr:uid="{00000000-0005-0000-0000-0000ED4C0000}"/>
    <cellStyle name="40 % - Markeringsfarve1 2 3 3 3 3" xfId="11706" xr:uid="{00000000-0005-0000-0000-0000EE4C0000}"/>
    <cellStyle name="40 % - Markeringsfarve1 2 3 3 3 3 2" xfId="28026" xr:uid="{00000000-0005-0000-0000-0000EF4C0000}"/>
    <cellStyle name="40 % - Markeringsfarve1 2 3 3 3 3 3" xfId="42991" xr:uid="{00000000-0005-0000-0000-0000F04C0000}"/>
    <cellStyle name="40 % - Markeringsfarve1 2 3 3 3 4" xfId="21004" xr:uid="{00000000-0005-0000-0000-0000F14C0000}"/>
    <cellStyle name="40 % - Markeringsfarve1 2 3 3 3 5" xfId="35992" xr:uid="{00000000-0005-0000-0000-0000F24C0000}"/>
    <cellStyle name="40 % - Markeringsfarve1 2 3 3 4" xfId="3147" xr:uid="{00000000-0005-0000-0000-0000F34C0000}"/>
    <cellStyle name="40 % - Markeringsfarve1 2 3 3 4 2" xfId="8435" xr:uid="{00000000-0005-0000-0000-0000F44C0000}"/>
    <cellStyle name="40 % - Markeringsfarve1 2 3 3 4 2 2" xfId="16325" xr:uid="{00000000-0005-0000-0000-0000F54C0000}"/>
    <cellStyle name="40 % - Markeringsfarve1 2 3 3 4 2 2 2" xfId="32640" xr:uid="{00000000-0005-0000-0000-0000F64C0000}"/>
    <cellStyle name="40 % - Markeringsfarve1 2 3 3 4 2 2 3" xfId="47604" xr:uid="{00000000-0005-0000-0000-0000F74C0000}"/>
    <cellStyle name="40 % - Markeringsfarve1 2 3 3 4 2 3" xfId="25618" xr:uid="{00000000-0005-0000-0000-0000F84C0000}"/>
    <cellStyle name="40 % - Markeringsfarve1 2 3 3 4 2 4" xfId="40605" xr:uid="{00000000-0005-0000-0000-0000F94C0000}"/>
    <cellStyle name="40 % - Markeringsfarve1 2 3 3 4 3" xfId="11707" xr:uid="{00000000-0005-0000-0000-0000FA4C0000}"/>
    <cellStyle name="40 % - Markeringsfarve1 2 3 3 4 3 2" xfId="28027" xr:uid="{00000000-0005-0000-0000-0000FB4C0000}"/>
    <cellStyle name="40 % - Markeringsfarve1 2 3 3 4 3 3" xfId="42992" xr:uid="{00000000-0005-0000-0000-0000FC4C0000}"/>
    <cellStyle name="40 % - Markeringsfarve1 2 3 3 4 4" xfId="21005" xr:uid="{00000000-0005-0000-0000-0000FD4C0000}"/>
    <cellStyle name="40 % - Markeringsfarve1 2 3 3 4 5" xfId="35993" xr:uid="{00000000-0005-0000-0000-0000FE4C0000}"/>
    <cellStyle name="40 % - Markeringsfarve1 2 3 3 5" xfId="5698" xr:uid="{00000000-0005-0000-0000-0000FF4C0000}"/>
    <cellStyle name="40 % - Markeringsfarve1 2 3 3 5 2" xfId="13617" xr:uid="{00000000-0005-0000-0000-0000004D0000}"/>
    <cellStyle name="40 % - Markeringsfarve1 2 3 3 5 2 2" xfId="29932" xr:uid="{00000000-0005-0000-0000-0000014D0000}"/>
    <cellStyle name="40 % - Markeringsfarve1 2 3 3 5 2 3" xfId="44896" xr:uid="{00000000-0005-0000-0000-0000024D0000}"/>
    <cellStyle name="40 % - Markeringsfarve1 2 3 3 5 3" xfId="22910" xr:uid="{00000000-0005-0000-0000-0000034D0000}"/>
    <cellStyle name="40 % - Markeringsfarve1 2 3 3 5 4" xfId="37897" xr:uid="{00000000-0005-0000-0000-0000044D0000}"/>
    <cellStyle name="40 % - Markeringsfarve1 2 3 3 6" xfId="11703" xr:uid="{00000000-0005-0000-0000-0000054D0000}"/>
    <cellStyle name="40 % - Markeringsfarve1 2 3 3 6 2" xfId="28023" xr:uid="{00000000-0005-0000-0000-0000064D0000}"/>
    <cellStyle name="40 % - Markeringsfarve1 2 3 3 6 3" xfId="42988" xr:uid="{00000000-0005-0000-0000-0000074D0000}"/>
    <cellStyle name="40 % - Markeringsfarve1 2 3 3 7" xfId="21001" xr:uid="{00000000-0005-0000-0000-0000084D0000}"/>
    <cellStyle name="40 % - Markeringsfarve1 2 3 3 8" xfId="35989" xr:uid="{00000000-0005-0000-0000-0000094D0000}"/>
    <cellStyle name="40 % - Markeringsfarve1 2 3 3 9" xfId="56461" xr:uid="{00000000-0005-0000-0000-00000A4D0000}"/>
    <cellStyle name="40 % - Markeringsfarve1 2 3 4" xfId="3148" xr:uid="{00000000-0005-0000-0000-00000B4D0000}"/>
    <cellStyle name="40 % - Markeringsfarve1 2 3 4 2" xfId="3149" xr:uid="{00000000-0005-0000-0000-00000C4D0000}"/>
    <cellStyle name="40 % - Markeringsfarve1 2 3 4 2 2" xfId="3150" xr:uid="{00000000-0005-0000-0000-00000D4D0000}"/>
    <cellStyle name="40 % - Markeringsfarve1 2 3 4 2 2 2" xfId="7890" xr:uid="{00000000-0005-0000-0000-00000E4D0000}"/>
    <cellStyle name="40 % - Markeringsfarve1 2 3 4 2 2 2 2" xfId="15792" xr:uid="{00000000-0005-0000-0000-00000F4D0000}"/>
    <cellStyle name="40 % - Markeringsfarve1 2 3 4 2 2 2 2 2" xfId="32107" xr:uid="{00000000-0005-0000-0000-0000104D0000}"/>
    <cellStyle name="40 % - Markeringsfarve1 2 3 4 2 2 2 2 3" xfId="47071" xr:uid="{00000000-0005-0000-0000-0000114D0000}"/>
    <cellStyle name="40 % - Markeringsfarve1 2 3 4 2 2 2 3" xfId="25085" xr:uid="{00000000-0005-0000-0000-0000124D0000}"/>
    <cellStyle name="40 % - Markeringsfarve1 2 3 4 2 2 2 4" xfId="40072" xr:uid="{00000000-0005-0000-0000-0000134D0000}"/>
    <cellStyle name="40 % - Markeringsfarve1 2 3 4 2 2 3" xfId="11710" xr:uid="{00000000-0005-0000-0000-0000144D0000}"/>
    <cellStyle name="40 % - Markeringsfarve1 2 3 4 2 2 3 2" xfId="28030" xr:uid="{00000000-0005-0000-0000-0000154D0000}"/>
    <cellStyle name="40 % - Markeringsfarve1 2 3 4 2 2 3 3" xfId="42995" xr:uid="{00000000-0005-0000-0000-0000164D0000}"/>
    <cellStyle name="40 % - Markeringsfarve1 2 3 4 2 2 4" xfId="21008" xr:uid="{00000000-0005-0000-0000-0000174D0000}"/>
    <cellStyle name="40 % - Markeringsfarve1 2 3 4 2 2 5" xfId="35996" xr:uid="{00000000-0005-0000-0000-0000184D0000}"/>
    <cellStyle name="40 % - Markeringsfarve1 2 3 4 2 3" xfId="6421" xr:uid="{00000000-0005-0000-0000-0000194D0000}"/>
    <cellStyle name="40 % - Markeringsfarve1 2 3 4 2 3 2" xfId="14336" xr:uid="{00000000-0005-0000-0000-00001A4D0000}"/>
    <cellStyle name="40 % - Markeringsfarve1 2 3 4 2 3 2 2" xfId="30651" xr:uid="{00000000-0005-0000-0000-00001B4D0000}"/>
    <cellStyle name="40 % - Markeringsfarve1 2 3 4 2 3 2 3" xfId="45615" xr:uid="{00000000-0005-0000-0000-00001C4D0000}"/>
    <cellStyle name="40 % - Markeringsfarve1 2 3 4 2 3 3" xfId="23629" xr:uid="{00000000-0005-0000-0000-00001D4D0000}"/>
    <cellStyle name="40 % - Markeringsfarve1 2 3 4 2 3 4" xfId="38616" xr:uid="{00000000-0005-0000-0000-00001E4D0000}"/>
    <cellStyle name="40 % - Markeringsfarve1 2 3 4 2 4" xfId="11709" xr:uid="{00000000-0005-0000-0000-00001F4D0000}"/>
    <cellStyle name="40 % - Markeringsfarve1 2 3 4 2 4 2" xfId="28029" xr:uid="{00000000-0005-0000-0000-0000204D0000}"/>
    <cellStyle name="40 % - Markeringsfarve1 2 3 4 2 4 3" xfId="42994" xr:uid="{00000000-0005-0000-0000-0000214D0000}"/>
    <cellStyle name="40 % - Markeringsfarve1 2 3 4 2 5" xfId="21007" xr:uid="{00000000-0005-0000-0000-0000224D0000}"/>
    <cellStyle name="40 % - Markeringsfarve1 2 3 4 2 6" xfId="35995" xr:uid="{00000000-0005-0000-0000-0000234D0000}"/>
    <cellStyle name="40 % - Markeringsfarve1 2 3 4 3" xfId="3151" xr:uid="{00000000-0005-0000-0000-0000244D0000}"/>
    <cellStyle name="40 % - Markeringsfarve1 2 3 4 3 2" xfId="7166" xr:uid="{00000000-0005-0000-0000-0000254D0000}"/>
    <cellStyle name="40 % - Markeringsfarve1 2 3 4 3 2 2" xfId="15077" xr:uid="{00000000-0005-0000-0000-0000264D0000}"/>
    <cellStyle name="40 % - Markeringsfarve1 2 3 4 3 2 2 2" xfId="31392" xr:uid="{00000000-0005-0000-0000-0000274D0000}"/>
    <cellStyle name="40 % - Markeringsfarve1 2 3 4 3 2 2 3" xfId="46356" xr:uid="{00000000-0005-0000-0000-0000284D0000}"/>
    <cellStyle name="40 % - Markeringsfarve1 2 3 4 3 2 3" xfId="24370" xr:uid="{00000000-0005-0000-0000-0000294D0000}"/>
    <cellStyle name="40 % - Markeringsfarve1 2 3 4 3 2 4" xfId="39357" xr:uid="{00000000-0005-0000-0000-00002A4D0000}"/>
    <cellStyle name="40 % - Markeringsfarve1 2 3 4 3 3" xfId="11711" xr:uid="{00000000-0005-0000-0000-00002B4D0000}"/>
    <cellStyle name="40 % - Markeringsfarve1 2 3 4 3 3 2" xfId="28031" xr:uid="{00000000-0005-0000-0000-00002C4D0000}"/>
    <cellStyle name="40 % - Markeringsfarve1 2 3 4 3 3 3" xfId="42996" xr:uid="{00000000-0005-0000-0000-00002D4D0000}"/>
    <cellStyle name="40 % - Markeringsfarve1 2 3 4 3 4" xfId="21009" xr:uid="{00000000-0005-0000-0000-00002E4D0000}"/>
    <cellStyle name="40 % - Markeringsfarve1 2 3 4 3 5" xfId="35997" xr:uid="{00000000-0005-0000-0000-00002F4D0000}"/>
    <cellStyle name="40 % - Markeringsfarve1 2 3 4 4" xfId="3152" xr:uid="{00000000-0005-0000-0000-0000304D0000}"/>
    <cellStyle name="40 % - Markeringsfarve1 2 3 4 4 2" xfId="8656" xr:uid="{00000000-0005-0000-0000-0000314D0000}"/>
    <cellStyle name="40 % - Markeringsfarve1 2 3 4 4 2 2" xfId="16537" xr:uid="{00000000-0005-0000-0000-0000324D0000}"/>
    <cellStyle name="40 % - Markeringsfarve1 2 3 4 4 2 2 2" xfId="32852" xr:uid="{00000000-0005-0000-0000-0000334D0000}"/>
    <cellStyle name="40 % - Markeringsfarve1 2 3 4 4 2 2 3" xfId="47816" xr:uid="{00000000-0005-0000-0000-0000344D0000}"/>
    <cellStyle name="40 % - Markeringsfarve1 2 3 4 4 2 3" xfId="25830" xr:uid="{00000000-0005-0000-0000-0000354D0000}"/>
    <cellStyle name="40 % - Markeringsfarve1 2 3 4 4 2 4" xfId="40817" xr:uid="{00000000-0005-0000-0000-0000364D0000}"/>
    <cellStyle name="40 % - Markeringsfarve1 2 3 4 4 3" xfId="11712" xr:uid="{00000000-0005-0000-0000-0000374D0000}"/>
    <cellStyle name="40 % - Markeringsfarve1 2 3 4 4 3 2" xfId="28032" xr:uid="{00000000-0005-0000-0000-0000384D0000}"/>
    <cellStyle name="40 % - Markeringsfarve1 2 3 4 4 3 3" xfId="42997" xr:uid="{00000000-0005-0000-0000-0000394D0000}"/>
    <cellStyle name="40 % - Markeringsfarve1 2 3 4 4 4" xfId="21010" xr:uid="{00000000-0005-0000-0000-00003A4D0000}"/>
    <cellStyle name="40 % - Markeringsfarve1 2 3 4 4 5" xfId="35998" xr:uid="{00000000-0005-0000-0000-00003B4D0000}"/>
    <cellStyle name="40 % - Markeringsfarve1 2 3 4 5" xfId="5699" xr:uid="{00000000-0005-0000-0000-00003C4D0000}"/>
    <cellStyle name="40 % - Markeringsfarve1 2 3 4 5 2" xfId="13618" xr:uid="{00000000-0005-0000-0000-00003D4D0000}"/>
    <cellStyle name="40 % - Markeringsfarve1 2 3 4 5 2 2" xfId="29933" xr:uid="{00000000-0005-0000-0000-00003E4D0000}"/>
    <cellStyle name="40 % - Markeringsfarve1 2 3 4 5 2 3" xfId="44897" xr:uid="{00000000-0005-0000-0000-00003F4D0000}"/>
    <cellStyle name="40 % - Markeringsfarve1 2 3 4 5 3" xfId="22911" xr:uid="{00000000-0005-0000-0000-0000404D0000}"/>
    <cellStyle name="40 % - Markeringsfarve1 2 3 4 5 4" xfId="37898" xr:uid="{00000000-0005-0000-0000-0000414D0000}"/>
    <cellStyle name="40 % - Markeringsfarve1 2 3 4 6" xfId="11708" xr:uid="{00000000-0005-0000-0000-0000424D0000}"/>
    <cellStyle name="40 % - Markeringsfarve1 2 3 4 6 2" xfId="28028" xr:uid="{00000000-0005-0000-0000-0000434D0000}"/>
    <cellStyle name="40 % - Markeringsfarve1 2 3 4 6 3" xfId="42993" xr:uid="{00000000-0005-0000-0000-0000444D0000}"/>
    <cellStyle name="40 % - Markeringsfarve1 2 3 4 7" xfId="21006" xr:uid="{00000000-0005-0000-0000-0000454D0000}"/>
    <cellStyle name="40 % - Markeringsfarve1 2 3 4 8" xfId="35994" xr:uid="{00000000-0005-0000-0000-0000464D0000}"/>
    <cellStyle name="40 % - Markeringsfarve1 2 3 5" xfId="3153" xr:uid="{00000000-0005-0000-0000-0000474D0000}"/>
    <cellStyle name="40 % - Markeringsfarve1 2 3 5 2" xfId="3154" xr:uid="{00000000-0005-0000-0000-0000484D0000}"/>
    <cellStyle name="40 % - Markeringsfarve1 2 3 5 2 2" xfId="3155" xr:uid="{00000000-0005-0000-0000-0000494D0000}"/>
    <cellStyle name="40 % - Markeringsfarve1 2 3 5 2 2 2" xfId="8007" xr:uid="{00000000-0005-0000-0000-00004A4D0000}"/>
    <cellStyle name="40 % - Markeringsfarve1 2 3 5 2 2 2 2" xfId="15909" xr:uid="{00000000-0005-0000-0000-00004B4D0000}"/>
    <cellStyle name="40 % - Markeringsfarve1 2 3 5 2 2 2 2 2" xfId="32224" xr:uid="{00000000-0005-0000-0000-00004C4D0000}"/>
    <cellStyle name="40 % - Markeringsfarve1 2 3 5 2 2 2 2 3" xfId="47188" xr:uid="{00000000-0005-0000-0000-00004D4D0000}"/>
    <cellStyle name="40 % - Markeringsfarve1 2 3 5 2 2 2 3" xfId="25202" xr:uid="{00000000-0005-0000-0000-00004E4D0000}"/>
    <cellStyle name="40 % - Markeringsfarve1 2 3 5 2 2 2 4" xfId="40189" xr:uid="{00000000-0005-0000-0000-00004F4D0000}"/>
    <cellStyle name="40 % - Markeringsfarve1 2 3 5 2 2 3" xfId="11715" xr:uid="{00000000-0005-0000-0000-0000504D0000}"/>
    <cellStyle name="40 % - Markeringsfarve1 2 3 5 2 2 3 2" xfId="28035" xr:uid="{00000000-0005-0000-0000-0000514D0000}"/>
    <cellStyle name="40 % - Markeringsfarve1 2 3 5 2 2 3 3" xfId="43000" xr:uid="{00000000-0005-0000-0000-0000524D0000}"/>
    <cellStyle name="40 % - Markeringsfarve1 2 3 5 2 2 4" xfId="21013" xr:uid="{00000000-0005-0000-0000-0000534D0000}"/>
    <cellStyle name="40 % - Markeringsfarve1 2 3 5 2 2 5" xfId="36001" xr:uid="{00000000-0005-0000-0000-0000544D0000}"/>
    <cellStyle name="40 % - Markeringsfarve1 2 3 5 2 3" xfId="6520" xr:uid="{00000000-0005-0000-0000-0000554D0000}"/>
    <cellStyle name="40 % - Markeringsfarve1 2 3 5 2 3 2" xfId="14435" xr:uid="{00000000-0005-0000-0000-0000564D0000}"/>
    <cellStyle name="40 % - Markeringsfarve1 2 3 5 2 3 2 2" xfId="30750" xr:uid="{00000000-0005-0000-0000-0000574D0000}"/>
    <cellStyle name="40 % - Markeringsfarve1 2 3 5 2 3 2 3" xfId="45714" xr:uid="{00000000-0005-0000-0000-0000584D0000}"/>
    <cellStyle name="40 % - Markeringsfarve1 2 3 5 2 3 3" xfId="23728" xr:uid="{00000000-0005-0000-0000-0000594D0000}"/>
    <cellStyle name="40 % - Markeringsfarve1 2 3 5 2 3 4" xfId="38715" xr:uid="{00000000-0005-0000-0000-00005A4D0000}"/>
    <cellStyle name="40 % - Markeringsfarve1 2 3 5 2 4" xfId="11714" xr:uid="{00000000-0005-0000-0000-00005B4D0000}"/>
    <cellStyle name="40 % - Markeringsfarve1 2 3 5 2 4 2" xfId="28034" xr:uid="{00000000-0005-0000-0000-00005C4D0000}"/>
    <cellStyle name="40 % - Markeringsfarve1 2 3 5 2 4 3" xfId="42999" xr:uid="{00000000-0005-0000-0000-00005D4D0000}"/>
    <cellStyle name="40 % - Markeringsfarve1 2 3 5 2 5" xfId="21012" xr:uid="{00000000-0005-0000-0000-00005E4D0000}"/>
    <cellStyle name="40 % - Markeringsfarve1 2 3 5 2 6" xfId="36000" xr:uid="{00000000-0005-0000-0000-00005F4D0000}"/>
    <cellStyle name="40 % - Markeringsfarve1 2 3 5 3" xfId="3156" xr:uid="{00000000-0005-0000-0000-0000604D0000}"/>
    <cellStyle name="40 % - Markeringsfarve1 2 3 5 3 2" xfId="7283" xr:uid="{00000000-0005-0000-0000-0000614D0000}"/>
    <cellStyle name="40 % - Markeringsfarve1 2 3 5 3 2 2" xfId="15194" xr:uid="{00000000-0005-0000-0000-0000624D0000}"/>
    <cellStyle name="40 % - Markeringsfarve1 2 3 5 3 2 2 2" xfId="31509" xr:uid="{00000000-0005-0000-0000-0000634D0000}"/>
    <cellStyle name="40 % - Markeringsfarve1 2 3 5 3 2 2 3" xfId="46473" xr:uid="{00000000-0005-0000-0000-0000644D0000}"/>
    <cellStyle name="40 % - Markeringsfarve1 2 3 5 3 2 3" xfId="24487" xr:uid="{00000000-0005-0000-0000-0000654D0000}"/>
    <cellStyle name="40 % - Markeringsfarve1 2 3 5 3 2 4" xfId="39474" xr:uid="{00000000-0005-0000-0000-0000664D0000}"/>
    <cellStyle name="40 % - Markeringsfarve1 2 3 5 3 3" xfId="11716" xr:uid="{00000000-0005-0000-0000-0000674D0000}"/>
    <cellStyle name="40 % - Markeringsfarve1 2 3 5 3 3 2" xfId="28036" xr:uid="{00000000-0005-0000-0000-0000684D0000}"/>
    <cellStyle name="40 % - Markeringsfarve1 2 3 5 3 3 3" xfId="43001" xr:uid="{00000000-0005-0000-0000-0000694D0000}"/>
    <cellStyle name="40 % - Markeringsfarve1 2 3 5 3 4" xfId="21014" xr:uid="{00000000-0005-0000-0000-00006A4D0000}"/>
    <cellStyle name="40 % - Markeringsfarve1 2 3 5 3 5" xfId="36002" xr:uid="{00000000-0005-0000-0000-00006B4D0000}"/>
    <cellStyle name="40 % - Markeringsfarve1 2 3 5 4" xfId="3157" xr:uid="{00000000-0005-0000-0000-00006C4D0000}"/>
    <cellStyle name="40 % - Markeringsfarve1 2 3 5 4 2" xfId="8379" xr:uid="{00000000-0005-0000-0000-00006D4D0000}"/>
    <cellStyle name="40 % - Markeringsfarve1 2 3 5 4 2 2" xfId="16272" xr:uid="{00000000-0005-0000-0000-00006E4D0000}"/>
    <cellStyle name="40 % - Markeringsfarve1 2 3 5 4 2 2 2" xfId="32587" xr:uid="{00000000-0005-0000-0000-00006F4D0000}"/>
    <cellStyle name="40 % - Markeringsfarve1 2 3 5 4 2 2 3" xfId="47551" xr:uid="{00000000-0005-0000-0000-0000704D0000}"/>
    <cellStyle name="40 % - Markeringsfarve1 2 3 5 4 2 3" xfId="25565" xr:uid="{00000000-0005-0000-0000-0000714D0000}"/>
    <cellStyle name="40 % - Markeringsfarve1 2 3 5 4 2 4" xfId="40552" xr:uid="{00000000-0005-0000-0000-0000724D0000}"/>
    <cellStyle name="40 % - Markeringsfarve1 2 3 5 4 3" xfId="11717" xr:uid="{00000000-0005-0000-0000-0000734D0000}"/>
    <cellStyle name="40 % - Markeringsfarve1 2 3 5 4 3 2" xfId="28037" xr:uid="{00000000-0005-0000-0000-0000744D0000}"/>
    <cellStyle name="40 % - Markeringsfarve1 2 3 5 4 3 3" xfId="43002" xr:uid="{00000000-0005-0000-0000-0000754D0000}"/>
    <cellStyle name="40 % - Markeringsfarve1 2 3 5 4 4" xfId="21015" xr:uid="{00000000-0005-0000-0000-0000764D0000}"/>
    <cellStyle name="40 % - Markeringsfarve1 2 3 5 4 5" xfId="36003" xr:uid="{00000000-0005-0000-0000-0000774D0000}"/>
    <cellStyle name="40 % - Markeringsfarve1 2 3 5 5" xfId="5700" xr:uid="{00000000-0005-0000-0000-0000784D0000}"/>
    <cellStyle name="40 % - Markeringsfarve1 2 3 5 5 2" xfId="13619" xr:uid="{00000000-0005-0000-0000-0000794D0000}"/>
    <cellStyle name="40 % - Markeringsfarve1 2 3 5 5 2 2" xfId="29934" xr:uid="{00000000-0005-0000-0000-00007A4D0000}"/>
    <cellStyle name="40 % - Markeringsfarve1 2 3 5 5 2 3" xfId="44898" xr:uid="{00000000-0005-0000-0000-00007B4D0000}"/>
    <cellStyle name="40 % - Markeringsfarve1 2 3 5 5 3" xfId="22912" xr:uid="{00000000-0005-0000-0000-00007C4D0000}"/>
    <cellStyle name="40 % - Markeringsfarve1 2 3 5 5 4" xfId="37899" xr:uid="{00000000-0005-0000-0000-00007D4D0000}"/>
    <cellStyle name="40 % - Markeringsfarve1 2 3 5 6" xfId="11713" xr:uid="{00000000-0005-0000-0000-00007E4D0000}"/>
    <cellStyle name="40 % - Markeringsfarve1 2 3 5 6 2" xfId="28033" xr:uid="{00000000-0005-0000-0000-00007F4D0000}"/>
    <cellStyle name="40 % - Markeringsfarve1 2 3 5 6 3" xfId="42998" xr:uid="{00000000-0005-0000-0000-0000804D0000}"/>
    <cellStyle name="40 % - Markeringsfarve1 2 3 5 7" xfId="21011" xr:uid="{00000000-0005-0000-0000-0000814D0000}"/>
    <cellStyle name="40 % - Markeringsfarve1 2 3 5 8" xfId="35999" xr:uid="{00000000-0005-0000-0000-0000824D0000}"/>
    <cellStyle name="40 % - Markeringsfarve1 2 3 6" xfId="3158" xr:uid="{00000000-0005-0000-0000-0000834D0000}"/>
    <cellStyle name="40 % - Markeringsfarve1 2 3 6 2" xfId="3159" xr:uid="{00000000-0005-0000-0000-0000844D0000}"/>
    <cellStyle name="40 % - Markeringsfarve1 2 3 6 2 2" xfId="3160" xr:uid="{00000000-0005-0000-0000-0000854D0000}"/>
    <cellStyle name="40 % - Markeringsfarve1 2 3 6 2 2 2" xfId="8076" xr:uid="{00000000-0005-0000-0000-0000864D0000}"/>
    <cellStyle name="40 % - Markeringsfarve1 2 3 6 2 2 2 2" xfId="15978" xr:uid="{00000000-0005-0000-0000-0000874D0000}"/>
    <cellStyle name="40 % - Markeringsfarve1 2 3 6 2 2 2 2 2" xfId="32293" xr:uid="{00000000-0005-0000-0000-0000884D0000}"/>
    <cellStyle name="40 % - Markeringsfarve1 2 3 6 2 2 2 2 3" xfId="47257" xr:uid="{00000000-0005-0000-0000-0000894D0000}"/>
    <cellStyle name="40 % - Markeringsfarve1 2 3 6 2 2 2 3" xfId="25271" xr:uid="{00000000-0005-0000-0000-00008A4D0000}"/>
    <cellStyle name="40 % - Markeringsfarve1 2 3 6 2 2 2 4" xfId="40258" xr:uid="{00000000-0005-0000-0000-00008B4D0000}"/>
    <cellStyle name="40 % - Markeringsfarve1 2 3 6 2 2 3" xfId="11720" xr:uid="{00000000-0005-0000-0000-00008C4D0000}"/>
    <cellStyle name="40 % - Markeringsfarve1 2 3 6 2 2 3 2" xfId="28040" xr:uid="{00000000-0005-0000-0000-00008D4D0000}"/>
    <cellStyle name="40 % - Markeringsfarve1 2 3 6 2 2 3 3" xfId="43005" xr:uid="{00000000-0005-0000-0000-00008E4D0000}"/>
    <cellStyle name="40 % - Markeringsfarve1 2 3 6 2 2 4" xfId="21018" xr:uid="{00000000-0005-0000-0000-00008F4D0000}"/>
    <cellStyle name="40 % - Markeringsfarve1 2 3 6 2 2 5" xfId="36006" xr:uid="{00000000-0005-0000-0000-0000904D0000}"/>
    <cellStyle name="40 % - Markeringsfarve1 2 3 6 2 3" xfId="6578" xr:uid="{00000000-0005-0000-0000-0000914D0000}"/>
    <cellStyle name="40 % - Markeringsfarve1 2 3 6 2 3 2" xfId="14493" xr:uid="{00000000-0005-0000-0000-0000924D0000}"/>
    <cellStyle name="40 % - Markeringsfarve1 2 3 6 2 3 2 2" xfId="30808" xr:uid="{00000000-0005-0000-0000-0000934D0000}"/>
    <cellStyle name="40 % - Markeringsfarve1 2 3 6 2 3 2 3" xfId="45772" xr:uid="{00000000-0005-0000-0000-0000944D0000}"/>
    <cellStyle name="40 % - Markeringsfarve1 2 3 6 2 3 3" xfId="23786" xr:uid="{00000000-0005-0000-0000-0000954D0000}"/>
    <cellStyle name="40 % - Markeringsfarve1 2 3 6 2 3 4" xfId="38773" xr:uid="{00000000-0005-0000-0000-0000964D0000}"/>
    <cellStyle name="40 % - Markeringsfarve1 2 3 6 2 4" xfId="11719" xr:uid="{00000000-0005-0000-0000-0000974D0000}"/>
    <cellStyle name="40 % - Markeringsfarve1 2 3 6 2 4 2" xfId="28039" xr:uid="{00000000-0005-0000-0000-0000984D0000}"/>
    <cellStyle name="40 % - Markeringsfarve1 2 3 6 2 4 3" xfId="43004" xr:uid="{00000000-0005-0000-0000-0000994D0000}"/>
    <cellStyle name="40 % - Markeringsfarve1 2 3 6 2 5" xfId="21017" xr:uid="{00000000-0005-0000-0000-00009A4D0000}"/>
    <cellStyle name="40 % - Markeringsfarve1 2 3 6 2 6" xfId="36005" xr:uid="{00000000-0005-0000-0000-00009B4D0000}"/>
    <cellStyle name="40 % - Markeringsfarve1 2 3 6 3" xfId="3161" xr:uid="{00000000-0005-0000-0000-00009C4D0000}"/>
    <cellStyle name="40 % - Markeringsfarve1 2 3 6 3 2" xfId="7353" xr:uid="{00000000-0005-0000-0000-00009D4D0000}"/>
    <cellStyle name="40 % - Markeringsfarve1 2 3 6 3 2 2" xfId="15264" xr:uid="{00000000-0005-0000-0000-00009E4D0000}"/>
    <cellStyle name="40 % - Markeringsfarve1 2 3 6 3 2 2 2" xfId="31579" xr:uid="{00000000-0005-0000-0000-00009F4D0000}"/>
    <cellStyle name="40 % - Markeringsfarve1 2 3 6 3 2 2 3" xfId="46543" xr:uid="{00000000-0005-0000-0000-0000A04D0000}"/>
    <cellStyle name="40 % - Markeringsfarve1 2 3 6 3 2 3" xfId="24557" xr:uid="{00000000-0005-0000-0000-0000A14D0000}"/>
    <cellStyle name="40 % - Markeringsfarve1 2 3 6 3 2 4" xfId="39544" xr:uid="{00000000-0005-0000-0000-0000A24D0000}"/>
    <cellStyle name="40 % - Markeringsfarve1 2 3 6 3 3" xfId="11721" xr:uid="{00000000-0005-0000-0000-0000A34D0000}"/>
    <cellStyle name="40 % - Markeringsfarve1 2 3 6 3 3 2" xfId="28041" xr:uid="{00000000-0005-0000-0000-0000A44D0000}"/>
    <cellStyle name="40 % - Markeringsfarve1 2 3 6 3 3 3" xfId="43006" xr:uid="{00000000-0005-0000-0000-0000A54D0000}"/>
    <cellStyle name="40 % - Markeringsfarve1 2 3 6 3 4" xfId="21019" xr:uid="{00000000-0005-0000-0000-0000A64D0000}"/>
    <cellStyle name="40 % - Markeringsfarve1 2 3 6 3 5" xfId="36007" xr:uid="{00000000-0005-0000-0000-0000A74D0000}"/>
    <cellStyle name="40 % - Markeringsfarve1 2 3 6 4" xfId="3162" xr:uid="{00000000-0005-0000-0000-0000A84D0000}"/>
    <cellStyle name="40 % - Markeringsfarve1 2 3 6 4 2" xfId="8614" xr:uid="{00000000-0005-0000-0000-0000A94D0000}"/>
    <cellStyle name="40 % - Markeringsfarve1 2 3 6 4 2 2" xfId="16497" xr:uid="{00000000-0005-0000-0000-0000AA4D0000}"/>
    <cellStyle name="40 % - Markeringsfarve1 2 3 6 4 2 2 2" xfId="32812" xr:uid="{00000000-0005-0000-0000-0000AB4D0000}"/>
    <cellStyle name="40 % - Markeringsfarve1 2 3 6 4 2 2 3" xfId="47776" xr:uid="{00000000-0005-0000-0000-0000AC4D0000}"/>
    <cellStyle name="40 % - Markeringsfarve1 2 3 6 4 2 3" xfId="25790" xr:uid="{00000000-0005-0000-0000-0000AD4D0000}"/>
    <cellStyle name="40 % - Markeringsfarve1 2 3 6 4 2 4" xfId="40777" xr:uid="{00000000-0005-0000-0000-0000AE4D0000}"/>
    <cellStyle name="40 % - Markeringsfarve1 2 3 6 4 3" xfId="11722" xr:uid="{00000000-0005-0000-0000-0000AF4D0000}"/>
    <cellStyle name="40 % - Markeringsfarve1 2 3 6 4 3 2" xfId="28042" xr:uid="{00000000-0005-0000-0000-0000B04D0000}"/>
    <cellStyle name="40 % - Markeringsfarve1 2 3 6 4 3 3" xfId="43007" xr:uid="{00000000-0005-0000-0000-0000B14D0000}"/>
    <cellStyle name="40 % - Markeringsfarve1 2 3 6 4 4" xfId="21020" xr:uid="{00000000-0005-0000-0000-0000B24D0000}"/>
    <cellStyle name="40 % - Markeringsfarve1 2 3 6 4 5" xfId="36008" xr:uid="{00000000-0005-0000-0000-0000B34D0000}"/>
    <cellStyle name="40 % - Markeringsfarve1 2 3 6 5" xfId="5701" xr:uid="{00000000-0005-0000-0000-0000B44D0000}"/>
    <cellStyle name="40 % - Markeringsfarve1 2 3 6 5 2" xfId="13620" xr:uid="{00000000-0005-0000-0000-0000B54D0000}"/>
    <cellStyle name="40 % - Markeringsfarve1 2 3 6 5 2 2" xfId="29935" xr:uid="{00000000-0005-0000-0000-0000B64D0000}"/>
    <cellStyle name="40 % - Markeringsfarve1 2 3 6 5 2 3" xfId="44899" xr:uid="{00000000-0005-0000-0000-0000B74D0000}"/>
    <cellStyle name="40 % - Markeringsfarve1 2 3 6 5 3" xfId="22913" xr:uid="{00000000-0005-0000-0000-0000B84D0000}"/>
    <cellStyle name="40 % - Markeringsfarve1 2 3 6 5 4" xfId="37900" xr:uid="{00000000-0005-0000-0000-0000B94D0000}"/>
    <cellStyle name="40 % - Markeringsfarve1 2 3 6 6" xfId="11718" xr:uid="{00000000-0005-0000-0000-0000BA4D0000}"/>
    <cellStyle name="40 % - Markeringsfarve1 2 3 6 6 2" xfId="28038" xr:uid="{00000000-0005-0000-0000-0000BB4D0000}"/>
    <cellStyle name="40 % - Markeringsfarve1 2 3 6 6 3" xfId="43003" xr:uid="{00000000-0005-0000-0000-0000BC4D0000}"/>
    <cellStyle name="40 % - Markeringsfarve1 2 3 6 7" xfId="21016" xr:uid="{00000000-0005-0000-0000-0000BD4D0000}"/>
    <cellStyle name="40 % - Markeringsfarve1 2 3 6 8" xfId="36004" xr:uid="{00000000-0005-0000-0000-0000BE4D0000}"/>
    <cellStyle name="40 % - Markeringsfarve1 2 3 7" xfId="3163" xr:uid="{00000000-0005-0000-0000-0000BF4D0000}"/>
    <cellStyle name="40 % - Markeringsfarve1 2 3 7 2" xfId="3164" xr:uid="{00000000-0005-0000-0000-0000C04D0000}"/>
    <cellStyle name="40 % - Markeringsfarve1 2 3 7 2 2" xfId="7533" xr:uid="{00000000-0005-0000-0000-0000C14D0000}"/>
    <cellStyle name="40 % - Markeringsfarve1 2 3 7 2 2 2" xfId="15435" xr:uid="{00000000-0005-0000-0000-0000C24D0000}"/>
    <cellStyle name="40 % - Markeringsfarve1 2 3 7 2 2 2 2" xfId="31750" xr:uid="{00000000-0005-0000-0000-0000C34D0000}"/>
    <cellStyle name="40 % - Markeringsfarve1 2 3 7 2 2 2 3" xfId="46714" xr:uid="{00000000-0005-0000-0000-0000C44D0000}"/>
    <cellStyle name="40 % - Markeringsfarve1 2 3 7 2 2 3" xfId="24728" xr:uid="{00000000-0005-0000-0000-0000C54D0000}"/>
    <cellStyle name="40 % - Markeringsfarve1 2 3 7 2 2 4" xfId="39715" xr:uid="{00000000-0005-0000-0000-0000C64D0000}"/>
    <cellStyle name="40 % - Markeringsfarve1 2 3 7 2 3" xfId="11724" xr:uid="{00000000-0005-0000-0000-0000C74D0000}"/>
    <cellStyle name="40 % - Markeringsfarve1 2 3 7 2 3 2" xfId="28044" xr:uid="{00000000-0005-0000-0000-0000C84D0000}"/>
    <cellStyle name="40 % - Markeringsfarve1 2 3 7 2 3 3" xfId="43009" xr:uid="{00000000-0005-0000-0000-0000C94D0000}"/>
    <cellStyle name="40 % - Markeringsfarve1 2 3 7 2 4" xfId="21022" xr:uid="{00000000-0005-0000-0000-0000CA4D0000}"/>
    <cellStyle name="40 % - Markeringsfarve1 2 3 7 2 5" xfId="36010" xr:uid="{00000000-0005-0000-0000-0000CB4D0000}"/>
    <cellStyle name="40 % - Markeringsfarve1 2 3 7 3" xfId="6120" xr:uid="{00000000-0005-0000-0000-0000CC4D0000}"/>
    <cellStyle name="40 % - Markeringsfarve1 2 3 7 3 2" xfId="14038" xr:uid="{00000000-0005-0000-0000-0000CD4D0000}"/>
    <cellStyle name="40 % - Markeringsfarve1 2 3 7 3 2 2" xfId="30353" xr:uid="{00000000-0005-0000-0000-0000CE4D0000}"/>
    <cellStyle name="40 % - Markeringsfarve1 2 3 7 3 2 3" xfId="45317" xr:uid="{00000000-0005-0000-0000-0000CF4D0000}"/>
    <cellStyle name="40 % - Markeringsfarve1 2 3 7 3 3" xfId="23331" xr:uid="{00000000-0005-0000-0000-0000D04D0000}"/>
    <cellStyle name="40 % - Markeringsfarve1 2 3 7 3 4" xfId="38318" xr:uid="{00000000-0005-0000-0000-0000D14D0000}"/>
    <cellStyle name="40 % - Markeringsfarve1 2 3 7 4" xfId="11723" xr:uid="{00000000-0005-0000-0000-0000D24D0000}"/>
    <cellStyle name="40 % - Markeringsfarve1 2 3 7 4 2" xfId="28043" xr:uid="{00000000-0005-0000-0000-0000D34D0000}"/>
    <cellStyle name="40 % - Markeringsfarve1 2 3 7 4 3" xfId="43008" xr:uid="{00000000-0005-0000-0000-0000D44D0000}"/>
    <cellStyle name="40 % - Markeringsfarve1 2 3 7 5" xfId="21021" xr:uid="{00000000-0005-0000-0000-0000D54D0000}"/>
    <cellStyle name="40 % - Markeringsfarve1 2 3 7 6" xfId="36009" xr:uid="{00000000-0005-0000-0000-0000D64D0000}"/>
    <cellStyle name="40 % - Markeringsfarve1 2 3 8" xfId="3165" xr:uid="{00000000-0005-0000-0000-0000D74D0000}"/>
    <cellStyle name="40 % - Markeringsfarve1 2 3 8 2" xfId="6761" xr:uid="{00000000-0005-0000-0000-0000D84D0000}"/>
    <cellStyle name="40 % - Markeringsfarve1 2 3 8 2 2" xfId="14673" xr:uid="{00000000-0005-0000-0000-0000D94D0000}"/>
    <cellStyle name="40 % - Markeringsfarve1 2 3 8 2 2 2" xfId="30988" xr:uid="{00000000-0005-0000-0000-0000DA4D0000}"/>
    <cellStyle name="40 % - Markeringsfarve1 2 3 8 2 2 3" xfId="45952" xr:uid="{00000000-0005-0000-0000-0000DB4D0000}"/>
    <cellStyle name="40 % - Markeringsfarve1 2 3 8 2 3" xfId="23966" xr:uid="{00000000-0005-0000-0000-0000DC4D0000}"/>
    <cellStyle name="40 % - Markeringsfarve1 2 3 8 2 4" xfId="38953" xr:uid="{00000000-0005-0000-0000-0000DD4D0000}"/>
    <cellStyle name="40 % - Markeringsfarve1 2 3 8 3" xfId="11725" xr:uid="{00000000-0005-0000-0000-0000DE4D0000}"/>
    <cellStyle name="40 % - Markeringsfarve1 2 3 8 3 2" xfId="28045" xr:uid="{00000000-0005-0000-0000-0000DF4D0000}"/>
    <cellStyle name="40 % - Markeringsfarve1 2 3 8 3 3" xfId="43010" xr:uid="{00000000-0005-0000-0000-0000E04D0000}"/>
    <cellStyle name="40 % - Markeringsfarve1 2 3 8 4" xfId="21023" xr:uid="{00000000-0005-0000-0000-0000E14D0000}"/>
    <cellStyle name="40 % - Markeringsfarve1 2 3 8 5" xfId="36011" xr:uid="{00000000-0005-0000-0000-0000E24D0000}"/>
    <cellStyle name="40 % - Markeringsfarve1 2 3 9" xfId="3166" xr:uid="{00000000-0005-0000-0000-0000E34D0000}"/>
    <cellStyle name="40 % - Markeringsfarve1 2 3 9 2" xfId="8483" xr:uid="{00000000-0005-0000-0000-0000E44D0000}"/>
    <cellStyle name="40 % - Markeringsfarve1 2 3 9 2 2" xfId="16372" xr:uid="{00000000-0005-0000-0000-0000E54D0000}"/>
    <cellStyle name="40 % - Markeringsfarve1 2 3 9 2 2 2" xfId="32687" xr:uid="{00000000-0005-0000-0000-0000E64D0000}"/>
    <cellStyle name="40 % - Markeringsfarve1 2 3 9 2 2 3" xfId="47651" xr:uid="{00000000-0005-0000-0000-0000E74D0000}"/>
    <cellStyle name="40 % - Markeringsfarve1 2 3 9 2 3" xfId="25665" xr:uid="{00000000-0005-0000-0000-0000E84D0000}"/>
    <cellStyle name="40 % - Markeringsfarve1 2 3 9 2 4" xfId="40652" xr:uid="{00000000-0005-0000-0000-0000E94D0000}"/>
    <cellStyle name="40 % - Markeringsfarve1 2 3 9 3" xfId="11726" xr:uid="{00000000-0005-0000-0000-0000EA4D0000}"/>
    <cellStyle name="40 % - Markeringsfarve1 2 3 9 3 2" xfId="28046" xr:uid="{00000000-0005-0000-0000-0000EB4D0000}"/>
    <cellStyle name="40 % - Markeringsfarve1 2 3 9 3 3" xfId="43011" xr:uid="{00000000-0005-0000-0000-0000EC4D0000}"/>
    <cellStyle name="40 % - Markeringsfarve1 2 3 9 4" xfId="21024" xr:uid="{00000000-0005-0000-0000-0000ED4D0000}"/>
    <cellStyle name="40 % - Markeringsfarve1 2 3 9 5" xfId="36012" xr:uid="{00000000-0005-0000-0000-0000EE4D0000}"/>
    <cellStyle name="40 % - Markeringsfarve1 2 4" xfId="3167" xr:uid="{00000000-0005-0000-0000-0000EF4D0000}"/>
    <cellStyle name="40 % - Markeringsfarve1 2 4 2" xfId="3168" xr:uid="{00000000-0005-0000-0000-0000F04D0000}"/>
    <cellStyle name="40 % - Markeringsfarve1 2 4 2 2" xfId="3169" xr:uid="{00000000-0005-0000-0000-0000F14D0000}"/>
    <cellStyle name="40 % - Markeringsfarve1 2 4 2 2 2" xfId="7574" xr:uid="{00000000-0005-0000-0000-0000F24D0000}"/>
    <cellStyle name="40 % - Markeringsfarve1 2 4 2 2 2 2" xfId="15476" xr:uid="{00000000-0005-0000-0000-0000F34D0000}"/>
    <cellStyle name="40 % - Markeringsfarve1 2 4 2 2 2 2 2" xfId="31791" xr:uid="{00000000-0005-0000-0000-0000F44D0000}"/>
    <cellStyle name="40 % - Markeringsfarve1 2 4 2 2 2 2 3" xfId="46755" xr:uid="{00000000-0005-0000-0000-0000F54D0000}"/>
    <cellStyle name="40 % - Markeringsfarve1 2 4 2 2 2 3" xfId="24769" xr:uid="{00000000-0005-0000-0000-0000F64D0000}"/>
    <cellStyle name="40 % - Markeringsfarve1 2 4 2 2 2 4" xfId="39756" xr:uid="{00000000-0005-0000-0000-0000F74D0000}"/>
    <cellStyle name="40 % - Markeringsfarve1 2 4 2 2 3" xfId="11729" xr:uid="{00000000-0005-0000-0000-0000F84D0000}"/>
    <cellStyle name="40 % - Markeringsfarve1 2 4 2 2 3 2" xfId="28049" xr:uid="{00000000-0005-0000-0000-0000F94D0000}"/>
    <cellStyle name="40 % - Markeringsfarve1 2 4 2 2 3 3" xfId="43014" xr:uid="{00000000-0005-0000-0000-0000FA4D0000}"/>
    <cellStyle name="40 % - Markeringsfarve1 2 4 2 2 4" xfId="21027" xr:uid="{00000000-0005-0000-0000-0000FB4D0000}"/>
    <cellStyle name="40 % - Markeringsfarve1 2 4 2 2 5" xfId="36015" xr:uid="{00000000-0005-0000-0000-0000FC4D0000}"/>
    <cellStyle name="40 % - Markeringsfarve1 2 4 2 3" xfId="6153" xr:uid="{00000000-0005-0000-0000-0000FD4D0000}"/>
    <cellStyle name="40 % - Markeringsfarve1 2 4 2 3 2" xfId="14071" xr:uid="{00000000-0005-0000-0000-0000FE4D0000}"/>
    <cellStyle name="40 % - Markeringsfarve1 2 4 2 3 2 2" xfId="30386" xr:uid="{00000000-0005-0000-0000-0000FF4D0000}"/>
    <cellStyle name="40 % - Markeringsfarve1 2 4 2 3 2 3" xfId="45350" xr:uid="{00000000-0005-0000-0000-0000004E0000}"/>
    <cellStyle name="40 % - Markeringsfarve1 2 4 2 3 3" xfId="23364" xr:uid="{00000000-0005-0000-0000-0000014E0000}"/>
    <cellStyle name="40 % - Markeringsfarve1 2 4 2 3 4" xfId="38351" xr:uid="{00000000-0005-0000-0000-0000024E0000}"/>
    <cellStyle name="40 % - Markeringsfarve1 2 4 2 4" xfId="11728" xr:uid="{00000000-0005-0000-0000-0000034E0000}"/>
    <cellStyle name="40 % - Markeringsfarve1 2 4 2 4 2" xfId="28048" xr:uid="{00000000-0005-0000-0000-0000044E0000}"/>
    <cellStyle name="40 % - Markeringsfarve1 2 4 2 4 3" xfId="43013" xr:uid="{00000000-0005-0000-0000-0000054E0000}"/>
    <cellStyle name="40 % - Markeringsfarve1 2 4 2 5" xfId="21026" xr:uid="{00000000-0005-0000-0000-0000064E0000}"/>
    <cellStyle name="40 % - Markeringsfarve1 2 4 2 6" xfId="36014" xr:uid="{00000000-0005-0000-0000-0000074E0000}"/>
    <cellStyle name="40 % - Markeringsfarve1 2 4 2 7" xfId="57086" xr:uid="{00000000-0005-0000-0000-0000084E0000}"/>
    <cellStyle name="40 % - Markeringsfarve1 2 4 3" xfId="3170" xr:uid="{00000000-0005-0000-0000-0000094E0000}"/>
    <cellStyle name="40 % - Markeringsfarve1 2 4 3 2" xfId="6804" xr:uid="{00000000-0005-0000-0000-00000A4E0000}"/>
    <cellStyle name="40 % - Markeringsfarve1 2 4 3 2 2" xfId="14716" xr:uid="{00000000-0005-0000-0000-00000B4E0000}"/>
    <cellStyle name="40 % - Markeringsfarve1 2 4 3 2 2 2" xfId="31031" xr:uid="{00000000-0005-0000-0000-00000C4E0000}"/>
    <cellStyle name="40 % - Markeringsfarve1 2 4 3 2 2 3" xfId="45995" xr:uid="{00000000-0005-0000-0000-00000D4E0000}"/>
    <cellStyle name="40 % - Markeringsfarve1 2 4 3 2 3" xfId="24009" xr:uid="{00000000-0005-0000-0000-00000E4E0000}"/>
    <cellStyle name="40 % - Markeringsfarve1 2 4 3 2 4" xfId="38996" xr:uid="{00000000-0005-0000-0000-00000F4E0000}"/>
    <cellStyle name="40 % - Markeringsfarve1 2 4 3 3" xfId="11730" xr:uid="{00000000-0005-0000-0000-0000104E0000}"/>
    <cellStyle name="40 % - Markeringsfarve1 2 4 3 3 2" xfId="28050" xr:uid="{00000000-0005-0000-0000-0000114E0000}"/>
    <cellStyle name="40 % - Markeringsfarve1 2 4 3 3 3" xfId="43015" xr:uid="{00000000-0005-0000-0000-0000124E0000}"/>
    <cellStyle name="40 % - Markeringsfarve1 2 4 3 4" xfId="21028" xr:uid="{00000000-0005-0000-0000-0000134E0000}"/>
    <cellStyle name="40 % - Markeringsfarve1 2 4 3 5" xfId="36016" xr:uid="{00000000-0005-0000-0000-0000144E0000}"/>
    <cellStyle name="40 % - Markeringsfarve1 2 4 4" xfId="3171" xr:uid="{00000000-0005-0000-0000-0000154E0000}"/>
    <cellStyle name="40 % - Markeringsfarve1 2 4 4 2" xfId="8338" xr:uid="{00000000-0005-0000-0000-0000164E0000}"/>
    <cellStyle name="40 % - Markeringsfarve1 2 4 4 2 2" xfId="16232" xr:uid="{00000000-0005-0000-0000-0000174E0000}"/>
    <cellStyle name="40 % - Markeringsfarve1 2 4 4 2 2 2" xfId="32547" xr:uid="{00000000-0005-0000-0000-0000184E0000}"/>
    <cellStyle name="40 % - Markeringsfarve1 2 4 4 2 2 3" xfId="47511" xr:uid="{00000000-0005-0000-0000-0000194E0000}"/>
    <cellStyle name="40 % - Markeringsfarve1 2 4 4 2 3" xfId="25525" xr:uid="{00000000-0005-0000-0000-00001A4E0000}"/>
    <cellStyle name="40 % - Markeringsfarve1 2 4 4 2 4" xfId="40512" xr:uid="{00000000-0005-0000-0000-00001B4E0000}"/>
    <cellStyle name="40 % - Markeringsfarve1 2 4 4 3" xfId="11731" xr:uid="{00000000-0005-0000-0000-00001C4E0000}"/>
    <cellStyle name="40 % - Markeringsfarve1 2 4 4 3 2" xfId="28051" xr:uid="{00000000-0005-0000-0000-00001D4E0000}"/>
    <cellStyle name="40 % - Markeringsfarve1 2 4 4 3 3" xfId="43016" xr:uid="{00000000-0005-0000-0000-00001E4E0000}"/>
    <cellStyle name="40 % - Markeringsfarve1 2 4 4 4" xfId="21029" xr:uid="{00000000-0005-0000-0000-00001F4E0000}"/>
    <cellStyle name="40 % - Markeringsfarve1 2 4 4 5" xfId="36017" xr:uid="{00000000-0005-0000-0000-0000204E0000}"/>
    <cellStyle name="40 % - Markeringsfarve1 2 4 5" xfId="5702" xr:uid="{00000000-0005-0000-0000-0000214E0000}"/>
    <cellStyle name="40 % - Markeringsfarve1 2 4 5 2" xfId="13621" xr:uid="{00000000-0005-0000-0000-0000224E0000}"/>
    <cellStyle name="40 % - Markeringsfarve1 2 4 5 2 2" xfId="29936" xr:uid="{00000000-0005-0000-0000-0000234E0000}"/>
    <cellStyle name="40 % - Markeringsfarve1 2 4 5 2 3" xfId="44900" xr:uid="{00000000-0005-0000-0000-0000244E0000}"/>
    <cellStyle name="40 % - Markeringsfarve1 2 4 5 3" xfId="22914" xr:uid="{00000000-0005-0000-0000-0000254E0000}"/>
    <cellStyle name="40 % - Markeringsfarve1 2 4 5 4" xfId="37901" xr:uid="{00000000-0005-0000-0000-0000264E0000}"/>
    <cellStyle name="40 % - Markeringsfarve1 2 4 6" xfId="11727" xr:uid="{00000000-0005-0000-0000-0000274E0000}"/>
    <cellStyle name="40 % - Markeringsfarve1 2 4 6 2" xfId="28047" xr:uid="{00000000-0005-0000-0000-0000284E0000}"/>
    <cellStyle name="40 % - Markeringsfarve1 2 4 6 3" xfId="43012" xr:uid="{00000000-0005-0000-0000-0000294E0000}"/>
    <cellStyle name="40 % - Markeringsfarve1 2 4 7" xfId="21025" xr:uid="{00000000-0005-0000-0000-00002A4E0000}"/>
    <cellStyle name="40 % - Markeringsfarve1 2 4 8" xfId="36013" xr:uid="{00000000-0005-0000-0000-00002B4E0000}"/>
    <cellStyle name="40 % - Markeringsfarve1 2 4 9" xfId="53919" xr:uid="{00000000-0005-0000-0000-00002C4E0000}"/>
    <cellStyle name="40 % - Markeringsfarve1 2 5" xfId="3172" xr:uid="{00000000-0005-0000-0000-00002D4E0000}"/>
    <cellStyle name="40 % - Markeringsfarve1 2 5 2" xfId="3173" xr:uid="{00000000-0005-0000-0000-00002E4E0000}"/>
    <cellStyle name="40 % - Markeringsfarve1 2 5 2 2" xfId="3174" xr:uid="{00000000-0005-0000-0000-00002F4E0000}"/>
    <cellStyle name="40 % - Markeringsfarve1 2 5 2 2 2" xfId="7720" xr:uid="{00000000-0005-0000-0000-0000304E0000}"/>
    <cellStyle name="40 % - Markeringsfarve1 2 5 2 2 2 2" xfId="15622" xr:uid="{00000000-0005-0000-0000-0000314E0000}"/>
    <cellStyle name="40 % - Markeringsfarve1 2 5 2 2 2 2 2" xfId="31937" xr:uid="{00000000-0005-0000-0000-0000324E0000}"/>
    <cellStyle name="40 % - Markeringsfarve1 2 5 2 2 2 2 3" xfId="46901" xr:uid="{00000000-0005-0000-0000-0000334E0000}"/>
    <cellStyle name="40 % - Markeringsfarve1 2 5 2 2 2 3" xfId="24915" xr:uid="{00000000-0005-0000-0000-0000344E0000}"/>
    <cellStyle name="40 % - Markeringsfarve1 2 5 2 2 2 4" xfId="39902" xr:uid="{00000000-0005-0000-0000-0000354E0000}"/>
    <cellStyle name="40 % - Markeringsfarve1 2 5 2 2 3" xfId="11734" xr:uid="{00000000-0005-0000-0000-0000364E0000}"/>
    <cellStyle name="40 % - Markeringsfarve1 2 5 2 2 3 2" xfId="28054" xr:uid="{00000000-0005-0000-0000-0000374E0000}"/>
    <cellStyle name="40 % - Markeringsfarve1 2 5 2 2 3 3" xfId="43019" xr:uid="{00000000-0005-0000-0000-0000384E0000}"/>
    <cellStyle name="40 % - Markeringsfarve1 2 5 2 2 4" xfId="21032" xr:uid="{00000000-0005-0000-0000-0000394E0000}"/>
    <cellStyle name="40 % - Markeringsfarve1 2 5 2 2 5" xfId="36020" xr:uid="{00000000-0005-0000-0000-00003A4E0000}"/>
    <cellStyle name="40 % - Markeringsfarve1 2 5 2 3" xfId="6275" xr:uid="{00000000-0005-0000-0000-00003B4E0000}"/>
    <cellStyle name="40 % - Markeringsfarve1 2 5 2 3 2" xfId="14193" xr:uid="{00000000-0005-0000-0000-00003C4E0000}"/>
    <cellStyle name="40 % - Markeringsfarve1 2 5 2 3 2 2" xfId="30508" xr:uid="{00000000-0005-0000-0000-00003D4E0000}"/>
    <cellStyle name="40 % - Markeringsfarve1 2 5 2 3 2 3" xfId="45472" xr:uid="{00000000-0005-0000-0000-00003E4E0000}"/>
    <cellStyle name="40 % - Markeringsfarve1 2 5 2 3 3" xfId="23486" xr:uid="{00000000-0005-0000-0000-00003F4E0000}"/>
    <cellStyle name="40 % - Markeringsfarve1 2 5 2 3 4" xfId="38473" xr:uid="{00000000-0005-0000-0000-0000404E0000}"/>
    <cellStyle name="40 % - Markeringsfarve1 2 5 2 4" xfId="11733" xr:uid="{00000000-0005-0000-0000-0000414E0000}"/>
    <cellStyle name="40 % - Markeringsfarve1 2 5 2 4 2" xfId="28053" xr:uid="{00000000-0005-0000-0000-0000424E0000}"/>
    <cellStyle name="40 % - Markeringsfarve1 2 5 2 4 3" xfId="43018" xr:uid="{00000000-0005-0000-0000-0000434E0000}"/>
    <cellStyle name="40 % - Markeringsfarve1 2 5 2 5" xfId="21031" xr:uid="{00000000-0005-0000-0000-0000444E0000}"/>
    <cellStyle name="40 % - Markeringsfarve1 2 5 2 6" xfId="36019" xr:uid="{00000000-0005-0000-0000-0000454E0000}"/>
    <cellStyle name="40 % - Markeringsfarve1 2 5 3" xfId="3175" xr:uid="{00000000-0005-0000-0000-0000464E0000}"/>
    <cellStyle name="40 % - Markeringsfarve1 2 5 3 2" xfId="6950" xr:uid="{00000000-0005-0000-0000-0000474E0000}"/>
    <cellStyle name="40 % - Markeringsfarve1 2 5 3 2 2" xfId="14862" xr:uid="{00000000-0005-0000-0000-0000484E0000}"/>
    <cellStyle name="40 % - Markeringsfarve1 2 5 3 2 2 2" xfId="31177" xr:uid="{00000000-0005-0000-0000-0000494E0000}"/>
    <cellStyle name="40 % - Markeringsfarve1 2 5 3 2 2 3" xfId="46141" xr:uid="{00000000-0005-0000-0000-00004A4E0000}"/>
    <cellStyle name="40 % - Markeringsfarve1 2 5 3 2 3" xfId="24155" xr:uid="{00000000-0005-0000-0000-00004B4E0000}"/>
    <cellStyle name="40 % - Markeringsfarve1 2 5 3 2 4" xfId="39142" xr:uid="{00000000-0005-0000-0000-00004C4E0000}"/>
    <cellStyle name="40 % - Markeringsfarve1 2 5 3 3" xfId="11735" xr:uid="{00000000-0005-0000-0000-00004D4E0000}"/>
    <cellStyle name="40 % - Markeringsfarve1 2 5 3 3 2" xfId="28055" xr:uid="{00000000-0005-0000-0000-00004E4E0000}"/>
    <cellStyle name="40 % - Markeringsfarve1 2 5 3 3 3" xfId="43020" xr:uid="{00000000-0005-0000-0000-00004F4E0000}"/>
    <cellStyle name="40 % - Markeringsfarve1 2 5 3 4" xfId="21033" xr:uid="{00000000-0005-0000-0000-0000504E0000}"/>
    <cellStyle name="40 % - Markeringsfarve1 2 5 3 5" xfId="36021" xr:uid="{00000000-0005-0000-0000-0000514E0000}"/>
    <cellStyle name="40 % - Markeringsfarve1 2 5 4" xfId="3176" xr:uid="{00000000-0005-0000-0000-0000524E0000}"/>
    <cellStyle name="40 % - Markeringsfarve1 2 5 4 2" xfId="8582" xr:uid="{00000000-0005-0000-0000-0000534E0000}"/>
    <cellStyle name="40 % - Markeringsfarve1 2 5 4 2 2" xfId="16466" xr:uid="{00000000-0005-0000-0000-0000544E0000}"/>
    <cellStyle name="40 % - Markeringsfarve1 2 5 4 2 2 2" xfId="32781" xr:uid="{00000000-0005-0000-0000-0000554E0000}"/>
    <cellStyle name="40 % - Markeringsfarve1 2 5 4 2 2 3" xfId="47745" xr:uid="{00000000-0005-0000-0000-0000564E0000}"/>
    <cellStyle name="40 % - Markeringsfarve1 2 5 4 2 3" xfId="25759" xr:uid="{00000000-0005-0000-0000-0000574E0000}"/>
    <cellStyle name="40 % - Markeringsfarve1 2 5 4 2 4" xfId="40746" xr:uid="{00000000-0005-0000-0000-0000584E0000}"/>
    <cellStyle name="40 % - Markeringsfarve1 2 5 4 3" xfId="11736" xr:uid="{00000000-0005-0000-0000-0000594E0000}"/>
    <cellStyle name="40 % - Markeringsfarve1 2 5 4 3 2" xfId="28056" xr:uid="{00000000-0005-0000-0000-00005A4E0000}"/>
    <cellStyle name="40 % - Markeringsfarve1 2 5 4 3 3" xfId="43021" xr:uid="{00000000-0005-0000-0000-00005B4E0000}"/>
    <cellStyle name="40 % - Markeringsfarve1 2 5 4 4" xfId="21034" xr:uid="{00000000-0005-0000-0000-00005C4E0000}"/>
    <cellStyle name="40 % - Markeringsfarve1 2 5 4 5" xfId="36022" xr:uid="{00000000-0005-0000-0000-00005D4E0000}"/>
    <cellStyle name="40 % - Markeringsfarve1 2 5 5" xfId="5703" xr:uid="{00000000-0005-0000-0000-00005E4E0000}"/>
    <cellStyle name="40 % - Markeringsfarve1 2 5 5 2" xfId="13622" xr:uid="{00000000-0005-0000-0000-00005F4E0000}"/>
    <cellStyle name="40 % - Markeringsfarve1 2 5 5 2 2" xfId="29937" xr:uid="{00000000-0005-0000-0000-0000604E0000}"/>
    <cellStyle name="40 % - Markeringsfarve1 2 5 5 2 3" xfId="44901" xr:uid="{00000000-0005-0000-0000-0000614E0000}"/>
    <cellStyle name="40 % - Markeringsfarve1 2 5 5 3" xfId="22915" xr:uid="{00000000-0005-0000-0000-0000624E0000}"/>
    <cellStyle name="40 % - Markeringsfarve1 2 5 5 4" xfId="37902" xr:uid="{00000000-0005-0000-0000-0000634E0000}"/>
    <cellStyle name="40 % - Markeringsfarve1 2 5 6" xfId="11732" xr:uid="{00000000-0005-0000-0000-0000644E0000}"/>
    <cellStyle name="40 % - Markeringsfarve1 2 5 6 2" xfId="28052" xr:uid="{00000000-0005-0000-0000-0000654E0000}"/>
    <cellStyle name="40 % - Markeringsfarve1 2 5 6 3" xfId="43017" xr:uid="{00000000-0005-0000-0000-0000664E0000}"/>
    <cellStyle name="40 % - Markeringsfarve1 2 5 7" xfId="21030" xr:uid="{00000000-0005-0000-0000-0000674E0000}"/>
    <cellStyle name="40 % - Markeringsfarve1 2 5 8" xfId="36018" xr:uid="{00000000-0005-0000-0000-0000684E0000}"/>
    <cellStyle name="40 % - Markeringsfarve1 2 5 9" xfId="56463" xr:uid="{00000000-0005-0000-0000-0000694E0000}"/>
    <cellStyle name="40 % - Markeringsfarve1 2 6" xfId="3177" xr:uid="{00000000-0005-0000-0000-00006A4E0000}"/>
    <cellStyle name="40 % - Markeringsfarve1 2 6 2" xfId="3178" xr:uid="{00000000-0005-0000-0000-00006B4E0000}"/>
    <cellStyle name="40 % - Markeringsfarve1 2 6 2 2" xfId="3179" xr:uid="{00000000-0005-0000-0000-00006C4E0000}"/>
    <cellStyle name="40 % - Markeringsfarve1 2 6 2 2 2" xfId="7812" xr:uid="{00000000-0005-0000-0000-00006D4E0000}"/>
    <cellStyle name="40 % - Markeringsfarve1 2 6 2 2 2 2" xfId="15714" xr:uid="{00000000-0005-0000-0000-00006E4E0000}"/>
    <cellStyle name="40 % - Markeringsfarve1 2 6 2 2 2 2 2" xfId="32029" xr:uid="{00000000-0005-0000-0000-00006F4E0000}"/>
    <cellStyle name="40 % - Markeringsfarve1 2 6 2 2 2 2 3" xfId="46993" xr:uid="{00000000-0005-0000-0000-0000704E0000}"/>
    <cellStyle name="40 % - Markeringsfarve1 2 6 2 2 2 3" xfId="25007" xr:uid="{00000000-0005-0000-0000-0000714E0000}"/>
    <cellStyle name="40 % - Markeringsfarve1 2 6 2 2 2 4" xfId="39994" xr:uid="{00000000-0005-0000-0000-0000724E0000}"/>
    <cellStyle name="40 % - Markeringsfarve1 2 6 2 2 3" xfId="11739" xr:uid="{00000000-0005-0000-0000-0000734E0000}"/>
    <cellStyle name="40 % - Markeringsfarve1 2 6 2 2 3 2" xfId="28059" xr:uid="{00000000-0005-0000-0000-0000744E0000}"/>
    <cellStyle name="40 % - Markeringsfarve1 2 6 2 2 3 3" xfId="43024" xr:uid="{00000000-0005-0000-0000-0000754E0000}"/>
    <cellStyle name="40 % - Markeringsfarve1 2 6 2 2 4" xfId="21037" xr:uid="{00000000-0005-0000-0000-0000764E0000}"/>
    <cellStyle name="40 % - Markeringsfarve1 2 6 2 2 5" xfId="36025" xr:uid="{00000000-0005-0000-0000-0000774E0000}"/>
    <cellStyle name="40 % - Markeringsfarve1 2 6 2 3" xfId="6355" xr:uid="{00000000-0005-0000-0000-0000784E0000}"/>
    <cellStyle name="40 % - Markeringsfarve1 2 6 2 3 2" xfId="14270" xr:uid="{00000000-0005-0000-0000-0000794E0000}"/>
    <cellStyle name="40 % - Markeringsfarve1 2 6 2 3 2 2" xfId="30585" xr:uid="{00000000-0005-0000-0000-00007A4E0000}"/>
    <cellStyle name="40 % - Markeringsfarve1 2 6 2 3 2 3" xfId="45549" xr:uid="{00000000-0005-0000-0000-00007B4E0000}"/>
    <cellStyle name="40 % - Markeringsfarve1 2 6 2 3 3" xfId="23563" xr:uid="{00000000-0005-0000-0000-00007C4E0000}"/>
    <cellStyle name="40 % - Markeringsfarve1 2 6 2 3 4" xfId="38550" xr:uid="{00000000-0005-0000-0000-00007D4E0000}"/>
    <cellStyle name="40 % - Markeringsfarve1 2 6 2 4" xfId="11738" xr:uid="{00000000-0005-0000-0000-00007E4E0000}"/>
    <cellStyle name="40 % - Markeringsfarve1 2 6 2 4 2" xfId="28058" xr:uid="{00000000-0005-0000-0000-00007F4E0000}"/>
    <cellStyle name="40 % - Markeringsfarve1 2 6 2 4 3" xfId="43023" xr:uid="{00000000-0005-0000-0000-0000804E0000}"/>
    <cellStyle name="40 % - Markeringsfarve1 2 6 2 5" xfId="21036" xr:uid="{00000000-0005-0000-0000-0000814E0000}"/>
    <cellStyle name="40 % - Markeringsfarve1 2 6 2 6" xfId="36024" xr:uid="{00000000-0005-0000-0000-0000824E0000}"/>
    <cellStyle name="40 % - Markeringsfarve1 2 6 3" xfId="3180" xr:uid="{00000000-0005-0000-0000-0000834E0000}"/>
    <cellStyle name="40 % - Markeringsfarve1 2 6 3 2" xfId="7088" xr:uid="{00000000-0005-0000-0000-0000844E0000}"/>
    <cellStyle name="40 % - Markeringsfarve1 2 6 3 2 2" xfId="14999" xr:uid="{00000000-0005-0000-0000-0000854E0000}"/>
    <cellStyle name="40 % - Markeringsfarve1 2 6 3 2 2 2" xfId="31314" xr:uid="{00000000-0005-0000-0000-0000864E0000}"/>
    <cellStyle name="40 % - Markeringsfarve1 2 6 3 2 2 3" xfId="46278" xr:uid="{00000000-0005-0000-0000-0000874E0000}"/>
    <cellStyle name="40 % - Markeringsfarve1 2 6 3 2 3" xfId="24292" xr:uid="{00000000-0005-0000-0000-0000884E0000}"/>
    <cellStyle name="40 % - Markeringsfarve1 2 6 3 2 4" xfId="39279" xr:uid="{00000000-0005-0000-0000-0000894E0000}"/>
    <cellStyle name="40 % - Markeringsfarve1 2 6 3 3" xfId="11740" xr:uid="{00000000-0005-0000-0000-00008A4E0000}"/>
    <cellStyle name="40 % - Markeringsfarve1 2 6 3 3 2" xfId="28060" xr:uid="{00000000-0005-0000-0000-00008B4E0000}"/>
    <cellStyle name="40 % - Markeringsfarve1 2 6 3 3 3" xfId="43025" xr:uid="{00000000-0005-0000-0000-00008C4E0000}"/>
    <cellStyle name="40 % - Markeringsfarve1 2 6 3 4" xfId="21038" xr:uid="{00000000-0005-0000-0000-00008D4E0000}"/>
    <cellStyle name="40 % - Markeringsfarve1 2 6 3 5" xfId="36026" xr:uid="{00000000-0005-0000-0000-00008E4E0000}"/>
    <cellStyle name="40 % - Markeringsfarve1 2 6 4" xfId="3181" xr:uid="{00000000-0005-0000-0000-00008F4E0000}"/>
    <cellStyle name="40 % - Markeringsfarve1 2 6 4 2" xfId="8231" xr:uid="{00000000-0005-0000-0000-0000904E0000}"/>
    <cellStyle name="40 % - Markeringsfarve1 2 6 4 2 2" xfId="16126" xr:uid="{00000000-0005-0000-0000-0000914E0000}"/>
    <cellStyle name="40 % - Markeringsfarve1 2 6 4 2 2 2" xfId="32441" xr:uid="{00000000-0005-0000-0000-0000924E0000}"/>
    <cellStyle name="40 % - Markeringsfarve1 2 6 4 2 2 3" xfId="47405" xr:uid="{00000000-0005-0000-0000-0000934E0000}"/>
    <cellStyle name="40 % - Markeringsfarve1 2 6 4 2 3" xfId="25419" xr:uid="{00000000-0005-0000-0000-0000944E0000}"/>
    <cellStyle name="40 % - Markeringsfarve1 2 6 4 2 4" xfId="40406" xr:uid="{00000000-0005-0000-0000-0000954E0000}"/>
    <cellStyle name="40 % - Markeringsfarve1 2 6 4 3" xfId="11741" xr:uid="{00000000-0005-0000-0000-0000964E0000}"/>
    <cellStyle name="40 % - Markeringsfarve1 2 6 4 3 2" xfId="28061" xr:uid="{00000000-0005-0000-0000-0000974E0000}"/>
    <cellStyle name="40 % - Markeringsfarve1 2 6 4 3 3" xfId="43026" xr:uid="{00000000-0005-0000-0000-0000984E0000}"/>
    <cellStyle name="40 % - Markeringsfarve1 2 6 4 4" xfId="21039" xr:uid="{00000000-0005-0000-0000-0000994E0000}"/>
    <cellStyle name="40 % - Markeringsfarve1 2 6 4 5" xfId="36027" xr:uid="{00000000-0005-0000-0000-00009A4E0000}"/>
    <cellStyle name="40 % - Markeringsfarve1 2 6 5" xfId="5704" xr:uid="{00000000-0005-0000-0000-00009B4E0000}"/>
    <cellStyle name="40 % - Markeringsfarve1 2 6 5 2" xfId="13623" xr:uid="{00000000-0005-0000-0000-00009C4E0000}"/>
    <cellStyle name="40 % - Markeringsfarve1 2 6 5 2 2" xfId="29938" xr:uid="{00000000-0005-0000-0000-00009D4E0000}"/>
    <cellStyle name="40 % - Markeringsfarve1 2 6 5 2 3" xfId="44902" xr:uid="{00000000-0005-0000-0000-00009E4E0000}"/>
    <cellStyle name="40 % - Markeringsfarve1 2 6 5 3" xfId="22916" xr:uid="{00000000-0005-0000-0000-00009F4E0000}"/>
    <cellStyle name="40 % - Markeringsfarve1 2 6 5 4" xfId="37903" xr:uid="{00000000-0005-0000-0000-0000A04E0000}"/>
    <cellStyle name="40 % - Markeringsfarve1 2 6 6" xfId="11737" xr:uid="{00000000-0005-0000-0000-0000A14E0000}"/>
    <cellStyle name="40 % - Markeringsfarve1 2 6 6 2" xfId="28057" xr:uid="{00000000-0005-0000-0000-0000A24E0000}"/>
    <cellStyle name="40 % - Markeringsfarve1 2 6 6 3" xfId="43022" xr:uid="{00000000-0005-0000-0000-0000A34E0000}"/>
    <cellStyle name="40 % - Markeringsfarve1 2 6 7" xfId="21035" xr:uid="{00000000-0005-0000-0000-0000A44E0000}"/>
    <cellStyle name="40 % - Markeringsfarve1 2 6 8" xfId="36023" xr:uid="{00000000-0005-0000-0000-0000A54E0000}"/>
    <cellStyle name="40 % - Markeringsfarve1 2 7" xfId="3182" xr:uid="{00000000-0005-0000-0000-0000A64E0000}"/>
    <cellStyle name="40 % - Markeringsfarve1 2 7 2" xfId="3183" xr:uid="{00000000-0005-0000-0000-0000A74E0000}"/>
    <cellStyle name="40 % - Markeringsfarve1 2 7 2 2" xfId="3184" xr:uid="{00000000-0005-0000-0000-0000A84E0000}"/>
    <cellStyle name="40 % - Markeringsfarve1 2 7 2 2 2" xfId="7929" xr:uid="{00000000-0005-0000-0000-0000A94E0000}"/>
    <cellStyle name="40 % - Markeringsfarve1 2 7 2 2 2 2" xfId="15831" xr:uid="{00000000-0005-0000-0000-0000AA4E0000}"/>
    <cellStyle name="40 % - Markeringsfarve1 2 7 2 2 2 2 2" xfId="32146" xr:uid="{00000000-0005-0000-0000-0000AB4E0000}"/>
    <cellStyle name="40 % - Markeringsfarve1 2 7 2 2 2 2 3" xfId="47110" xr:uid="{00000000-0005-0000-0000-0000AC4E0000}"/>
    <cellStyle name="40 % - Markeringsfarve1 2 7 2 2 2 3" xfId="25124" xr:uid="{00000000-0005-0000-0000-0000AD4E0000}"/>
    <cellStyle name="40 % - Markeringsfarve1 2 7 2 2 2 4" xfId="40111" xr:uid="{00000000-0005-0000-0000-0000AE4E0000}"/>
    <cellStyle name="40 % - Markeringsfarve1 2 7 2 2 3" xfId="11744" xr:uid="{00000000-0005-0000-0000-0000AF4E0000}"/>
    <cellStyle name="40 % - Markeringsfarve1 2 7 2 2 3 2" xfId="28064" xr:uid="{00000000-0005-0000-0000-0000B04E0000}"/>
    <cellStyle name="40 % - Markeringsfarve1 2 7 2 2 3 3" xfId="43029" xr:uid="{00000000-0005-0000-0000-0000B14E0000}"/>
    <cellStyle name="40 % - Markeringsfarve1 2 7 2 2 4" xfId="21042" xr:uid="{00000000-0005-0000-0000-0000B24E0000}"/>
    <cellStyle name="40 % - Markeringsfarve1 2 7 2 2 5" xfId="36030" xr:uid="{00000000-0005-0000-0000-0000B34E0000}"/>
    <cellStyle name="40 % - Markeringsfarve1 2 7 2 3" xfId="6454" xr:uid="{00000000-0005-0000-0000-0000B44E0000}"/>
    <cellStyle name="40 % - Markeringsfarve1 2 7 2 3 2" xfId="14369" xr:uid="{00000000-0005-0000-0000-0000B54E0000}"/>
    <cellStyle name="40 % - Markeringsfarve1 2 7 2 3 2 2" xfId="30684" xr:uid="{00000000-0005-0000-0000-0000B64E0000}"/>
    <cellStyle name="40 % - Markeringsfarve1 2 7 2 3 2 3" xfId="45648" xr:uid="{00000000-0005-0000-0000-0000B74E0000}"/>
    <cellStyle name="40 % - Markeringsfarve1 2 7 2 3 3" xfId="23662" xr:uid="{00000000-0005-0000-0000-0000B84E0000}"/>
    <cellStyle name="40 % - Markeringsfarve1 2 7 2 3 4" xfId="38649" xr:uid="{00000000-0005-0000-0000-0000B94E0000}"/>
    <cellStyle name="40 % - Markeringsfarve1 2 7 2 4" xfId="11743" xr:uid="{00000000-0005-0000-0000-0000BA4E0000}"/>
    <cellStyle name="40 % - Markeringsfarve1 2 7 2 4 2" xfId="28063" xr:uid="{00000000-0005-0000-0000-0000BB4E0000}"/>
    <cellStyle name="40 % - Markeringsfarve1 2 7 2 4 3" xfId="43028" xr:uid="{00000000-0005-0000-0000-0000BC4E0000}"/>
    <cellStyle name="40 % - Markeringsfarve1 2 7 2 5" xfId="21041" xr:uid="{00000000-0005-0000-0000-0000BD4E0000}"/>
    <cellStyle name="40 % - Markeringsfarve1 2 7 2 6" xfId="36029" xr:uid="{00000000-0005-0000-0000-0000BE4E0000}"/>
    <cellStyle name="40 % - Markeringsfarve1 2 7 3" xfId="3185" xr:uid="{00000000-0005-0000-0000-0000BF4E0000}"/>
    <cellStyle name="40 % - Markeringsfarve1 2 7 3 2" xfId="7205" xr:uid="{00000000-0005-0000-0000-0000C04E0000}"/>
    <cellStyle name="40 % - Markeringsfarve1 2 7 3 2 2" xfId="15116" xr:uid="{00000000-0005-0000-0000-0000C14E0000}"/>
    <cellStyle name="40 % - Markeringsfarve1 2 7 3 2 2 2" xfId="31431" xr:uid="{00000000-0005-0000-0000-0000C24E0000}"/>
    <cellStyle name="40 % - Markeringsfarve1 2 7 3 2 2 3" xfId="46395" xr:uid="{00000000-0005-0000-0000-0000C34E0000}"/>
    <cellStyle name="40 % - Markeringsfarve1 2 7 3 2 3" xfId="24409" xr:uid="{00000000-0005-0000-0000-0000C44E0000}"/>
    <cellStyle name="40 % - Markeringsfarve1 2 7 3 2 4" xfId="39396" xr:uid="{00000000-0005-0000-0000-0000C54E0000}"/>
    <cellStyle name="40 % - Markeringsfarve1 2 7 3 3" xfId="11745" xr:uid="{00000000-0005-0000-0000-0000C64E0000}"/>
    <cellStyle name="40 % - Markeringsfarve1 2 7 3 3 2" xfId="28065" xr:uid="{00000000-0005-0000-0000-0000C74E0000}"/>
    <cellStyle name="40 % - Markeringsfarve1 2 7 3 3 3" xfId="43030" xr:uid="{00000000-0005-0000-0000-0000C84E0000}"/>
    <cellStyle name="40 % - Markeringsfarve1 2 7 3 4" xfId="21043" xr:uid="{00000000-0005-0000-0000-0000C94E0000}"/>
    <cellStyle name="40 % - Markeringsfarve1 2 7 3 5" xfId="36031" xr:uid="{00000000-0005-0000-0000-0000CA4E0000}"/>
    <cellStyle name="40 % - Markeringsfarve1 2 7 4" xfId="3186" xr:uid="{00000000-0005-0000-0000-0000CB4E0000}"/>
    <cellStyle name="40 % - Markeringsfarve1 2 7 4 2" xfId="8523" xr:uid="{00000000-0005-0000-0000-0000CC4E0000}"/>
    <cellStyle name="40 % - Markeringsfarve1 2 7 4 2 2" xfId="16411" xr:uid="{00000000-0005-0000-0000-0000CD4E0000}"/>
    <cellStyle name="40 % - Markeringsfarve1 2 7 4 2 2 2" xfId="32726" xr:uid="{00000000-0005-0000-0000-0000CE4E0000}"/>
    <cellStyle name="40 % - Markeringsfarve1 2 7 4 2 2 3" xfId="47690" xr:uid="{00000000-0005-0000-0000-0000CF4E0000}"/>
    <cellStyle name="40 % - Markeringsfarve1 2 7 4 2 3" xfId="25704" xr:uid="{00000000-0005-0000-0000-0000D04E0000}"/>
    <cellStyle name="40 % - Markeringsfarve1 2 7 4 2 4" xfId="40691" xr:uid="{00000000-0005-0000-0000-0000D14E0000}"/>
    <cellStyle name="40 % - Markeringsfarve1 2 7 4 3" xfId="11746" xr:uid="{00000000-0005-0000-0000-0000D24E0000}"/>
    <cellStyle name="40 % - Markeringsfarve1 2 7 4 3 2" xfId="28066" xr:uid="{00000000-0005-0000-0000-0000D34E0000}"/>
    <cellStyle name="40 % - Markeringsfarve1 2 7 4 3 3" xfId="43031" xr:uid="{00000000-0005-0000-0000-0000D44E0000}"/>
    <cellStyle name="40 % - Markeringsfarve1 2 7 4 4" xfId="21044" xr:uid="{00000000-0005-0000-0000-0000D54E0000}"/>
    <cellStyle name="40 % - Markeringsfarve1 2 7 4 5" xfId="36032" xr:uid="{00000000-0005-0000-0000-0000D64E0000}"/>
    <cellStyle name="40 % - Markeringsfarve1 2 7 5" xfId="5705" xr:uid="{00000000-0005-0000-0000-0000D74E0000}"/>
    <cellStyle name="40 % - Markeringsfarve1 2 7 5 2" xfId="13624" xr:uid="{00000000-0005-0000-0000-0000D84E0000}"/>
    <cellStyle name="40 % - Markeringsfarve1 2 7 5 2 2" xfId="29939" xr:uid="{00000000-0005-0000-0000-0000D94E0000}"/>
    <cellStyle name="40 % - Markeringsfarve1 2 7 5 2 3" xfId="44903" xr:uid="{00000000-0005-0000-0000-0000DA4E0000}"/>
    <cellStyle name="40 % - Markeringsfarve1 2 7 5 3" xfId="22917" xr:uid="{00000000-0005-0000-0000-0000DB4E0000}"/>
    <cellStyle name="40 % - Markeringsfarve1 2 7 5 4" xfId="37904" xr:uid="{00000000-0005-0000-0000-0000DC4E0000}"/>
    <cellStyle name="40 % - Markeringsfarve1 2 7 6" xfId="11742" xr:uid="{00000000-0005-0000-0000-0000DD4E0000}"/>
    <cellStyle name="40 % - Markeringsfarve1 2 7 6 2" xfId="28062" xr:uid="{00000000-0005-0000-0000-0000DE4E0000}"/>
    <cellStyle name="40 % - Markeringsfarve1 2 7 6 3" xfId="43027" xr:uid="{00000000-0005-0000-0000-0000DF4E0000}"/>
    <cellStyle name="40 % - Markeringsfarve1 2 7 7" xfId="21040" xr:uid="{00000000-0005-0000-0000-0000E04E0000}"/>
    <cellStyle name="40 % - Markeringsfarve1 2 7 8" xfId="36028" xr:uid="{00000000-0005-0000-0000-0000E14E0000}"/>
    <cellStyle name="40 % - Markeringsfarve1 2 8" xfId="3187" xr:uid="{00000000-0005-0000-0000-0000E24E0000}"/>
    <cellStyle name="40 % - Markeringsfarve1 2 8 2" xfId="3188" xr:uid="{00000000-0005-0000-0000-0000E34E0000}"/>
    <cellStyle name="40 % - Markeringsfarve1 2 8 2 2" xfId="3189" xr:uid="{00000000-0005-0000-0000-0000E44E0000}"/>
    <cellStyle name="40 % - Markeringsfarve1 2 8 2 2 2" xfId="8074" xr:uid="{00000000-0005-0000-0000-0000E54E0000}"/>
    <cellStyle name="40 % - Markeringsfarve1 2 8 2 2 2 2" xfId="15976" xr:uid="{00000000-0005-0000-0000-0000E64E0000}"/>
    <cellStyle name="40 % - Markeringsfarve1 2 8 2 2 2 2 2" xfId="32291" xr:uid="{00000000-0005-0000-0000-0000E74E0000}"/>
    <cellStyle name="40 % - Markeringsfarve1 2 8 2 2 2 2 3" xfId="47255" xr:uid="{00000000-0005-0000-0000-0000E84E0000}"/>
    <cellStyle name="40 % - Markeringsfarve1 2 8 2 2 2 3" xfId="25269" xr:uid="{00000000-0005-0000-0000-0000E94E0000}"/>
    <cellStyle name="40 % - Markeringsfarve1 2 8 2 2 2 4" xfId="40256" xr:uid="{00000000-0005-0000-0000-0000EA4E0000}"/>
    <cellStyle name="40 % - Markeringsfarve1 2 8 2 2 3" xfId="11749" xr:uid="{00000000-0005-0000-0000-0000EB4E0000}"/>
    <cellStyle name="40 % - Markeringsfarve1 2 8 2 2 3 2" xfId="28069" xr:uid="{00000000-0005-0000-0000-0000EC4E0000}"/>
    <cellStyle name="40 % - Markeringsfarve1 2 8 2 2 3 3" xfId="43034" xr:uid="{00000000-0005-0000-0000-0000ED4E0000}"/>
    <cellStyle name="40 % - Markeringsfarve1 2 8 2 2 4" xfId="21047" xr:uid="{00000000-0005-0000-0000-0000EE4E0000}"/>
    <cellStyle name="40 % - Markeringsfarve1 2 8 2 2 5" xfId="36035" xr:uid="{00000000-0005-0000-0000-0000EF4E0000}"/>
    <cellStyle name="40 % - Markeringsfarve1 2 8 2 3" xfId="6576" xr:uid="{00000000-0005-0000-0000-0000F04E0000}"/>
    <cellStyle name="40 % - Markeringsfarve1 2 8 2 3 2" xfId="14491" xr:uid="{00000000-0005-0000-0000-0000F14E0000}"/>
    <cellStyle name="40 % - Markeringsfarve1 2 8 2 3 2 2" xfId="30806" xr:uid="{00000000-0005-0000-0000-0000F24E0000}"/>
    <cellStyle name="40 % - Markeringsfarve1 2 8 2 3 2 3" xfId="45770" xr:uid="{00000000-0005-0000-0000-0000F34E0000}"/>
    <cellStyle name="40 % - Markeringsfarve1 2 8 2 3 3" xfId="23784" xr:uid="{00000000-0005-0000-0000-0000F44E0000}"/>
    <cellStyle name="40 % - Markeringsfarve1 2 8 2 3 4" xfId="38771" xr:uid="{00000000-0005-0000-0000-0000F54E0000}"/>
    <cellStyle name="40 % - Markeringsfarve1 2 8 2 4" xfId="11748" xr:uid="{00000000-0005-0000-0000-0000F64E0000}"/>
    <cellStyle name="40 % - Markeringsfarve1 2 8 2 4 2" xfId="28068" xr:uid="{00000000-0005-0000-0000-0000F74E0000}"/>
    <cellStyle name="40 % - Markeringsfarve1 2 8 2 4 3" xfId="43033" xr:uid="{00000000-0005-0000-0000-0000F84E0000}"/>
    <cellStyle name="40 % - Markeringsfarve1 2 8 2 5" xfId="21046" xr:uid="{00000000-0005-0000-0000-0000F94E0000}"/>
    <cellStyle name="40 % - Markeringsfarve1 2 8 2 6" xfId="36034" xr:uid="{00000000-0005-0000-0000-0000FA4E0000}"/>
    <cellStyle name="40 % - Markeringsfarve1 2 8 3" xfId="3190" xr:uid="{00000000-0005-0000-0000-0000FB4E0000}"/>
    <cellStyle name="40 % - Markeringsfarve1 2 8 3 2" xfId="7351" xr:uid="{00000000-0005-0000-0000-0000FC4E0000}"/>
    <cellStyle name="40 % - Markeringsfarve1 2 8 3 2 2" xfId="15262" xr:uid="{00000000-0005-0000-0000-0000FD4E0000}"/>
    <cellStyle name="40 % - Markeringsfarve1 2 8 3 2 2 2" xfId="31577" xr:uid="{00000000-0005-0000-0000-0000FE4E0000}"/>
    <cellStyle name="40 % - Markeringsfarve1 2 8 3 2 2 3" xfId="46541" xr:uid="{00000000-0005-0000-0000-0000FF4E0000}"/>
    <cellStyle name="40 % - Markeringsfarve1 2 8 3 2 3" xfId="24555" xr:uid="{00000000-0005-0000-0000-0000004F0000}"/>
    <cellStyle name="40 % - Markeringsfarve1 2 8 3 2 4" xfId="39542" xr:uid="{00000000-0005-0000-0000-0000014F0000}"/>
    <cellStyle name="40 % - Markeringsfarve1 2 8 3 3" xfId="11750" xr:uid="{00000000-0005-0000-0000-0000024F0000}"/>
    <cellStyle name="40 % - Markeringsfarve1 2 8 3 3 2" xfId="28070" xr:uid="{00000000-0005-0000-0000-0000034F0000}"/>
    <cellStyle name="40 % - Markeringsfarve1 2 8 3 3 3" xfId="43035" xr:uid="{00000000-0005-0000-0000-0000044F0000}"/>
    <cellStyle name="40 % - Markeringsfarve1 2 8 3 4" xfId="21048" xr:uid="{00000000-0005-0000-0000-0000054F0000}"/>
    <cellStyle name="40 % - Markeringsfarve1 2 8 3 5" xfId="36036" xr:uid="{00000000-0005-0000-0000-0000064F0000}"/>
    <cellStyle name="40 % - Markeringsfarve1 2 8 4" xfId="3191" xr:uid="{00000000-0005-0000-0000-0000074F0000}"/>
    <cellStyle name="40 % - Markeringsfarve1 2 8 4 2" xfId="8173" xr:uid="{00000000-0005-0000-0000-0000084F0000}"/>
    <cellStyle name="40 % - Markeringsfarve1 2 8 4 2 2" xfId="16071" xr:uid="{00000000-0005-0000-0000-0000094F0000}"/>
    <cellStyle name="40 % - Markeringsfarve1 2 8 4 2 2 2" xfId="32386" xr:uid="{00000000-0005-0000-0000-00000A4F0000}"/>
    <cellStyle name="40 % - Markeringsfarve1 2 8 4 2 2 3" xfId="47350" xr:uid="{00000000-0005-0000-0000-00000B4F0000}"/>
    <cellStyle name="40 % - Markeringsfarve1 2 8 4 2 3" xfId="25364" xr:uid="{00000000-0005-0000-0000-00000C4F0000}"/>
    <cellStyle name="40 % - Markeringsfarve1 2 8 4 2 4" xfId="40351" xr:uid="{00000000-0005-0000-0000-00000D4F0000}"/>
    <cellStyle name="40 % - Markeringsfarve1 2 8 4 3" xfId="11751" xr:uid="{00000000-0005-0000-0000-00000E4F0000}"/>
    <cellStyle name="40 % - Markeringsfarve1 2 8 4 3 2" xfId="28071" xr:uid="{00000000-0005-0000-0000-00000F4F0000}"/>
    <cellStyle name="40 % - Markeringsfarve1 2 8 4 3 3" xfId="43036" xr:uid="{00000000-0005-0000-0000-0000104F0000}"/>
    <cellStyle name="40 % - Markeringsfarve1 2 8 4 4" xfId="21049" xr:uid="{00000000-0005-0000-0000-0000114F0000}"/>
    <cellStyle name="40 % - Markeringsfarve1 2 8 4 5" xfId="36037" xr:uid="{00000000-0005-0000-0000-0000124F0000}"/>
    <cellStyle name="40 % - Markeringsfarve1 2 8 5" xfId="5706" xr:uid="{00000000-0005-0000-0000-0000134F0000}"/>
    <cellStyle name="40 % - Markeringsfarve1 2 8 5 2" xfId="13625" xr:uid="{00000000-0005-0000-0000-0000144F0000}"/>
    <cellStyle name="40 % - Markeringsfarve1 2 8 5 2 2" xfId="29940" xr:uid="{00000000-0005-0000-0000-0000154F0000}"/>
    <cellStyle name="40 % - Markeringsfarve1 2 8 5 2 3" xfId="44904" xr:uid="{00000000-0005-0000-0000-0000164F0000}"/>
    <cellStyle name="40 % - Markeringsfarve1 2 8 5 3" xfId="22918" xr:uid="{00000000-0005-0000-0000-0000174F0000}"/>
    <cellStyle name="40 % - Markeringsfarve1 2 8 5 4" xfId="37905" xr:uid="{00000000-0005-0000-0000-0000184F0000}"/>
    <cellStyle name="40 % - Markeringsfarve1 2 8 6" xfId="11747" xr:uid="{00000000-0005-0000-0000-0000194F0000}"/>
    <cellStyle name="40 % - Markeringsfarve1 2 8 6 2" xfId="28067" xr:uid="{00000000-0005-0000-0000-00001A4F0000}"/>
    <cellStyle name="40 % - Markeringsfarve1 2 8 6 3" xfId="43032" xr:uid="{00000000-0005-0000-0000-00001B4F0000}"/>
    <cellStyle name="40 % - Markeringsfarve1 2 8 7" xfId="21045" xr:uid="{00000000-0005-0000-0000-00001C4F0000}"/>
    <cellStyle name="40 % - Markeringsfarve1 2 8 8" xfId="36033" xr:uid="{00000000-0005-0000-0000-00001D4F0000}"/>
    <cellStyle name="40 % - Markeringsfarve1 2 9" xfId="3192" xr:uid="{00000000-0005-0000-0000-00001E4F0000}"/>
    <cellStyle name="40 % - Markeringsfarve1 2 9 2" xfId="3193" xr:uid="{00000000-0005-0000-0000-00001F4F0000}"/>
    <cellStyle name="40 % - Markeringsfarve1 2 9 2 2" xfId="7455" xr:uid="{00000000-0005-0000-0000-0000204F0000}"/>
    <cellStyle name="40 % - Markeringsfarve1 2 9 2 2 2" xfId="15357" xr:uid="{00000000-0005-0000-0000-0000214F0000}"/>
    <cellStyle name="40 % - Markeringsfarve1 2 9 2 2 2 2" xfId="31672" xr:uid="{00000000-0005-0000-0000-0000224F0000}"/>
    <cellStyle name="40 % - Markeringsfarve1 2 9 2 2 2 3" xfId="46636" xr:uid="{00000000-0005-0000-0000-0000234F0000}"/>
    <cellStyle name="40 % - Markeringsfarve1 2 9 2 2 3" xfId="24650" xr:uid="{00000000-0005-0000-0000-0000244F0000}"/>
    <cellStyle name="40 % - Markeringsfarve1 2 9 2 2 4" xfId="39637" xr:uid="{00000000-0005-0000-0000-0000254F0000}"/>
    <cellStyle name="40 % - Markeringsfarve1 2 9 2 3" xfId="11753" xr:uid="{00000000-0005-0000-0000-0000264F0000}"/>
    <cellStyle name="40 % - Markeringsfarve1 2 9 2 3 2" xfId="28073" xr:uid="{00000000-0005-0000-0000-0000274F0000}"/>
    <cellStyle name="40 % - Markeringsfarve1 2 9 2 3 3" xfId="43038" xr:uid="{00000000-0005-0000-0000-0000284F0000}"/>
    <cellStyle name="40 % - Markeringsfarve1 2 9 2 4" xfId="21051" xr:uid="{00000000-0005-0000-0000-0000294F0000}"/>
    <cellStyle name="40 % - Markeringsfarve1 2 9 2 5" xfId="36039" xr:uid="{00000000-0005-0000-0000-00002A4F0000}"/>
    <cellStyle name="40 % - Markeringsfarve1 2 9 3" xfId="6054" xr:uid="{00000000-0005-0000-0000-00002B4F0000}"/>
    <cellStyle name="40 % - Markeringsfarve1 2 9 3 2" xfId="13972" xr:uid="{00000000-0005-0000-0000-00002C4F0000}"/>
    <cellStyle name="40 % - Markeringsfarve1 2 9 3 2 2" xfId="30287" xr:uid="{00000000-0005-0000-0000-00002D4F0000}"/>
    <cellStyle name="40 % - Markeringsfarve1 2 9 3 2 3" xfId="45251" xr:uid="{00000000-0005-0000-0000-00002E4F0000}"/>
    <cellStyle name="40 % - Markeringsfarve1 2 9 3 3" xfId="23265" xr:uid="{00000000-0005-0000-0000-00002F4F0000}"/>
    <cellStyle name="40 % - Markeringsfarve1 2 9 3 4" xfId="38252" xr:uid="{00000000-0005-0000-0000-0000304F0000}"/>
    <cellStyle name="40 % - Markeringsfarve1 2 9 4" xfId="11752" xr:uid="{00000000-0005-0000-0000-0000314F0000}"/>
    <cellStyle name="40 % - Markeringsfarve1 2 9 4 2" xfId="28072" xr:uid="{00000000-0005-0000-0000-0000324F0000}"/>
    <cellStyle name="40 % - Markeringsfarve1 2 9 4 3" xfId="43037" xr:uid="{00000000-0005-0000-0000-0000334F0000}"/>
    <cellStyle name="40 % - Markeringsfarve1 2 9 5" xfId="21050" xr:uid="{00000000-0005-0000-0000-0000344F0000}"/>
    <cellStyle name="40 % - Markeringsfarve1 2 9 6" xfId="36038" xr:uid="{00000000-0005-0000-0000-0000354F0000}"/>
    <cellStyle name="40 % - Markeringsfarve1 3" xfId="3194" xr:uid="{00000000-0005-0000-0000-0000364F0000}"/>
    <cellStyle name="40 % - Markeringsfarve1 3 10" xfId="3195" xr:uid="{00000000-0005-0000-0000-0000374F0000}"/>
    <cellStyle name="40 % - Markeringsfarve1 3 10 2" xfId="6668" xr:uid="{00000000-0005-0000-0000-0000384F0000}"/>
    <cellStyle name="40 % - Markeringsfarve1 3 10 2 2" xfId="14581" xr:uid="{00000000-0005-0000-0000-0000394F0000}"/>
    <cellStyle name="40 % - Markeringsfarve1 3 10 2 2 2" xfId="30896" xr:uid="{00000000-0005-0000-0000-00003A4F0000}"/>
    <cellStyle name="40 % - Markeringsfarve1 3 10 2 2 3" xfId="45860" xr:uid="{00000000-0005-0000-0000-00003B4F0000}"/>
    <cellStyle name="40 % - Markeringsfarve1 3 10 2 3" xfId="23874" xr:uid="{00000000-0005-0000-0000-00003C4F0000}"/>
    <cellStyle name="40 % - Markeringsfarve1 3 10 2 4" xfId="38861" xr:uid="{00000000-0005-0000-0000-00003D4F0000}"/>
    <cellStyle name="40 % - Markeringsfarve1 3 10 3" xfId="11755" xr:uid="{00000000-0005-0000-0000-00003E4F0000}"/>
    <cellStyle name="40 % - Markeringsfarve1 3 10 3 2" xfId="28075" xr:uid="{00000000-0005-0000-0000-00003F4F0000}"/>
    <cellStyle name="40 % - Markeringsfarve1 3 10 3 3" xfId="43040" xr:uid="{00000000-0005-0000-0000-0000404F0000}"/>
    <cellStyle name="40 % - Markeringsfarve1 3 10 4" xfId="21053" xr:uid="{00000000-0005-0000-0000-0000414F0000}"/>
    <cellStyle name="40 % - Markeringsfarve1 3 10 5" xfId="36041" xr:uid="{00000000-0005-0000-0000-0000424F0000}"/>
    <cellStyle name="40 % - Markeringsfarve1 3 11" xfId="3196" xr:uid="{00000000-0005-0000-0000-0000434F0000}"/>
    <cellStyle name="40 % - Markeringsfarve1 3 11 2" xfId="8508" xr:uid="{00000000-0005-0000-0000-0000444F0000}"/>
    <cellStyle name="40 % - Markeringsfarve1 3 11 2 2" xfId="16396" xr:uid="{00000000-0005-0000-0000-0000454F0000}"/>
    <cellStyle name="40 % - Markeringsfarve1 3 11 2 2 2" xfId="32711" xr:uid="{00000000-0005-0000-0000-0000464F0000}"/>
    <cellStyle name="40 % - Markeringsfarve1 3 11 2 2 3" xfId="47675" xr:uid="{00000000-0005-0000-0000-0000474F0000}"/>
    <cellStyle name="40 % - Markeringsfarve1 3 11 2 3" xfId="25689" xr:uid="{00000000-0005-0000-0000-0000484F0000}"/>
    <cellStyle name="40 % - Markeringsfarve1 3 11 2 4" xfId="40676" xr:uid="{00000000-0005-0000-0000-0000494F0000}"/>
    <cellStyle name="40 % - Markeringsfarve1 3 11 3" xfId="11756" xr:uid="{00000000-0005-0000-0000-00004A4F0000}"/>
    <cellStyle name="40 % - Markeringsfarve1 3 11 3 2" xfId="28076" xr:uid="{00000000-0005-0000-0000-00004B4F0000}"/>
    <cellStyle name="40 % - Markeringsfarve1 3 11 3 3" xfId="43041" xr:uid="{00000000-0005-0000-0000-00004C4F0000}"/>
    <cellStyle name="40 % - Markeringsfarve1 3 11 4" xfId="21054" xr:uid="{00000000-0005-0000-0000-00004D4F0000}"/>
    <cellStyle name="40 % - Markeringsfarve1 3 11 5" xfId="36042" xr:uid="{00000000-0005-0000-0000-00004E4F0000}"/>
    <cellStyle name="40 % - Markeringsfarve1 3 12" xfId="5707" xr:uid="{00000000-0005-0000-0000-00004F4F0000}"/>
    <cellStyle name="40 % - Markeringsfarve1 3 12 2" xfId="13626" xr:uid="{00000000-0005-0000-0000-0000504F0000}"/>
    <cellStyle name="40 % - Markeringsfarve1 3 12 2 2" xfId="29941" xr:uid="{00000000-0005-0000-0000-0000514F0000}"/>
    <cellStyle name="40 % - Markeringsfarve1 3 12 2 3" xfId="44905" xr:uid="{00000000-0005-0000-0000-0000524F0000}"/>
    <cellStyle name="40 % - Markeringsfarve1 3 12 3" xfId="22919" xr:uid="{00000000-0005-0000-0000-0000534F0000}"/>
    <cellStyle name="40 % - Markeringsfarve1 3 12 4" xfId="37906" xr:uid="{00000000-0005-0000-0000-0000544F0000}"/>
    <cellStyle name="40 % - Markeringsfarve1 3 13" xfId="11754" xr:uid="{00000000-0005-0000-0000-0000554F0000}"/>
    <cellStyle name="40 % - Markeringsfarve1 3 13 2" xfId="28074" xr:uid="{00000000-0005-0000-0000-0000564F0000}"/>
    <cellStyle name="40 % - Markeringsfarve1 3 13 3" xfId="43039" xr:uid="{00000000-0005-0000-0000-0000574F0000}"/>
    <cellStyle name="40 % - Markeringsfarve1 3 14" xfId="21052" xr:uid="{00000000-0005-0000-0000-0000584F0000}"/>
    <cellStyle name="40 % - Markeringsfarve1 3 15" xfId="36040" xr:uid="{00000000-0005-0000-0000-0000594F0000}"/>
    <cellStyle name="40 % - Markeringsfarve1 3 16" xfId="53279" xr:uid="{00000000-0005-0000-0000-00005A4F0000}"/>
    <cellStyle name="40 % - Markeringsfarve1 3 2" xfId="3197" xr:uid="{00000000-0005-0000-0000-00005B4F0000}"/>
    <cellStyle name="40 % - Markeringsfarve1 3 2 10" xfId="5708" xr:uid="{00000000-0005-0000-0000-00005C4F0000}"/>
    <cellStyle name="40 % - Markeringsfarve1 3 2 10 2" xfId="13627" xr:uid="{00000000-0005-0000-0000-00005D4F0000}"/>
    <cellStyle name="40 % - Markeringsfarve1 3 2 10 2 2" xfId="29942" xr:uid="{00000000-0005-0000-0000-00005E4F0000}"/>
    <cellStyle name="40 % - Markeringsfarve1 3 2 10 2 3" xfId="44906" xr:uid="{00000000-0005-0000-0000-00005F4F0000}"/>
    <cellStyle name="40 % - Markeringsfarve1 3 2 10 3" xfId="22920" xr:uid="{00000000-0005-0000-0000-0000604F0000}"/>
    <cellStyle name="40 % - Markeringsfarve1 3 2 10 4" xfId="37907" xr:uid="{00000000-0005-0000-0000-0000614F0000}"/>
    <cellStyle name="40 % - Markeringsfarve1 3 2 11" xfId="11757" xr:uid="{00000000-0005-0000-0000-0000624F0000}"/>
    <cellStyle name="40 % - Markeringsfarve1 3 2 11 2" xfId="28077" xr:uid="{00000000-0005-0000-0000-0000634F0000}"/>
    <cellStyle name="40 % - Markeringsfarve1 3 2 11 3" xfId="43042" xr:uid="{00000000-0005-0000-0000-0000644F0000}"/>
    <cellStyle name="40 % - Markeringsfarve1 3 2 12" xfId="21055" xr:uid="{00000000-0005-0000-0000-0000654F0000}"/>
    <cellStyle name="40 % - Markeringsfarve1 3 2 13" xfId="36043" xr:uid="{00000000-0005-0000-0000-0000664F0000}"/>
    <cellStyle name="40 % - Markeringsfarve1 3 2 14" xfId="53916" xr:uid="{00000000-0005-0000-0000-0000674F0000}"/>
    <cellStyle name="40 % - Markeringsfarve1 3 2 2" xfId="3198" xr:uid="{00000000-0005-0000-0000-0000684F0000}"/>
    <cellStyle name="40 % - Markeringsfarve1 3 2 2 2" xfId="3199" xr:uid="{00000000-0005-0000-0000-0000694F0000}"/>
    <cellStyle name="40 % - Markeringsfarve1 3 2 2 2 2" xfId="3200" xr:uid="{00000000-0005-0000-0000-00006A4F0000}"/>
    <cellStyle name="40 % - Markeringsfarve1 3 2 2 2 2 2" xfId="7601" xr:uid="{00000000-0005-0000-0000-00006B4F0000}"/>
    <cellStyle name="40 % - Markeringsfarve1 3 2 2 2 2 2 2" xfId="15503" xr:uid="{00000000-0005-0000-0000-00006C4F0000}"/>
    <cellStyle name="40 % - Markeringsfarve1 3 2 2 2 2 2 2 2" xfId="31818" xr:uid="{00000000-0005-0000-0000-00006D4F0000}"/>
    <cellStyle name="40 % - Markeringsfarve1 3 2 2 2 2 2 2 3" xfId="46782" xr:uid="{00000000-0005-0000-0000-00006E4F0000}"/>
    <cellStyle name="40 % - Markeringsfarve1 3 2 2 2 2 2 3" xfId="24796" xr:uid="{00000000-0005-0000-0000-00006F4F0000}"/>
    <cellStyle name="40 % - Markeringsfarve1 3 2 2 2 2 2 4" xfId="39783" xr:uid="{00000000-0005-0000-0000-0000704F0000}"/>
    <cellStyle name="40 % - Markeringsfarve1 3 2 2 2 2 3" xfId="11760" xr:uid="{00000000-0005-0000-0000-0000714F0000}"/>
    <cellStyle name="40 % - Markeringsfarve1 3 2 2 2 2 3 2" xfId="28080" xr:uid="{00000000-0005-0000-0000-0000724F0000}"/>
    <cellStyle name="40 % - Markeringsfarve1 3 2 2 2 2 3 3" xfId="43045" xr:uid="{00000000-0005-0000-0000-0000734F0000}"/>
    <cellStyle name="40 % - Markeringsfarve1 3 2 2 2 2 4" xfId="21058" xr:uid="{00000000-0005-0000-0000-0000744F0000}"/>
    <cellStyle name="40 % - Markeringsfarve1 3 2 2 2 2 5" xfId="36046" xr:uid="{00000000-0005-0000-0000-0000754F0000}"/>
    <cellStyle name="40 % - Markeringsfarve1 3 2 2 2 3" xfId="6176" xr:uid="{00000000-0005-0000-0000-0000764F0000}"/>
    <cellStyle name="40 % - Markeringsfarve1 3 2 2 2 3 2" xfId="14094" xr:uid="{00000000-0005-0000-0000-0000774F0000}"/>
    <cellStyle name="40 % - Markeringsfarve1 3 2 2 2 3 2 2" xfId="30409" xr:uid="{00000000-0005-0000-0000-0000784F0000}"/>
    <cellStyle name="40 % - Markeringsfarve1 3 2 2 2 3 2 3" xfId="45373" xr:uid="{00000000-0005-0000-0000-0000794F0000}"/>
    <cellStyle name="40 % - Markeringsfarve1 3 2 2 2 3 3" xfId="23387" xr:uid="{00000000-0005-0000-0000-00007A4F0000}"/>
    <cellStyle name="40 % - Markeringsfarve1 3 2 2 2 3 4" xfId="38374" xr:uid="{00000000-0005-0000-0000-00007B4F0000}"/>
    <cellStyle name="40 % - Markeringsfarve1 3 2 2 2 4" xfId="11759" xr:uid="{00000000-0005-0000-0000-00007C4F0000}"/>
    <cellStyle name="40 % - Markeringsfarve1 3 2 2 2 4 2" xfId="28079" xr:uid="{00000000-0005-0000-0000-00007D4F0000}"/>
    <cellStyle name="40 % - Markeringsfarve1 3 2 2 2 4 3" xfId="43044" xr:uid="{00000000-0005-0000-0000-00007E4F0000}"/>
    <cellStyle name="40 % - Markeringsfarve1 3 2 2 2 5" xfId="21057" xr:uid="{00000000-0005-0000-0000-00007F4F0000}"/>
    <cellStyle name="40 % - Markeringsfarve1 3 2 2 2 6" xfId="36045" xr:uid="{00000000-0005-0000-0000-0000804F0000}"/>
    <cellStyle name="40 % - Markeringsfarve1 3 2 2 3" xfId="3201" xr:uid="{00000000-0005-0000-0000-0000814F0000}"/>
    <cellStyle name="40 % - Markeringsfarve1 3 2 2 3 2" xfId="6831" xr:uid="{00000000-0005-0000-0000-0000824F0000}"/>
    <cellStyle name="40 % - Markeringsfarve1 3 2 2 3 2 2" xfId="14743" xr:uid="{00000000-0005-0000-0000-0000834F0000}"/>
    <cellStyle name="40 % - Markeringsfarve1 3 2 2 3 2 2 2" xfId="31058" xr:uid="{00000000-0005-0000-0000-0000844F0000}"/>
    <cellStyle name="40 % - Markeringsfarve1 3 2 2 3 2 2 3" xfId="46022" xr:uid="{00000000-0005-0000-0000-0000854F0000}"/>
    <cellStyle name="40 % - Markeringsfarve1 3 2 2 3 2 3" xfId="24036" xr:uid="{00000000-0005-0000-0000-0000864F0000}"/>
    <cellStyle name="40 % - Markeringsfarve1 3 2 2 3 2 4" xfId="39023" xr:uid="{00000000-0005-0000-0000-0000874F0000}"/>
    <cellStyle name="40 % - Markeringsfarve1 3 2 2 3 3" xfId="11761" xr:uid="{00000000-0005-0000-0000-0000884F0000}"/>
    <cellStyle name="40 % - Markeringsfarve1 3 2 2 3 3 2" xfId="28081" xr:uid="{00000000-0005-0000-0000-0000894F0000}"/>
    <cellStyle name="40 % - Markeringsfarve1 3 2 2 3 3 3" xfId="43046" xr:uid="{00000000-0005-0000-0000-00008A4F0000}"/>
    <cellStyle name="40 % - Markeringsfarve1 3 2 2 3 4" xfId="21059" xr:uid="{00000000-0005-0000-0000-00008B4F0000}"/>
    <cellStyle name="40 % - Markeringsfarve1 3 2 2 3 5" xfId="36047" xr:uid="{00000000-0005-0000-0000-00008C4F0000}"/>
    <cellStyle name="40 % - Markeringsfarve1 3 2 2 4" xfId="3202" xr:uid="{00000000-0005-0000-0000-00008D4F0000}"/>
    <cellStyle name="40 % - Markeringsfarve1 3 2 2 4 2" xfId="8437" xr:uid="{00000000-0005-0000-0000-00008E4F0000}"/>
    <cellStyle name="40 % - Markeringsfarve1 3 2 2 4 2 2" xfId="16327" xr:uid="{00000000-0005-0000-0000-00008F4F0000}"/>
    <cellStyle name="40 % - Markeringsfarve1 3 2 2 4 2 2 2" xfId="32642" xr:uid="{00000000-0005-0000-0000-0000904F0000}"/>
    <cellStyle name="40 % - Markeringsfarve1 3 2 2 4 2 2 3" xfId="47606" xr:uid="{00000000-0005-0000-0000-0000914F0000}"/>
    <cellStyle name="40 % - Markeringsfarve1 3 2 2 4 2 3" xfId="25620" xr:uid="{00000000-0005-0000-0000-0000924F0000}"/>
    <cellStyle name="40 % - Markeringsfarve1 3 2 2 4 2 4" xfId="40607" xr:uid="{00000000-0005-0000-0000-0000934F0000}"/>
    <cellStyle name="40 % - Markeringsfarve1 3 2 2 4 3" xfId="11762" xr:uid="{00000000-0005-0000-0000-0000944F0000}"/>
    <cellStyle name="40 % - Markeringsfarve1 3 2 2 4 3 2" xfId="28082" xr:uid="{00000000-0005-0000-0000-0000954F0000}"/>
    <cellStyle name="40 % - Markeringsfarve1 3 2 2 4 3 3" xfId="43047" xr:uid="{00000000-0005-0000-0000-0000964F0000}"/>
    <cellStyle name="40 % - Markeringsfarve1 3 2 2 4 4" xfId="21060" xr:uid="{00000000-0005-0000-0000-0000974F0000}"/>
    <cellStyle name="40 % - Markeringsfarve1 3 2 2 4 5" xfId="36048" xr:uid="{00000000-0005-0000-0000-0000984F0000}"/>
    <cellStyle name="40 % - Markeringsfarve1 3 2 2 5" xfId="5709" xr:uid="{00000000-0005-0000-0000-0000994F0000}"/>
    <cellStyle name="40 % - Markeringsfarve1 3 2 2 5 2" xfId="13628" xr:uid="{00000000-0005-0000-0000-00009A4F0000}"/>
    <cellStyle name="40 % - Markeringsfarve1 3 2 2 5 2 2" xfId="29943" xr:uid="{00000000-0005-0000-0000-00009B4F0000}"/>
    <cellStyle name="40 % - Markeringsfarve1 3 2 2 5 2 3" xfId="44907" xr:uid="{00000000-0005-0000-0000-00009C4F0000}"/>
    <cellStyle name="40 % - Markeringsfarve1 3 2 2 5 3" xfId="22921" xr:uid="{00000000-0005-0000-0000-00009D4F0000}"/>
    <cellStyle name="40 % - Markeringsfarve1 3 2 2 5 4" xfId="37908" xr:uid="{00000000-0005-0000-0000-00009E4F0000}"/>
    <cellStyle name="40 % - Markeringsfarve1 3 2 2 6" xfId="11758" xr:uid="{00000000-0005-0000-0000-00009F4F0000}"/>
    <cellStyle name="40 % - Markeringsfarve1 3 2 2 6 2" xfId="28078" xr:uid="{00000000-0005-0000-0000-0000A04F0000}"/>
    <cellStyle name="40 % - Markeringsfarve1 3 2 2 6 3" xfId="43043" xr:uid="{00000000-0005-0000-0000-0000A14F0000}"/>
    <cellStyle name="40 % - Markeringsfarve1 3 2 2 7" xfId="21056" xr:uid="{00000000-0005-0000-0000-0000A24F0000}"/>
    <cellStyle name="40 % - Markeringsfarve1 3 2 2 8" xfId="36044" xr:uid="{00000000-0005-0000-0000-0000A34F0000}"/>
    <cellStyle name="40 % - Markeringsfarve1 3 2 2 9" xfId="57083" xr:uid="{00000000-0005-0000-0000-0000A44F0000}"/>
    <cellStyle name="40 % - Markeringsfarve1 3 2 3" xfId="3203" xr:uid="{00000000-0005-0000-0000-0000A54F0000}"/>
    <cellStyle name="40 % - Markeringsfarve1 3 2 3 2" xfId="3204" xr:uid="{00000000-0005-0000-0000-0000A64F0000}"/>
    <cellStyle name="40 % - Markeringsfarve1 3 2 3 2 2" xfId="3205" xr:uid="{00000000-0005-0000-0000-0000A74F0000}"/>
    <cellStyle name="40 % - Markeringsfarve1 3 2 3 2 2 2" xfId="7724" xr:uid="{00000000-0005-0000-0000-0000A84F0000}"/>
    <cellStyle name="40 % - Markeringsfarve1 3 2 3 2 2 2 2" xfId="15626" xr:uid="{00000000-0005-0000-0000-0000A94F0000}"/>
    <cellStyle name="40 % - Markeringsfarve1 3 2 3 2 2 2 2 2" xfId="31941" xr:uid="{00000000-0005-0000-0000-0000AA4F0000}"/>
    <cellStyle name="40 % - Markeringsfarve1 3 2 3 2 2 2 2 3" xfId="46905" xr:uid="{00000000-0005-0000-0000-0000AB4F0000}"/>
    <cellStyle name="40 % - Markeringsfarve1 3 2 3 2 2 2 3" xfId="24919" xr:uid="{00000000-0005-0000-0000-0000AC4F0000}"/>
    <cellStyle name="40 % - Markeringsfarve1 3 2 3 2 2 2 4" xfId="39906" xr:uid="{00000000-0005-0000-0000-0000AD4F0000}"/>
    <cellStyle name="40 % - Markeringsfarve1 3 2 3 2 2 3" xfId="11765" xr:uid="{00000000-0005-0000-0000-0000AE4F0000}"/>
    <cellStyle name="40 % - Markeringsfarve1 3 2 3 2 2 3 2" xfId="28085" xr:uid="{00000000-0005-0000-0000-0000AF4F0000}"/>
    <cellStyle name="40 % - Markeringsfarve1 3 2 3 2 2 3 3" xfId="43050" xr:uid="{00000000-0005-0000-0000-0000B04F0000}"/>
    <cellStyle name="40 % - Markeringsfarve1 3 2 3 2 2 4" xfId="21063" xr:uid="{00000000-0005-0000-0000-0000B14F0000}"/>
    <cellStyle name="40 % - Markeringsfarve1 3 2 3 2 2 5" xfId="36051" xr:uid="{00000000-0005-0000-0000-0000B24F0000}"/>
    <cellStyle name="40 % - Markeringsfarve1 3 2 3 2 3" xfId="6279" xr:uid="{00000000-0005-0000-0000-0000B34F0000}"/>
    <cellStyle name="40 % - Markeringsfarve1 3 2 3 2 3 2" xfId="14197" xr:uid="{00000000-0005-0000-0000-0000B44F0000}"/>
    <cellStyle name="40 % - Markeringsfarve1 3 2 3 2 3 2 2" xfId="30512" xr:uid="{00000000-0005-0000-0000-0000B54F0000}"/>
    <cellStyle name="40 % - Markeringsfarve1 3 2 3 2 3 2 3" xfId="45476" xr:uid="{00000000-0005-0000-0000-0000B64F0000}"/>
    <cellStyle name="40 % - Markeringsfarve1 3 2 3 2 3 3" xfId="23490" xr:uid="{00000000-0005-0000-0000-0000B74F0000}"/>
    <cellStyle name="40 % - Markeringsfarve1 3 2 3 2 3 4" xfId="38477" xr:uid="{00000000-0005-0000-0000-0000B84F0000}"/>
    <cellStyle name="40 % - Markeringsfarve1 3 2 3 2 4" xfId="11764" xr:uid="{00000000-0005-0000-0000-0000B94F0000}"/>
    <cellStyle name="40 % - Markeringsfarve1 3 2 3 2 4 2" xfId="28084" xr:uid="{00000000-0005-0000-0000-0000BA4F0000}"/>
    <cellStyle name="40 % - Markeringsfarve1 3 2 3 2 4 3" xfId="43049" xr:uid="{00000000-0005-0000-0000-0000BB4F0000}"/>
    <cellStyle name="40 % - Markeringsfarve1 3 2 3 2 5" xfId="21062" xr:uid="{00000000-0005-0000-0000-0000BC4F0000}"/>
    <cellStyle name="40 % - Markeringsfarve1 3 2 3 2 6" xfId="36050" xr:uid="{00000000-0005-0000-0000-0000BD4F0000}"/>
    <cellStyle name="40 % - Markeringsfarve1 3 2 3 3" xfId="3206" xr:uid="{00000000-0005-0000-0000-0000BE4F0000}"/>
    <cellStyle name="40 % - Markeringsfarve1 3 2 3 3 2" xfId="6954" xr:uid="{00000000-0005-0000-0000-0000BF4F0000}"/>
    <cellStyle name="40 % - Markeringsfarve1 3 2 3 3 2 2" xfId="14866" xr:uid="{00000000-0005-0000-0000-0000C04F0000}"/>
    <cellStyle name="40 % - Markeringsfarve1 3 2 3 3 2 2 2" xfId="31181" xr:uid="{00000000-0005-0000-0000-0000C14F0000}"/>
    <cellStyle name="40 % - Markeringsfarve1 3 2 3 3 2 2 3" xfId="46145" xr:uid="{00000000-0005-0000-0000-0000C24F0000}"/>
    <cellStyle name="40 % - Markeringsfarve1 3 2 3 3 2 3" xfId="24159" xr:uid="{00000000-0005-0000-0000-0000C34F0000}"/>
    <cellStyle name="40 % - Markeringsfarve1 3 2 3 3 2 4" xfId="39146" xr:uid="{00000000-0005-0000-0000-0000C44F0000}"/>
    <cellStyle name="40 % - Markeringsfarve1 3 2 3 3 3" xfId="11766" xr:uid="{00000000-0005-0000-0000-0000C54F0000}"/>
    <cellStyle name="40 % - Markeringsfarve1 3 2 3 3 3 2" xfId="28086" xr:uid="{00000000-0005-0000-0000-0000C64F0000}"/>
    <cellStyle name="40 % - Markeringsfarve1 3 2 3 3 3 3" xfId="43051" xr:uid="{00000000-0005-0000-0000-0000C74F0000}"/>
    <cellStyle name="40 % - Markeringsfarve1 3 2 3 3 4" xfId="21064" xr:uid="{00000000-0005-0000-0000-0000C84F0000}"/>
    <cellStyle name="40 % - Markeringsfarve1 3 2 3 3 5" xfId="36052" xr:uid="{00000000-0005-0000-0000-0000C94F0000}"/>
    <cellStyle name="40 % - Markeringsfarve1 3 2 3 4" xfId="3207" xr:uid="{00000000-0005-0000-0000-0000CA4F0000}"/>
    <cellStyle name="40 % - Markeringsfarve1 3 2 3 4 2" xfId="8682" xr:uid="{00000000-0005-0000-0000-0000CB4F0000}"/>
    <cellStyle name="40 % - Markeringsfarve1 3 2 3 4 2 2" xfId="16562" xr:uid="{00000000-0005-0000-0000-0000CC4F0000}"/>
    <cellStyle name="40 % - Markeringsfarve1 3 2 3 4 2 2 2" xfId="32877" xr:uid="{00000000-0005-0000-0000-0000CD4F0000}"/>
    <cellStyle name="40 % - Markeringsfarve1 3 2 3 4 2 2 3" xfId="47841" xr:uid="{00000000-0005-0000-0000-0000CE4F0000}"/>
    <cellStyle name="40 % - Markeringsfarve1 3 2 3 4 2 3" xfId="25855" xr:uid="{00000000-0005-0000-0000-0000CF4F0000}"/>
    <cellStyle name="40 % - Markeringsfarve1 3 2 3 4 2 4" xfId="40842" xr:uid="{00000000-0005-0000-0000-0000D04F0000}"/>
    <cellStyle name="40 % - Markeringsfarve1 3 2 3 4 3" xfId="11767" xr:uid="{00000000-0005-0000-0000-0000D14F0000}"/>
    <cellStyle name="40 % - Markeringsfarve1 3 2 3 4 3 2" xfId="28087" xr:uid="{00000000-0005-0000-0000-0000D24F0000}"/>
    <cellStyle name="40 % - Markeringsfarve1 3 2 3 4 3 3" xfId="43052" xr:uid="{00000000-0005-0000-0000-0000D34F0000}"/>
    <cellStyle name="40 % - Markeringsfarve1 3 2 3 4 4" xfId="21065" xr:uid="{00000000-0005-0000-0000-0000D44F0000}"/>
    <cellStyle name="40 % - Markeringsfarve1 3 2 3 4 5" xfId="36053" xr:uid="{00000000-0005-0000-0000-0000D54F0000}"/>
    <cellStyle name="40 % - Markeringsfarve1 3 2 3 5" xfId="5710" xr:uid="{00000000-0005-0000-0000-0000D64F0000}"/>
    <cellStyle name="40 % - Markeringsfarve1 3 2 3 5 2" xfId="13629" xr:uid="{00000000-0005-0000-0000-0000D74F0000}"/>
    <cellStyle name="40 % - Markeringsfarve1 3 2 3 5 2 2" xfId="29944" xr:uid="{00000000-0005-0000-0000-0000D84F0000}"/>
    <cellStyle name="40 % - Markeringsfarve1 3 2 3 5 2 3" xfId="44908" xr:uid="{00000000-0005-0000-0000-0000D94F0000}"/>
    <cellStyle name="40 % - Markeringsfarve1 3 2 3 5 3" xfId="22922" xr:uid="{00000000-0005-0000-0000-0000DA4F0000}"/>
    <cellStyle name="40 % - Markeringsfarve1 3 2 3 5 4" xfId="37909" xr:uid="{00000000-0005-0000-0000-0000DB4F0000}"/>
    <cellStyle name="40 % - Markeringsfarve1 3 2 3 6" xfId="11763" xr:uid="{00000000-0005-0000-0000-0000DC4F0000}"/>
    <cellStyle name="40 % - Markeringsfarve1 3 2 3 6 2" xfId="28083" xr:uid="{00000000-0005-0000-0000-0000DD4F0000}"/>
    <cellStyle name="40 % - Markeringsfarve1 3 2 3 6 3" xfId="43048" xr:uid="{00000000-0005-0000-0000-0000DE4F0000}"/>
    <cellStyle name="40 % - Markeringsfarve1 3 2 3 7" xfId="21061" xr:uid="{00000000-0005-0000-0000-0000DF4F0000}"/>
    <cellStyle name="40 % - Markeringsfarve1 3 2 3 8" xfId="36049" xr:uid="{00000000-0005-0000-0000-0000E04F0000}"/>
    <cellStyle name="40 % - Markeringsfarve1 3 2 4" xfId="3208" xr:uid="{00000000-0005-0000-0000-0000E14F0000}"/>
    <cellStyle name="40 % - Markeringsfarve1 3 2 4 2" xfId="3209" xr:uid="{00000000-0005-0000-0000-0000E24F0000}"/>
    <cellStyle name="40 % - Markeringsfarve1 3 2 4 2 2" xfId="3210" xr:uid="{00000000-0005-0000-0000-0000E34F0000}"/>
    <cellStyle name="40 % - Markeringsfarve1 3 2 4 2 2 2" xfId="7839" xr:uid="{00000000-0005-0000-0000-0000E44F0000}"/>
    <cellStyle name="40 % - Markeringsfarve1 3 2 4 2 2 2 2" xfId="15741" xr:uid="{00000000-0005-0000-0000-0000E54F0000}"/>
    <cellStyle name="40 % - Markeringsfarve1 3 2 4 2 2 2 2 2" xfId="32056" xr:uid="{00000000-0005-0000-0000-0000E64F0000}"/>
    <cellStyle name="40 % - Markeringsfarve1 3 2 4 2 2 2 2 3" xfId="47020" xr:uid="{00000000-0005-0000-0000-0000E74F0000}"/>
    <cellStyle name="40 % - Markeringsfarve1 3 2 4 2 2 2 3" xfId="25034" xr:uid="{00000000-0005-0000-0000-0000E84F0000}"/>
    <cellStyle name="40 % - Markeringsfarve1 3 2 4 2 2 2 4" xfId="40021" xr:uid="{00000000-0005-0000-0000-0000E94F0000}"/>
    <cellStyle name="40 % - Markeringsfarve1 3 2 4 2 2 3" xfId="11770" xr:uid="{00000000-0005-0000-0000-0000EA4F0000}"/>
    <cellStyle name="40 % - Markeringsfarve1 3 2 4 2 2 3 2" xfId="28090" xr:uid="{00000000-0005-0000-0000-0000EB4F0000}"/>
    <cellStyle name="40 % - Markeringsfarve1 3 2 4 2 2 3 3" xfId="43055" xr:uid="{00000000-0005-0000-0000-0000EC4F0000}"/>
    <cellStyle name="40 % - Markeringsfarve1 3 2 4 2 2 4" xfId="21068" xr:uid="{00000000-0005-0000-0000-0000ED4F0000}"/>
    <cellStyle name="40 % - Markeringsfarve1 3 2 4 2 2 5" xfId="36056" xr:uid="{00000000-0005-0000-0000-0000EE4F0000}"/>
    <cellStyle name="40 % - Markeringsfarve1 3 2 4 2 3" xfId="6378" xr:uid="{00000000-0005-0000-0000-0000EF4F0000}"/>
    <cellStyle name="40 % - Markeringsfarve1 3 2 4 2 3 2" xfId="14293" xr:uid="{00000000-0005-0000-0000-0000F04F0000}"/>
    <cellStyle name="40 % - Markeringsfarve1 3 2 4 2 3 2 2" xfId="30608" xr:uid="{00000000-0005-0000-0000-0000F14F0000}"/>
    <cellStyle name="40 % - Markeringsfarve1 3 2 4 2 3 2 3" xfId="45572" xr:uid="{00000000-0005-0000-0000-0000F24F0000}"/>
    <cellStyle name="40 % - Markeringsfarve1 3 2 4 2 3 3" xfId="23586" xr:uid="{00000000-0005-0000-0000-0000F34F0000}"/>
    <cellStyle name="40 % - Markeringsfarve1 3 2 4 2 3 4" xfId="38573" xr:uid="{00000000-0005-0000-0000-0000F44F0000}"/>
    <cellStyle name="40 % - Markeringsfarve1 3 2 4 2 4" xfId="11769" xr:uid="{00000000-0005-0000-0000-0000F54F0000}"/>
    <cellStyle name="40 % - Markeringsfarve1 3 2 4 2 4 2" xfId="28089" xr:uid="{00000000-0005-0000-0000-0000F64F0000}"/>
    <cellStyle name="40 % - Markeringsfarve1 3 2 4 2 4 3" xfId="43054" xr:uid="{00000000-0005-0000-0000-0000F74F0000}"/>
    <cellStyle name="40 % - Markeringsfarve1 3 2 4 2 5" xfId="21067" xr:uid="{00000000-0005-0000-0000-0000F84F0000}"/>
    <cellStyle name="40 % - Markeringsfarve1 3 2 4 2 6" xfId="36055" xr:uid="{00000000-0005-0000-0000-0000F94F0000}"/>
    <cellStyle name="40 % - Markeringsfarve1 3 2 4 3" xfId="3211" xr:uid="{00000000-0005-0000-0000-0000FA4F0000}"/>
    <cellStyle name="40 % - Markeringsfarve1 3 2 4 3 2" xfId="7115" xr:uid="{00000000-0005-0000-0000-0000FB4F0000}"/>
    <cellStyle name="40 % - Markeringsfarve1 3 2 4 3 2 2" xfId="15026" xr:uid="{00000000-0005-0000-0000-0000FC4F0000}"/>
    <cellStyle name="40 % - Markeringsfarve1 3 2 4 3 2 2 2" xfId="31341" xr:uid="{00000000-0005-0000-0000-0000FD4F0000}"/>
    <cellStyle name="40 % - Markeringsfarve1 3 2 4 3 2 2 3" xfId="46305" xr:uid="{00000000-0005-0000-0000-0000FE4F0000}"/>
    <cellStyle name="40 % - Markeringsfarve1 3 2 4 3 2 3" xfId="24319" xr:uid="{00000000-0005-0000-0000-0000FF4F0000}"/>
    <cellStyle name="40 % - Markeringsfarve1 3 2 4 3 2 4" xfId="39306" xr:uid="{00000000-0005-0000-0000-000000500000}"/>
    <cellStyle name="40 % - Markeringsfarve1 3 2 4 3 3" xfId="11771" xr:uid="{00000000-0005-0000-0000-000001500000}"/>
    <cellStyle name="40 % - Markeringsfarve1 3 2 4 3 3 2" xfId="28091" xr:uid="{00000000-0005-0000-0000-000002500000}"/>
    <cellStyle name="40 % - Markeringsfarve1 3 2 4 3 3 3" xfId="43056" xr:uid="{00000000-0005-0000-0000-000003500000}"/>
    <cellStyle name="40 % - Markeringsfarve1 3 2 4 3 4" xfId="21069" xr:uid="{00000000-0005-0000-0000-000004500000}"/>
    <cellStyle name="40 % - Markeringsfarve1 3 2 4 3 5" xfId="36057" xr:uid="{00000000-0005-0000-0000-000005500000}"/>
    <cellStyle name="40 % - Markeringsfarve1 3 2 4 4" xfId="3212" xr:uid="{00000000-0005-0000-0000-000006500000}"/>
    <cellStyle name="40 % - Markeringsfarve1 3 2 4 4 2" xfId="8406" xr:uid="{00000000-0005-0000-0000-000007500000}"/>
    <cellStyle name="40 % - Markeringsfarve1 3 2 4 4 2 2" xfId="16298" xr:uid="{00000000-0005-0000-0000-000008500000}"/>
    <cellStyle name="40 % - Markeringsfarve1 3 2 4 4 2 2 2" xfId="32613" xr:uid="{00000000-0005-0000-0000-000009500000}"/>
    <cellStyle name="40 % - Markeringsfarve1 3 2 4 4 2 2 3" xfId="47577" xr:uid="{00000000-0005-0000-0000-00000A500000}"/>
    <cellStyle name="40 % - Markeringsfarve1 3 2 4 4 2 3" xfId="25591" xr:uid="{00000000-0005-0000-0000-00000B500000}"/>
    <cellStyle name="40 % - Markeringsfarve1 3 2 4 4 2 4" xfId="40578" xr:uid="{00000000-0005-0000-0000-00000C500000}"/>
    <cellStyle name="40 % - Markeringsfarve1 3 2 4 4 3" xfId="11772" xr:uid="{00000000-0005-0000-0000-00000D500000}"/>
    <cellStyle name="40 % - Markeringsfarve1 3 2 4 4 3 2" xfId="28092" xr:uid="{00000000-0005-0000-0000-00000E500000}"/>
    <cellStyle name="40 % - Markeringsfarve1 3 2 4 4 3 3" xfId="43057" xr:uid="{00000000-0005-0000-0000-00000F500000}"/>
    <cellStyle name="40 % - Markeringsfarve1 3 2 4 4 4" xfId="21070" xr:uid="{00000000-0005-0000-0000-000010500000}"/>
    <cellStyle name="40 % - Markeringsfarve1 3 2 4 4 5" xfId="36058" xr:uid="{00000000-0005-0000-0000-000011500000}"/>
    <cellStyle name="40 % - Markeringsfarve1 3 2 4 5" xfId="5711" xr:uid="{00000000-0005-0000-0000-000012500000}"/>
    <cellStyle name="40 % - Markeringsfarve1 3 2 4 5 2" xfId="13630" xr:uid="{00000000-0005-0000-0000-000013500000}"/>
    <cellStyle name="40 % - Markeringsfarve1 3 2 4 5 2 2" xfId="29945" xr:uid="{00000000-0005-0000-0000-000014500000}"/>
    <cellStyle name="40 % - Markeringsfarve1 3 2 4 5 2 3" xfId="44909" xr:uid="{00000000-0005-0000-0000-000015500000}"/>
    <cellStyle name="40 % - Markeringsfarve1 3 2 4 5 3" xfId="22923" xr:uid="{00000000-0005-0000-0000-000016500000}"/>
    <cellStyle name="40 % - Markeringsfarve1 3 2 4 5 4" xfId="37910" xr:uid="{00000000-0005-0000-0000-000017500000}"/>
    <cellStyle name="40 % - Markeringsfarve1 3 2 4 6" xfId="11768" xr:uid="{00000000-0005-0000-0000-000018500000}"/>
    <cellStyle name="40 % - Markeringsfarve1 3 2 4 6 2" xfId="28088" xr:uid="{00000000-0005-0000-0000-000019500000}"/>
    <cellStyle name="40 % - Markeringsfarve1 3 2 4 6 3" xfId="43053" xr:uid="{00000000-0005-0000-0000-00001A500000}"/>
    <cellStyle name="40 % - Markeringsfarve1 3 2 4 7" xfId="21066" xr:uid="{00000000-0005-0000-0000-00001B500000}"/>
    <cellStyle name="40 % - Markeringsfarve1 3 2 4 8" xfId="36054" xr:uid="{00000000-0005-0000-0000-00001C500000}"/>
    <cellStyle name="40 % - Markeringsfarve1 3 2 5" xfId="3213" xr:uid="{00000000-0005-0000-0000-00001D500000}"/>
    <cellStyle name="40 % - Markeringsfarve1 3 2 5 2" xfId="3214" xr:uid="{00000000-0005-0000-0000-00001E500000}"/>
    <cellStyle name="40 % - Markeringsfarve1 3 2 5 2 2" xfId="3215" xr:uid="{00000000-0005-0000-0000-00001F500000}"/>
    <cellStyle name="40 % - Markeringsfarve1 3 2 5 2 2 2" xfId="7956" xr:uid="{00000000-0005-0000-0000-000020500000}"/>
    <cellStyle name="40 % - Markeringsfarve1 3 2 5 2 2 2 2" xfId="15858" xr:uid="{00000000-0005-0000-0000-000021500000}"/>
    <cellStyle name="40 % - Markeringsfarve1 3 2 5 2 2 2 2 2" xfId="32173" xr:uid="{00000000-0005-0000-0000-000022500000}"/>
    <cellStyle name="40 % - Markeringsfarve1 3 2 5 2 2 2 2 3" xfId="47137" xr:uid="{00000000-0005-0000-0000-000023500000}"/>
    <cellStyle name="40 % - Markeringsfarve1 3 2 5 2 2 2 3" xfId="25151" xr:uid="{00000000-0005-0000-0000-000024500000}"/>
    <cellStyle name="40 % - Markeringsfarve1 3 2 5 2 2 2 4" xfId="40138" xr:uid="{00000000-0005-0000-0000-000025500000}"/>
    <cellStyle name="40 % - Markeringsfarve1 3 2 5 2 2 3" xfId="11775" xr:uid="{00000000-0005-0000-0000-000026500000}"/>
    <cellStyle name="40 % - Markeringsfarve1 3 2 5 2 2 3 2" xfId="28095" xr:uid="{00000000-0005-0000-0000-000027500000}"/>
    <cellStyle name="40 % - Markeringsfarve1 3 2 5 2 2 3 3" xfId="43060" xr:uid="{00000000-0005-0000-0000-000028500000}"/>
    <cellStyle name="40 % - Markeringsfarve1 3 2 5 2 2 4" xfId="21073" xr:uid="{00000000-0005-0000-0000-000029500000}"/>
    <cellStyle name="40 % - Markeringsfarve1 3 2 5 2 2 5" xfId="36061" xr:uid="{00000000-0005-0000-0000-00002A500000}"/>
    <cellStyle name="40 % - Markeringsfarve1 3 2 5 2 3" xfId="6477" xr:uid="{00000000-0005-0000-0000-00002B500000}"/>
    <cellStyle name="40 % - Markeringsfarve1 3 2 5 2 3 2" xfId="14392" xr:uid="{00000000-0005-0000-0000-00002C500000}"/>
    <cellStyle name="40 % - Markeringsfarve1 3 2 5 2 3 2 2" xfId="30707" xr:uid="{00000000-0005-0000-0000-00002D500000}"/>
    <cellStyle name="40 % - Markeringsfarve1 3 2 5 2 3 2 3" xfId="45671" xr:uid="{00000000-0005-0000-0000-00002E500000}"/>
    <cellStyle name="40 % - Markeringsfarve1 3 2 5 2 3 3" xfId="23685" xr:uid="{00000000-0005-0000-0000-00002F500000}"/>
    <cellStyle name="40 % - Markeringsfarve1 3 2 5 2 3 4" xfId="38672" xr:uid="{00000000-0005-0000-0000-000030500000}"/>
    <cellStyle name="40 % - Markeringsfarve1 3 2 5 2 4" xfId="11774" xr:uid="{00000000-0005-0000-0000-000031500000}"/>
    <cellStyle name="40 % - Markeringsfarve1 3 2 5 2 4 2" xfId="28094" xr:uid="{00000000-0005-0000-0000-000032500000}"/>
    <cellStyle name="40 % - Markeringsfarve1 3 2 5 2 4 3" xfId="43059" xr:uid="{00000000-0005-0000-0000-000033500000}"/>
    <cellStyle name="40 % - Markeringsfarve1 3 2 5 2 5" xfId="21072" xr:uid="{00000000-0005-0000-0000-000034500000}"/>
    <cellStyle name="40 % - Markeringsfarve1 3 2 5 2 6" xfId="36060" xr:uid="{00000000-0005-0000-0000-000035500000}"/>
    <cellStyle name="40 % - Markeringsfarve1 3 2 5 3" xfId="3216" xr:uid="{00000000-0005-0000-0000-000036500000}"/>
    <cellStyle name="40 % - Markeringsfarve1 3 2 5 3 2" xfId="7232" xr:uid="{00000000-0005-0000-0000-000037500000}"/>
    <cellStyle name="40 % - Markeringsfarve1 3 2 5 3 2 2" xfId="15143" xr:uid="{00000000-0005-0000-0000-000038500000}"/>
    <cellStyle name="40 % - Markeringsfarve1 3 2 5 3 2 2 2" xfId="31458" xr:uid="{00000000-0005-0000-0000-000039500000}"/>
    <cellStyle name="40 % - Markeringsfarve1 3 2 5 3 2 2 3" xfId="46422" xr:uid="{00000000-0005-0000-0000-00003A500000}"/>
    <cellStyle name="40 % - Markeringsfarve1 3 2 5 3 2 3" xfId="24436" xr:uid="{00000000-0005-0000-0000-00003B500000}"/>
    <cellStyle name="40 % - Markeringsfarve1 3 2 5 3 2 4" xfId="39423" xr:uid="{00000000-0005-0000-0000-00003C500000}"/>
    <cellStyle name="40 % - Markeringsfarve1 3 2 5 3 3" xfId="11776" xr:uid="{00000000-0005-0000-0000-00003D500000}"/>
    <cellStyle name="40 % - Markeringsfarve1 3 2 5 3 3 2" xfId="28096" xr:uid="{00000000-0005-0000-0000-00003E500000}"/>
    <cellStyle name="40 % - Markeringsfarve1 3 2 5 3 3 3" xfId="43061" xr:uid="{00000000-0005-0000-0000-00003F500000}"/>
    <cellStyle name="40 % - Markeringsfarve1 3 2 5 3 4" xfId="21074" xr:uid="{00000000-0005-0000-0000-000040500000}"/>
    <cellStyle name="40 % - Markeringsfarve1 3 2 5 3 5" xfId="36062" xr:uid="{00000000-0005-0000-0000-000041500000}"/>
    <cellStyle name="40 % - Markeringsfarve1 3 2 5 4" xfId="3217" xr:uid="{00000000-0005-0000-0000-000042500000}"/>
    <cellStyle name="40 % - Markeringsfarve1 3 2 5 4 2" xfId="8640" xr:uid="{00000000-0005-0000-0000-000043500000}"/>
    <cellStyle name="40 % - Markeringsfarve1 3 2 5 4 2 2" xfId="16522" xr:uid="{00000000-0005-0000-0000-000044500000}"/>
    <cellStyle name="40 % - Markeringsfarve1 3 2 5 4 2 2 2" xfId="32837" xr:uid="{00000000-0005-0000-0000-000045500000}"/>
    <cellStyle name="40 % - Markeringsfarve1 3 2 5 4 2 2 3" xfId="47801" xr:uid="{00000000-0005-0000-0000-000046500000}"/>
    <cellStyle name="40 % - Markeringsfarve1 3 2 5 4 2 3" xfId="25815" xr:uid="{00000000-0005-0000-0000-000047500000}"/>
    <cellStyle name="40 % - Markeringsfarve1 3 2 5 4 2 4" xfId="40802" xr:uid="{00000000-0005-0000-0000-000048500000}"/>
    <cellStyle name="40 % - Markeringsfarve1 3 2 5 4 3" xfId="11777" xr:uid="{00000000-0005-0000-0000-000049500000}"/>
    <cellStyle name="40 % - Markeringsfarve1 3 2 5 4 3 2" xfId="28097" xr:uid="{00000000-0005-0000-0000-00004A500000}"/>
    <cellStyle name="40 % - Markeringsfarve1 3 2 5 4 3 3" xfId="43062" xr:uid="{00000000-0005-0000-0000-00004B500000}"/>
    <cellStyle name="40 % - Markeringsfarve1 3 2 5 4 4" xfId="21075" xr:uid="{00000000-0005-0000-0000-00004C500000}"/>
    <cellStyle name="40 % - Markeringsfarve1 3 2 5 4 5" xfId="36063" xr:uid="{00000000-0005-0000-0000-00004D500000}"/>
    <cellStyle name="40 % - Markeringsfarve1 3 2 5 5" xfId="5712" xr:uid="{00000000-0005-0000-0000-00004E500000}"/>
    <cellStyle name="40 % - Markeringsfarve1 3 2 5 5 2" xfId="13631" xr:uid="{00000000-0005-0000-0000-00004F500000}"/>
    <cellStyle name="40 % - Markeringsfarve1 3 2 5 5 2 2" xfId="29946" xr:uid="{00000000-0005-0000-0000-000050500000}"/>
    <cellStyle name="40 % - Markeringsfarve1 3 2 5 5 2 3" xfId="44910" xr:uid="{00000000-0005-0000-0000-000051500000}"/>
    <cellStyle name="40 % - Markeringsfarve1 3 2 5 5 3" xfId="22924" xr:uid="{00000000-0005-0000-0000-000052500000}"/>
    <cellStyle name="40 % - Markeringsfarve1 3 2 5 5 4" xfId="37911" xr:uid="{00000000-0005-0000-0000-000053500000}"/>
    <cellStyle name="40 % - Markeringsfarve1 3 2 5 6" xfId="11773" xr:uid="{00000000-0005-0000-0000-000054500000}"/>
    <cellStyle name="40 % - Markeringsfarve1 3 2 5 6 2" xfId="28093" xr:uid="{00000000-0005-0000-0000-000055500000}"/>
    <cellStyle name="40 % - Markeringsfarve1 3 2 5 6 3" xfId="43058" xr:uid="{00000000-0005-0000-0000-000056500000}"/>
    <cellStyle name="40 % - Markeringsfarve1 3 2 5 7" xfId="21071" xr:uid="{00000000-0005-0000-0000-000057500000}"/>
    <cellStyle name="40 % - Markeringsfarve1 3 2 5 8" xfId="36059" xr:uid="{00000000-0005-0000-0000-000058500000}"/>
    <cellStyle name="40 % - Markeringsfarve1 3 2 6" xfId="3218" xr:uid="{00000000-0005-0000-0000-000059500000}"/>
    <cellStyle name="40 % - Markeringsfarve1 3 2 6 2" xfId="3219" xr:uid="{00000000-0005-0000-0000-00005A500000}"/>
    <cellStyle name="40 % - Markeringsfarve1 3 2 6 2 2" xfId="3220" xr:uid="{00000000-0005-0000-0000-00005B500000}"/>
    <cellStyle name="40 % - Markeringsfarve1 3 2 6 2 2 2" xfId="8078" xr:uid="{00000000-0005-0000-0000-00005C500000}"/>
    <cellStyle name="40 % - Markeringsfarve1 3 2 6 2 2 2 2" xfId="15980" xr:uid="{00000000-0005-0000-0000-00005D500000}"/>
    <cellStyle name="40 % - Markeringsfarve1 3 2 6 2 2 2 2 2" xfId="32295" xr:uid="{00000000-0005-0000-0000-00005E500000}"/>
    <cellStyle name="40 % - Markeringsfarve1 3 2 6 2 2 2 2 3" xfId="47259" xr:uid="{00000000-0005-0000-0000-00005F500000}"/>
    <cellStyle name="40 % - Markeringsfarve1 3 2 6 2 2 2 3" xfId="25273" xr:uid="{00000000-0005-0000-0000-000060500000}"/>
    <cellStyle name="40 % - Markeringsfarve1 3 2 6 2 2 2 4" xfId="40260" xr:uid="{00000000-0005-0000-0000-000061500000}"/>
    <cellStyle name="40 % - Markeringsfarve1 3 2 6 2 2 3" xfId="11780" xr:uid="{00000000-0005-0000-0000-000062500000}"/>
    <cellStyle name="40 % - Markeringsfarve1 3 2 6 2 2 3 2" xfId="28100" xr:uid="{00000000-0005-0000-0000-000063500000}"/>
    <cellStyle name="40 % - Markeringsfarve1 3 2 6 2 2 3 3" xfId="43065" xr:uid="{00000000-0005-0000-0000-000064500000}"/>
    <cellStyle name="40 % - Markeringsfarve1 3 2 6 2 2 4" xfId="21078" xr:uid="{00000000-0005-0000-0000-000065500000}"/>
    <cellStyle name="40 % - Markeringsfarve1 3 2 6 2 2 5" xfId="36066" xr:uid="{00000000-0005-0000-0000-000066500000}"/>
    <cellStyle name="40 % - Markeringsfarve1 3 2 6 2 3" xfId="6580" xr:uid="{00000000-0005-0000-0000-000067500000}"/>
    <cellStyle name="40 % - Markeringsfarve1 3 2 6 2 3 2" xfId="14495" xr:uid="{00000000-0005-0000-0000-000068500000}"/>
    <cellStyle name="40 % - Markeringsfarve1 3 2 6 2 3 2 2" xfId="30810" xr:uid="{00000000-0005-0000-0000-000069500000}"/>
    <cellStyle name="40 % - Markeringsfarve1 3 2 6 2 3 2 3" xfId="45774" xr:uid="{00000000-0005-0000-0000-00006A500000}"/>
    <cellStyle name="40 % - Markeringsfarve1 3 2 6 2 3 3" xfId="23788" xr:uid="{00000000-0005-0000-0000-00006B500000}"/>
    <cellStyle name="40 % - Markeringsfarve1 3 2 6 2 3 4" xfId="38775" xr:uid="{00000000-0005-0000-0000-00006C500000}"/>
    <cellStyle name="40 % - Markeringsfarve1 3 2 6 2 4" xfId="11779" xr:uid="{00000000-0005-0000-0000-00006D500000}"/>
    <cellStyle name="40 % - Markeringsfarve1 3 2 6 2 4 2" xfId="28099" xr:uid="{00000000-0005-0000-0000-00006E500000}"/>
    <cellStyle name="40 % - Markeringsfarve1 3 2 6 2 4 3" xfId="43064" xr:uid="{00000000-0005-0000-0000-00006F500000}"/>
    <cellStyle name="40 % - Markeringsfarve1 3 2 6 2 5" xfId="21077" xr:uid="{00000000-0005-0000-0000-000070500000}"/>
    <cellStyle name="40 % - Markeringsfarve1 3 2 6 2 6" xfId="36065" xr:uid="{00000000-0005-0000-0000-000071500000}"/>
    <cellStyle name="40 % - Markeringsfarve1 3 2 6 3" xfId="3221" xr:uid="{00000000-0005-0000-0000-000072500000}"/>
    <cellStyle name="40 % - Markeringsfarve1 3 2 6 3 2" xfId="7355" xr:uid="{00000000-0005-0000-0000-000073500000}"/>
    <cellStyle name="40 % - Markeringsfarve1 3 2 6 3 2 2" xfId="15266" xr:uid="{00000000-0005-0000-0000-000074500000}"/>
    <cellStyle name="40 % - Markeringsfarve1 3 2 6 3 2 2 2" xfId="31581" xr:uid="{00000000-0005-0000-0000-000075500000}"/>
    <cellStyle name="40 % - Markeringsfarve1 3 2 6 3 2 2 3" xfId="46545" xr:uid="{00000000-0005-0000-0000-000076500000}"/>
    <cellStyle name="40 % - Markeringsfarve1 3 2 6 3 2 3" xfId="24559" xr:uid="{00000000-0005-0000-0000-000077500000}"/>
    <cellStyle name="40 % - Markeringsfarve1 3 2 6 3 2 4" xfId="39546" xr:uid="{00000000-0005-0000-0000-000078500000}"/>
    <cellStyle name="40 % - Markeringsfarve1 3 2 6 3 3" xfId="11781" xr:uid="{00000000-0005-0000-0000-000079500000}"/>
    <cellStyle name="40 % - Markeringsfarve1 3 2 6 3 3 2" xfId="28101" xr:uid="{00000000-0005-0000-0000-00007A500000}"/>
    <cellStyle name="40 % - Markeringsfarve1 3 2 6 3 3 3" xfId="43066" xr:uid="{00000000-0005-0000-0000-00007B500000}"/>
    <cellStyle name="40 % - Markeringsfarve1 3 2 6 3 4" xfId="21079" xr:uid="{00000000-0005-0000-0000-00007C500000}"/>
    <cellStyle name="40 % - Markeringsfarve1 3 2 6 3 5" xfId="36067" xr:uid="{00000000-0005-0000-0000-00007D500000}"/>
    <cellStyle name="40 % - Markeringsfarve1 3 2 6 4" xfId="3222" xr:uid="{00000000-0005-0000-0000-00007E500000}"/>
    <cellStyle name="40 % - Markeringsfarve1 3 2 6 4 2" xfId="8365" xr:uid="{00000000-0005-0000-0000-00007F500000}"/>
    <cellStyle name="40 % - Markeringsfarve1 3 2 6 4 2 2" xfId="16259" xr:uid="{00000000-0005-0000-0000-000080500000}"/>
    <cellStyle name="40 % - Markeringsfarve1 3 2 6 4 2 2 2" xfId="32574" xr:uid="{00000000-0005-0000-0000-000081500000}"/>
    <cellStyle name="40 % - Markeringsfarve1 3 2 6 4 2 2 3" xfId="47538" xr:uid="{00000000-0005-0000-0000-000082500000}"/>
    <cellStyle name="40 % - Markeringsfarve1 3 2 6 4 2 3" xfId="25552" xr:uid="{00000000-0005-0000-0000-000083500000}"/>
    <cellStyle name="40 % - Markeringsfarve1 3 2 6 4 2 4" xfId="40539" xr:uid="{00000000-0005-0000-0000-000084500000}"/>
    <cellStyle name="40 % - Markeringsfarve1 3 2 6 4 3" xfId="11782" xr:uid="{00000000-0005-0000-0000-000085500000}"/>
    <cellStyle name="40 % - Markeringsfarve1 3 2 6 4 3 2" xfId="28102" xr:uid="{00000000-0005-0000-0000-000086500000}"/>
    <cellStyle name="40 % - Markeringsfarve1 3 2 6 4 3 3" xfId="43067" xr:uid="{00000000-0005-0000-0000-000087500000}"/>
    <cellStyle name="40 % - Markeringsfarve1 3 2 6 4 4" xfId="21080" xr:uid="{00000000-0005-0000-0000-000088500000}"/>
    <cellStyle name="40 % - Markeringsfarve1 3 2 6 4 5" xfId="36068" xr:uid="{00000000-0005-0000-0000-000089500000}"/>
    <cellStyle name="40 % - Markeringsfarve1 3 2 6 5" xfId="5713" xr:uid="{00000000-0005-0000-0000-00008A500000}"/>
    <cellStyle name="40 % - Markeringsfarve1 3 2 6 5 2" xfId="13632" xr:uid="{00000000-0005-0000-0000-00008B500000}"/>
    <cellStyle name="40 % - Markeringsfarve1 3 2 6 5 2 2" xfId="29947" xr:uid="{00000000-0005-0000-0000-00008C500000}"/>
    <cellStyle name="40 % - Markeringsfarve1 3 2 6 5 2 3" xfId="44911" xr:uid="{00000000-0005-0000-0000-00008D500000}"/>
    <cellStyle name="40 % - Markeringsfarve1 3 2 6 5 3" xfId="22925" xr:uid="{00000000-0005-0000-0000-00008E500000}"/>
    <cellStyle name="40 % - Markeringsfarve1 3 2 6 5 4" xfId="37912" xr:uid="{00000000-0005-0000-0000-00008F500000}"/>
    <cellStyle name="40 % - Markeringsfarve1 3 2 6 6" xfId="11778" xr:uid="{00000000-0005-0000-0000-000090500000}"/>
    <cellStyle name="40 % - Markeringsfarve1 3 2 6 6 2" xfId="28098" xr:uid="{00000000-0005-0000-0000-000091500000}"/>
    <cellStyle name="40 % - Markeringsfarve1 3 2 6 6 3" xfId="43063" xr:uid="{00000000-0005-0000-0000-000092500000}"/>
    <cellStyle name="40 % - Markeringsfarve1 3 2 6 7" xfId="21076" xr:uid="{00000000-0005-0000-0000-000093500000}"/>
    <cellStyle name="40 % - Markeringsfarve1 3 2 6 8" xfId="36064" xr:uid="{00000000-0005-0000-0000-000094500000}"/>
    <cellStyle name="40 % - Markeringsfarve1 3 2 7" xfId="3223" xr:uid="{00000000-0005-0000-0000-000095500000}"/>
    <cellStyle name="40 % - Markeringsfarve1 3 2 7 2" xfId="3224" xr:uid="{00000000-0005-0000-0000-000096500000}"/>
    <cellStyle name="40 % - Markeringsfarve1 3 2 7 2 2" xfId="7482" xr:uid="{00000000-0005-0000-0000-000097500000}"/>
    <cellStyle name="40 % - Markeringsfarve1 3 2 7 2 2 2" xfId="15384" xr:uid="{00000000-0005-0000-0000-000098500000}"/>
    <cellStyle name="40 % - Markeringsfarve1 3 2 7 2 2 2 2" xfId="31699" xr:uid="{00000000-0005-0000-0000-000099500000}"/>
    <cellStyle name="40 % - Markeringsfarve1 3 2 7 2 2 2 3" xfId="46663" xr:uid="{00000000-0005-0000-0000-00009A500000}"/>
    <cellStyle name="40 % - Markeringsfarve1 3 2 7 2 2 3" xfId="24677" xr:uid="{00000000-0005-0000-0000-00009B500000}"/>
    <cellStyle name="40 % - Markeringsfarve1 3 2 7 2 2 4" xfId="39664" xr:uid="{00000000-0005-0000-0000-00009C500000}"/>
    <cellStyle name="40 % - Markeringsfarve1 3 2 7 2 3" xfId="11784" xr:uid="{00000000-0005-0000-0000-00009D500000}"/>
    <cellStyle name="40 % - Markeringsfarve1 3 2 7 2 3 2" xfId="28104" xr:uid="{00000000-0005-0000-0000-00009E500000}"/>
    <cellStyle name="40 % - Markeringsfarve1 3 2 7 2 3 3" xfId="43069" xr:uid="{00000000-0005-0000-0000-00009F500000}"/>
    <cellStyle name="40 % - Markeringsfarve1 3 2 7 2 4" xfId="21082" xr:uid="{00000000-0005-0000-0000-0000A0500000}"/>
    <cellStyle name="40 % - Markeringsfarve1 3 2 7 2 5" xfId="36070" xr:uid="{00000000-0005-0000-0000-0000A1500000}"/>
    <cellStyle name="40 % - Markeringsfarve1 3 2 7 3" xfId="6077" xr:uid="{00000000-0005-0000-0000-0000A2500000}"/>
    <cellStyle name="40 % - Markeringsfarve1 3 2 7 3 2" xfId="13995" xr:uid="{00000000-0005-0000-0000-0000A3500000}"/>
    <cellStyle name="40 % - Markeringsfarve1 3 2 7 3 2 2" xfId="30310" xr:uid="{00000000-0005-0000-0000-0000A4500000}"/>
    <cellStyle name="40 % - Markeringsfarve1 3 2 7 3 2 3" xfId="45274" xr:uid="{00000000-0005-0000-0000-0000A5500000}"/>
    <cellStyle name="40 % - Markeringsfarve1 3 2 7 3 3" xfId="23288" xr:uid="{00000000-0005-0000-0000-0000A6500000}"/>
    <cellStyle name="40 % - Markeringsfarve1 3 2 7 3 4" xfId="38275" xr:uid="{00000000-0005-0000-0000-0000A7500000}"/>
    <cellStyle name="40 % - Markeringsfarve1 3 2 7 4" xfId="11783" xr:uid="{00000000-0005-0000-0000-0000A8500000}"/>
    <cellStyle name="40 % - Markeringsfarve1 3 2 7 4 2" xfId="28103" xr:uid="{00000000-0005-0000-0000-0000A9500000}"/>
    <cellStyle name="40 % - Markeringsfarve1 3 2 7 4 3" xfId="43068" xr:uid="{00000000-0005-0000-0000-0000AA500000}"/>
    <cellStyle name="40 % - Markeringsfarve1 3 2 7 5" xfId="21081" xr:uid="{00000000-0005-0000-0000-0000AB500000}"/>
    <cellStyle name="40 % - Markeringsfarve1 3 2 7 6" xfId="36069" xr:uid="{00000000-0005-0000-0000-0000AC500000}"/>
    <cellStyle name="40 % - Markeringsfarve1 3 2 8" xfId="3225" xr:uid="{00000000-0005-0000-0000-0000AD500000}"/>
    <cellStyle name="40 % - Markeringsfarve1 3 2 8 2" xfId="6710" xr:uid="{00000000-0005-0000-0000-0000AE500000}"/>
    <cellStyle name="40 % - Markeringsfarve1 3 2 8 2 2" xfId="14622" xr:uid="{00000000-0005-0000-0000-0000AF500000}"/>
    <cellStyle name="40 % - Markeringsfarve1 3 2 8 2 2 2" xfId="30937" xr:uid="{00000000-0005-0000-0000-0000B0500000}"/>
    <cellStyle name="40 % - Markeringsfarve1 3 2 8 2 2 3" xfId="45901" xr:uid="{00000000-0005-0000-0000-0000B1500000}"/>
    <cellStyle name="40 % - Markeringsfarve1 3 2 8 2 3" xfId="23915" xr:uid="{00000000-0005-0000-0000-0000B2500000}"/>
    <cellStyle name="40 % - Markeringsfarve1 3 2 8 2 4" xfId="38902" xr:uid="{00000000-0005-0000-0000-0000B3500000}"/>
    <cellStyle name="40 % - Markeringsfarve1 3 2 8 3" xfId="11785" xr:uid="{00000000-0005-0000-0000-0000B4500000}"/>
    <cellStyle name="40 % - Markeringsfarve1 3 2 8 3 2" xfId="28105" xr:uid="{00000000-0005-0000-0000-0000B5500000}"/>
    <cellStyle name="40 % - Markeringsfarve1 3 2 8 3 3" xfId="43070" xr:uid="{00000000-0005-0000-0000-0000B6500000}"/>
    <cellStyle name="40 % - Markeringsfarve1 3 2 8 4" xfId="21083" xr:uid="{00000000-0005-0000-0000-0000B7500000}"/>
    <cellStyle name="40 % - Markeringsfarve1 3 2 8 5" xfId="36071" xr:uid="{00000000-0005-0000-0000-0000B8500000}"/>
    <cellStyle name="40 % - Markeringsfarve1 3 2 9" xfId="3226" xr:uid="{00000000-0005-0000-0000-0000B9500000}"/>
    <cellStyle name="40 % - Markeringsfarve1 3 2 9 2" xfId="8717" xr:uid="{00000000-0005-0000-0000-0000BA500000}"/>
    <cellStyle name="40 % - Markeringsfarve1 3 2 9 2 2" xfId="16594" xr:uid="{00000000-0005-0000-0000-0000BB500000}"/>
    <cellStyle name="40 % - Markeringsfarve1 3 2 9 2 2 2" xfId="32909" xr:uid="{00000000-0005-0000-0000-0000BC500000}"/>
    <cellStyle name="40 % - Markeringsfarve1 3 2 9 2 2 3" xfId="47873" xr:uid="{00000000-0005-0000-0000-0000BD500000}"/>
    <cellStyle name="40 % - Markeringsfarve1 3 2 9 2 3" xfId="25887" xr:uid="{00000000-0005-0000-0000-0000BE500000}"/>
    <cellStyle name="40 % - Markeringsfarve1 3 2 9 2 4" xfId="40874" xr:uid="{00000000-0005-0000-0000-0000BF500000}"/>
    <cellStyle name="40 % - Markeringsfarve1 3 2 9 3" xfId="11786" xr:uid="{00000000-0005-0000-0000-0000C0500000}"/>
    <cellStyle name="40 % - Markeringsfarve1 3 2 9 3 2" xfId="28106" xr:uid="{00000000-0005-0000-0000-0000C1500000}"/>
    <cellStyle name="40 % - Markeringsfarve1 3 2 9 3 3" xfId="43071" xr:uid="{00000000-0005-0000-0000-0000C2500000}"/>
    <cellStyle name="40 % - Markeringsfarve1 3 2 9 4" xfId="21084" xr:uid="{00000000-0005-0000-0000-0000C3500000}"/>
    <cellStyle name="40 % - Markeringsfarve1 3 2 9 5" xfId="36072" xr:uid="{00000000-0005-0000-0000-0000C4500000}"/>
    <cellStyle name="40 % - Markeringsfarve1 3 3" xfId="3227" xr:uid="{00000000-0005-0000-0000-0000C5500000}"/>
    <cellStyle name="40 % - Markeringsfarve1 3 3 10" xfId="5714" xr:uid="{00000000-0005-0000-0000-0000C6500000}"/>
    <cellStyle name="40 % - Markeringsfarve1 3 3 10 2" xfId="13633" xr:uid="{00000000-0005-0000-0000-0000C7500000}"/>
    <cellStyle name="40 % - Markeringsfarve1 3 3 10 2 2" xfId="29948" xr:uid="{00000000-0005-0000-0000-0000C8500000}"/>
    <cellStyle name="40 % - Markeringsfarve1 3 3 10 2 3" xfId="44912" xr:uid="{00000000-0005-0000-0000-0000C9500000}"/>
    <cellStyle name="40 % - Markeringsfarve1 3 3 10 3" xfId="22926" xr:uid="{00000000-0005-0000-0000-0000CA500000}"/>
    <cellStyle name="40 % - Markeringsfarve1 3 3 10 4" xfId="37913" xr:uid="{00000000-0005-0000-0000-0000CB500000}"/>
    <cellStyle name="40 % - Markeringsfarve1 3 3 11" xfId="11787" xr:uid="{00000000-0005-0000-0000-0000CC500000}"/>
    <cellStyle name="40 % - Markeringsfarve1 3 3 11 2" xfId="28107" xr:uid="{00000000-0005-0000-0000-0000CD500000}"/>
    <cellStyle name="40 % - Markeringsfarve1 3 3 11 3" xfId="43072" xr:uid="{00000000-0005-0000-0000-0000CE500000}"/>
    <cellStyle name="40 % - Markeringsfarve1 3 3 12" xfId="21085" xr:uid="{00000000-0005-0000-0000-0000CF500000}"/>
    <cellStyle name="40 % - Markeringsfarve1 3 3 13" xfId="36073" xr:uid="{00000000-0005-0000-0000-0000D0500000}"/>
    <cellStyle name="40 % - Markeringsfarve1 3 3 14" xfId="56460" xr:uid="{00000000-0005-0000-0000-0000D1500000}"/>
    <cellStyle name="40 % - Markeringsfarve1 3 3 2" xfId="3228" xr:uid="{00000000-0005-0000-0000-0000D2500000}"/>
    <cellStyle name="40 % - Markeringsfarve1 3 3 2 2" xfId="3229" xr:uid="{00000000-0005-0000-0000-0000D3500000}"/>
    <cellStyle name="40 % - Markeringsfarve1 3 3 2 2 2" xfId="3230" xr:uid="{00000000-0005-0000-0000-0000D4500000}"/>
    <cellStyle name="40 % - Markeringsfarve1 3 3 2 2 2 2" xfId="7640" xr:uid="{00000000-0005-0000-0000-0000D5500000}"/>
    <cellStyle name="40 % - Markeringsfarve1 3 3 2 2 2 2 2" xfId="15542" xr:uid="{00000000-0005-0000-0000-0000D6500000}"/>
    <cellStyle name="40 % - Markeringsfarve1 3 3 2 2 2 2 2 2" xfId="31857" xr:uid="{00000000-0005-0000-0000-0000D7500000}"/>
    <cellStyle name="40 % - Markeringsfarve1 3 3 2 2 2 2 2 3" xfId="46821" xr:uid="{00000000-0005-0000-0000-0000D8500000}"/>
    <cellStyle name="40 % - Markeringsfarve1 3 3 2 2 2 2 3" xfId="24835" xr:uid="{00000000-0005-0000-0000-0000D9500000}"/>
    <cellStyle name="40 % - Markeringsfarve1 3 3 2 2 2 2 4" xfId="39822" xr:uid="{00000000-0005-0000-0000-0000DA500000}"/>
    <cellStyle name="40 % - Markeringsfarve1 3 3 2 2 2 3" xfId="11790" xr:uid="{00000000-0005-0000-0000-0000DB500000}"/>
    <cellStyle name="40 % - Markeringsfarve1 3 3 2 2 2 3 2" xfId="28110" xr:uid="{00000000-0005-0000-0000-0000DC500000}"/>
    <cellStyle name="40 % - Markeringsfarve1 3 3 2 2 2 3 3" xfId="43075" xr:uid="{00000000-0005-0000-0000-0000DD500000}"/>
    <cellStyle name="40 % - Markeringsfarve1 3 3 2 2 2 4" xfId="21088" xr:uid="{00000000-0005-0000-0000-0000DE500000}"/>
    <cellStyle name="40 % - Markeringsfarve1 3 3 2 2 2 5" xfId="36076" xr:uid="{00000000-0005-0000-0000-0000DF500000}"/>
    <cellStyle name="40 % - Markeringsfarve1 3 3 2 2 3" xfId="6209" xr:uid="{00000000-0005-0000-0000-0000E0500000}"/>
    <cellStyle name="40 % - Markeringsfarve1 3 3 2 2 3 2" xfId="14127" xr:uid="{00000000-0005-0000-0000-0000E1500000}"/>
    <cellStyle name="40 % - Markeringsfarve1 3 3 2 2 3 2 2" xfId="30442" xr:uid="{00000000-0005-0000-0000-0000E2500000}"/>
    <cellStyle name="40 % - Markeringsfarve1 3 3 2 2 3 2 3" xfId="45406" xr:uid="{00000000-0005-0000-0000-0000E3500000}"/>
    <cellStyle name="40 % - Markeringsfarve1 3 3 2 2 3 3" xfId="23420" xr:uid="{00000000-0005-0000-0000-0000E4500000}"/>
    <cellStyle name="40 % - Markeringsfarve1 3 3 2 2 3 4" xfId="38407" xr:uid="{00000000-0005-0000-0000-0000E5500000}"/>
    <cellStyle name="40 % - Markeringsfarve1 3 3 2 2 4" xfId="11789" xr:uid="{00000000-0005-0000-0000-0000E6500000}"/>
    <cellStyle name="40 % - Markeringsfarve1 3 3 2 2 4 2" xfId="28109" xr:uid="{00000000-0005-0000-0000-0000E7500000}"/>
    <cellStyle name="40 % - Markeringsfarve1 3 3 2 2 4 3" xfId="43074" xr:uid="{00000000-0005-0000-0000-0000E8500000}"/>
    <cellStyle name="40 % - Markeringsfarve1 3 3 2 2 5" xfId="21087" xr:uid="{00000000-0005-0000-0000-0000E9500000}"/>
    <cellStyle name="40 % - Markeringsfarve1 3 3 2 2 6" xfId="36075" xr:uid="{00000000-0005-0000-0000-0000EA500000}"/>
    <cellStyle name="40 % - Markeringsfarve1 3 3 2 3" xfId="3231" xr:uid="{00000000-0005-0000-0000-0000EB500000}"/>
    <cellStyle name="40 % - Markeringsfarve1 3 3 2 3 2" xfId="6870" xr:uid="{00000000-0005-0000-0000-0000EC500000}"/>
    <cellStyle name="40 % - Markeringsfarve1 3 3 2 3 2 2" xfId="14782" xr:uid="{00000000-0005-0000-0000-0000ED500000}"/>
    <cellStyle name="40 % - Markeringsfarve1 3 3 2 3 2 2 2" xfId="31097" xr:uid="{00000000-0005-0000-0000-0000EE500000}"/>
    <cellStyle name="40 % - Markeringsfarve1 3 3 2 3 2 2 3" xfId="46061" xr:uid="{00000000-0005-0000-0000-0000EF500000}"/>
    <cellStyle name="40 % - Markeringsfarve1 3 3 2 3 2 3" xfId="24075" xr:uid="{00000000-0005-0000-0000-0000F0500000}"/>
    <cellStyle name="40 % - Markeringsfarve1 3 3 2 3 2 4" xfId="39062" xr:uid="{00000000-0005-0000-0000-0000F1500000}"/>
    <cellStyle name="40 % - Markeringsfarve1 3 3 2 3 3" xfId="11791" xr:uid="{00000000-0005-0000-0000-0000F2500000}"/>
    <cellStyle name="40 % - Markeringsfarve1 3 3 2 3 3 2" xfId="28111" xr:uid="{00000000-0005-0000-0000-0000F3500000}"/>
    <cellStyle name="40 % - Markeringsfarve1 3 3 2 3 3 3" xfId="43076" xr:uid="{00000000-0005-0000-0000-0000F4500000}"/>
    <cellStyle name="40 % - Markeringsfarve1 3 3 2 3 4" xfId="21089" xr:uid="{00000000-0005-0000-0000-0000F5500000}"/>
    <cellStyle name="40 % - Markeringsfarve1 3 3 2 3 5" xfId="36077" xr:uid="{00000000-0005-0000-0000-0000F6500000}"/>
    <cellStyle name="40 % - Markeringsfarve1 3 3 2 4" xfId="3232" xr:uid="{00000000-0005-0000-0000-0000F7500000}"/>
    <cellStyle name="40 % - Markeringsfarve1 3 3 2 4 2" xfId="8233" xr:uid="{00000000-0005-0000-0000-0000F8500000}"/>
    <cellStyle name="40 % - Markeringsfarve1 3 3 2 4 2 2" xfId="16128" xr:uid="{00000000-0005-0000-0000-0000F9500000}"/>
    <cellStyle name="40 % - Markeringsfarve1 3 3 2 4 2 2 2" xfId="32443" xr:uid="{00000000-0005-0000-0000-0000FA500000}"/>
    <cellStyle name="40 % - Markeringsfarve1 3 3 2 4 2 2 3" xfId="47407" xr:uid="{00000000-0005-0000-0000-0000FB500000}"/>
    <cellStyle name="40 % - Markeringsfarve1 3 3 2 4 2 3" xfId="25421" xr:uid="{00000000-0005-0000-0000-0000FC500000}"/>
    <cellStyle name="40 % - Markeringsfarve1 3 3 2 4 2 4" xfId="40408" xr:uid="{00000000-0005-0000-0000-0000FD500000}"/>
    <cellStyle name="40 % - Markeringsfarve1 3 3 2 4 3" xfId="11792" xr:uid="{00000000-0005-0000-0000-0000FE500000}"/>
    <cellStyle name="40 % - Markeringsfarve1 3 3 2 4 3 2" xfId="28112" xr:uid="{00000000-0005-0000-0000-0000FF500000}"/>
    <cellStyle name="40 % - Markeringsfarve1 3 3 2 4 3 3" xfId="43077" xr:uid="{00000000-0005-0000-0000-000000510000}"/>
    <cellStyle name="40 % - Markeringsfarve1 3 3 2 4 4" xfId="21090" xr:uid="{00000000-0005-0000-0000-000001510000}"/>
    <cellStyle name="40 % - Markeringsfarve1 3 3 2 4 5" xfId="36078" xr:uid="{00000000-0005-0000-0000-000002510000}"/>
    <cellStyle name="40 % - Markeringsfarve1 3 3 2 5" xfId="5715" xr:uid="{00000000-0005-0000-0000-000003510000}"/>
    <cellStyle name="40 % - Markeringsfarve1 3 3 2 5 2" xfId="13634" xr:uid="{00000000-0005-0000-0000-000004510000}"/>
    <cellStyle name="40 % - Markeringsfarve1 3 3 2 5 2 2" xfId="29949" xr:uid="{00000000-0005-0000-0000-000005510000}"/>
    <cellStyle name="40 % - Markeringsfarve1 3 3 2 5 2 3" xfId="44913" xr:uid="{00000000-0005-0000-0000-000006510000}"/>
    <cellStyle name="40 % - Markeringsfarve1 3 3 2 5 3" xfId="22927" xr:uid="{00000000-0005-0000-0000-000007510000}"/>
    <cellStyle name="40 % - Markeringsfarve1 3 3 2 5 4" xfId="37914" xr:uid="{00000000-0005-0000-0000-000008510000}"/>
    <cellStyle name="40 % - Markeringsfarve1 3 3 2 6" xfId="11788" xr:uid="{00000000-0005-0000-0000-000009510000}"/>
    <cellStyle name="40 % - Markeringsfarve1 3 3 2 6 2" xfId="28108" xr:uid="{00000000-0005-0000-0000-00000A510000}"/>
    <cellStyle name="40 % - Markeringsfarve1 3 3 2 6 3" xfId="43073" xr:uid="{00000000-0005-0000-0000-00000B510000}"/>
    <cellStyle name="40 % - Markeringsfarve1 3 3 2 7" xfId="21086" xr:uid="{00000000-0005-0000-0000-00000C510000}"/>
    <cellStyle name="40 % - Markeringsfarve1 3 3 2 8" xfId="36074" xr:uid="{00000000-0005-0000-0000-00000D510000}"/>
    <cellStyle name="40 % - Markeringsfarve1 3 3 3" xfId="3233" xr:uid="{00000000-0005-0000-0000-00000E510000}"/>
    <cellStyle name="40 % - Markeringsfarve1 3 3 3 2" xfId="3234" xr:uid="{00000000-0005-0000-0000-00000F510000}"/>
    <cellStyle name="40 % - Markeringsfarve1 3 3 3 2 2" xfId="3235" xr:uid="{00000000-0005-0000-0000-000010510000}"/>
    <cellStyle name="40 % - Markeringsfarve1 3 3 3 2 2 2" xfId="7725" xr:uid="{00000000-0005-0000-0000-000011510000}"/>
    <cellStyle name="40 % - Markeringsfarve1 3 3 3 2 2 2 2" xfId="15627" xr:uid="{00000000-0005-0000-0000-000012510000}"/>
    <cellStyle name="40 % - Markeringsfarve1 3 3 3 2 2 2 2 2" xfId="31942" xr:uid="{00000000-0005-0000-0000-000013510000}"/>
    <cellStyle name="40 % - Markeringsfarve1 3 3 3 2 2 2 2 3" xfId="46906" xr:uid="{00000000-0005-0000-0000-000014510000}"/>
    <cellStyle name="40 % - Markeringsfarve1 3 3 3 2 2 2 3" xfId="24920" xr:uid="{00000000-0005-0000-0000-000015510000}"/>
    <cellStyle name="40 % - Markeringsfarve1 3 3 3 2 2 2 4" xfId="39907" xr:uid="{00000000-0005-0000-0000-000016510000}"/>
    <cellStyle name="40 % - Markeringsfarve1 3 3 3 2 2 3" xfId="11795" xr:uid="{00000000-0005-0000-0000-000017510000}"/>
    <cellStyle name="40 % - Markeringsfarve1 3 3 3 2 2 3 2" xfId="28115" xr:uid="{00000000-0005-0000-0000-000018510000}"/>
    <cellStyle name="40 % - Markeringsfarve1 3 3 3 2 2 3 3" xfId="43080" xr:uid="{00000000-0005-0000-0000-000019510000}"/>
    <cellStyle name="40 % - Markeringsfarve1 3 3 3 2 2 4" xfId="21093" xr:uid="{00000000-0005-0000-0000-00001A510000}"/>
    <cellStyle name="40 % - Markeringsfarve1 3 3 3 2 2 5" xfId="36081" xr:uid="{00000000-0005-0000-0000-00001B510000}"/>
    <cellStyle name="40 % - Markeringsfarve1 3 3 3 2 3" xfId="6280" xr:uid="{00000000-0005-0000-0000-00001C510000}"/>
    <cellStyle name="40 % - Markeringsfarve1 3 3 3 2 3 2" xfId="14198" xr:uid="{00000000-0005-0000-0000-00001D510000}"/>
    <cellStyle name="40 % - Markeringsfarve1 3 3 3 2 3 2 2" xfId="30513" xr:uid="{00000000-0005-0000-0000-00001E510000}"/>
    <cellStyle name="40 % - Markeringsfarve1 3 3 3 2 3 2 3" xfId="45477" xr:uid="{00000000-0005-0000-0000-00001F510000}"/>
    <cellStyle name="40 % - Markeringsfarve1 3 3 3 2 3 3" xfId="23491" xr:uid="{00000000-0005-0000-0000-000020510000}"/>
    <cellStyle name="40 % - Markeringsfarve1 3 3 3 2 3 4" xfId="38478" xr:uid="{00000000-0005-0000-0000-000021510000}"/>
    <cellStyle name="40 % - Markeringsfarve1 3 3 3 2 4" xfId="11794" xr:uid="{00000000-0005-0000-0000-000022510000}"/>
    <cellStyle name="40 % - Markeringsfarve1 3 3 3 2 4 2" xfId="28114" xr:uid="{00000000-0005-0000-0000-000023510000}"/>
    <cellStyle name="40 % - Markeringsfarve1 3 3 3 2 4 3" xfId="43079" xr:uid="{00000000-0005-0000-0000-000024510000}"/>
    <cellStyle name="40 % - Markeringsfarve1 3 3 3 2 5" xfId="21092" xr:uid="{00000000-0005-0000-0000-000025510000}"/>
    <cellStyle name="40 % - Markeringsfarve1 3 3 3 2 6" xfId="36080" xr:uid="{00000000-0005-0000-0000-000026510000}"/>
    <cellStyle name="40 % - Markeringsfarve1 3 3 3 3" xfId="3236" xr:uid="{00000000-0005-0000-0000-000027510000}"/>
    <cellStyle name="40 % - Markeringsfarve1 3 3 3 3 2" xfId="6955" xr:uid="{00000000-0005-0000-0000-000028510000}"/>
    <cellStyle name="40 % - Markeringsfarve1 3 3 3 3 2 2" xfId="14867" xr:uid="{00000000-0005-0000-0000-000029510000}"/>
    <cellStyle name="40 % - Markeringsfarve1 3 3 3 3 2 2 2" xfId="31182" xr:uid="{00000000-0005-0000-0000-00002A510000}"/>
    <cellStyle name="40 % - Markeringsfarve1 3 3 3 3 2 2 3" xfId="46146" xr:uid="{00000000-0005-0000-0000-00002B510000}"/>
    <cellStyle name="40 % - Markeringsfarve1 3 3 3 3 2 3" xfId="24160" xr:uid="{00000000-0005-0000-0000-00002C510000}"/>
    <cellStyle name="40 % - Markeringsfarve1 3 3 3 3 2 4" xfId="39147" xr:uid="{00000000-0005-0000-0000-00002D510000}"/>
    <cellStyle name="40 % - Markeringsfarve1 3 3 3 3 3" xfId="11796" xr:uid="{00000000-0005-0000-0000-00002E510000}"/>
    <cellStyle name="40 % - Markeringsfarve1 3 3 3 3 3 2" xfId="28116" xr:uid="{00000000-0005-0000-0000-00002F510000}"/>
    <cellStyle name="40 % - Markeringsfarve1 3 3 3 3 3 3" xfId="43081" xr:uid="{00000000-0005-0000-0000-000030510000}"/>
    <cellStyle name="40 % - Markeringsfarve1 3 3 3 3 4" xfId="21094" xr:uid="{00000000-0005-0000-0000-000031510000}"/>
    <cellStyle name="40 % - Markeringsfarve1 3 3 3 3 5" xfId="36082" xr:uid="{00000000-0005-0000-0000-000032510000}"/>
    <cellStyle name="40 % - Markeringsfarve1 3 3 3 4" xfId="3237" xr:uid="{00000000-0005-0000-0000-000033510000}"/>
    <cellStyle name="40 % - Markeringsfarve1 3 3 3 4 2" xfId="8551" xr:uid="{00000000-0005-0000-0000-000034510000}"/>
    <cellStyle name="40 % - Markeringsfarve1 3 3 3 4 2 2" xfId="16438" xr:uid="{00000000-0005-0000-0000-000035510000}"/>
    <cellStyle name="40 % - Markeringsfarve1 3 3 3 4 2 2 2" xfId="32753" xr:uid="{00000000-0005-0000-0000-000036510000}"/>
    <cellStyle name="40 % - Markeringsfarve1 3 3 3 4 2 2 3" xfId="47717" xr:uid="{00000000-0005-0000-0000-000037510000}"/>
    <cellStyle name="40 % - Markeringsfarve1 3 3 3 4 2 3" xfId="25731" xr:uid="{00000000-0005-0000-0000-000038510000}"/>
    <cellStyle name="40 % - Markeringsfarve1 3 3 3 4 2 4" xfId="40718" xr:uid="{00000000-0005-0000-0000-000039510000}"/>
    <cellStyle name="40 % - Markeringsfarve1 3 3 3 4 3" xfId="11797" xr:uid="{00000000-0005-0000-0000-00003A510000}"/>
    <cellStyle name="40 % - Markeringsfarve1 3 3 3 4 3 2" xfId="28117" xr:uid="{00000000-0005-0000-0000-00003B510000}"/>
    <cellStyle name="40 % - Markeringsfarve1 3 3 3 4 3 3" xfId="43082" xr:uid="{00000000-0005-0000-0000-00003C510000}"/>
    <cellStyle name="40 % - Markeringsfarve1 3 3 3 4 4" xfId="21095" xr:uid="{00000000-0005-0000-0000-00003D510000}"/>
    <cellStyle name="40 % - Markeringsfarve1 3 3 3 4 5" xfId="36083" xr:uid="{00000000-0005-0000-0000-00003E510000}"/>
    <cellStyle name="40 % - Markeringsfarve1 3 3 3 5" xfId="5716" xr:uid="{00000000-0005-0000-0000-00003F510000}"/>
    <cellStyle name="40 % - Markeringsfarve1 3 3 3 5 2" xfId="13635" xr:uid="{00000000-0005-0000-0000-000040510000}"/>
    <cellStyle name="40 % - Markeringsfarve1 3 3 3 5 2 2" xfId="29950" xr:uid="{00000000-0005-0000-0000-000041510000}"/>
    <cellStyle name="40 % - Markeringsfarve1 3 3 3 5 2 3" xfId="44914" xr:uid="{00000000-0005-0000-0000-000042510000}"/>
    <cellStyle name="40 % - Markeringsfarve1 3 3 3 5 3" xfId="22928" xr:uid="{00000000-0005-0000-0000-000043510000}"/>
    <cellStyle name="40 % - Markeringsfarve1 3 3 3 5 4" xfId="37915" xr:uid="{00000000-0005-0000-0000-000044510000}"/>
    <cellStyle name="40 % - Markeringsfarve1 3 3 3 6" xfId="11793" xr:uid="{00000000-0005-0000-0000-000045510000}"/>
    <cellStyle name="40 % - Markeringsfarve1 3 3 3 6 2" xfId="28113" xr:uid="{00000000-0005-0000-0000-000046510000}"/>
    <cellStyle name="40 % - Markeringsfarve1 3 3 3 6 3" xfId="43078" xr:uid="{00000000-0005-0000-0000-000047510000}"/>
    <cellStyle name="40 % - Markeringsfarve1 3 3 3 7" xfId="21091" xr:uid="{00000000-0005-0000-0000-000048510000}"/>
    <cellStyle name="40 % - Markeringsfarve1 3 3 3 8" xfId="36079" xr:uid="{00000000-0005-0000-0000-000049510000}"/>
    <cellStyle name="40 % - Markeringsfarve1 3 3 4" xfId="3238" xr:uid="{00000000-0005-0000-0000-00004A510000}"/>
    <cellStyle name="40 % - Markeringsfarve1 3 3 4 2" xfId="3239" xr:uid="{00000000-0005-0000-0000-00004B510000}"/>
    <cellStyle name="40 % - Markeringsfarve1 3 3 4 2 2" xfId="3240" xr:uid="{00000000-0005-0000-0000-00004C510000}"/>
    <cellStyle name="40 % - Markeringsfarve1 3 3 4 2 2 2" xfId="7878" xr:uid="{00000000-0005-0000-0000-00004D510000}"/>
    <cellStyle name="40 % - Markeringsfarve1 3 3 4 2 2 2 2" xfId="15780" xr:uid="{00000000-0005-0000-0000-00004E510000}"/>
    <cellStyle name="40 % - Markeringsfarve1 3 3 4 2 2 2 2 2" xfId="32095" xr:uid="{00000000-0005-0000-0000-00004F510000}"/>
    <cellStyle name="40 % - Markeringsfarve1 3 3 4 2 2 2 2 3" xfId="47059" xr:uid="{00000000-0005-0000-0000-000050510000}"/>
    <cellStyle name="40 % - Markeringsfarve1 3 3 4 2 2 2 3" xfId="25073" xr:uid="{00000000-0005-0000-0000-000051510000}"/>
    <cellStyle name="40 % - Markeringsfarve1 3 3 4 2 2 2 4" xfId="40060" xr:uid="{00000000-0005-0000-0000-000052510000}"/>
    <cellStyle name="40 % - Markeringsfarve1 3 3 4 2 2 3" xfId="11800" xr:uid="{00000000-0005-0000-0000-000053510000}"/>
    <cellStyle name="40 % - Markeringsfarve1 3 3 4 2 2 3 2" xfId="28120" xr:uid="{00000000-0005-0000-0000-000054510000}"/>
    <cellStyle name="40 % - Markeringsfarve1 3 3 4 2 2 3 3" xfId="43085" xr:uid="{00000000-0005-0000-0000-000055510000}"/>
    <cellStyle name="40 % - Markeringsfarve1 3 3 4 2 2 4" xfId="21098" xr:uid="{00000000-0005-0000-0000-000056510000}"/>
    <cellStyle name="40 % - Markeringsfarve1 3 3 4 2 2 5" xfId="36086" xr:uid="{00000000-0005-0000-0000-000057510000}"/>
    <cellStyle name="40 % - Markeringsfarve1 3 3 4 2 3" xfId="6411" xr:uid="{00000000-0005-0000-0000-000058510000}"/>
    <cellStyle name="40 % - Markeringsfarve1 3 3 4 2 3 2" xfId="14326" xr:uid="{00000000-0005-0000-0000-000059510000}"/>
    <cellStyle name="40 % - Markeringsfarve1 3 3 4 2 3 2 2" xfId="30641" xr:uid="{00000000-0005-0000-0000-00005A510000}"/>
    <cellStyle name="40 % - Markeringsfarve1 3 3 4 2 3 2 3" xfId="45605" xr:uid="{00000000-0005-0000-0000-00005B510000}"/>
    <cellStyle name="40 % - Markeringsfarve1 3 3 4 2 3 3" xfId="23619" xr:uid="{00000000-0005-0000-0000-00005C510000}"/>
    <cellStyle name="40 % - Markeringsfarve1 3 3 4 2 3 4" xfId="38606" xr:uid="{00000000-0005-0000-0000-00005D510000}"/>
    <cellStyle name="40 % - Markeringsfarve1 3 3 4 2 4" xfId="11799" xr:uid="{00000000-0005-0000-0000-00005E510000}"/>
    <cellStyle name="40 % - Markeringsfarve1 3 3 4 2 4 2" xfId="28119" xr:uid="{00000000-0005-0000-0000-00005F510000}"/>
    <cellStyle name="40 % - Markeringsfarve1 3 3 4 2 4 3" xfId="43084" xr:uid="{00000000-0005-0000-0000-000060510000}"/>
    <cellStyle name="40 % - Markeringsfarve1 3 3 4 2 5" xfId="21097" xr:uid="{00000000-0005-0000-0000-000061510000}"/>
    <cellStyle name="40 % - Markeringsfarve1 3 3 4 2 6" xfId="36085" xr:uid="{00000000-0005-0000-0000-000062510000}"/>
    <cellStyle name="40 % - Markeringsfarve1 3 3 4 3" xfId="3241" xr:uid="{00000000-0005-0000-0000-000063510000}"/>
    <cellStyle name="40 % - Markeringsfarve1 3 3 4 3 2" xfId="7154" xr:uid="{00000000-0005-0000-0000-000064510000}"/>
    <cellStyle name="40 % - Markeringsfarve1 3 3 4 3 2 2" xfId="15065" xr:uid="{00000000-0005-0000-0000-000065510000}"/>
    <cellStyle name="40 % - Markeringsfarve1 3 3 4 3 2 2 2" xfId="31380" xr:uid="{00000000-0005-0000-0000-000066510000}"/>
    <cellStyle name="40 % - Markeringsfarve1 3 3 4 3 2 2 3" xfId="46344" xr:uid="{00000000-0005-0000-0000-000067510000}"/>
    <cellStyle name="40 % - Markeringsfarve1 3 3 4 3 2 3" xfId="24358" xr:uid="{00000000-0005-0000-0000-000068510000}"/>
    <cellStyle name="40 % - Markeringsfarve1 3 3 4 3 2 4" xfId="39345" xr:uid="{00000000-0005-0000-0000-000069510000}"/>
    <cellStyle name="40 % - Markeringsfarve1 3 3 4 3 3" xfId="11801" xr:uid="{00000000-0005-0000-0000-00006A510000}"/>
    <cellStyle name="40 % - Markeringsfarve1 3 3 4 3 3 2" xfId="28121" xr:uid="{00000000-0005-0000-0000-00006B510000}"/>
    <cellStyle name="40 % - Markeringsfarve1 3 3 4 3 3 3" xfId="43086" xr:uid="{00000000-0005-0000-0000-00006C510000}"/>
    <cellStyle name="40 % - Markeringsfarve1 3 3 4 3 4" xfId="21099" xr:uid="{00000000-0005-0000-0000-00006D510000}"/>
    <cellStyle name="40 % - Markeringsfarve1 3 3 4 3 5" xfId="36087" xr:uid="{00000000-0005-0000-0000-00006E510000}"/>
    <cellStyle name="40 % - Markeringsfarve1 3 3 4 4" xfId="3242" xr:uid="{00000000-0005-0000-0000-00006F510000}"/>
    <cellStyle name="40 % - Markeringsfarve1 3 3 4 4 2" xfId="8202" xr:uid="{00000000-0005-0000-0000-000070510000}"/>
    <cellStyle name="40 % - Markeringsfarve1 3 3 4 4 2 2" xfId="16099" xr:uid="{00000000-0005-0000-0000-000071510000}"/>
    <cellStyle name="40 % - Markeringsfarve1 3 3 4 4 2 2 2" xfId="32414" xr:uid="{00000000-0005-0000-0000-000072510000}"/>
    <cellStyle name="40 % - Markeringsfarve1 3 3 4 4 2 2 3" xfId="47378" xr:uid="{00000000-0005-0000-0000-000073510000}"/>
    <cellStyle name="40 % - Markeringsfarve1 3 3 4 4 2 3" xfId="25392" xr:uid="{00000000-0005-0000-0000-000074510000}"/>
    <cellStyle name="40 % - Markeringsfarve1 3 3 4 4 2 4" xfId="40379" xr:uid="{00000000-0005-0000-0000-000075510000}"/>
    <cellStyle name="40 % - Markeringsfarve1 3 3 4 4 3" xfId="11802" xr:uid="{00000000-0005-0000-0000-000076510000}"/>
    <cellStyle name="40 % - Markeringsfarve1 3 3 4 4 3 2" xfId="28122" xr:uid="{00000000-0005-0000-0000-000077510000}"/>
    <cellStyle name="40 % - Markeringsfarve1 3 3 4 4 3 3" xfId="43087" xr:uid="{00000000-0005-0000-0000-000078510000}"/>
    <cellStyle name="40 % - Markeringsfarve1 3 3 4 4 4" xfId="21100" xr:uid="{00000000-0005-0000-0000-000079510000}"/>
    <cellStyle name="40 % - Markeringsfarve1 3 3 4 4 5" xfId="36088" xr:uid="{00000000-0005-0000-0000-00007A510000}"/>
    <cellStyle name="40 % - Markeringsfarve1 3 3 4 5" xfId="5717" xr:uid="{00000000-0005-0000-0000-00007B510000}"/>
    <cellStyle name="40 % - Markeringsfarve1 3 3 4 5 2" xfId="13636" xr:uid="{00000000-0005-0000-0000-00007C510000}"/>
    <cellStyle name="40 % - Markeringsfarve1 3 3 4 5 2 2" xfId="29951" xr:uid="{00000000-0005-0000-0000-00007D510000}"/>
    <cellStyle name="40 % - Markeringsfarve1 3 3 4 5 2 3" xfId="44915" xr:uid="{00000000-0005-0000-0000-00007E510000}"/>
    <cellStyle name="40 % - Markeringsfarve1 3 3 4 5 3" xfId="22929" xr:uid="{00000000-0005-0000-0000-00007F510000}"/>
    <cellStyle name="40 % - Markeringsfarve1 3 3 4 5 4" xfId="37916" xr:uid="{00000000-0005-0000-0000-000080510000}"/>
    <cellStyle name="40 % - Markeringsfarve1 3 3 4 6" xfId="11798" xr:uid="{00000000-0005-0000-0000-000081510000}"/>
    <cellStyle name="40 % - Markeringsfarve1 3 3 4 6 2" xfId="28118" xr:uid="{00000000-0005-0000-0000-000082510000}"/>
    <cellStyle name="40 % - Markeringsfarve1 3 3 4 6 3" xfId="43083" xr:uid="{00000000-0005-0000-0000-000083510000}"/>
    <cellStyle name="40 % - Markeringsfarve1 3 3 4 7" xfId="21096" xr:uid="{00000000-0005-0000-0000-000084510000}"/>
    <cellStyle name="40 % - Markeringsfarve1 3 3 4 8" xfId="36084" xr:uid="{00000000-0005-0000-0000-000085510000}"/>
    <cellStyle name="40 % - Markeringsfarve1 3 3 5" xfId="3243" xr:uid="{00000000-0005-0000-0000-000086510000}"/>
    <cellStyle name="40 % - Markeringsfarve1 3 3 5 2" xfId="3244" xr:uid="{00000000-0005-0000-0000-000087510000}"/>
    <cellStyle name="40 % - Markeringsfarve1 3 3 5 2 2" xfId="3245" xr:uid="{00000000-0005-0000-0000-000088510000}"/>
    <cellStyle name="40 % - Markeringsfarve1 3 3 5 2 2 2" xfId="7995" xr:uid="{00000000-0005-0000-0000-000089510000}"/>
    <cellStyle name="40 % - Markeringsfarve1 3 3 5 2 2 2 2" xfId="15897" xr:uid="{00000000-0005-0000-0000-00008A510000}"/>
    <cellStyle name="40 % - Markeringsfarve1 3 3 5 2 2 2 2 2" xfId="32212" xr:uid="{00000000-0005-0000-0000-00008B510000}"/>
    <cellStyle name="40 % - Markeringsfarve1 3 3 5 2 2 2 2 3" xfId="47176" xr:uid="{00000000-0005-0000-0000-00008C510000}"/>
    <cellStyle name="40 % - Markeringsfarve1 3 3 5 2 2 2 3" xfId="25190" xr:uid="{00000000-0005-0000-0000-00008D510000}"/>
    <cellStyle name="40 % - Markeringsfarve1 3 3 5 2 2 2 4" xfId="40177" xr:uid="{00000000-0005-0000-0000-00008E510000}"/>
    <cellStyle name="40 % - Markeringsfarve1 3 3 5 2 2 3" xfId="11805" xr:uid="{00000000-0005-0000-0000-00008F510000}"/>
    <cellStyle name="40 % - Markeringsfarve1 3 3 5 2 2 3 2" xfId="28125" xr:uid="{00000000-0005-0000-0000-000090510000}"/>
    <cellStyle name="40 % - Markeringsfarve1 3 3 5 2 2 3 3" xfId="43090" xr:uid="{00000000-0005-0000-0000-000091510000}"/>
    <cellStyle name="40 % - Markeringsfarve1 3 3 5 2 2 4" xfId="21103" xr:uid="{00000000-0005-0000-0000-000092510000}"/>
    <cellStyle name="40 % - Markeringsfarve1 3 3 5 2 2 5" xfId="36091" xr:uid="{00000000-0005-0000-0000-000093510000}"/>
    <cellStyle name="40 % - Markeringsfarve1 3 3 5 2 3" xfId="6510" xr:uid="{00000000-0005-0000-0000-000094510000}"/>
    <cellStyle name="40 % - Markeringsfarve1 3 3 5 2 3 2" xfId="14425" xr:uid="{00000000-0005-0000-0000-000095510000}"/>
    <cellStyle name="40 % - Markeringsfarve1 3 3 5 2 3 2 2" xfId="30740" xr:uid="{00000000-0005-0000-0000-000096510000}"/>
    <cellStyle name="40 % - Markeringsfarve1 3 3 5 2 3 2 3" xfId="45704" xr:uid="{00000000-0005-0000-0000-000097510000}"/>
    <cellStyle name="40 % - Markeringsfarve1 3 3 5 2 3 3" xfId="23718" xr:uid="{00000000-0005-0000-0000-000098510000}"/>
    <cellStyle name="40 % - Markeringsfarve1 3 3 5 2 3 4" xfId="38705" xr:uid="{00000000-0005-0000-0000-000099510000}"/>
    <cellStyle name="40 % - Markeringsfarve1 3 3 5 2 4" xfId="11804" xr:uid="{00000000-0005-0000-0000-00009A510000}"/>
    <cellStyle name="40 % - Markeringsfarve1 3 3 5 2 4 2" xfId="28124" xr:uid="{00000000-0005-0000-0000-00009B510000}"/>
    <cellStyle name="40 % - Markeringsfarve1 3 3 5 2 4 3" xfId="43089" xr:uid="{00000000-0005-0000-0000-00009C510000}"/>
    <cellStyle name="40 % - Markeringsfarve1 3 3 5 2 5" xfId="21102" xr:uid="{00000000-0005-0000-0000-00009D510000}"/>
    <cellStyle name="40 % - Markeringsfarve1 3 3 5 2 6" xfId="36090" xr:uid="{00000000-0005-0000-0000-00009E510000}"/>
    <cellStyle name="40 % - Markeringsfarve1 3 3 5 3" xfId="3246" xr:uid="{00000000-0005-0000-0000-00009F510000}"/>
    <cellStyle name="40 % - Markeringsfarve1 3 3 5 3 2" xfId="7271" xr:uid="{00000000-0005-0000-0000-0000A0510000}"/>
    <cellStyle name="40 % - Markeringsfarve1 3 3 5 3 2 2" xfId="15182" xr:uid="{00000000-0005-0000-0000-0000A1510000}"/>
    <cellStyle name="40 % - Markeringsfarve1 3 3 5 3 2 2 2" xfId="31497" xr:uid="{00000000-0005-0000-0000-0000A2510000}"/>
    <cellStyle name="40 % - Markeringsfarve1 3 3 5 3 2 2 3" xfId="46461" xr:uid="{00000000-0005-0000-0000-0000A3510000}"/>
    <cellStyle name="40 % - Markeringsfarve1 3 3 5 3 2 3" xfId="24475" xr:uid="{00000000-0005-0000-0000-0000A4510000}"/>
    <cellStyle name="40 % - Markeringsfarve1 3 3 5 3 2 4" xfId="39462" xr:uid="{00000000-0005-0000-0000-0000A5510000}"/>
    <cellStyle name="40 % - Markeringsfarve1 3 3 5 3 3" xfId="11806" xr:uid="{00000000-0005-0000-0000-0000A6510000}"/>
    <cellStyle name="40 % - Markeringsfarve1 3 3 5 3 3 2" xfId="28126" xr:uid="{00000000-0005-0000-0000-0000A7510000}"/>
    <cellStyle name="40 % - Markeringsfarve1 3 3 5 3 3 3" xfId="43091" xr:uid="{00000000-0005-0000-0000-0000A8510000}"/>
    <cellStyle name="40 % - Markeringsfarve1 3 3 5 3 4" xfId="21104" xr:uid="{00000000-0005-0000-0000-0000A9510000}"/>
    <cellStyle name="40 % - Markeringsfarve1 3 3 5 3 5" xfId="36092" xr:uid="{00000000-0005-0000-0000-0000AA510000}"/>
    <cellStyle name="40 % - Markeringsfarve1 3 3 5 4" xfId="3247" xr:uid="{00000000-0005-0000-0000-0000AB510000}"/>
    <cellStyle name="40 % - Markeringsfarve1 3 3 5 4 2" xfId="8155" xr:uid="{00000000-0005-0000-0000-0000AC510000}"/>
    <cellStyle name="40 % - Markeringsfarve1 3 3 5 4 2 2" xfId="16053" xr:uid="{00000000-0005-0000-0000-0000AD510000}"/>
    <cellStyle name="40 % - Markeringsfarve1 3 3 5 4 2 2 2" xfId="32368" xr:uid="{00000000-0005-0000-0000-0000AE510000}"/>
    <cellStyle name="40 % - Markeringsfarve1 3 3 5 4 2 2 3" xfId="47332" xr:uid="{00000000-0005-0000-0000-0000AF510000}"/>
    <cellStyle name="40 % - Markeringsfarve1 3 3 5 4 2 3" xfId="25346" xr:uid="{00000000-0005-0000-0000-0000B0510000}"/>
    <cellStyle name="40 % - Markeringsfarve1 3 3 5 4 2 4" xfId="40333" xr:uid="{00000000-0005-0000-0000-0000B1510000}"/>
    <cellStyle name="40 % - Markeringsfarve1 3 3 5 4 3" xfId="11807" xr:uid="{00000000-0005-0000-0000-0000B2510000}"/>
    <cellStyle name="40 % - Markeringsfarve1 3 3 5 4 3 2" xfId="28127" xr:uid="{00000000-0005-0000-0000-0000B3510000}"/>
    <cellStyle name="40 % - Markeringsfarve1 3 3 5 4 3 3" xfId="43092" xr:uid="{00000000-0005-0000-0000-0000B4510000}"/>
    <cellStyle name="40 % - Markeringsfarve1 3 3 5 4 4" xfId="21105" xr:uid="{00000000-0005-0000-0000-0000B5510000}"/>
    <cellStyle name="40 % - Markeringsfarve1 3 3 5 4 5" xfId="36093" xr:uid="{00000000-0005-0000-0000-0000B6510000}"/>
    <cellStyle name="40 % - Markeringsfarve1 3 3 5 5" xfId="5718" xr:uid="{00000000-0005-0000-0000-0000B7510000}"/>
    <cellStyle name="40 % - Markeringsfarve1 3 3 5 5 2" xfId="13637" xr:uid="{00000000-0005-0000-0000-0000B8510000}"/>
    <cellStyle name="40 % - Markeringsfarve1 3 3 5 5 2 2" xfId="29952" xr:uid="{00000000-0005-0000-0000-0000B9510000}"/>
    <cellStyle name="40 % - Markeringsfarve1 3 3 5 5 2 3" xfId="44916" xr:uid="{00000000-0005-0000-0000-0000BA510000}"/>
    <cellStyle name="40 % - Markeringsfarve1 3 3 5 5 3" xfId="22930" xr:uid="{00000000-0005-0000-0000-0000BB510000}"/>
    <cellStyle name="40 % - Markeringsfarve1 3 3 5 5 4" xfId="37917" xr:uid="{00000000-0005-0000-0000-0000BC510000}"/>
    <cellStyle name="40 % - Markeringsfarve1 3 3 5 6" xfId="11803" xr:uid="{00000000-0005-0000-0000-0000BD510000}"/>
    <cellStyle name="40 % - Markeringsfarve1 3 3 5 6 2" xfId="28123" xr:uid="{00000000-0005-0000-0000-0000BE510000}"/>
    <cellStyle name="40 % - Markeringsfarve1 3 3 5 6 3" xfId="43088" xr:uid="{00000000-0005-0000-0000-0000BF510000}"/>
    <cellStyle name="40 % - Markeringsfarve1 3 3 5 7" xfId="21101" xr:uid="{00000000-0005-0000-0000-0000C0510000}"/>
    <cellStyle name="40 % - Markeringsfarve1 3 3 5 8" xfId="36089" xr:uid="{00000000-0005-0000-0000-0000C1510000}"/>
    <cellStyle name="40 % - Markeringsfarve1 3 3 6" xfId="3248" xr:uid="{00000000-0005-0000-0000-0000C2510000}"/>
    <cellStyle name="40 % - Markeringsfarve1 3 3 6 2" xfId="3249" xr:uid="{00000000-0005-0000-0000-0000C3510000}"/>
    <cellStyle name="40 % - Markeringsfarve1 3 3 6 2 2" xfId="3250" xr:uid="{00000000-0005-0000-0000-0000C4510000}"/>
    <cellStyle name="40 % - Markeringsfarve1 3 3 6 2 2 2" xfId="8079" xr:uid="{00000000-0005-0000-0000-0000C5510000}"/>
    <cellStyle name="40 % - Markeringsfarve1 3 3 6 2 2 2 2" xfId="15981" xr:uid="{00000000-0005-0000-0000-0000C6510000}"/>
    <cellStyle name="40 % - Markeringsfarve1 3 3 6 2 2 2 2 2" xfId="32296" xr:uid="{00000000-0005-0000-0000-0000C7510000}"/>
    <cellStyle name="40 % - Markeringsfarve1 3 3 6 2 2 2 2 3" xfId="47260" xr:uid="{00000000-0005-0000-0000-0000C8510000}"/>
    <cellStyle name="40 % - Markeringsfarve1 3 3 6 2 2 2 3" xfId="25274" xr:uid="{00000000-0005-0000-0000-0000C9510000}"/>
    <cellStyle name="40 % - Markeringsfarve1 3 3 6 2 2 2 4" xfId="40261" xr:uid="{00000000-0005-0000-0000-0000CA510000}"/>
    <cellStyle name="40 % - Markeringsfarve1 3 3 6 2 2 3" xfId="11810" xr:uid="{00000000-0005-0000-0000-0000CB510000}"/>
    <cellStyle name="40 % - Markeringsfarve1 3 3 6 2 2 3 2" xfId="28130" xr:uid="{00000000-0005-0000-0000-0000CC510000}"/>
    <cellStyle name="40 % - Markeringsfarve1 3 3 6 2 2 3 3" xfId="43095" xr:uid="{00000000-0005-0000-0000-0000CD510000}"/>
    <cellStyle name="40 % - Markeringsfarve1 3 3 6 2 2 4" xfId="21108" xr:uid="{00000000-0005-0000-0000-0000CE510000}"/>
    <cellStyle name="40 % - Markeringsfarve1 3 3 6 2 2 5" xfId="36096" xr:uid="{00000000-0005-0000-0000-0000CF510000}"/>
    <cellStyle name="40 % - Markeringsfarve1 3 3 6 2 3" xfId="6581" xr:uid="{00000000-0005-0000-0000-0000D0510000}"/>
    <cellStyle name="40 % - Markeringsfarve1 3 3 6 2 3 2" xfId="14496" xr:uid="{00000000-0005-0000-0000-0000D1510000}"/>
    <cellStyle name="40 % - Markeringsfarve1 3 3 6 2 3 2 2" xfId="30811" xr:uid="{00000000-0005-0000-0000-0000D2510000}"/>
    <cellStyle name="40 % - Markeringsfarve1 3 3 6 2 3 2 3" xfId="45775" xr:uid="{00000000-0005-0000-0000-0000D3510000}"/>
    <cellStyle name="40 % - Markeringsfarve1 3 3 6 2 3 3" xfId="23789" xr:uid="{00000000-0005-0000-0000-0000D4510000}"/>
    <cellStyle name="40 % - Markeringsfarve1 3 3 6 2 3 4" xfId="38776" xr:uid="{00000000-0005-0000-0000-0000D5510000}"/>
    <cellStyle name="40 % - Markeringsfarve1 3 3 6 2 4" xfId="11809" xr:uid="{00000000-0005-0000-0000-0000D6510000}"/>
    <cellStyle name="40 % - Markeringsfarve1 3 3 6 2 4 2" xfId="28129" xr:uid="{00000000-0005-0000-0000-0000D7510000}"/>
    <cellStyle name="40 % - Markeringsfarve1 3 3 6 2 4 3" xfId="43094" xr:uid="{00000000-0005-0000-0000-0000D8510000}"/>
    <cellStyle name="40 % - Markeringsfarve1 3 3 6 2 5" xfId="21107" xr:uid="{00000000-0005-0000-0000-0000D9510000}"/>
    <cellStyle name="40 % - Markeringsfarve1 3 3 6 2 6" xfId="36095" xr:uid="{00000000-0005-0000-0000-0000DA510000}"/>
    <cellStyle name="40 % - Markeringsfarve1 3 3 6 3" xfId="3251" xr:uid="{00000000-0005-0000-0000-0000DB510000}"/>
    <cellStyle name="40 % - Markeringsfarve1 3 3 6 3 2" xfId="7356" xr:uid="{00000000-0005-0000-0000-0000DC510000}"/>
    <cellStyle name="40 % - Markeringsfarve1 3 3 6 3 2 2" xfId="15267" xr:uid="{00000000-0005-0000-0000-0000DD510000}"/>
    <cellStyle name="40 % - Markeringsfarve1 3 3 6 3 2 2 2" xfId="31582" xr:uid="{00000000-0005-0000-0000-0000DE510000}"/>
    <cellStyle name="40 % - Markeringsfarve1 3 3 6 3 2 2 3" xfId="46546" xr:uid="{00000000-0005-0000-0000-0000DF510000}"/>
    <cellStyle name="40 % - Markeringsfarve1 3 3 6 3 2 3" xfId="24560" xr:uid="{00000000-0005-0000-0000-0000E0510000}"/>
    <cellStyle name="40 % - Markeringsfarve1 3 3 6 3 2 4" xfId="39547" xr:uid="{00000000-0005-0000-0000-0000E1510000}"/>
    <cellStyle name="40 % - Markeringsfarve1 3 3 6 3 3" xfId="11811" xr:uid="{00000000-0005-0000-0000-0000E2510000}"/>
    <cellStyle name="40 % - Markeringsfarve1 3 3 6 3 3 2" xfId="28131" xr:uid="{00000000-0005-0000-0000-0000E3510000}"/>
    <cellStyle name="40 % - Markeringsfarve1 3 3 6 3 3 3" xfId="43096" xr:uid="{00000000-0005-0000-0000-0000E4510000}"/>
    <cellStyle name="40 % - Markeringsfarve1 3 3 6 3 4" xfId="21109" xr:uid="{00000000-0005-0000-0000-0000E5510000}"/>
    <cellStyle name="40 % - Markeringsfarve1 3 3 6 3 5" xfId="36097" xr:uid="{00000000-0005-0000-0000-0000E6510000}"/>
    <cellStyle name="40 % - Markeringsfarve1 3 3 6 4" xfId="3252" xr:uid="{00000000-0005-0000-0000-0000E7510000}"/>
    <cellStyle name="40 % - Markeringsfarve1 3 3 6 4 2" xfId="8496" xr:uid="{00000000-0005-0000-0000-0000E8510000}"/>
    <cellStyle name="40 % - Markeringsfarve1 3 3 6 4 2 2" xfId="16385" xr:uid="{00000000-0005-0000-0000-0000E9510000}"/>
    <cellStyle name="40 % - Markeringsfarve1 3 3 6 4 2 2 2" xfId="32700" xr:uid="{00000000-0005-0000-0000-0000EA510000}"/>
    <cellStyle name="40 % - Markeringsfarve1 3 3 6 4 2 2 3" xfId="47664" xr:uid="{00000000-0005-0000-0000-0000EB510000}"/>
    <cellStyle name="40 % - Markeringsfarve1 3 3 6 4 2 3" xfId="25678" xr:uid="{00000000-0005-0000-0000-0000EC510000}"/>
    <cellStyle name="40 % - Markeringsfarve1 3 3 6 4 2 4" xfId="40665" xr:uid="{00000000-0005-0000-0000-0000ED510000}"/>
    <cellStyle name="40 % - Markeringsfarve1 3 3 6 4 3" xfId="11812" xr:uid="{00000000-0005-0000-0000-0000EE510000}"/>
    <cellStyle name="40 % - Markeringsfarve1 3 3 6 4 3 2" xfId="28132" xr:uid="{00000000-0005-0000-0000-0000EF510000}"/>
    <cellStyle name="40 % - Markeringsfarve1 3 3 6 4 3 3" xfId="43097" xr:uid="{00000000-0005-0000-0000-0000F0510000}"/>
    <cellStyle name="40 % - Markeringsfarve1 3 3 6 4 4" xfId="21110" xr:uid="{00000000-0005-0000-0000-0000F1510000}"/>
    <cellStyle name="40 % - Markeringsfarve1 3 3 6 4 5" xfId="36098" xr:uid="{00000000-0005-0000-0000-0000F2510000}"/>
    <cellStyle name="40 % - Markeringsfarve1 3 3 6 5" xfId="5719" xr:uid="{00000000-0005-0000-0000-0000F3510000}"/>
    <cellStyle name="40 % - Markeringsfarve1 3 3 6 5 2" xfId="13638" xr:uid="{00000000-0005-0000-0000-0000F4510000}"/>
    <cellStyle name="40 % - Markeringsfarve1 3 3 6 5 2 2" xfId="29953" xr:uid="{00000000-0005-0000-0000-0000F5510000}"/>
    <cellStyle name="40 % - Markeringsfarve1 3 3 6 5 2 3" xfId="44917" xr:uid="{00000000-0005-0000-0000-0000F6510000}"/>
    <cellStyle name="40 % - Markeringsfarve1 3 3 6 5 3" xfId="22931" xr:uid="{00000000-0005-0000-0000-0000F7510000}"/>
    <cellStyle name="40 % - Markeringsfarve1 3 3 6 5 4" xfId="37918" xr:uid="{00000000-0005-0000-0000-0000F8510000}"/>
    <cellStyle name="40 % - Markeringsfarve1 3 3 6 6" xfId="11808" xr:uid="{00000000-0005-0000-0000-0000F9510000}"/>
    <cellStyle name="40 % - Markeringsfarve1 3 3 6 6 2" xfId="28128" xr:uid="{00000000-0005-0000-0000-0000FA510000}"/>
    <cellStyle name="40 % - Markeringsfarve1 3 3 6 6 3" xfId="43093" xr:uid="{00000000-0005-0000-0000-0000FB510000}"/>
    <cellStyle name="40 % - Markeringsfarve1 3 3 6 7" xfId="21106" xr:uid="{00000000-0005-0000-0000-0000FC510000}"/>
    <cellStyle name="40 % - Markeringsfarve1 3 3 6 8" xfId="36094" xr:uid="{00000000-0005-0000-0000-0000FD510000}"/>
    <cellStyle name="40 % - Markeringsfarve1 3 3 7" xfId="3253" xr:uid="{00000000-0005-0000-0000-0000FE510000}"/>
    <cellStyle name="40 % - Markeringsfarve1 3 3 7 2" xfId="3254" xr:uid="{00000000-0005-0000-0000-0000FF510000}"/>
    <cellStyle name="40 % - Markeringsfarve1 3 3 7 2 2" xfId="7521" xr:uid="{00000000-0005-0000-0000-000000520000}"/>
    <cellStyle name="40 % - Markeringsfarve1 3 3 7 2 2 2" xfId="15423" xr:uid="{00000000-0005-0000-0000-000001520000}"/>
    <cellStyle name="40 % - Markeringsfarve1 3 3 7 2 2 2 2" xfId="31738" xr:uid="{00000000-0005-0000-0000-000002520000}"/>
    <cellStyle name="40 % - Markeringsfarve1 3 3 7 2 2 2 3" xfId="46702" xr:uid="{00000000-0005-0000-0000-000003520000}"/>
    <cellStyle name="40 % - Markeringsfarve1 3 3 7 2 2 3" xfId="24716" xr:uid="{00000000-0005-0000-0000-000004520000}"/>
    <cellStyle name="40 % - Markeringsfarve1 3 3 7 2 2 4" xfId="39703" xr:uid="{00000000-0005-0000-0000-000005520000}"/>
    <cellStyle name="40 % - Markeringsfarve1 3 3 7 2 3" xfId="11814" xr:uid="{00000000-0005-0000-0000-000006520000}"/>
    <cellStyle name="40 % - Markeringsfarve1 3 3 7 2 3 2" xfId="28134" xr:uid="{00000000-0005-0000-0000-000007520000}"/>
    <cellStyle name="40 % - Markeringsfarve1 3 3 7 2 3 3" xfId="43099" xr:uid="{00000000-0005-0000-0000-000008520000}"/>
    <cellStyle name="40 % - Markeringsfarve1 3 3 7 2 4" xfId="21112" xr:uid="{00000000-0005-0000-0000-000009520000}"/>
    <cellStyle name="40 % - Markeringsfarve1 3 3 7 2 5" xfId="36100" xr:uid="{00000000-0005-0000-0000-00000A520000}"/>
    <cellStyle name="40 % - Markeringsfarve1 3 3 7 3" xfId="6110" xr:uid="{00000000-0005-0000-0000-00000B520000}"/>
    <cellStyle name="40 % - Markeringsfarve1 3 3 7 3 2" xfId="14028" xr:uid="{00000000-0005-0000-0000-00000C520000}"/>
    <cellStyle name="40 % - Markeringsfarve1 3 3 7 3 2 2" xfId="30343" xr:uid="{00000000-0005-0000-0000-00000D520000}"/>
    <cellStyle name="40 % - Markeringsfarve1 3 3 7 3 2 3" xfId="45307" xr:uid="{00000000-0005-0000-0000-00000E520000}"/>
    <cellStyle name="40 % - Markeringsfarve1 3 3 7 3 3" xfId="23321" xr:uid="{00000000-0005-0000-0000-00000F520000}"/>
    <cellStyle name="40 % - Markeringsfarve1 3 3 7 3 4" xfId="38308" xr:uid="{00000000-0005-0000-0000-000010520000}"/>
    <cellStyle name="40 % - Markeringsfarve1 3 3 7 4" xfId="11813" xr:uid="{00000000-0005-0000-0000-000011520000}"/>
    <cellStyle name="40 % - Markeringsfarve1 3 3 7 4 2" xfId="28133" xr:uid="{00000000-0005-0000-0000-000012520000}"/>
    <cellStyle name="40 % - Markeringsfarve1 3 3 7 4 3" xfId="43098" xr:uid="{00000000-0005-0000-0000-000013520000}"/>
    <cellStyle name="40 % - Markeringsfarve1 3 3 7 5" xfId="21111" xr:uid="{00000000-0005-0000-0000-000014520000}"/>
    <cellStyle name="40 % - Markeringsfarve1 3 3 7 6" xfId="36099" xr:uid="{00000000-0005-0000-0000-000015520000}"/>
    <cellStyle name="40 % - Markeringsfarve1 3 3 8" xfId="3255" xr:uid="{00000000-0005-0000-0000-000016520000}"/>
    <cellStyle name="40 % - Markeringsfarve1 3 3 8 2" xfId="6749" xr:uid="{00000000-0005-0000-0000-000017520000}"/>
    <cellStyle name="40 % - Markeringsfarve1 3 3 8 2 2" xfId="14661" xr:uid="{00000000-0005-0000-0000-000018520000}"/>
    <cellStyle name="40 % - Markeringsfarve1 3 3 8 2 2 2" xfId="30976" xr:uid="{00000000-0005-0000-0000-000019520000}"/>
    <cellStyle name="40 % - Markeringsfarve1 3 3 8 2 2 3" xfId="45940" xr:uid="{00000000-0005-0000-0000-00001A520000}"/>
    <cellStyle name="40 % - Markeringsfarve1 3 3 8 2 3" xfId="23954" xr:uid="{00000000-0005-0000-0000-00001B520000}"/>
    <cellStyle name="40 % - Markeringsfarve1 3 3 8 2 4" xfId="38941" xr:uid="{00000000-0005-0000-0000-00001C520000}"/>
    <cellStyle name="40 % - Markeringsfarve1 3 3 8 3" xfId="11815" xr:uid="{00000000-0005-0000-0000-00001D520000}"/>
    <cellStyle name="40 % - Markeringsfarve1 3 3 8 3 2" xfId="28135" xr:uid="{00000000-0005-0000-0000-00001E520000}"/>
    <cellStyle name="40 % - Markeringsfarve1 3 3 8 3 3" xfId="43100" xr:uid="{00000000-0005-0000-0000-00001F520000}"/>
    <cellStyle name="40 % - Markeringsfarve1 3 3 8 4" xfId="21113" xr:uid="{00000000-0005-0000-0000-000020520000}"/>
    <cellStyle name="40 % - Markeringsfarve1 3 3 8 5" xfId="36101" xr:uid="{00000000-0005-0000-0000-000021520000}"/>
    <cellStyle name="40 % - Markeringsfarve1 3 3 9" xfId="3256" xr:uid="{00000000-0005-0000-0000-000022520000}"/>
    <cellStyle name="40 % - Markeringsfarve1 3 3 9 2" xfId="8584" xr:uid="{00000000-0005-0000-0000-000023520000}"/>
    <cellStyle name="40 % - Markeringsfarve1 3 3 9 2 2" xfId="16468" xr:uid="{00000000-0005-0000-0000-000024520000}"/>
    <cellStyle name="40 % - Markeringsfarve1 3 3 9 2 2 2" xfId="32783" xr:uid="{00000000-0005-0000-0000-000025520000}"/>
    <cellStyle name="40 % - Markeringsfarve1 3 3 9 2 2 3" xfId="47747" xr:uid="{00000000-0005-0000-0000-000026520000}"/>
    <cellStyle name="40 % - Markeringsfarve1 3 3 9 2 3" xfId="25761" xr:uid="{00000000-0005-0000-0000-000027520000}"/>
    <cellStyle name="40 % - Markeringsfarve1 3 3 9 2 4" xfId="40748" xr:uid="{00000000-0005-0000-0000-000028520000}"/>
    <cellStyle name="40 % - Markeringsfarve1 3 3 9 3" xfId="11816" xr:uid="{00000000-0005-0000-0000-000029520000}"/>
    <cellStyle name="40 % - Markeringsfarve1 3 3 9 3 2" xfId="28136" xr:uid="{00000000-0005-0000-0000-00002A520000}"/>
    <cellStyle name="40 % - Markeringsfarve1 3 3 9 3 3" xfId="43101" xr:uid="{00000000-0005-0000-0000-00002B520000}"/>
    <cellStyle name="40 % - Markeringsfarve1 3 3 9 4" xfId="21114" xr:uid="{00000000-0005-0000-0000-00002C520000}"/>
    <cellStyle name="40 % - Markeringsfarve1 3 3 9 5" xfId="36102" xr:uid="{00000000-0005-0000-0000-00002D520000}"/>
    <cellStyle name="40 % - Markeringsfarve1 3 4" xfId="3257" xr:uid="{00000000-0005-0000-0000-00002E520000}"/>
    <cellStyle name="40 % - Markeringsfarve1 3 4 2" xfId="3258" xr:uid="{00000000-0005-0000-0000-00002F520000}"/>
    <cellStyle name="40 % - Markeringsfarve1 3 4 2 2" xfId="3259" xr:uid="{00000000-0005-0000-0000-000030520000}"/>
    <cellStyle name="40 % - Markeringsfarve1 3 4 2 2 2" xfId="7562" xr:uid="{00000000-0005-0000-0000-000031520000}"/>
    <cellStyle name="40 % - Markeringsfarve1 3 4 2 2 2 2" xfId="15464" xr:uid="{00000000-0005-0000-0000-000032520000}"/>
    <cellStyle name="40 % - Markeringsfarve1 3 4 2 2 2 2 2" xfId="31779" xr:uid="{00000000-0005-0000-0000-000033520000}"/>
    <cellStyle name="40 % - Markeringsfarve1 3 4 2 2 2 2 3" xfId="46743" xr:uid="{00000000-0005-0000-0000-000034520000}"/>
    <cellStyle name="40 % - Markeringsfarve1 3 4 2 2 2 3" xfId="24757" xr:uid="{00000000-0005-0000-0000-000035520000}"/>
    <cellStyle name="40 % - Markeringsfarve1 3 4 2 2 2 4" xfId="39744" xr:uid="{00000000-0005-0000-0000-000036520000}"/>
    <cellStyle name="40 % - Markeringsfarve1 3 4 2 2 3" xfId="11819" xr:uid="{00000000-0005-0000-0000-000037520000}"/>
    <cellStyle name="40 % - Markeringsfarve1 3 4 2 2 3 2" xfId="28139" xr:uid="{00000000-0005-0000-0000-000038520000}"/>
    <cellStyle name="40 % - Markeringsfarve1 3 4 2 2 3 3" xfId="43104" xr:uid="{00000000-0005-0000-0000-000039520000}"/>
    <cellStyle name="40 % - Markeringsfarve1 3 4 2 2 4" xfId="21117" xr:uid="{00000000-0005-0000-0000-00003A520000}"/>
    <cellStyle name="40 % - Markeringsfarve1 3 4 2 2 5" xfId="36105" xr:uid="{00000000-0005-0000-0000-00003B520000}"/>
    <cellStyle name="40 % - Markeringsfarve1 3 4 2 3" xfId="6143" xr:uid="{00000000-0005-0000-0000-00003C520000}"/>
    <cellStyle name="40 % - Markeringsfarve1 3 4 2 3 2" xfId="14061" xr:uid="{00000000-0005-0000-0000-00003D520000}"/>
    <cellStyle name="40 % - Markeringsfarve1 3 4 2 3 2 2" xfId="30376" xr:uid="{00000000-0005-0000-0000-00003E520000}"/>
    <cellStyle name="40 % - Markeringsfarve1 3 4 2 3 2 3" xfId="45340" xr:uid="{00000000-0005-0000-0000-00003F520000}"/>
    <cellStyle name="40 % - Markeringsfarve1 3 4 2 3 3" xfId="23354" xr:uid="{00000000-0005-0000-0000-000040520000}"/>
    <cellStyle name="40 % - Markeringsfarve1 3 4 2 3 4" xfId="38341" xr:uid="{00000000-0005-0000-0000-000041520000}"/>
    <cellStyle name="40 % - Markeringsfarve1 3 4 2 4" xfId="11818" xr:uid="{00000000-0005-0000-0000-000042520000}"/>
    <cellStyle name="40 % - Markeringsfarve1 3 4 2 4 2" xfId="28138" xr:uid="{00000000-0005-0000-0000-000043520000}"/>
    <cellStyle name="40 % - Markeringsfarve1 3 4 2 4 3" xfId="43103" xr:uid="{00000000-0005-0000-0000-000044520000}"/>
    <cellStyle name="40 % - Markeringsfarve1 3 4 2 5" xfId="21116" xr:uid="{00000000-0005-0000-0000-000045520000}"/>
    <cellStyle name="40 % - Markeringsfarve1 3 4 2 6" xfId="36104" xr:uid="{00000000-0005-0000-0000-000046520000}"/>
    <cellStyle name="40 % - Markeringsfarve1 3 4 3" xfId="3260" xr:uid="{00000000-0005-0000-0000-000047520000}"/>
    <cellStyle name="40 % - Markeringsfarve1 3 4 3 2" xfId="6792" xr:uid="{00000000-0005-0000-0000-000048520000}"/>
    <cellStyle name="40 % - Markeringsfarve1 3 4 3 2 2" xfId="14704" xr:uid="{00000000-0005-0000-0000-000049520000}"/>
    <cellStyle name="40 % - Markeringsfarve1 3 4 3 2 2 2" xfId="31019" xr:uid="{00000000-0005-0000-0000-00004A520000}"/>
    <cellStyle name="40 % - Markeringsfarve1 3 4 3 2 2 3" xfId="45983" xr:uid="{00000000-0005-0000-0000-00004B520000}"/>
    <cellStyle name="40 % - Markeringsfarve1 3 4 3 2 3" xfId="23997" xr:uid="{00000000-0005-0000-0000-00004C520000}"/>
    <cellStyle name="40 % - Markeringsfarve1 3 4 3 2 4" xfId="38984" xr:uid="{00000000-0005-0000-0000-00004D520000}"/>
    <cellStyle name="40 % - Markeringsfarve1 3 4 3 3" xfId="11820" xr:uid="{00000000-0005-0000-0000-00004E520000}"/>
    <cellStyle name="40 % - Markeringsfarve1 3 4 3 3 2" xfId="28140" xr:uid="{00000000-0005-0000-0000-00004F520000}"/>
    <cellStyle name="40 % - Markeringsfarve1 3 4 3 3 3" xfId="43105" xr:uid="{00000000-0005-0000-0000-000050520000}"/>
    <cellStyle name="40 % - Markeringsfarve1 3 4 3 4" xfId="21118" xr:uid="{00000000-0005-0000-0000-000051520000}"/>
    <cellStyle name="40 % - Markeringsfarve1 3 4 3 5" xfId="36106" xr:uid="{00000000-0005-0000-0000-000052520000}"/>
    <cellStyle name="40 % - Markeringsfarve1 3 4 4" xfId="3261" xr:uid="{00000000-0005-0000-0000-000053520000}"/>
    <cellStyle name="40 % - Markeringsfarve1 3 4 4 2" xfId="8716" xr:uid="{00000000-0005-0000-0000-000054520000}"/>
    <cellStyle name="40 % - Markeringsfarve1 3 4 4 2 2" xfId="16593" xr:uid="{00000000-0005-0000-0000-000055520000}"/>
    <cellStyle name="40 % - Markeringsfarve1 3 4 4 2 2 2" xfId="32908" xr:uid="{00000000-0005-0000-0000-000056520000}"/>
    <cellStyle name="40 % - Markeringsfarve1 3 4 4 2 2 3" xfId="47872" xr:uid="{00000000-0005-0000-0000-000057520000}"/>
    <cellStyle name="40 % - Markeringsfarve1 3 4 4 2 3" xfId="25886" xr:uid="{00000000-0005-0000-0000-000058520000}"/>
    <cellStyle name="40 % - Markeringsfarve1 3 4 4 2 4" xfId="40873" xr:uid="{00000000-0005-0000-0000-000059520000}"/>
    <cellStyle name="40 % - Markeringsfarve1 3 4 4 3" xfId="11821" xr:uid="{00000000-0005-0000-0000-00005A520000}"/>
    <cellStyle name="40 % - Markeringsfarve1 3 4 4 3 2" xfId="28141" xr:uid="{00000000-0005-0000-0000-00005B520000}"/>
    <cellStyle name="40 % - Markeringsfarve1 3 4 4 3 3" xfId="43106" xr:uid="{00000000-0005-0000-0000-00005C520000}"/>
    <cellStyle name="40 % - Markeringsfarve1 3 4 4 4" xfId="21119" xr:uid="{00000000-0005-0000-0000-00005D520000}"/>
    <cellStyle name="40 % - Markeringsfarve1 3 4 4 5" xfId="36107" xr:uid="{00000000-0005-0000-0000-00005E520000}"/>
    <cellStyle name="40 % - Markeringsfarve1 3 4 5" xfId="5720" xr:uid="{00000000-0005-0000-0000-00005F520000}"/>
    <cellStyle name="40 % - Markeringsfarve1 3 4 5 2" xfId="13639" xr:uid="{00000000-0005-0000-0000-000060520000}"/>
    <cellStyle name="40 % - Markeringsfarve1 3 4 5 2 2" xfId="29954" xr:uid="{00000000-0005-0000-0000-000061520000}"/>
    <cellStyle name="40 % - Markeringsfarve1 3 4 5 2 3" xfId="44918" xr:uid="{00000000-0005-0000-0000-000062520000}"/>
    <cellStyle name="40 % - Markeringsfarve1 3 4 5 3" xfId="22932" xr:uid="{00000000-0005-0000-0000-000063520000}"/>
    <cellStyle name="40 % - Markeringsfarve1 3 4 5 4" xfId="37919" xr:uid="{00000000-0005-0000-0000-000064520000}"/>
    <cellStyle name="40 % - Markeringsfarve1 3 4 6" xfId="11817" xr:uid="{00000000-0005-0000-0000-000065520000}"/>
    <cellStyle name="40 % - Markeringsfarve1 3 4 6 2" xfId="28137" xr:uid="{00000000-0005-0000-0000-000066520000}"/>
    <cellStyle name="40 % - Markeringsfarve1 3 4 6 3" xfId="43102" xr:uid="{00000000-0005-0000-0000-000067520000}"/>
    <cellStyle name="40 % - Markeringsfarve1 3 4 7" xfId="21115" xr:uid="{00000000-0005-0000-0000-000068520000}"/>
    <cellStyle name="40 % - Markeringsfarve1 3 4 8" xfId="36103" xr:uid="{00000000-0005-0000-0000-000069520000}"/>
    <cellStyle name="40 % - Markeringsfarve1 3 5" xfId="3262" xr:uid="{00000000-0005-0000-0000-00006A520000}"/>
    <cellStyle name="40 % - Markeringsfarve1 3 5 2" xfId="3263" xr:uid="{00000000-0005-0000-0000-00006B520000}"/>
    <cellStyle name="40 % - Markeringsfarve1 3 5 2 2" xfId="3264" xr:uid="{00000000-0005-0000-0000-00006C520000}"/>
    <cellStyle name="40 % - Markeringsfarve1 3 5 2 2 2" xfId="7723" xr:uid="{00000000-0005-0000-0000-00006D520000}"/>
    <cellStyle name="40 % - Markeringsfarve1 3 5 2 2 2 2" xfId="15625" xr:uid="{00000000-0005-0000-0000-00006E520000}"/>
    <cellStyle name="40 % - Markeringsfarve1 3 5 2 2 2 2 2" xfId="31940" xr:uid="{00000000-0005-0000-0000-00006F520000}"/>
    <cellStyle name="40 % - Markeringsfarve1 3 5 2 2 2 2 3" xfId="46904" xr:uid="{00000000-0005-0000-0000-000070520000}"/>
    <cellStyle name="40 % - Markeringsfarve1 3 5 2 2 2 3" xfId="24918" xr:uid="{00000000-0005-0000-0000-000071520000}"/>
    <cellStyle name="40 % - Markeringsfarve1 3 5 2 2 2 4" xfId="39905" xr:uid="{00000000-0005-0000-0000-000072520000}"/>
    <cellStyle name="40 % - Markeringsfarve1 3 5 2 2 3" xfId="11824" xr:uid="{00000000-0005-0000-0000-000073520000}"/>
    <cellStyle name="40 % - Markeringsfarve1 3 5 2 2 3 2" xfId="28144" xr:uid="{00000000-0005-0000-0000-000074520000}"/>
    <cellStyle name="40 % - Markeringsfarve1 3 5 2 2 3 3" xfId="43109" xr:uid="{00000000-0005-0000-0000-000075520000}"/>
    <cellStyle name="40 % - Markeringsfarve1 3 5 2 2 4" xfId="21122" xr:uid="{00000000-0005-0000-0000-000076520000}"/>
    <cellStyle name="40 % - Markeringsfarve1 3 5 2 2 5" xfId="36110" xr:uid="{00000000-0005-0000-0000-000077520000}"/>
    <cellStyle name="40 % - Markeringsfarve1 3 5 2 3" xfId="6278" xr:uid="{00000000-0005-0000-0000-000078520000}"/>
    <cellStyle name="40 % - Markeringsfarve1 3 5 2 3 2" xfId="14196" xr:uid="{00000000-0005-0000-0000-000079520000}"/>
    <cellStyle name="40 % - Markeringsfarve1 3 5 2 3 2 2" xfId="30511" xr:uid="{00000000-0005-0000-0000-00007A520000}"/>
    <cellStyle name="40 % - Markeringsfarve1 3 5 2 3 2 3" xfId="45475" xr:uid="{00000000-0005-0000-0000-00007B520000}"/>
    <cellStyle name="40 % - Markeringsfarve1 3 5 2 3 3" xfId="23489" xr:uid="{00000000-0005-0000-0000-00007C520000}"/>
    <cellStyle name="40 % - Markeringsfarve1 3 5 2 3 4" xfId="38476" xr:uid="{00000000-0005-0000-0000-00007D520000}"/>
    <cellStyle name="40 % - Markeringsfarve1 3 5 2 4" xfId="11823" xr:uid="{00000000-0005-0000-0000-00007E520000}"/>
    <cellStyle name="40 % - Markeringsfarve1 3 5 2 4 2" xfId="28143" xr:uid="{00000000-0005-0000-0000-00007F520000}"/>
    <cellStyle name="40 % - Markeringsfarve1 3 5 2 4 3" xfId="43108" xr:uid="{00000000-0005-0000-0000-000080520000}"/>
    <cellStyle name="40 % - Markeringsfarve1 3 5 2 5" xfId="21121" xr:uid="{00000000-0005-0000-0000-000081520000}"/>
    <cellStyle name="40 % - Markeringsfarve1 3 5 2 6" xfId="36109" xr:uid="{00000000-0005-0000-0000-000082520000}"/>
    <cellStyle name="40 % - Markeringsfarve1 3 5 3" xfId="3265" xr:uid="{00000000-0005-0000-0000-000083520000}"/>
    <cellStyle name="40 % - Markeringsfarve1 3 5 3 2" xfId="6953" xr:uid="{00000000-0005-0000-0000-000084520000}"/>
    <cellStyle name="40 % - Markeringsfarve1 3 5 3 2 2" xfId="14865" xr:uid="{00000000-0005-0000-0000-000085520000}"/>
    <cellStyle name="40 % - Markeringsfarve1 3 5 3 2 2 2" xfId="31180" xr:uid="{00000000-0005-0000-0000-000086520000}"/>
    <cellStyle name="40 % - Markeringsfarve1 3 5 3 2 2 3" xfId="46144" xr:uid="{00000000-0005-0000-0000-000087520000}"/>
    <cellStyle name="40 % - Markeringsfarve1 3 5 3 2 3" xfId="24158" xr:uid="{00000000-0005-0000-0000-000088520000}"/>
    <cellStyle name="40 % - Markeringsfarve1 3 5 3 2 4" xfId="39145" xr:uid="{00000000-0005-0000-0000-000089520000}"/>
    <cellStyle name="40 % - Markeringsfarve1 3 5 3 3" xfId="11825" xr:uid="{00000000-0005-0000-0000-00008A520000}"/>
    <cellStyle name="40 % - Markeringsfarve1 3 5 3 3 2" xfId="28145" xr:uid="{00000000-0005-0000-0000-00008B520000}"/>
    <cellStyle name="40 % - Markeringsfarve1 3 5 3 3 3" xfId="43110" xr:uid="{00000000-0005-0000-0000-00008C520000}"/>
    <cellStyle name="40 % - Markeringsfarve1 3 5 3 4" xfId="21123" xr:uid="{00000000-0005-0000-0000-00008D520000}"/>
    <cellStyle name="40 % - Markeringsfarve1 3 5 3 5" xfId="36111" xr:uid="{00000000-0005-0000-0000-00008E520000}"/>
    <cellStyle name="40 % - Markeringsfarve1 3 5 4" xfId="3266" xr:uid="{00000000-0005-0000-0000-00008F520000}"/>
    <cellStyle name="40 % - Markeringsfarve1 3 5 4 2" xfId="8436" xr:uid="{00000000-0005-0000-0000-000090520000}"/>
    <cellStyle name="40 % - Markeringsfarve1 3 5 4 2 2" xfId="16326" xr:uid="{00000000-0005-0000-0000-000091520000}"/>
    <cellStyle name="40 % - Markeringsfarve1 3 5 4 2 2 2" xfId="32641" xr:uid="{00000000-0005-0000-0000-000092520000}"/>
    <cellStyle name="40 % - Markeringsfarve1 3 5 4 2 2 3" xfId="47605" xr:uid="{00000000-0005-0000-0000-000093520000}"/>
    <cellStyle name="40 % - Markeringsfarve1 3 5 4 2 3" xfId="25619" xr:uid="{00000000-0005-0000-0000-000094520000}"/>
    <cellStyle name="40 % - Markeringsfarve1 3 5 4 2 4" xfId="40606" xr:uid="{00000000-0005-0000-0000-000095520000}"/>
    <cellStyle name="40 % - Markeringsfarve1 3 5 4 3" xfId="11826" xr:uid="{00000000-0005-0000-0000-000096520000}"/>
    <cellStyle name="40 % - Markeringsfarve1 3 5 4 3 2" xfId="28146" xr:uid="{00000000-0005-0000-0000-000097520000}"/>
    <cellStyle name="40 % - Markeringsfarve1 3 5 4 3 3" xfId="43111" xr:uid="{00000000-0005-0000-0000-000098520000}"/>
    <cellStyle name="40 % - Markeringsfarve1 3 5 4 4" xfId="21124" xr:uid="{00000000-0005-0000-0000-000099520000}"/>
    <cellStyle name="40 % - Markeringsfarve1 3 5 4 5" xfId="36112" xr:uid="{00000000-0005-0000-0000-00009A520000}"/>
    <cellStyle name="40 % - Markeringsfarve1 3 5 5" xfId="5721" xr:uid="{00000000-0005-0000-0000-00009B520000}"/>
    <cellStyle name="40 % - Markeringsfarve1 3 5 5 2" xfId="13640" xr:uid="{00000000-0005-0000-0000-00009C520000}"/>
    <cellStyle name="40 % - Markeringsfarve1 3 5 5 2 2" xfId="29955" xr:uid="{00000000-0005-0000-0000-00009D520000}"/>
    <cellStyle name="40 % - Markeringsfarve1 3 5 5 2 3" xfId="44919" xr:uid="{00000000-0005-0000-0000-00009E520000}"/>
    <cellStyle name="40 % - Markeringsfarve1 3 5 5 3" xfId="22933" xr:uid="{00000000-0005-0000-0000-00009F520000}"/>
    <cellStyle name="40 % - Markeringsfarve1 3 5 5 4" xfId="37920" xr:uid="{00000000-0005-0000-0000-0000A0520000}"/>
    <cellStyle name="40 % - Markeringsfarve1 3 5 6" xfId="11822" xr:uid="{00000000-0005-0000-0000-0000A1520000}"/>
    <cellStyle name="40 % - Markeringsfarve1 3 5 6 2" xfId="28142" xr:uid="{00000000-0005-0000-0000-0000A2520000}"/>
    <cellStyle name="40 % - Markeringsfarve1 3 5 6 3" xfId="43107" xr:uid="{00000000-0005-0000-0000-0000A3520000}"/>
    <cellStyle name="40 % - Markeringsfarve1 3 5 7" xfId="21120" xr:uid="{00000000-0005-0000-0000-0000A4520000}"/>
    <cellStyle name="40 % - Markeringsfarve1 3 5 8" xfId="36108" xr:uid="{00000000-0005-0000-0000-0000A5520000}"/>
    <cellStyle name="40 % - Markeringsfarve1 3 6" xfId="3267" xr:uid="{00000000-0005-0000-0000-0000A6520000}"/>
    <cellStyle name="40 % - Markeringsfarve1 3 6 2" xfId="3268" xr:uid="{00000000-0005-0000-0000-0000A7520000}"/>
    <cellStyle name="40 % - Markeringsfarve1 3 6 2 2" xfId="3269" xr:uid="{00000000-0005-0000-0000-0000A8520000}"/>
    <cellStyle name="40 % - Markeringsfarve1 3 6 2 2 2" xfId="7800" xr:uid="{00000000-0005-0000-0000-0000A9520000}"/>
    <cellStyle name="40 % - Markeringsfarve1 3 6 2 2 2 2" xfId="15702" xr:uid="{00000000-0005-0000-0000-0000AA520000}"/>
    <cellStyle name="40 % - Markeringsfarve1 3 6 2 2 2 2 2" xfId="32017" xr:uid="{00000000-0005-0000-0000-0000AB520000}"/>
    <cellStyle name="40 % - Markeringsfarve1 3 6 2 2 2 2 3" xfId="46981" xr:uid="{00000000-0005-0000-0000-0000AC520000}"/>
    <cellStyle name="40 % - Markeringsfarve1 3 6 2 2 2 3" xfId="24995" xr:uid="{00000000-0005-0000-0000-0000AD520000}"/>
    <cellStyle name="40 % - Markeringsfarve1 3 6 2 2 2 4" xfId="39982" xr:uid="{00000000-0005-0000-0000-0000AE520000}"/>
    <cellStyle name="40 % - Markeringsfarve1 3 6 2 2 3" xfId="11829" xr:uid="{00000000-0005-0000-0000-0000AF520000}"/>
    <cellStyle name="40 % - Markeringsfarve1 3 6 2 2 3 2" xfId="28149" xr:uid="{00000000-0005-0000-0000-0000B0520000}"/>
    <cellStyle name="40 % - Markeringsfarve1 3 6 2 2 3 3" xfId="43114" xr:uid="{00000000-0005-0000-0000-0000B1520000}"/>
    <cellStyle name="40 % - Markeringsfarve1 3 6 2 2 4" xfId="21127" xr:uid="{00000000-0005-0000-0000-0000B2520000}"/>
    <cellStyle name="40 % - Markeringsfarve1 3 6 2 2 5" xfId="36115" xr:uid="{00000000-0005-0000-0000-0000B3520000}"/>
    <cellStyle name="40 % - Markeringsfarve1 3 6 2 3" xfId="6345" xr:uid="{00000000-0005-0000-0000-0000B4520000}"/>
    <cellStyle name="40 % - Markeringsfarve1 3 6 2 3 2" xfId="14260" xr:uid="{00000000-0005-0000-0000-0000B5520000}"/>
    <cellStyle name="40 % - Markeringsfarve1 3 6 2 3 2 2" xfId="30575" xr:uid="{00000000-0005-0000-0000-0000B6520000}"/>
    <cellStyle name="40 % - Markeringsfarve1 3 6 2 3 2 3" xfId="45539" xr:uid="{00000000-0005-0000-0000-0000B7520000}"/>
    <cellStyle name="40 % - Markeringsfarve1 3 6 2 3 3" xfId="23553" xr:uid="{00000000-0005-0000-0000-0000B8520000}"/>
    <cellStyle name="40 % - Markeringsfarve1 3 6 2 3 4" xfId="38540" xr:uid="{00000000-0005-0000-0000-0000B9520000}"/>
    <cellStyle name="40 % - Markeringsfarve1 3 6 2 4" xfId="11828" xr:uid="{00000000-0005-0000-0000-0000BA520000}"/>
    <cellStyle name="40 % - Markeringsfarve1 3 6 2 4 2" xfId="28148" xr:uid="{00000000-0005-0000-0000-0000BB520000}"/>
    <cellStyle name="40 % - Markeringsfarve1 3 6 2 4 3" xfId="43113" xr:uid="{00000000-0005-0000-0000-0000BC520000}"/>
    <cellStyle name="40 % - Markeringsfarve1 3 6 2 5" xfId="21126" xr:uid="{00000000-0005-0000-0000-0000BD520000}"/>
    <cellStyle name="40 % - Markeringsfarve1 3 6 2 6" xfId="36114" xr:uid="{00000000-0005-0000-0000-0000BE520000}"/>
    <cellStyle name="40 % - Markeringsfarve1 3 6 3" xfId="3270" xr:uid="{00000000-0005-0000-0000-0000BF520000}"/>
    <cellStyle name="40 % - Markeringsfarve1 3 6 3 2" xfId="7076" xr:uid="{00000000-0005-0000-0000-0000C0520000}"/>
    <cellStyle name="40 % - Markeringsfarve1 3 6 3 2 2" xfId="14987" xr:uid="{00000000-0005-0000-0000-0000C1520000}"/>
    <cellStyle name="40 % - Markeringsfarve1 3 6 3 2 2 2" xfId="31302" xr:uid="{00000000-0005-0000-0000-0000C2520000}"/>
    <cellStyle name="40 % - Markeringsfarve1 3 6 3 2 2 3" xfId="46266" xr:uid="{00000000-0005-0000-0000-0000C3520000}"/>
    <cellStyle name="40 % - Markeringsfarve1 3 6 3 2 3" xfId="24280" xr:uid="{00000000-0005-0000-0000-0000C4520000}"/>
    <cellStyle name="40 % - Markeringsfarve1 3 6 3 2 4" xfId="39267" xr:uid="{00000000-0005-0000-0000-0000C5520000}"/>
    <cellStyle name="40 % - Markeringsfarve1 3 6 3 3" xfId="11830" xr:uid="{00000000-0005-0000-0000-0000C6520000}"/>
    <cellStyle name="40 % - Markeringsfarve1 3 6 3 3 2" xfId="28150" xr:uid="{00000000-0005-0000-0000-0000C7520000}"/>
    <cellStyle name="40 % - Markeringsfarve1 3 6 3 3 3" xfId="43115" xr:uid="{00000000-0005-0000-0000-0000C8520000}"/>
    <cellStyle name="40 % - Markeringsfarve1 3 6 3 4" xfId="21128" xr:uid="{00000000-0005-0000-0000-0000C9520000}"/>
    <cellStyle name="40 % - Markeringsfarve1 3 6 3 5" xfId="36116" xr:uid="{00000000-0005-0000-0000-0000CA520000}"/>
    <cellStyle name="40 % - Markeringsfarve1 3 6 4" xfId="3271" xr:uid="{00000000-0005-0000-0000-0000CB520000}"/>
    <cellStyle name="40 % - Markeringsfarve1 3 6 4 2" xfId="8669" xr:uid="{00000000-0005-0000-0000-0000CC520000}"/>
    <cellStyle name="40 % - Markeringsfarve1 3 6 4 2 2" xfId="16550" xr:uid="{00000000-0005-0000-0000-0000CD520000}"/>
    <cellStyle name="40 % - Markeringsfarve1 3 6 4 2 2 2" xfId="32865" xr:uid="{00000000-0005-0000-0000-0000CE520000}"/>
    <cellStyle name="40 % - Markeringsfarve1 3 6 4 2 2 3" xfId="47829" xr:uid="{00000000-0005-0000-0000-0000CF520000}"/>
    <cellStyle name="40 % - Markeringsfarve1 3 6 4 2 3" xfId="25843" xr:uid="{00000000-0005-0000-0000-0000D0520000}"/>
    <cellStyle name="40 % - Markeringsfarve1 3 6 4 2 4" xfId="40830" xr:uid="{00000000-0005-0000-0000-0000D1520000}"/>
    <cellStyle name="40 % - Markeringsfarve1 3 6 4 3" xfId="11831" xr:uid="{00000000-0005-0000-0000-0000D2520000}"/>
    <cellStyle name="40 % - Markeringsfarve1 3 6 4 3 2" xfId="28151" xr:uid="{00000000-0005-0000-0000-0000D3520000}"/>
    <cellStyle name="40 % - Markeringsfarve1 3 6 4 3 3" xfId="43116" xr:uid="{00000000-0005-0000-0000-0000D4520000}"/>
    <cellStyle name="40 % - Markeringsfarve1 3 6 4 4" xfId="21129" xr:uid="{00000000-0005-0000-0000-0000D5520000}"/>
    <cellStyle name="40 % - Markeringsfarve1 3 6 4 5" xfId="36117" xr:uid="{00000000-0005-0000-0000-0000D6520000}"/>
    <cellStyle name="40 % - Markeringsfarve1 3 6 5" xfId="5722" xr:uid="{00000000-0005-0000-0000-0000D7520000}"/>
    <cellStyle name="40 % - Markeringsfarve1 3 6 5 2" xfId="13641" xr:uid="{00000000-0005-0000-0000-0000D8520000}"/>
    <cellStyle name="40 % - Markeringsfarve1 3 6 5 2 2" xfId="29956" xr:uid="{00000000-0005-0000-0000-0000D9520000}"/>
    <cellStyle name="40 % - Markeringsfarve1 3 6 5 2 3" xfId="44920" xr:uid="{00000000-0005-0000-0000-0000DA520000}"/>
    <cellStyle name="40 % - Markeringsfarve1 3 6 5 3" xfId="22934" xr:uid="{00000000-0005-0000-0000-0000DB520000}"/>
    <cellStyle name="40 % - Markeringsfarve1 3 6 5 4" xfId="37921" xr:uid="{00000000-0005-0000-0000-0000DC520000}"/>
    <cellStyle name="40 % - Markeringsfarve1 3 6 6" xfId="11827" xr:uid="{00000000-0005-0000-0000-0000DD520000}"/>
    <cellStyle name="40 % - Markeringsfarve1 3 6 6 2" xfId="28147" xr:uid="{00000000-0005-0000-0000-0000DE520000}"/>
    <cellStyle name="40 % - Markeringsfarve1 3 6 6 3" xfId="43112" xr:uid="{00000000-0005-0000-0000-0000DF520000}"/>
    <cellStyle name="40 % - Markeringsfarve1 3 6 7" xfId="21125" xr:uid="{00000000-0005-0000-0000-0000E0520000}"/>
    <cellStyle name="40 % - Markeringsfarve1 3 6 8" xfId="36113" xr:uid="{00000000-0005-0000-0000-0000E1520000}"/>
    <cellStyle name="40 % - Markeringsfarve1 3 7" xfId="3272" xr:uid="{00000000-0005-0000-0000-0000E2520000}"/>
    <cellStyle name="40 % - Markeringsfarve1 3 7 2" xfId="3273" xr:uid="{00000000-0005-0000-0000-0000E3520000}"/>
    <cellStyle name="40 % - Markeringsfarve1 3 7 2 2" xfId="3274" xr:uid="{00000000-0005-0000-0000-0000E4520000}"/>
    <cellStyle name="40 % - Markeringsfarve1 3 7 2 2 2" xfId="7917" xr:uid="{00000000-0005-0000-0000-0000E5520000}"/>
    <cellStyle name="40 % - Markeringsfarve1 3 7 2 2 2 2" xfId="15819" xr:uid="{00000000-0005-0000-0000-0000E6520000}"/>
    <cellStyle name="40 % - Markeringsfarve1 3 7 2 2 2 2 2" xfId="32134" xr:uid="{00000000-0005-0000-0000-0000E7520000}"/>
    <cellStyle name="40 % - Markeringsfarve1 3 7 2 2 2 2 3" xfId="47098" xr:uid="{00000000-0005-0000-0000-0000E8520000}"/>
    <cellStyle name="40 % - Markeringsfarve1 3 7 2 2 2 3" xfId="25112" xr:uid="{00000000-0005-0000-0000-0000E9520000}"/>
    <cellStyle name="40 % - Markeringsfarve1 3 7 2 2 2 4" xfId="40099" xr:uid="{00000000-0005-0000-0000-0000EA520000}"/>
    <cellStyle name="40 % - Markeringsfarve1 3 7 2 2 3" xfId="11834" xr:uid="{00000000-0005-0000-0000-0000EB520000}"/>
    <cellStyle name="40 % - Markeringsfarve1 3 7 2 2 3 2" xfId="28154" xr:uid="{00000000-0005-0000-0000-0000EC520000}"/>
    <cellStyle name="40 % - Markeringsfarve1 3 7 2 2 3 3" xfId="43119" xr:uid="{00000000-0005-0000-0000-0000ED520000}"/>
    <cellStyle name="40 % - Markeringsfarve1 3 7 2 2 4" xfId="21132" xr:uid="{00000000-0005-0000-0000-0000EE520000}"/>
    <cellStyle name="40 % - Markeringsfarve1 3 7 2 2 5" xfId="36120" xr:uid="{00000000-0005-0000-0000-0000EF520000}"/>
    <cellStyle name="40 % - Markeringsfarve1 3 7 2 3" xfId="6444" xr:uid="{00000000-0005-0000-0000-0000F0520000}"/>
    <cellStyle name="40 % - Markeringsfarve1 3 7 2 3 2" xfId="14359" xr:uid="{00000000-0005-0000-0000-0000F1520000}"/>
    <cellStyle name="40 % - Markeringsfarve1 3 7 2 3 2 2" xfId="30674" xr:uid="{00000000-0005-0000-0000-0000F2520000}"/>
    <cellStyle name="40 % - Markeringsfarve1 3 7 2 3 2 3" xfId="45638" xr:uid="{00000000-0005-0000-0000-0000F3520000}"/>
    <cellStyle name="40 % - Markeringsfarve1 3 7 2 3 3" xfId="23652" xr:uid="{00000000-0005-0000-0000-0000F4520000}"/>
    <cellStyle name="40 % - Markeringsfarve1 3 7 2 3 4" xfId="38639" xr:uid="{00000000-0005-0000-0000-0000F5520000}"/>
    <cellStyle name="40 % - Markeringsfarve1 3 7 2 4" xfId="11833" xr:uid="{00000000-0005-0000-0000-0000F6520000}"/>
    <cellStyle name="40 % - Markeringsfarve1 3 7 2 4 2" xfId="28153" xr:uid="{00000000-0005-0000-0000-0000F7520000}"/>
    <cellStyle name="40 % - Markeringsfarve1 3 7 2 4 3" xfId="43118" xr:uid="{00000000-0005-0000-0000-0000F8520000}"/>
    <cellStyle name="40 % - Markeringsfarve1 3 7 2 5" xfId="21131" xr:uid="{00000000-0005-0000-0000-0000F9520000}"/>
    <cellStyle name="40 % - Markeringsfarve1 3 7 2 6" xfId="36119" xr:uid="{00000000-0005-0000-0000-0000FA520000}"/>
    <cellStyle name="40 % - Markeringsfarve1 3 7 3" xfId="3275" xr:uid="{00000000-0005-0000-0000-0000FB520000}"/>
    <cellStyle name="40 % - Markeringsfarve1 3 7 3 2" xfId="7193" xr:uid="{00000000-0005-0000-0000-0000FC520000}"/>
    <cellStyle name="40 % - Markeringsfarve1 3 7 3 2 2" xfId="15104" xr:uid="{00000000-0005-0000-0000-0000FD520000}"/>
    <cellStyle name="40 % - Markeringsfarve1 3 7 3 2 2 2" xfId="31419" xr:uid="{00000000-0005-0000-0000-0000FE520000}"/>
    <cellStyle name="40 % - Markeringsfarve1 3 7 3 2 2 3" xfId="46383" xr:uid="{00000000-0005-0000-0000-0000FF520000}"/>
    <cellStyle name="40 % - Markeringsfarve1 3 7 3 2 3" xfId="24397" xr:uid="{00000000-0005-0000-0000-000000530000}"/>
    <cellStyle name="40 % - Markeringsfarve1 3 7 3 2 4" xfId="39384" xr:uid="{00000000-0005-0000-0000-000001530000}"/>
    <cellStyle name="40 % - Markeringsfarve1 3 7 3 3" xfId="11835" xr:uid="{00000000-0005-0000-0000-000002530000}"/>
    <cellStyle name="40 % - Markeringsfarve1 3 7 3 3 2" xfId="28155" xr:uid="{00000000-0005-0000-0000-000003530000}"/>
    <cellStyle name="40 % - Markeringsfarve1 3 7 3 3 3" xfId="43120" xr:uid="{00000000-0005-0000-0000-000004530000}"/>
    <cellStyle name="40 % - Markeringsfarve1 3 7 3 4" xfId="21133" xr:uid="{00000000-0005-0000-0000-000005530000}"/>
    <cellStyle name="40 % - Markeringsfarve1 3 7 3 5" xfId="36121" xr:uid="{00000000-0005-0000-0000-000006530000}"/>
    <cellStyle name="40 % - Markeringsfarve1 3 7 4" xfId="3276" xr:uid="{00000000-0005-0000-0000-000007530000}"/>
    <cellStyle name="40 % - Markeringsfarve1 3 7 4 2" xfId="8393" xr:uid="{00000000-0005-0000-0000-000008530000}"/>
    <cellStyle name="40 % - Markeringsfarve1 3 7 4 2 2" xfId="16286" xr:uid="{00000000-0005-0000-0000-000009530000}"/>
    <cellStyle name="40 % - Markeringsfarve1 3 7 4 2 2 2" xfId="32601" xr:uid="{00000000-0005-0000-0000-00000A530000}"/>
    <cellStyle name="40 % - Markeringsfarve1 3 7 4 2 2 3" xfId="47565" xr:uid="{00000000-0005-0000-0000-00000B530000}"/>
    <cellStyle name="40 % - Markeringsfarve1 3 7 4 2 3" xfId="25579" xr:uid="{00000000-0005-0000-0000-00000C530000}"/>
    <cellStyle name="40 % - Markeringsfarve1 3 7 4 2 4" xfId="40566" xr:uid="{00000000-0005-0000-0000-00000D530000}"/>
    <cellStyle name="40 % - Markeringsfarve1 3 7 4 3" xfId="11836" xr:uid="{00000000-0005-0000-0000-00000E530000}"/>
    <cellStyle name="40 % - Markeringsfarve1 3 7 4 3 2" xfId="28156" xr:uid="{00000000-0005-0000-0000-00000F530000}"/>
    <cellStyle name="40 % - Markeringsfarve1 3 7 4 3 3" xfId="43121" xr:uid="{00000000-0005-0000-0000-000010530000}"/>
    <cellStyle name="40 % - Markeringsfarve1 3 7 4 4" xfId="21134" xr:uid="{00000000-0005-0000-0000-000011530000}"/>
    <cellStyle name="40 % - Markeringsfarve1 3 7 4 5" xfId="36122" xr:uid="{00000000-0005-0000-0000-000012530000}"/>
    <cellStyle name="40 % - Markeringsfarve1 3 7 5" xfId="5723" xr:uid="{00000000-0005-0000-0000-000013530000}"/>
    <cellStyle name="40 % - Markeringsfarve1 3 7 5 2" xfId="13642" xr:uid="{00000000-0005-0000-0000-000014530000}"/>
    <cellStyle name="40 % - Markeringsfarve1 3 7 5 2 2" xfId="29957" xr:uid="{00000000-0005-0000-0000-000015530000}"/>
    <cellStyle name="40 % - Markeringsfarve1 3 7 5 2 3" xfId="44921" xr:uid="{00000000-0005-0000-0000-000016530000}"/>
    <cellStyle name="40 % - Markeringsfarve1 3 7 5 3" xfId="22935" xr:uid="{00000000-0005-0000-0000-000017530000}"/>
    <cellStyle name="40 % - Markeringsfarve1 3 7 5 4" xfId="37922" xr:uid="{00000000-0005-0000-0000-000018530000}"/>
    <cellStyle name="40 % - Markeringsfarve1 3 7 6" xfId="11832" xr:uid="{00000000-0005-0000-0000-000019530000}"/>
    <cellStyle name="40 % - Markeringsfarve1 3 7 6 2" xfId="28152" xr:uid="{00000000-0005-0000-0000-00001A530000}"/>
    <cellStyle name="40 % - Markeringsfarve1 3 7 6 3" xfId="43117" xr:uid="{00000000-0005-0000-0000-00001B530000}"/>
    <cellStyle name="40 % - Markeringsfarve1 3 7 7" xfId="21130" xr:uid="{00000000-0005-0000-0000-00001C530000}"/>
    <cellStyle name="40 % - Markeringsfarve1 3 7 8" xfId="36118" xr:uid="{00000000-0005-0000-0000-00001D530000}"/>
    <cellStyle name="40 % - Markeringsfarve1 3 8" xfId="3277" xr:uid="{00000000-0005-0000-0000-00001E530000}"/>
    <cellStyle name="40 % - Markeringsfarve1 3 8 2" xfId="3278" xr:uid="{00000000-0005-0000-0000-00001F530000}"/>
    <cellStyle name="40 % - Markeringsfarve1 3 8 2 2" xfId="3279" xr:uid="{00000000-0005-0000-0000-000020530000}"/>
    <cellStyle name="40 % - Markeringsfarve1 3 8 2 2 2" xfId="8077" xr:uid="{00000000-0005-0000-0000-000021530000}"/>
    <cellStyle name="40 % - Markeringsfarve1 3 8 2 2 2 2" xfId="15979" xr:uid="{00000000-0005-0000-0000-000022530000}"/>
    <cellStyle name="40 % - Markeringsfarve1 3 8 2 2 2 2 2" xfId="32294" xr:uid="{00000000-0005-0000-0000-000023530000}"/>
    <cellStyle name="40 % - Markeringsfarve1 3 8 2 2 2 2 3" xfId="47258" xr:uid="{00000000-0005-0000-0000-000024530000}"/>
    <cellStyle name="40 % - Markeringsfarve1 3 8 2 2 2 3" xfId="25272" xr:uid="{00000000-0005-0000-0000-000025530000}"/>
    <cellStyle name="40 % - Markeringsfarve1 3 8 2 2 2 4" xfId="40259" xr:uid="{00000000-0005-0000-0000-000026530000}"/>
    <cellStyle name="40 % - Markeringsfarve1 3 8 2 2 3" xfId="11839" xr:uid="{00000000-0005-0000-0000-000027530000}"/>
    <cellStyle name="40 % - Markeringsfarve1 3 8 2 2 3 2" xfId="28159" xr:uid="{00000000-0005-0000-0000-000028530000}"/>
    <cellStyle name="40 % - Markeringsfarve1 3 8 2 2 3 3" xfId="43124" xr:uid="{00000000-0005-0000-0000-000029530000}"/>
    <cellStyle name="40 % - Markeringsfarve1 3 8 2 2 4" xfId="21137" xr:uid="{00000000-0005-0000-0000-00002A530000}"/>
    <cellStyle name="40 % - Markeringsfarve1 3 8 2 2 5" xfId="36125" xr:uid="{00000000-0005-0000-0000-00002B530000}"/>
    <cellStyle name="40 % - Markeringsfarve1 3 8 2 3" xfId="6579" xr:uid="{00000000-0005-0000-0000-00002C530000}"/>
    <cellStyle name="40 % - Markeringsfarve1 3 8 2 3 2" xfId="14494" xr:uid="{00000000-0005-0000-0000-00002D530000}"/>
    <cellStyle name="40 % - Markeringsfarve1 3 8 2 3 2 2" xfId="30809" xr:uid="{00000000-0005-0000-0000-00002E530000}"/>
    <cellStyle name="40 % - Markeringsfarve1 3 8 2 3 2 3" xfId="45773" xr:uid="{00000000-0005-0000-0000-00002F530000}"/>
    <cellStyle name="40 % - Markeringsfarve1 3 8 2 3 3" xfId="23787" xr:uid="{00000000-0005-0000-0000-000030530000}"/>
    <cellStyle name="40 % - Markeringsfarve1 3 8 2 3 4" xfId="38774" xr:uid="{00000000-0005-0000-0000-000031530000}"/>
    <cellStyle name="40 % - Markeringsfarve1 3 8 2 4" xfId="11838" xr:uid="{00000000-0005-0000-0000-000032530000}"/>
    <cellStyle name="40 % - Markeringsfarve1 3 8 2 4 2" xfId="28158" xr:uid="{00000000-0005-0000-0000-000033530000}"/>
    <cellStyle name="40 % - Markeringsfarve1 3 8 2 4 3" xfId="43123" xr:uid="{00000000-0005-0000-0000-000034530000}"/>
    <cellStyle name="40 % - Markeringsfarve1 3 8 2 5" xfId="21136" xr:uid="{00000000-0005-0000-0000-000035530000}"/>
    <cellStyle name="40 % - Markeringsfarve1 3 8 2 6" xfId="36124" xr:uid="{00000000-0005-0000-0000-000036530000}"/>
    <cellStyle name="40 % - Markeringsfarve1 3 8 3" xfId="3280" xr:uid="{00000000-0005-0000-0000-000037530000}"/>
    <cellStyle name="40 % - Markeringsfarve1 3 8 3 2" xfId="7354" xr:uid="{00000000-0005-0000-0000-000038530000}"/>
    <cellStyle name="40 % - Markeringsfarve1 3 8 3 2 2" xfId="15265" xr:uid="{00000000-0005-0000-0000-000039530000}"/>
    <cellStyle name="40 % - Markeringsfarve1 3 8 3 2 2 2" xfId="31580" xr:uid="{00000000-0005-0000-0000-00003A530000}"/>
    <cellStyle name="40 % - Markeringsfarve1 3 8 3 2 2 3" xfId="46544" xr:uid="{00000000-0005-0000-0000-00003B530000}"/>
    <cellStyle name="40 % - Markeringsfarve1 3 8 3 2 3" xfId="24558" xr:uid="{00000000-0005-0000-0000-00003C530000}"/>
    <cellStyle name="40 % - Markeringsfarve1 3 8 3 2 4" xfId="39545" xr:uid="{00000000-0005-0000-0000-00003D530000}"/>
    <cellStyle name="40 % - Markeringsfarve1 3 8 3 3" xfId="11840" xr:uid="{00000000-0005-0000-0000-00003E530000}"/>
    <cellStyle name="40 % - Markeringsfarve1 3 8 3 3 2" xfId="28160" xr:uid="{00000000-0005-0000-0000-00003F530000}"/>
    <cellStyle name="40 % - Markeringsfarve1 3 8 3 3 3" xfId="43125" xr:uid="{00000000-0005-0000-0000-000040530000}"/>
    <cellStyle name="40 % - Markeringsfarve1 3 8 3 4" xfId="21138" xr:uid="{00000000-0005-0000-0000-000041530000}"/>
    <cellStyle name="40 % - Markeringsfarve1 3 8 3 5" xfId="36126" xr:uid="{00000000-0005-0000-0000-000042530000}"/>
    <cellStyle name="40 % - Markeringsfarve1 3 8 4" xfId="3281" xr:uid="{00000000-0005-0000-0000-000043530000}"/>
    <cellStyle name="40 % - Markeringsfarve1 3 8 4 2" xfId="8628" xr:uid="{00000000-0005-0000-0000-000044530000}"/>
    <cellStyle name="40 % - Markeringsfarve1 3 8 4 2 2" xfId="16510" xr:uid="{00000000-0005-0000-0000-000045530000}"/>
    <cellStyle name="40 % - Markeringsfarve1 3 8 4 2 2 2" xfId="32825" xr:uid="{00000000-0005-0000-0000-000046530000}"/>
    <cellStyle name="40 % - Markeringsfarve1 3 8 4 2 2 3" xfId="47789" xr:uid="{00000000-0005-0000-0000-000047530000}"/>
    <cellStyle name="40 % - Markeringsfarve1 3 8 4 2 3" xfId="25803" xr:uid="{00000000-0005-0000-0000-000048530000}"/>
    <cellStyle name="40 % - Markeringsfarve1 3 8 4 2 4" xfId="40790" xr:uid="{00000000-0005-0000-0000-000049530000}"/>
    <cellStyle name="40 % - Markeringsfarve1 3 8 4 3" xfId="11841" xr:uid="{00000000-0005-0000-0000-00004A530000}"/>
    <cellStyle name="40 % - Markeringsfarve1 3 8 4 3 2" xfId="28161" xr:uid="{00000000-0005-0000-0000-00004B530000}"/>
    <cellStyle name="40 % - Markeringsfarve1 3 8 4 3 3" xfId="43126" xr:uid="{00000000-0005-0000-0000-00004C530000}"/>
    <cellStyle name="40 % - Markeringsfarve1 3 8 4 4" xfId="21139" xr:uid="{00000000-0005-0000-0000-00004D530000}"/>
    <cellStyle name="40 % - Markeringsfarve1 3 8 4 5" xfId="36127" xr:uid="{00000000-0005-0000-0000-00004E530000}"/>
    <cellStyle name="40 % - Markeringsfarve1 3 8 5" xfId="5724" xr:uid="{00000000-0005-0000-0000-00004F530000}"/>
    <cellStyle name="40 % - Markeringsfarve1 3 8 5 2" xfId="13643" xr:uid="{00000000-0005-0000-0000-000050530000}"/>
    <cellStyle name="40 % - Markeringsfarve1 3 8 5 2 2" xfId="29958" xr:uid="{00000000-0005-0000-0000-000051530000}"/>
    <cellStyle name="40 % - Markeringsfarve1 3 8 5 2 3" xfId="44922" xr:uid="{00000000-0005-0000-0000-000052530000}"/>
    <cellStyle name="40 % - Markeringsfarve1 3 8 5 3" xfId="22936" xr:uid="{00000000-0005-0000-0000-000053530000}"/>
    <cellStyle name="40 % - Markeringsfarve1 3 8 5 4" xfId="37923" xr:uid="{00000000-0005-0000-0000-000054530000}"/>
    <cellStyle name="40 % - Markeringsfarve1 3 8 6" xfId="11837" xr:uid="{00000000-0005-0000-0000-000055530000}"/>
    <cellStyle name="40 % - Markeringsfarve1 3 8 6 2" xfId="28157" xr:uid="{00000000-0005-0000-0000-000056530000}"/>
    <cellStyle name="40 % - Markeringsfarve1 3 8 6 3" xfId="43122" xr:uid="{00000000-0005-0000-0000-000057530000}"/>
    <cellStyle name="40 % - Markeringsfarve1 3 8 7" xfId="21135" xr:uid="{00000000-0005-0000-0000-000058530000}"/>
    <cellStyle name="40 % - Markeringsfarve1 3 8 8" xfId="36123" xr:uid="{00000000-0005-0000-0000-000059530000}"/>
    <cellStyle name="40 % - Markeringsfarve1 3 9" xfId="3282" xr:uid="{00000000-0005-0000-0000-00005A530000}"/>
    <cellStyle name="40 % - Markeringsfarve1 3 9 2" xfId="3283" xr:uid="{00000000-0005-0000-0000-00005B530000}"/>
    <cellStyle name="40 % - Markeringsfarve1 3 9 2 2" xfId="7443" xr:uid="{00000000-0005-0000-0000-00005C530000}"/>
    <cellStyle name="40 % - Markeringsfarve1 3 9 2 2 2" xfId="15345" xr:uid="{00000000-0005-0000-0000-00005D530000}"/>
    <cellStyle name="40 % - Markeringsfarve1 3 9 2 2 2 2" xfId="31660" xr:uid="{00000000-0005-0000-0000-00005E530000}"/>
    <cellStyle name="40 % - Markeringsfarve1 3 9 2 2 2 3" xfId="46624" xr:uid="{00000000-0005-0000-0000-00005F530000}"/>
    <cellStyle name="40 % - Markeringsfarve1 3 9 2 2 3" xfId="24638" xr:uid="{00000000-0005-0000-0000-000060530000}"/>
    <cellStyle name="40 % - Markeringsfarve1 3 9 2 2 4" xfId="39625" xr:uid="{00000000-0005-0000-0000-000061530000}"/>
    <cellStyle name="40 % - Markeringsfarve1 3 9 2 3" xfId="11843" xr:uid="{00000000-0005-0000-0000-000062530000}"/>
    <cellStyle name="40 % - Markeringsfarve1 3 9 2 3 2" xfId="28163" xr:uid="{00000000-0005-0000-0000-000063530000}"/>
    <cellStyle name="40 % - Markeringsfarve1 3 9 2 3 3" xfId="43128" xr:uid="{00000000-0005-0000-0000-000064530000}"/>
    <cellStyle name="40 % - Markeringsfarve1 3 9 2 4" xfId="21141" xr:uid="{00000000-0005-0000-0000-000065530000}"/>
    <cellStyle name="40 % - Markeringsfarve1 3 9 2 5" xfId="36129" xr:uid="{00000000-0005-0000-0000-000066530000}"/>
    <cellStyle name="40 % - Markeringsfarve1 3 9 3" xfId="6044" xr:uid="{00000000-0005-0000-0000-000067530000}"/>
    <cellStyle name="40 % - Markeringsfarve1 3 9 3 2" xfId="13962" xr:uid="{00000000-0005-0000-0000-000068530000}"/>
    <cellStyle name="40 % - Markeringsfarve1 3 9 3 2 2" xfId="30277" xr:uid="{00000000-0005-0000-0000-000069530000}"/>
    <cellStyle name="40 % - Markeringsfarve1 3 9 3 2 3" xfId="45241" xr:uid="{00000000-0005-0000-0000-00006A530000}"/>
    <cellStyle name="40 % - Markeringsfarve1 3 9 3 3" xfId="23255" xr:uid="{00000000-0005-0000-0000-00006B530000}"/>
    <cellStyle name="40 % - Markeringsfarve1 3 9 3 4" xfId="38242" xr:uid="{00000000-0005-0000-0000-00006C530000}"/>
    <cellStyle name="40 % - Markeringsfarve1 3 9 4" xfId="11842" xr:uid="{00000000-0005-0000-0000-00006D530000}"/>
    <cellStyle name="40 % - Markeringsfarve1 3 9 4 2" xfId="28162" xr:uid="{00000000-0005-0000-0000-00006E530000}"/>
    <cellStyle name="40 % - Markeringsfarve1 3 9 4 3" xfId="43127" xr:uid="{00000000-0005-0000-0000-00006F530000}"/>
    <cellStyle name="40 % - Markeringsfarve1 3 9 5" xfId="21140" xr:uid="{00000000-0005-0000-0000-000070530000}"/>
    <cellStyle name="40 % - Markeringsfarve1 3 9 6" xfId="36128" xr:uid="{00000000-0005-0000-0000-000071530000}"/>
    <cellStyle name="40 % - Markeringsfarve1 4" xfId="3284" xr:uid="{00000000-0005-0000-0000-000072530000}"/>
    <cellStyle name="40 % - Markeringsfarve1 4 10" xfId="5725" xr:uid="{00000000-0005-0000-0000-000073530000}"/>
    <cellStyle name="40 % - Markeringsfarve1 4 10 2" xfId="13644" xr:uid="{00000000-0005-0000-0000-000074530000}"/>
    <cellStyle name="40 % - Markeringsfarve1 4 10 2 2" xfId="29959" xr:uid="{00000000-0005-0000-0000-000075530000}"/>
    <cellStyle name="40 % - Markeringsfarve1 4 10 2 3" xfId="44923" xr:uid="{00000000-0005-0000-0000-000076530000}"/>
    <cellStyle name="40 % - Markeringsfarve1 4 10 3" xfId="22937" xr:uid="{00000000-0005-0000-0000-000077530000}"/>
    <cellStyle name="40 % - Markeringsfarve1 4 10 4" xfId="37924" xr:uid="{00000000-0005-0000-0000-000078530000}"/>
    <cellStyle name="40 % - Markeringsfarve1 4 11" xfId="11844" xr:uid="{00000000-0005-0000-0000-000079530000}"/>
    <cellStyle name="40 % - Markeringsfarve1 4 11 2" xfId="28164" xr:uid="{00000000-0005-0000-0000-00007A530000}"/>
    <cellStyle name="40 % - Markeringsfarve1 4 11 3" xfId="43129" xr:uid="{00000000-0005-0000-0000-00007B530000}"/>
    <cellStyle name="40 % - Markeringsfarve1 4 12" xfId="21142" xr:uid="{00000000-0005-0000-0000-00007C530000}"/>
    <cellStyle name="40 % - Markeringsfarve1 4 13" xfId="36130" xr:uid="{00000000-0005-0000-0000-00007D530000}"/>
    <cellStyle name="40 % - Markeringsfarve1 4 14" xfId="53278" xr:uid="{00000000-0005-0000-0000-00007E530000}"/>
    <cellStyle name="40 % - Markeringsfarve1 4 2" xfId="3285" xr:uid="{00000000-0005-0000-0000-00007F530000}"/>
    <cellStyle name="40 % - Markeringsfarve1 4 2 2" xfId="3286" xr:uid="{00000000-0005-0000-0000-000080530000}"/>
    <cellStyle name="40 % - Markeringsfarve1 4 2 2 2" xfId="3287" xr:uid="{00000000-0005-0000-0000-000081530000}"/>
    <cellStyle name="40 % - Markeringsfarve1 4 2 2 2 2" xfId="7587" xr:uid="{00000000-0005-0000-0000-000082530000}"/>
    <cellStyle name="40 % - Markeringsfarve1 4 2 2 2 2 2" xfId="15489" xr:uid="{00000000-0005-0000-0000-000083530000}"/>
    <cellStyle name="40 % - Markeringsfarve1 4 2 2 2 2 2 2" xfId="31804" xr:uid="{00000000-0005-0000-0000-000084530000}"/>
    <cellStyle name="40 % - Markeringsfarve1 4 2 2 2 2 2 3" xfId="46768" xr:uid="{00000000-0005-0000-0000-000085530000}"/>
    <cellStyle name="40 % - Markeringsfarve1 4 2 2 2 2 3" xfId="24782" xr:uid="{00000000-0005-0000-0000-000086530000}"/>
    <cellStyle name="40 % - Markeringsfarve1 4 2 2 2 2 4" xfId="39769" xr:uid="{00000000-0005-0000-0000-000087530000}"/>
    <cellStyle name="40 % - Markeringsfarve1 4 2 2 2 3" xfId="11847" xr:uid="{00000000-0005-0000-0000-000088530000}"/>
    <cellStyle name="40 % - Markeringsfarve1 4 2 2 2 3 2" xfId="28167" xr:uid="{00000000-0005-0000-0000-000089530000}"/>
    <cellStyle name="40 % - Markeringsfarve1 4 2 2 2 3 3" xfId="43132" xr:uid="{00000000-0005-0000-0000-00008A530000}"/>
    <cellStyle name="40 % - Markeringsfarve1 4 2 2 2 4" xfId="21145" xr:uid="{00000000-0005-0000-0000-00008B530000}"/>
    <cellStyle name="40 % - Markeringsfarve1 4 2 2 2 5" xfId="36133" xr:uid="{00000000-0005-0000-0000-00008C530000}"/>
    <cellStyle name="40 % - Markeringsfarve1 4 2 2 3" xfId="6164" xr:uid="{00000000-0005-0000-0000-00008D530000}"/>
    <cellStyle name="40 % - Markeringsfarve1 4 2 2 3 2" xfId="14082" xr:uid="{00000000-0005-0000-0000-00008E530000}"/>
    <cellStyle name="40 % - Markeringsfarve1 4 2 2 3 2 2" xfId="30397" xr:uid="{00000000-0005-0000-0000-00008F530000}"/>
    <cellStyle name="40 % - Markeringsfarve1 4 2 2 3 2 3" xfId="45361" xr:uid="{00000000-0005-0000-0000-000090530000}"/>
    <cellStyle name="40 % - Markeringsfarve1 4 2 2 3 3" xfId="23375" xr:uid="{00000000-0005-0000-0000-000091530000}"/>
    <cellStyle name="40 % - Markeringsfarve1 4 2 2 3 4" xfId="38362" xr:uid="{00000000-0005-0000-0000-000092530000}"/>
    <cellStyle name="40 % - Markeringsfarve1 4 2 2 4" xfId="11846" xr:uid="{00000000-0005-0000-0000-000093530000}"/>
    <cellStyle name="40 % - Markeringsfarve1 4 2 2 4 2" xfId="28166" xr:uid="{00000000-0005-0000-0000-000094530000}"/>
    <cellStyle name="40 % - Markeringsfarve1 4 2 2 4 3" xfId="43131" xr:uid="{00000000-0005-0000-0000-000095530000}"/>
    <cellStyle name="40 % - Markeringsfarve1 4 2 2 5" xfId="21144" xr:uid="{00000000-0005-0000-0000-000096530000}"/>
    <cellStyle name="40 % - Markeringsfarve1 4 2 2 6" xfId="36132" xr:uid="{00000000-0005-0000-0000-000097530000}"/>
    <cellStyle name="40 % - Markeringsfarve1 4 2 2 7" xfId="57082" xr:uid="{00000000-0005-0000-0000-000098530000}"/>
    <cellStyle name="40 % - Markeringsfarve1 4 2 3" xfId="3288" xr:uid="{00000000-0005-0000-0000-000099530000}"/>
    <cellStyle name="40 % - Markeringsfarve1 4 2 3 2" xfId="6817" xr:uid="{00000000-0005-0000-0000-00009A530000}"/>
    <cellStyle name="40 % - Markeringsfarve1 4 2 3 2 2" xfId="14729" xr:uid="{00000000-0005-0000-0000-00009B530000}"/>
    <cellStyle name="40 % - Markeringsfarve1 4 2 3 2 2 2" xfId="31044" xr:uid="{00000000-0005-0000-0000-00009C530000}"/>
    <cellStyle name="40 % - Markeringsfarve1 4 2 3 2 2 3" xfId="46008" xr:uid="{00000000-0005-0000-0000-00009D530000}"/>
    <cellStyle name="40 % - Markeringsfarve1 4 2 3 2 3" xfId="24022" xr:uid="{00000000-0005-0000-0000-00009E530000}"/>
    <cellStyle name="40 % - Markeringsfarve1 4 2 3 2 4" xfId="39009" xr:uid="{00000000-0005-0000-0000-00009F530000}"/>
    <cellStyle name="40 % - Markeringsfarve1 4 2 3 3" xfId="11848" xr:uid="{00000000-0005-0000-0000-0000A0530000}"/>
    <cellStyle name="40 % - Markeringsfarve1 4 2 3 3 2" xfId="28168" xr:uid="{00000000-0005-0000-0000-0000A1530000}"/>
    <cellStyle name="40 % - Markeringsfarve1 4 2 3 3 3" xfId="43133" xr:uid="{00000000-0005-0000-0000-0000A2530000}"/>
    <cellStyle name="40 % - Markeringsfarve1 4 2 3 4" xfId="21146" xr:uid="{00000000-0005-0000-0000-0000A3530000}"/>
    <cellStyle name="40 % - Markeringsfarve1 4 2 3 5" xfId="36134" xr:uid="{00000000-0005-0000-0000-0000A4530000}"/>
    <cellStyle name="40 % - Markeringsfarve1 4 2 4" xfId="3289" xr:uid="{00000000-0005-0000-0000-0000A5530000}"/>
    <cellStyle name="40 % - Markeringsfarve1 4 2 4 2" xfId="8583" xr:uid="{00000000-0005-0000-0000-0000A6530000}"/>
    <cellStyle name="40 % - Markeringsfarve1 4 2 4 2 2" xfId="16467" xr:uid="{00000000-0005-0000-0000-0000A7530000}"/>
    <cellStyle name="40 % - Markeringsfarve1 4 2 4 2 2 2" xfId="32782" xr:uid="{00000000-0005-0000-0000-0000A8530000}"/>
    <cellStyle name="40 % - Markeringsfarve1 4 2 4 2 2 3" xfId="47746" xr:uid="{00000000-0005-0000-0000-0000A9530000}"/>
    <cellStyle name="40 % - Markeringsfarve1 4 2 4 2 3" xfId="25760" xr:uid="{00000000-0005-0000-0000-0000AA530000}"/>
    <cellStyle name="40 % - Markeringsfarve1 4 2 4 2 4" xfId="40747" xr:uid="{00000000-0005-0000-0000-0000AB530000}"/>
    <cellStyle name="40 % - Markeringsfarve1 4 2 4 3" xfId="11849" xr:uid="{00000000-0005-0000-0000-0000AC530000}"/>
    <cellStyle name="40 % - Markeringsfarve1 4 2 4 3 2" xfId="28169" xr:uid="{00000000-0005-0000-0000-0000AD530000}"/>
    <cellStyle name="40 % - Markeringsfarve1 4 2 4 3 3" xfId="43134" xr:uid="{00000000-0005-0000-0000-0000AE530000}"/>
    <cellStyle name="40 % - Markeringsfarve1 4 2 4 4" xfId="21147" xr:uid="{00000000-0005-0000-0000-0000AF530000}"/>
    <cellStyle name="40 % - Markeringsfarve1 4 2 4 5" xfId="36135" xr:uid="{00000000-0005-0000-0000-0000B0530000}"/>
    <cellStyle name="40 % - Markeringsfarve1 4 2 5" xfId="5726" xr:uid="{00000000-0005-0000-0000-0000B1530000}"/>
    <cellStyle name="40 % - Markeringsfarve1 4 2 5 2" xfId="13645" xr:uid="{00000000-0005-0000-0000-0000B2530000}"/>
    <cellStyle name="40 % - Markeringsfarve1 4 2 5 2 2" xfId="29960" xr:uid="{00000000-0005-0000-0000-0000B3530000}"/>
    <cellStyle name="40 % - Markeringsfarve1 4 2 5 2 3" xfId="44924" xr:uid="{00000000-0005-0000-0000-0000B4530000}"/>
    <cellStyle name="40 % - Markeringsfarve1 4 2 5 3" xfId="22938" xr:uid="{00000000-0005-0000-0000-0000B5530000}"/>
    <cellStyle name="40 % - Markeringsfarve1 4 2 5 4" xfId="37925" xr:uid="{00000000-0005-0000-0000-0000B6530000}"/>
    <cellStyle name="40 % - Markeringsfarve1 4 2 6" xfId="11845" xr:uid="{00000000-0005-0000-0000-0000B7530000}"/>
    <cellStyle name="40 % - Markeringsfarve1 4 2 6 2" xfId="28165" xr:uid="{00000000-0005-0000-0000-0000B8530000}"/>
    <cellStyle name="40 % - Markeringsfarve1 4 2 6 3" xfId="43130" xr:uid="{00000000-0005-0000-0000-0000B9530000}"/>
    <cellStyle name="40 % - Markeringsfarve1 4 2 7" xfId="21143" xr:uid="{00000000-0005-0000-0000-0000BA530000}"/>
    <cellStyle name="40 % - Markeringsfarve1 4 2 8" xfId="36131" xr:uid="{00000000-0005-0000-0000-0000BB530000}"/>
    <cellStyle name="40 % - Markeringsfarve1 4 2 9" xfId="53915" xr:uid="{00000000-0005-0000-0000-0000BC530000}"/>
    <cellStyle name="40 % - Markeringsfarve1 4 3" xfId="3290" xr:uid="{00000000-0005-0000-0000-0000BD530000}"/>
    <cellStyle name="40 % - Markeringsfarve1 4 3 2" xfId="3291" xr:uid="{00000000-0005-0000-0000-0000BE530000}"/>
    <cellStyle name="40 % - Markeringsfarve1 4 3 2 2" xfId="3292" xr:uid="{00000000-0005-0000-0000-0000BF530000}"/>
    <cellStyle name="40 % - Markeringsfarve1 4 3 2 2 2" xfId="7726" xr:uid="{00000000-0005-0000-0000-0000C0530000}"/>
    <cellStyle name="40 % - Markeringsfarve1 4 3 2 2 2 2" xfId="15628" xr:uid="{00000000-0005-0000-0000-0000C1530000}"/>
    <cellStyle name="40 % - Markeringsfarve1 4 3 2 2 2 2 2" xfId="31943" xr:uid="{00000000-0005-0000-0000-0000C2530000}"/>
    <cellStyle name="40 % - Markeringsfarve1 4 3 2 2 2 2 3" xfId="46907" xr:uid="{00000000-0005-0000-0000-0000C3530000}"/>
    <cellStyle name="40 % - Markeringsfarve1 4 3 2 2 2 3" xfId="24921" xr:uid="{00000000-0005-0000-0000-0000C4530000}"/>
    <cellStyle name="40 % - Markeringsfarve1 4 3 2 2 2 4" xfId="39908" xr:uid="{00000000-0005-0000-0000-0000C5530000}"/>
    <cellStyle name="40 % - Markeringsfarve1 4 3 2 2 3" xfId="11852" xr:uid="{00000000-0005-0000-0000-0000C6530000}"/>
    <cellStyle name="40 % - Markeringsfarve1 4 3 2 2 3 2" xfId="28172" xr:uid="{00000000-0005-0000-0000-0000C7530000}"/>
    <cellStyle name="40 % - Markeringsfarve1 4 3 2 2 3 3" xfId="43137" xr:uid="{00000000-0005-0000-0000-0000C8530000}"/>
    <cellStyle name="40 % - Markeringsfarve1 4 3 2 2 4" xfId="21150" xr:uid="{00000000-0005-0000-0000-0000C9530000}"/>
    <cellStyle name="40 % - Markeringsfarve1 4 3 2 2 5" xfId="36138" xr:uid="{00000000-0005-0000-0000-0000CA530000}"/>
    <cellStyle name="40 % - Markeringsfarve1 4 3 2 3" xfId="6281" xr:uid="{00000000-0005-0000-0000-0000CB530000}"/>
    <cellStyle name="40 % - Markeringsfarve1 4 3 2 3 2" xfId="14199" xr:uid="{00000000-0005-0000-0000-0000CC530000}"/>
    <cellStyle name="40 % - Markeringsfarve1 4 3 2 3 2 2" xfId="30514" xr:uid="{00000000-0005-0000-0000-0000CD530000}"/>
    <cellStyle name="40 % - Markeringsfarve1 4 3 2 3 2 3" xfId="45478" xr:uid="{00000000-0005-0000-0000-0000CE530000}"/>
    <cellStyle name="40 % - Markeringsfarve1 4 3 2 3 3" xfId="23492" xr:uid="{00000000-0005-0000-0000-0000CF530000}"/>
    <cellStyle name="40 % - Markeringsfarve1 4 3 2 3 4" xfId="38479" xr:uid="{00000000-0005-0000-0000-0000D0530000}"/>
    <cellStyle name="40 % - Markeringsfarve1 4 3 2 4" xfId="11851" xr:uid="{00000000-0005-0000-0000-0000D1530000}"/>
    <cellStyle name="40 % - Markeringsfarve1 4 3 2 4 2" xfId="28171" xr:uid="{00000000-0005-0000-0000-0000D2530000}"/>
    <cellStyle name="40 % - Markeringsfarve1 4 3 2 4 3" xfId="43136" xr:uid="{00000000-0005-0000-0000-0000D3530000}"/>
    <cellStyle name="40 % - Markeringsfarve1 4 3 2 5" xfId="21149" xr:uid="{00000000-0005-0000-0000-0000D4530000}"/>
    <cellStyle name="40 % - Markeringsfarve1 4 3 2 6" xfId="36137" xr:uid="{00000000-0005-0000-0000-0000D5530000}"/>
    <cellStyle name="40 % - Markeringsfarve1 4 3 3" xfId="3293" xr:uid="{00000000-0005-0000-0000-0000D6530000}"/>
    <cellStyle name="40 % - Markeringsfarve1 4 3 3 2" xfId="6956" xr:uid="{00000000-0005-0000-0000-0000D7530000}"/>
    <cellStyle name="40 % - Markeringsfarve1 4 3 3 2 2" xfId="14868" xr:uid="{00000000-0005-0000-0000-0000D8530000}"/>
    <cellStyle name="40 % - Markeringsfarve1 4 3 3 2 2 2" xfId="31183" xr:uid="{00000000-0005-0000-0000-0000D9530000}"/>
    <cellStyle name="40 % - Markeringsfarve1 4 3 3 2 2 3" xfId="46147" xr:uid="{00000000-0005-0000-0000-0000DA530000}"/>
    <cellStyle name="40 % - Markeringsfarve1 4 3 3 2 3" xfId="24161" xr:uid="{00000000-0005-0000-0000-0000DB530000}"/>
    <cellStyle name="40 % - Markeringsfarve1 4 3 3 2 4" xfId="39148" xr:uid="{00000000-0005-0000-0000-0000DC530000}"/>
    <cellStyle name="40 % - Markeringsfarve1 4 3 3 3" xfId="11853" xr:uid="{00000000-0005-0000-0000-0000DD530000}"/>
    <cellStyle name="40 % - Markeringsfarve1 4 3 3 3 2" xfId="28173" xr:uid="{00000000-0005-0000-0000-0000DE530000}"/>
    <cellStyle name="40 % - Markeringsfarve1 4 3 3 3 3" xfId="43138" xr:uid="{00000000-0005-0000-0000-0000DF530000}"/>
    <cellStyle name="40 % - Markeringsfarve1 4 3 3 4" xfId="21151" xr:uid="{00000000-0005-0000-0000-0000E0530000}"/>
    <cellStyle name="40 % - Markeringsfarve1 4 3 3 5" xfId="36139" xr:uid="{00000000-0005-0000-0000-0000E1530000}"/>
    <cellStyle name="40 % - Markeringsfarve1 4 3 4" xfId="3294" xr:uid="{00000000-0005-0000-0000-0000E2530000}"/>
    <cellStyle name="40 % - Markeringsfarve1 4 3 4 2" xfId="8232" xr:uid="{00000000-0005-0000-0000-0000E3530000}"/>
    <cellStyle name="40 % - Markeringsfarve1 4 3 4 2 2" xfId="16127" xr:uid="{00000000-0005-0000-0000-0000E4530000}"/>
    <cellStyle name="40 % - Markeringsfarve1 4 3 4 2 2 2" xfId="32442" xr:uid="{00000000-0005-0000-0000-0000E5530000}"/>
    <cellStyle name="40 % - Markeringsfarve1 4 3 4 2 2 3" xfId="47406" xr:uid="{00000000-0005-0000-0000-0000E6530000}"/>
    <cellStyle name="40 % - Markeringsfarve1 4 3 4 2 3" xfId="25420" xr:uid="{00000000-0005-0000-0000-0000E7530000}"/>
    <cellStyle name="40 % - Markeringsfarve1 4 3 4 2 4" xfId="40407" xr:uid="{00000000-0005-0000-0000-0000E8530000}"/>
    <cellStyle name="40 % - Markeringsfarve1 4 3 4 3" xfId="11854" xr:uid="{00000000-0005-0000-0000-0000E9530000}"/>
    <cellStyle name="40 % - Markeringsfarve1 4 3 4 3 2" xfId="28174" xr:uid="{00000000-0005-0000-0000-0000EA530000}"/>
    <cellStyle name="40 % - Markeringsfarve1 4 3 4 3 3" xfId="43139" xr:uid="{00000000-0005-0000-0000-0000EB530000}"/>
    <cellStyle name="40 % - Markeringsfarve1 4 3 4 4" xfId="21152" xr:uid="{00000000-0005-0000-0000-0000EC530000}"/>
    <cellStyle name="40 % - Markeringsfarve1 4 3 4 5" xfId="36140" xr:uid="{00000000-0005-0000-0000-0000ED530000}"/>
    <cellStyle name="40 % - Markeringsfarve1 4 3 5" xfId="5727" xr:uid="{00000000-0005-0000-0000-0000EE530000}"/>
    <cellStyle name="40 % - Markeringsfarve1 4 3 5 2" xfId="13646" xr:uid="{00000000-0005-0000-0000-0000EF530000}"/>
    <cellStyle name="40 % - Markeringsfarve1 4 3 5 2 2" xfId="29961" xr:uid="{00000000-0005-0000-0000-0000F0530000}"/>
    <cellStyle name="40 % - Markeringsfarve1 4 3 5 2 3" xfId="44925" xr:uid="{00000000-0005-0000-0000-0000F1530000}"/>
    <cellStyle name="40 % - Markeringsfarve1 4 3 5 3" xfId="22939" xr:uid="{00000000-0005-0000-0000-0000F2530000}"/>
    <cellStyle name="40 % - Markeringsfarve1 4 3 5 4" xfId="37926" xr:uid="{00000000-0005-0000-0000-0000F3530000}"/>
    <cellStyle name="40 % - Markeringsfarve1 4 3 6" xfId="11850" xr:uid="{00000000-0005-0000-0000-0000F4530000}"/>
    <cellStyle name="40 % - Markeringsfarve1 4 3 6 2" xfId="28170" xr:uid="{00000000-0005-0000-0000-0000F5530000}"/>
    <cellStyle name="40 % - Markeringsfarve1 4 3 6 3" xfId="43135" xr:uid="{00000000-0005-0000-0000-0000F6530000}"/>
    <cellStyle name="40 % - Markeringsfarve1 4 3 7" xfId="21148" xr:uid="{00000000-0005-0000-0000-0000F7530000}"/>
    <cellStyle name="40 % - Markeringsfarve1 4 3 8" xfId="36136" xr:uid="{00000000-0005-0000-0000-0000F8530000}"/>
    <cellStyle name="40 % - Markeringsfarve1 4 3 9" xfId="56459" xr:uid="{00000000-0005-0000-0000-0000F9530000}"/>
    <cellStyle name="40 % - Markeringsfarve1 4 4" xfId="3295" xr:uid="{00000000-0005-0000-0000-0000FA530000}"/>
    <cellStyle name="40 % - Markeringsfarve1 4 4 2" xfId="3296" xr:uid="{00000000-0005-0000-0000-0000FB530000}"/>
    <cellStyle name="40 % - Markeringsfarve1 4 4 2 2" xfId="3297" xr:uid="{00000000-0005-0000-0000-0000FC530000}"/>
    <cellStyle name="40 % - Markeringsfarve1 4 4 2 2 2" xfId="7825" xr:uid="{00000000-0005-0000-0000-0000FD530000}"/>
    <cellStyle name="40 % - Markeringsfarve1 4 4 2 2 2 2" xfId="15727" xr:uid="{00000000-0005-0000-0000-0000FE530000}"/>
    <cellStyle name="40 % - Markeringsfarve1 4 4 2 2 2 2 2" xfId="32042" xr:uid="{00000000-0005-0000-0000-0000FF530000}"/>
    <cellStyle name="40 % - Markeringsfarve1 4 4 2 2 2 2 3" xfId="47006" xr:uid="{00000000-0005-0000-0000-000000540000}"/>
    <cellStyle name="40 % - Markeringsfarve1 4 4 2 2 2 3" xfId="25020" xr:uid="{00000000-0005-0000-0000-000001540000}"/>
    <cellStyle name="40 % - Markeringsfarve1 4 4 2 2 2 4" xfId="40007" xr:uid="{00000000-0005-0000-0000-000002540000}"/>
    <cellStyle name="40 % - Markeringsfarve1 4 4 2 2 3" xfId="11857" xr:uid="{00000000-0005-0000-0000-000003540000}"/>
    <cellStyle name="40 % - Markeringsfarve1 4 4 2 2 3 2" xfId="28177" xr:uid="{00000000-0005-0000-0000-000004540000}"/>
    <cellStyle name="40 % - Markeringsfarve1 4 4 2 2 3 3" xfId="43142" xr:uid="{00000000-0005-0000-0000-000005540000}"/>
    <cellStyle name="40 % - Markeringsfarve1 4 4 2 2 4" xfId="21155" xr:uid="{00000000-0005-0000-0000-000006540000}"/>
    <cellStyle name="40 % - Markeringsfarve1 4 4 2 2 5" xfId="36143" xr:uid="{00000000-0005-0000-0000-000007540000}"/>
    <cellStyle name="40 % - Markeringsfarve1 4 4 2 3" xfId="6366" xr:uid="{00000000-0005-0000-0000-000008540000}"/>
    <cellStyle name="40 % - Markeringsfarve1 4 4 2 3 2" xfId="14281" xr:uid="{00000000-0005-0000-0000-000009540000}"/>
    <cellStyle name="40 % - Markeringsfarve1 4 4 2 3 2 2" xfId="30596" xr:uid="{00000000-0005-0000-0000-00000A540000}"/>
    <cellStyle name="40 % - Markeringsfarve1 4 4 2 3 2 3" xfId="45560" xr:uid="{00000000-0005-0000-0000-00000B540000}"/>
    <cellStyle name="40 % - Markeringsfarve1 4 4 2 3 3" xfId="23574" xr:uid="{00000000-0005-0000-0000-00000C540000}"/>
    <cellStyle name="40 % - Markeringsfarve1 4 4 2 3 4" xfId="38561" xr:uid="{00000000-0005-0000-0000-00000D540000}"/>
    <cellStyle name="40 % - Markeringsfarve1 4 4 2 4" xfId="11856" xr:uid="{00000000-0005-0000-0000-00000E540000}"/>
    <cellStyle name="40 % - Markeringsfarve1 4 4 2 4 2" xfId="28176" xr:uid="{00000000-0005-0000-0000-00000F540000}"/>
    <cellStyle name="40 % - Markeringsfarve1 4 4 2 4 3" xfId="43141" xr:uid="{00000000-0005-0000-0000-000010540000}"/>
    <cellStyle name="40 % - Markeringsfarve1 4 4 2 5" xfId="21154" xr:uid="{00000000-0005-0000-0000-000011540000}"/>
    <cellStyle name="40 % - Markeringsfarve1 4 4 2 6" xfId="36142" xr:uid="{00000000-0005-0000-0000-000012540000}"/>
    <cellStyle name="40 % - Markeringsfarve1 4 4 3" xfId="3298" xr:uid="{00000000-0005-0000-0000-000013540000}"/>
    <cellStyle name="40 % - Markeringsfarve1 4 4 3 2" xfId="7101" xr:uid="{00000000-0005-0000-0000-000014540000}"/>
    <cellStyle name="40 % - Markeringsfarve1 4 4 3 2 2" xfId="15012" xr:uid="{00000000-0005-0000-0000-000015540000}"/>
    <cellStyle name="40 % - Markeringsfarve1 4 4 3 2 2 2" xfId="31327" xr:uid="{00000000-0005-0000-0000-000016540000}"/>
    <cellStyle name="40 % - Markeringsfarve1 4 4 3 2 2 3" xfId="46291" xr:uid="{00000000-0005-0000-0000-000017540000}"/>
    <cellStyle name="40 % - Markeringsfarve1 4 4 3 2 3" xfId="24305" xr:uid="{00000000-0005-0000-0000-000018540000}"/>
    <cellStyle name="40 % - Markeringsfarve1 4 4 3 2 4" xfId="39292" xr:uid="{00000000-0005-0000-0000-000019540000}"/>
    <cellStyle name="40 % - Markeringsfarve1 4 4 3 3" xfId="11858" xr:uid="{00000000-0005-0000-0000-00001A540000}"/>
    <cellStyle name="40 % - Markeringsfarve1 4 4 3 3 2" xfId="28178" xr:uid="{00000000-0005-0000-0000-00001B540000}"/>
    <cellStyle name="40 % - Markeringsfarve1 4 4 3 3 3" xfId="43143" xr:uid="{00000000-0005-0000-0000-00001C540000}"/>
    <cellStyle name="40 % - Markeringsfarve1 4 4 3 4" xfId="21156" xr:uid="{00000000-0005-0000-0000-00001D540000}"/>
    <cellStyle name="40 % - Markeringsfarve1 4 4 3 5" xfId="36144" xr:uid="{00000000-0005-0000-0000-00001E540000}"/>
    <cellStyle name="40 % - Markeringsfarve1 4 4 4" xfId="3299" xr:uid="{00000000-0005-0000-0000-00001F540000}"/>
    <cellStyle name="40 % - Markeringsfarve1 4 4 4 2" xfId="8537" xr:uid="{00000000-0005-0000-0000-000020540000}"/>
    <cellStyle name="40 % - Markeringsfarve1 4 4 4 2 2" xfId="16424" xr:uid="{00000000-0005-0000-0000-000021540000}"/>
    <cellStyle name="40 % - Markeringsfarve1 4 4 4 2 2 2" xfId="32739" xr:uid="{00000000-0005-0000-0000-000022540000}"/>
    <cellStyle name="40 % - Markeringsfarve1 4 4 4 2 2 3" xfId="47703" xr:uid="{00000000-0005-0000-0000-000023540000}"/>
    <cellStyle name="40 % - Markeringsfarve1 4 4 4 2 3" xfId="25717" xr:uid="{00000000-0005-0000-0000-000024540000}"/>
    <cellStyle name="40 % - Markeringsfarve1 4 4 4 2 4" xfId="40704" xr:uid="{00000000-0005-0000-0000-000025540000}"/>
    <cellStyle name="40 % - Markeringsfarve1 4 4 4 3" xfId="11859" xr:uid="{00000000-0005-0000-0000-000026540000}"/>
    <cellStyle name="40 % - Markeringsfarve1 4 4 4 3 2" xfId="28179" xr:uid="{00000000-0005-0000-0000-000027540000}"/>
    <cellStyle name="40 % - Markeringsfarve1 4 4 4 3 3" xfId="43144" xr:uid="{00000000-0005-0000-0000-000028540000}"/>
    <cellStyle name="40 % - Markeringsfarve1 4 4 4 4" xfId="21157" xr:uid="{00000000-0005-0000-0000-000029540000}"/>
    <cellStyle name="40 % - Markeringsfarve1 4 4 4 5" xfId="36145" xr:uid="{00000000-0005-0000-0000-00002A540000}"/>
    <cellStyle name="40 % - Markeringsfarve1 4 4 5" xfId="5728" xr:uid="{00000000-0005-0000-0000-00002B540000}"/>
    <cellStyle name="40 % - Markeringsfarve1 4 4 5 2" xfId="13647" xr:uid="{00000000-0005-0000-0000-00002C540000}"/>
    <cellStyle name="40 % - Markeringsfarve1 4 4 5 2 2" xfId="29962" xr:uid="{00000000-0005-0000-0000-00002D540000}"/>
    <cellStyle name="40 % - Markeringsfarve1 4 4 5 2 3" xfId="44926" xr:uid="{00000000-0005-0000-0000-00002E540000}"/>
    <cellStyle name="40 % - Markeringsfarve1 4 4 5 3" xfId="22940" xr:uid="{00000000-0005-0000-0000-00002F540000}"/>
    <cellStyle name="40 % - Markeringsfarve1 4 4 5 4" xfId="37927" xr:uid="{00000000-0005-0000-0000-000030540000}"/>
    <cellStyle name="40 % - Markeringsfarve1 4 4 6" xfId="11855" xr:uid="{00000000-0005-0000-0000-000031540000}"/>
    <cellStyle name="40 % - Markeringsfarve1 4 4 6 2" xfId="28175" xr:uid="{00000000-0005-0000-0000-000032540000}"/>
    <cellStyle name="40 % - Markeringsfarve1 4 4 6 3" xfId="43140" xr:uid="{00000000-0005-0000-0000-000033540000}"/>
    <cellStyle name="40 % - Markeringsfarve1 4 4 7" xfId="21153" xr:uid="{00000000-0005-0000-0000-000034540000}"/>
    <cellStyle name="40 % - Markeringsfarve1 4 4 8" xfId="36141" xr:uid="{00000000-0005-0000-0000-000035540000}"/>
    <cellStyle name="40 % - Markeringsfarve1 4 5" xfId="3300" xr:uid="{00000000-0005-0000-0000-000036540000}"/>
    <cellStyle name="40 % - Markeringsfarve1 4 5 2" xfId="3301" xr:uid="{00000000-0005-0000-0000-000037540000}"/>
    <cellStyle name="40 % - Markeringsfarve1 4 5 2 2" xfId="3302" xr:uid="{00000000-0005-0000-0000-000038540000}"/>
    <cellStyle name="40 % - Markeringsfarve1 4 5 2 2 2" xfId="7942" xr:uid="{00000000-0005-0000-0000-000039540000}"/>
    <cellStyle name="40 % - Markeringsfarve1 4 5 2 2 2 2" xfId="15844" xr:uid="{00000000-0005-0000-0000-00003A540000}"/>
    <cellStyle name="40 % - Markeringsfarve1 4 5 2 2 2 2 2" xfId="32159" xr:uid="{00000000-0005-0000-0000-00003B540000}"/>
    <cellStyle name="40 % - Markeringsfarve1 4 5 2 2 2 2 3" xfId="47123" xr:uid="{00000000-0005-0000-0000-00003C540000}"/>
    <cellStyle name="40 % - Markeringsfarve1 4 5 2 2 2 3" xfId="25137" xr:uid="{00000000-0005-0000-0000-00003D540000}"/>
    <cellStyle name="40 % - Markeringsfarve1 4 5 2 2 2 4" xfId="40124" xr:uid="{00000000-0005-0000-0000-00003E540000}"/>
    <cellStyle name="40 % - Markeringsfarve1 4 5 2 2 3" xfId="11862" xr:uid="{00000000-0005-0000-0000-00003F540000}"/>
    <cellStyle name="40 % - Markeringsfarve1 4 5 2 2 3 2" xfId="28182" xr:uid="{00000000-0005-0000-0000-000040540000}"/>
    <cellStyle name="40 % - Markeringsfarve1 4 5 2 2 3 3" xfId="43147" xr:uid="{00000000-0005-0000-0000-000041540000}"/>
    <cellStyle name="40 % - Markeringsfarve1 4 5 2 2 4" xfId="21160" xr:uid="{00000000-0005-0000-0000-000042540000}"/>
    <cellStyle name="40 % - Markeringsfarve1 4 5 2 2 5" xfId="36148" xr:uid="{00000000-0005-0000-0000-000043540000}"/>
    <cellStyle name="40 % - Markeringsfarve1 4 5 2 3" xfId="6465" xr:uid="{00000000-0005-0000-0000-000044540000}"/>
    <cellStyle name="40 % - Markeringsfarve1 4 5 2 3 2" xfId="14380" xr:uid="{00000000-0005-0000-0000-000045540000}"/>
    <cellStyle name="40 % - Markeringsfarve1 4 5 2 3 2 2" xfId="30695" xr:uid="{00000000-0005-0000-0000-000046540000}"/>
    <cellStyle name="40 % - Markeringsfarve1 4 5 2 3 2 3" xfId="45659" xr:uid="{00000000-0005-0000-0000-000047540000}"/>
    <cellStyle name="40 % - Markeringsfarve1 4 5 2 3 3" xfId="23673" xr:uid="{00000000-0005-0000-0000-000048540000}"/>
    <cellStyle name="40 % - Markeringsfarve1 4 5 2 3 4" xfId="38660" xr:uid="{00000000-0005-0000-0000-000049540000}"/>
    <cellStyle name="40 % - Markeringsfarve1 4 5 2 4" xfId="11861" xr:uid="{00000000-0005-0000-0000-00004A540000}"/>
    <cellStyle name="40 % - Markeringsfarve1 4 5 2 4 2" xfId="28181" xr:uid="{00000000-0005-0000-0000-00004B540000}"/>
    <cellStyle name="40 % - Markeringsfarve1 4 5 2 4 3" xfId="43146" xr:uid="{00000000-0005-0000-0000-00004C540000}"/>
    <cellStyle name="40 % - Markeringsfarve1 4 5 2 5" xfId="21159" xr:uid="{00000000-0005-0000-0000-00004D540000}"/>
    <cellStyle name="40 % - Markeringsfarve1 4 5 2 6" xfId="36147" xr:uid="{00000000-0005-0000-0000-00004E540000}"/>
    <cellStyle name="40 % - Markeringsfarve1 4 5 3" xfId="3303" xr:uid="{00000000-0005-0000-0000-00004F540000}"/>
    <cellStyle name="40 % - Markeringsfarve1 4 5 3 2" xfId="7218" xr:uid="{00000000-0005-0000-0000-000050540000}"/>
    <cellStyle name="40 % - Markeringsfarve1 4 5 3 2 2" xfId="15129" xr:uid="{00000000-0005-0000-0000-000051540000}"/>
    <cellStyle name="40 % - Markeringsfarve1 4 5 3 2 2 2" xfId="31444" xr:uid="{00000000-0005-0000-0000-000052540000}"/>
    <cellStyle name="40 % - Markeringsfarve1 4 5 3 2 2 3" xfId="46408" xr:uid="{00000000-0005-0000-0000-000053540000}"/>
    <cellStyle name="40 % - Markeringsfarve1 4 5 3 2 3" xfId="24422" xr:uid="{00000000-0005-0000-0000-000054540000}"/>
    <cellStyle name="40 % - Markeringsfarve1 4 5 3 2 4" xfId="39409" xr:uid="{00000000-0005-0000-0000-000055540000}"/>
    <cellStyle name="40 % - Markeringsfarve1 4 5 3 3" xfId="11863" xr:uid="{00000000-0005-0000-0000-000056540000}"/>
    <cellStyle name="40 % - Markeringsfarve1 4 5 3 3 2" xfId="28183" xr:uid="{00000000-0005-0000-0000-000057540000}"/>
    <cellStyle name="40 % - Markeringsfarve1 4 5 3 3 3" xfId="43148" xr:uid="{00000000-0005-0000-0000-000058540000}"/>
    <cellStyle name="40 % - Markeringsfarve1 4 5 3 4" xfId="21161" xr:uid="{00000000-0005-0000-0000-000059540000}"/>
    <cellStyle name="40 % - Markeringsfarve1 4 5 3 5" xfId="36149" xr:uid="{00000000-0005-0000-0000-00005A540000}"/>
    <cellStyle name="40 % - Markeringsfarve1 4 5 4" xfId="3304" xr:uid="{00000000-0005-0000-0000-00005B540000}"/>
    <cellStyle name="40 % - Markeringsfarve1 4 5 4 2" xfId="8189" xr:uid="{00000000-0005-0000-0000-00005C540000}"/>
    <cellStyle name="40 % - Markeringsfarve1 4 5 4 2 2" xfId="16086" xr:uid="{00000000-0005-0000-0000-00005D540000}"/>
    <cellStyle name="40 % - Markeringsfarve1 4 5 4 2 2 2" xfId="32401" xr:uid="{00000000-0005-0000-0000-00005E540000}"/>
    <cellStyle name="40 % - Markeringsfarve1 4 5 4 2 2 3" xfId="47365" xr:uid="{00000000-0005-0000-0000-00005F540000}"/>
    <cellStyle name="40 % - Markeringsfarve1 4 5 4 2 3" xfId="25379" xr:uid="{00000000-0005-0000-0000-000060540000}"/>
    <cellStyle name="40 % - Markeringsfarve1 4 5 4 2 4" xfId="40366" xr:uid="{00000000-0005-0000-0000-000061540000}"/>
    <cellStyle name="40 % - Markeringsfarve1 4 5 4 3" xfId="11864" xr:uid="{00000000-0005-0000-0000-000062540000}"/>
    <cellStyle name="40 % - Markeringsfarve1 4 5 4 3 2" xfId="28184" xr:uid="{00000000-0005-0000-0000-000063540000}"/>
    <cellStyle name="40 % - Markeringsfarve1 4 5 4 3 3" xfId="43149" xr:uid="{00000000-0005-0000-0000-000064540000}"/>
    <cellStyle name="40 % - Markeringsfarve1 4 5 4 4" xfId="21162" xr:uid="{00000000-0005-0000-0000-000065540000}"/>
    <cellStyle name="40 % - Markeringsfarve1 4 5 4 5" xfId="36150" xr:uid="{00000000-0005-0000-0000-000066540000}"/>
    <cellStyle name="40 % - Markeringsfarve1 4 5 5" xfId="5729" xr:uid="{00000000-0005-0000-0000-000067540000}"/>
    <cellStyle name="40 % - Markeringsfarve1 4 5 5 2" xfId="13648" xr:uid="{00000000-0005-0000-0000-000068540000}"/>
    <cellStyle name="40 % - Markeringsfarve1 4 5 5 2 2" xfId="29963" xr:uid="{00000000-0005-0000-0000-000069540000}"/>
    <cellStyle name="40 % - Markeringsfarve1 4 5 5 2 3" xfId="44927" xr:uid="{00000000-0005-0000-0000-00006A540000}"/>
    <cellStyle name="40 % - Markeringsfarve1 4 5 5 3" xfId="22941" xr:uid="{00000000-0005-0000-0000-00006B540000}"/>
    <cellStyle name="40 % - Markeringsfarve1 4 5 5 4" xfId="37928" xr:uid="{00000000-0005-0000-0000-00006C540000}"/>
    <cellStyle name="40 % - Markeringsfarve1 4 5 6" xfId="11860" xr:uid="{00000000-0005-0000-0000-00006D540000}"/>
    <cellStyle name="40 % - Markeringsfarve1 4 5 6 2" xfId="28180" xr:uid="{00000000-0005-0000-0000-00006E540000}"/>
    <cellStyle name="40 % - Markeringsfarve1 4 5 6 3" xfId="43145" xr:uid="{00000000-0005-0000-0000-00006F540000}"/>
    <cellStyle name="40 % - Markeringsfarve1 4 5 7" xfId="21158" xr:uid="{00000000-0005-0000-0000-000070540000}"/>
    <cellStyle name="40 % - Markeringsfarve1 4 5 8" xfId="36146" xr:uid="{00000000-0005-0000-0000-000071540000}"/>
    <cellStyle name="40 % - Markeringsfarve1 4 6" xfId="3305" xr:uid="{00000000-0005-0000-0000-000072540000}"/>
    <cellStyle name="40 % - Markeringsfarve1 4 6 2" xfId="3306" xr:uid="{00000000-0005-0000-0000-000073540000}"/>
    <cellStyle name="40 % - Markeringsfarve1 4 6 2 2" xfId="3307" xr:uid="{00000000-0005-0000-0000-000074540000}"/>
    <cellStyle name="40 % - Markeringsfarve1 4 6 2 2 2" xfId="8080" xr:uid="{00000000-0005-0000-0000-000075540000}"/>
    <cellStyle name="40 % - Markeringsfarve1 4 6 2 2 2 2" xfId="15982" xr:uid="{00000000-0005-0000-0000-000076540000}"/>
    <cellStyle name="40 % - Markeringsfarve1 4 6 2 2 2 2 2" xfId="32297" xr:uid="{00000000-0005-0000-0000-000077540000}"/>
    <cellStyle name="40 % - Markeringsfarve1 4 6 2 2 2 2 3" xfId="47261" xr:uid="{00000000-0005-0000-0000-000078540000}"/>
    <cellStyle name="40 % - Markeringsfarve1 4 6 2 2 2 3" xfId="25275" xr:uid="{00000000-0005-0000-0000-000079540000}"/>
    <cellStyle name="40 % - Markeringsfarve1 4 6 2 2 2 4" xfId="40262" xr:uid="{00000000-0005-0000-0000-00007A540000}"/>
    <cellStyle name="40 % - Markeringsfarve1 4 6 2 2 3" xfId="11867" xr:uid="{00000000-0005-0000-0000-00007B540000}"/>
    <cellStyle name="40 % - Markeringsfarve1 4 6 2 2 3 2" xfId="28187" xr:uid="{00000000-0005-0000-0000-00007C540000}"/>
    <cellStyle name="40 % - Markeringsfarve1 4 6 2 2 3 3" xfId="43152" xr:uid="{00000000-0005-0000-0000-00007D540000}"/>
    <cellStyle name="40 % - Markeringsfarve1 4 6 2 2 4" xfId="21165" xr:uid="{00000000-0005-0000-0000-00007E540000}"/>
    <cellStyle name="40 % - Markeringsfarve1 4 6 2 2 5" xfId="36153" xr:uid="{00000000-0005-0000-0000-00007F540000}"/>
    <cellStyle name="40 % - Markeringsfarve1 4 6 2 3" xfId="6582" xr:uid="{00000000-0005-0000-0000-000080540000}"/>
    <cellStyle name="40 % - Markeringsfarve1 4 6 2 3 2" xfId="14497" xr:uid="{00000000-0005-0000-0000-000081540000}"/>
    <cellStyle name="40 % - Markeringsfarve1 4 6 2 3 2 2" xfId="30812" xr:uid="{00000000-0005-0000-0000-000082540000}"/>
    <cellStyle name="40 % - Markeringsfarve1 4 6 2 3 2 3" xfId="45776" xr:uid="{00000000-0005-0000-0000-000083540000}"/>
    <cellStyle name="40 % - Markeringsfarve1 4 6 2 3 3" xfId="23790" xr:uid="{00000000-0005-0000-0000-000084540000}"/>
    <cellStyle name="40 % - Markeringsfarve1 4 6 2 3 4" xfId="38777" xr:uid="{00000000-0005-0000-0000-000085540000}"/>
    <cellStyle name="40 % - Markeringsfarve1 4 6 2 4" xfId="11866" xr:uid="{00000000-0005-0000-0000-000086540000}"/>
    <cellStyle name="40 % - Markeringsfarve1 4 6 2 4 2" xfId="28186" xr:uid="{00000000-0005-0000-0000-000087540000}"/>
    <cellStyle name="40 % - Markeringsfarve1 4 6 2 4 3" xfId="43151" xr:uid="{00000000-0005-0000-0000-000088540000}"/>
    <cellStyle name="40 % - Markeringsfarve1 4 6 2 5" xfId="21164" xr:uid="{00000000-0005-0000-0000-000089540000}"/>
    <cellStyle name="40 % - Markeringsfarve1 4 6 2 6" xfId="36152" xr:uid="{00000000-0005-0000-0000-00008A540000}"/>
    <cellStyle name="40 % - Markeringsfarve1 4 6 3" xfId="3308" xr:uid="{00000000-0005-0000-0000-00008B540000}"/>
    <cellStyle name="40 % - Markeringsfarve1 4 6 3 2" xfId="7357" xr:uid="{00000000-0005-0000-0000-00008C540000}"/>
    <cellStyle name="40 % - Markeringsfarve1 4 6 3 2 2" xfId="15268" xr:uid="{00000000-0005-0000-0000-00008D540000}"/>
    <cellStyle name="40 % - Markeringsfarve1 4 6 3 2 2 2" xfId="31583" xr:uid="{00000000-0005-0000-0000-00008E540000}"/>
    <cellStyle name="40 % - Markeringsfarve1 4 6 3 2 2 3" xfId="46547" xr:uid="{00000000-0005-0000-0000-00008F540000}"/>
    <cellStyle name="40 % - Markeringsfarve1 4 6 3 2 3" xfId="24561" xr:uid="{00000000-0005-0000-0000-000090540000}"/>
    <cellStyle name="40 % - Markeringsfarve1 4 6 3 2 4" xfId="39548" xr:uid="{00000000-0005-0000-0000-000091540000}"/>
    <cellStyle name="40 % - Markeringsfarve1 4 6 3 3" xfId="11868" xr:uid="{00000000-0005-0000-0000-000092540000}"/>
    <cellStyle name="40 % - Markeringsfarve1 4 6 3 3 2" xfId="28188" xr:uid="{00000000-0005-0000-0000-000093540000}"/>
    <cellStyle name="40 % - Markeringsfarve1 4 6 3 3 3" xfId="43153" xr:uid="{00000000-0005-0000-0000-000094540000}"/>
    <cellStyle name="40 % - Markeringsfarve1 4 6 3 4" xfId="21166" xr:uid="{00000000-0005-0000-0000-000095540000}"/>
    <cellStyle name="40 % - Markeringsfarve1 4 6 3 5" xfId="36154" xr:uid="{00000000-0005-0000-0000-000096540000}"/>
    <cellStyle name="40 % - Markeringsfarve1 4 6 4" xfId="3309" xr:uid="{00000000-0005-0000-0000-000097540000}"/>
    <cellStyle name="40 % - Markeringsfarve1 4 6 4 2" xfId="6661" xr:uid="{00000000-0005-0000-0000-000098540000}"/>
    <cellStyle name="40 % - Markeringsfarve1 4 6 4 2 2" xfId="14575" xr:uid="{00000000-0005-0000-0000-000099540000}"/>
    <cellStyle name="40 % - Markeringsfarve1 4 6 4 2 2 2" xfId="30890" xr:uid="{00000000-0005-0000-0000-00009A540000}"/>
    <cellStyle name="40 % - Markeringsfarve1 4 6 4 2 2 3" xfId="45854" xr:uid="{00000000-0005-0000-0000-00009B540000}"/>
    <cellStyle name="40 % - Markeringsfarve1 4 6 4 2 3" xfId="23868" xr:uid="{00000000-0005-0000-0000-00009C540000}"/>
    <cellStyle name="40 % - Markeringsfarve1 4 6 4 2 4" xfId="38855" xr:uid="{00000000-0005-0000-0000-00009D540000}"/>
    <cellStyle name="40 % - Markeringsfarve1 4 6 4 3" xfId="11869" xr:uid="{00000000-0005-0000-0000-00009E540000}"/>
    <cellStyle name="40 % - Markeringsfarve1 4 6 4 3 2" xfId="28189" xr:uid="{00000000-0005-0000-0000-00009F540000}"/>
    <cellStyle name="40 % - Markeringsfarve1 4 6 4 3 3" xfId="43154" xr:uid="{00000000-0005-0000-0000-0000A0540000}"/>
    <cellStyle name="40 % - Markeringsfarve1 4 6 4 4" xfId="21167" xr:uid="{00000000-0005-0000-0000-0000A1540000}"/>
    <cellStyle name="40 % - Markeringsfarve1 4 6 4 5" xfId="36155" xr:uid="{00000000-0005-0000-0000-0000A2540000}"/>
    <cellStyle name="40 % - Markeringsfarve1 4 6 5" xfId="5730" xr:uid="{00000000-0005-0000-0000-0000A3540000}"/>
    <cellStyle name="40 % - Markeringsfarve1 4 6 5 2" xfId="13649" xr:uid="{00000000-0005-0000-0000-0000A4540000}"/>
    <cellStyle name="40 % - Markeringsfarve1 4 6 5 2 2" xfId="29964" xr:uid="{00000000-0005-0000-0000-0000A5540000}"/>
    <cellStyle name="40 % - Markeringsfarve1 4 6 5 2 3" xfId="44928" xr:uid="{00000000-0005-0000-0000-0000A6540000}"/>
    <cellStyle name="40 % - Markeringsfarve1 4 6 5 3" xfId="22942" xr:uid="{00000000-0005-0000-0000-0000A7540000}"/>
    <cellStyle name="40 % - Markeringsfarve1 4 6 5 4" xfId="37929" xr:uid="{00000000-0005-0000-0000-0000A8540000}"/>
    <cellStyle name="40 % - Markeringsfarve1 4 6 6" xfId="11865" xr:uid="{00000000-0005-0000-0000-0000A9540000}"/>
    <cellStyle name="40 % - Markeringsfarve1 4 6 6 2" xfId="28185" xr:uid="{00000000-0005-0000-0000-0000AA540000}"/>
    <cellStyle name="40 % - Markeringsfarve1 4 6 6 3" xfId="43150" xr:uid="{00000000-0005-0000-0000-0000AB540000}"/>
    <cellStyle name="40 % - Markeringsfarve1 4 6 7" xfId="21163" xr:uid="{00000000-0005-0000-0000-0000AC540000}"/>
    <cellStyle name="40 % - Markeringsfarve1 4 6 8" xfId="36151" xr:uid="{00000000-0005-0000-0000-0000AD540000}"/>
    <cellStyle name="40 % - Markeringsfarve1 4 7" xfId="3310" xr:uid="{00000000-0005-0000-0000-0000AE540000}"/>
    <cellStyle name="40 % - Markeringsfarve1 4 7 2" xfId="3311" xr:uid="{00000000-0005-0000-0000-0000AF540000}"/>
    <cellStyle name="40 % - Markeringsfarve1 4 7 2 2" xfId="7468" xr:uid="{00000000-0005-0000-0000-0000B0540000}"/>
    <cellStyle name="40 % - Markeringsfarve1 4 7 2 2 2" xfId="15370" xr:uid="{00000000-0005-0000-0000-0000B1540000}"/>
    <cellStyle name="40 % - Markeringsfarve1 4 7 2 2 2 2" xfId="31685" xr:uid="{00000000-0005-0000-0000-0000B2540000}"/>
    <cellStyle name="40 % - Markeringsfarve1 4 7 2 2 2 3" xfId="46649" xr:uid="{00000000-0005-0000-0000-0000B3540000}"/>
    <cellStyle name="40 % - Markeringsfarve1 4 7 2 2 3" xfId="24663" xr:uid="{00000000-0005-0000-0000-0000B4540000}"/>
    <cellStyle name="40 % - Markeringsfarve1 4 7 2 2 4" xfId="39650" xr:uid="{00000000-0005-0000-0000-0000B5540000}"/>
    <cellStyle name="40 % - Markeringsfarve1 4 7 2 3" xfId="11871" xr:uid="{00000000-0005-0000-0000-0000B6540000}"/>
    <cellStyle name="40 % - Markeringsfarve1 4 7 2 3 2" xfId="28191" xr:uid="{00000000-0005-0000-0000-0000B7540000}"/>
    <cellStyle name="40 % - Markeringsfarve1 4 7 2 3 3" xfId="43156" xr:uid="{00000000-0005-0000-0000-0000B8540000}"/>
    <cellStyle name="40 % - Markeringsfarve1 4 7 2 4" xfId="21169" xr:uid="{00000000-0005-0000-0000-0000B9540000}"/>
    <cellStyle name="40 % - Markeringsfarve1 4 7 2 5" xfId="36157" xr:uid="{00000000-0005-0000-0000-0000BA540000}"/>
    <cellStyle name="40 % - Markeringsfarve1 4 7 3" xfId="6065" xr:uid="{00000000-0005-0000-0000-0000BB540000}"/>
    <cellStyle name="40 % - Markeringsfarve1 4 7 3 2" xfId="13983" xr:uid="{00000000-0005-0000-0000-0000BC540000}"/>
    <cellStyle name="40 % - Markeringsfarve1 4 7 3 2 2" xfId="30298" xr:uid="{00000000-0005-0000-0000-0000BD540000}"/>
    <cellStyle name="40 % - Markeringsfarve1 4 7 3 2 3" xfId="45262" xr:uid="{00000000-0005-0000-0000-0000BE540000}"/>
    <cellStyle name="40 % - Markeringsfarve1 4 7 3 3" xfId="23276" xr:uid="{00000000-0005-0000-0000-0000BF540000}"/>
    <cellStyle name="40 % - Markeringsfarve1 4 7 3 4" xfId="38263" xr:uid="{00000000-0005-0000-0000-0000C0540000}"/>
    <cellStyle name="40 % - Markeringsfarve1 4 7 4" xfId="11870" xr:uid="{00000000-0005-0000-0000-0000C1540000}"/>
    <cellStyle name="40 % - Markeringsfarve1 4 7 4 2" xfId="28190" xr:uid="{00000000-0005-0000-0000-0000C2540000}"/>
    <cellStyle name="40 % - Markeringsfarve1 4 7 4 3" xfId="43155" xr:uid="{00000000-0005-0000-0000-0000C3540000}"/>
    <cellStyle name="40 % - Markeringsfarve1 4 7 5" xfId="21168" xr:uid="{00000000-0005-0000-0000-0000C4540000}"/>
    <cellStyle name="40 % - Markeringsfarve1 4 7 6" xfId="36156" xr:uid="{00000000-0005-0000-0000-0000C5540000}"/>
    <cellStyle name="40 % - Markeringsfarve1 4 8" xfId="3312" xr:uid="{00000000-0005-0000-0000-0000C6540000}"/>
    <cellStyle name="40 % - Markeringsfarve1 4 8 2" xfId="6696" xr:uid="{00000000-0005-0000-0000-0000C7540000}"/>
    <cellStyle name="40 % - Markeringsfarve1 4 8 2 2" xfId="14608" xr:uid="{00000000-0005-0000-0000-0000C8540000}"/>
    <cellStyle name="40 % - Markeringsfarve1 4 8 2 2 2" xfId="30923" xr:uid="{00000000-0005-0000-0000-0000C9540000}"/>
    <cellStyle name="40 % - Markeringsfarve1 4 8 2 2 3" xfId="45887" xr:uid="{00000000-0005-0000-0000-0000CA540000}"/>
    <cellStyle name="40 % - Markeringsfarve1 4 8 2 3" xfId="23901" xr:uid="{00000000-0005-0000-0000-0000CB540000}"/>
    <cellStyle name="40 % - Markeringsfarve1 4 8 2 4" xfId="38888" xr:uid="{00000000-0005-0000-0000-0000CC540000}"/>
    <cellStyle name="40 % - Markeringsfarve1 4 8 3" xfId="11872" xr:uid="{00000000-0005-0000-0000-0000CD540000}"/>
    <cellStyle name="40 % - Markeringsfarve1 4 8 3 2" xfId="28192" xr:uid="{00000000-0005-0000-0000-0000CE540000}"/>
    <cellStyle name="40 % - Markeringsfarve1 4 8 3 3" xfId="43157" xr:uid="{00000000-0005-0000-0000-0000CF540000}"/>
    <cellStyle name="40 % - Markeringsfarve1 4 8 4" xfId="21170" xr:uid="{00000000-0005-0000-0000-0000D0540000}"/>
    <cellStyle name="40 % - Markeringsfarve1 4 8 5" xfId="36158" xr:uid="{00000000-0005-0000-0000-0000D1540000}"/>
    <cellStyle name="40 % - Markeringsfarve1 4 9" xfId="3313" xr:uid="{00000000-0005-0000-0000-0000D2540000}"/>
    <cellStyle name="40 % - Markeringsfarve1 4 9 2" xfId="8352" xr:uid="{00000000-0005-0000-0000-0000D3540000}"/>
    <cellStyle name="40 % - Markeringsfarve1 4 9 2 2" xfId="16246" xr:uid="{00000000-0005-0000-0000-0000D4540000}"/>
    <cellStyle name="40 % - Markeringsfarve1 4 9 2 2 2" xfId="32561" xr:uid="{00000000-0005-0000-0000-0000D5540000}"/>
    <cellStyle name="40 % - Markeringsfarve1 4 9 2 2 3" xfId="47525" xr:uid="{00000000-0005-0000-0000-0000D6540000}"/>
    <cellStyle name="40 % - Markeringsfarve1 4 9 2 3" xfId="25539" xr:uid="{00000000-0005-0000-0000-0000D7540000}"/>
    <cellStyle name="40 % - Markeringsfarve1 4 9 2 4" xfId="40526" xr:uid="{00000000-0005-0000-0000-0000D8540000}"/>
    <cellStyle name="40 % - Markeringsfarve1 4 9 3" xfId="11873" xr:uid="{00000000-0005-0000-0000-0000D9540000}"/>
    <cellStyle name="40 % - Markeringsfarve1 4 9 3 2" xfId="28193" xr:uid="{00000000-0005-0000-0000-0000DA540000}"/>
    <cellStyle name="40 % - Markeringsfarve1 4 9 3 3" xfId="43158" xr:uid="{00000000-0005-0000-0000-0000DB540000}"/>
    <cellStyle name="40 % - Markeringsfarve1 4 9 4" xfId="21171" xr:uid="{00000000-0005-0000-0000-0000DC540000}"/>
    <cellStyle name="40 % - Markeringsfarve1 4 9 5" xfId="36159" xr:uid="{00000000-0005-0000-0000-0000DD540000}"/>
    <cellStyle name="40 % - Markeringsfarve1 5" xfId="3314" xr:uid="{00000000-0005-0000-0000-0000DE540000}"/>
    <cellStyle name="40 % - Markeringsfarve1 5 10" xfId="5731" xr:uid="{00000000-0005-0000-0000-0000DF540000}"/>
    <cellStyle name="40 % - Markeringsfarve1 5 10 2" xfId="13650" xr:uid="{00000000-0005-0000-0000-0000E0540000}"/>
    <cellStyle name="40 % - Markeringsfarve1 5 10 2 2" xfId="29965" xr:uid="{00000000-0005-0000-0000-0000E1540000}"/>
    <cellStyle name="40 % - Markeringsfarve1 5 10 2 3" xfId="44929" xr:uid="{00000000-0005-0000-0000-0000E2540000}"/>
    <cellStyle name="40 % - Markeringsfarve1 5 10 3" xfId="22943" xr:uid="{00000000-0005-0000-0000-0000E3540000}"/>
    <cellStyle name="40 % - Markeringsfarve1 5 10 4" xfId="37930" xr:uid="{00000000-0005-0000-0000-0000E4540000}"/>
    <cellStyle name="40 % - Markeringsfarve1 5 11" xfId="11874" xr:uid="{00000000-0005-0000-0000-0000E5540000}"/>
    <cellStyle name="40 % - Markeringsfarve1 5 11 2" xfId="28194" xr:uid="{00000000-0005-0000-0000-0000E6540000}"/>
    <cellStyle name="40 % - Markeringsfarve1 5 11 3" xfId="43159" xr:uid="{00000000-0005-0000-0000-0000E7540000}"/>
    <cellStyle name="40 % - Markeringsfarve1 5 12" xfId="21172" xr:uid="{00000000-0005-0000-0000-0000E8540000}"/>
    <cellStyle name="40 % - Markeringsfarve1 5 13" xfId="36160" xr:uid="{00000000-0005-0000-0000-0000E9540000}"/>
    <cellStyle name="40 % - Markeringsfarve1 5 14" xfId="53277" xr:uid="{00000000-0005-0000-0000-0000EA540000}"/>
    <cellStyle name="40 % - Markeringsfarve1 5 2" xfId="3315" xr:uid="{00000000-0005-0000-0000-0000EB540000}"/>
    <cellStyle name="40 % - Markeringsfarve1 5 2 2" xfId="3316" xr:uid="{00000000-0005-0000-0000-0000EC540000}"/>
    <cellStyle name="40 % - Markeringsfarve1 5 2 2 2" xfId="3317" xr:uid="{00000000-0005-0000-0000-0000ED540000}"/>
    <cellStyle name="40 % - Markeringsfarve1 5 2 2 2 2" xfId="7626" xr:uid="{00000000-0005-0000-0000-0000EE540000}"/>
    <cellStyle name="40 % - Markeringsfarve1 5 2 2 2 2 2" xfId="15528" xr:uid="{00000000-0005-0000-0000-0000EF540000}"/>
    <cellStyle name="40 % - Markeringsfarve1 5 2 2 2 2 2 2" xfId="31843" xr:uid="{00000000-0005-0000-0000-0000F0540000}"/>
    <cellStyle name="40 % - Markeringsfarve1 5 2 2 2 2 2 3" xfId="46807" xr:uid="{00000000-0005-0000-0000-0000F1540000}"/>
    <cellStyle name="40 % - Markeringsfarve1 5 2 2 2 2 3" xfId="24821" xr:uid="{00000000-0005-0000-0000-0000F2540000}"/>
    <cellStyle name="40 % - Markeringsfarve1 5 2 2 2 2 4" xfId="39808" xr:uid="{00000000-0005-0000-0000-0000F3540000}"/>
    <cellStyle name="40 % - Markeringsfarve1 5 2 2 2 3" xfId="11877" xr:uid="{00000000-0005-0000-0000-0000F4540000}"/>
    <cellStyle name="40 % - Markeringsfarve1 5 2 2 2 3 2" xfId="28197" xr:uid="{00000000-0005-0000-0000-0000F5540000}"/>
    <cellStyle name="40 % - Markeringsfarve1 5 2 2 2 3 3" xfId="43162" xr:uid="{00000000-0005-0000-0000-0000F6540000}"/>
    <cellStyle name="40 % - Markeringsfarve1 5 2 2 2 4" xfId="21175" xr:uid="{00000000-0005-0000-0000-0000F7540000}"/>
    <cellStyle name="40 % - Markeringsfarve1 5 2 2 2 5" xfId="36163" xr:uid="{00000000-0005-0000-0000-0000F8540000}"/>
    <cellStyle name="40 % - Markeringsfarve1 5 2 2 3" xfId="6197" xr:uid="{00000000-0005-0000-0000-0000F9540000}"/>
    <cellStyle name="40 % - Markeringsfarve1 5 2 2 3 2" xfId="14115" xr:uid="{00000000-0005-0000-0000-0000FA540000}"/>
    <cellStyle name="40 % - Markeringsfarve1 5 2 2 3 2 2" xfId="30430" xr:uid="{00000000-0005-0000-0000-0000FB540000}"/>
    <cellStyle name="40 % - Markeringsfarve1 5 2 2 3 2 3" xfId="45394" xr:uid="{00000000-0005-0000-0000-0000FC540000}"/>
    <cellStyle name="40 % - Markeringsfarve1 5 2 2 3 3" xfId="23408" xr:uid="{00000000-0005-0000-0000-0000FD540000}"/>
    <cellStyle name="40 % - Markeringsfarve1 5 2 2 3 4" xfId="38395" xr:uid="{00000000-0005-0000-0000-0000FE540000}"/>
    <cellStyle name="40 % - Markeringsfarve1 5 2 2 4" xfId="11876" xr:uid="{00000000-0005-0000-0000-0000FF540000}"/>
    <cellStyle name="40 % - Markeringsfarve1 5 2 2 4 2" xfId="28196" xr:uid="{00000000-0005-0000-0000-000000550000}"/>
    <cellStyle name="40 % - Markeringsfarve1 5 2 2 4 3" xfId="43161" xr:uid="{00000000-0005-0000-0000-000001550000}"/>
    <cellStyle name="40 % - Markeringsfarve1 5 2 2 5" xfId="21174" xr:uid="{00000000-0005-0000-0000-000002550000}"/>
    <cellStyle name="40 % - Markeringsfarve1 5 2 2 6" xfId="36162" xr:uid="{00000000-0005-0000-0000-000003550000}"/>
    <cellStyle name="40 % - Markeringsfarve1 5 2 2 7" xfId="57081" xr:uid="{00000000-0005-0000-0000-000004550000}"/>
    <cellStyle name="40 % - Markeringsfarve1 5 2 3" xfId="3318" xr:uid="{00000000-0005-0000-0000-000005550000}"/>
    <cellStyle name="40 % - Markeringsfarve1 5 2 3 2" xfId="6856" xr:uid="{00000000-0005-0000-0000-000006550000}"/>
    <cellStyle name="40 % - Markeringsfarve1 5 2 3 2 2" xfId="14768" xr:uid="{00000000-0005-0000-0000-000007550000}"/>
    <cellStyle name="40 % - Markeringsfarve1 5 2 3 2 2 2" xfId="31083" xr:uid="{00000000-0005-0000-0000-000008550000}"/>
    <cellStyle name="40 % - Markeringsfarve1 5 2 3 2 2 3" xfId="46047" xr:uid="{00000000-0005-0000-0000-000009550000}"/>
    <cellStyle name="40 % - Markeringsfarve1 5 2 3 2 3" xfId="24061" xr:uid="{00000000-0005-0000-0000-00000A550000}"/>
    <cellStyle name="40 % - Markeringsfarve1 5 2 3 2 4" xfId="39048" xr:uid="{00000000-0005-0000-0000-00000B550000}"/>
    <cellStyle name="40 % - Markeringsfarve1 5 2 3 3" xfId="11878" xr:uid="{00000000-0005-0000-0000-00000C550000}"/>
    <cellStyle name="40 % - Markeringsfarve1 5 2 3 3 2" xfId="28198" xr:uid="{00000000-0005-0000-0000-00000D550000}"/>
    <cellStyle name="40 % - Markeringsfarve1 5 2 3 3 3" xfId="43163" xr:uid="{00000000-0005-0000-0000-00000E550000}"/>
    <cellStyle name="40 % - Markeringsfarve1 5 2 3 4" xfId="21176" xr:uid="{00000000-0005-0000-0000-00000F550000}"/>
    <cellStyle name="40 % - Markeringsfarve1 5 2 3 5" xfId="36164" xr:uid="{00000000-0005-0000-0000-000010550000}"/>
    <cellStyle name="40 % - Markeringsfarve1 5 2 4" xfId="3319" xr:uid="{00000000-0005-0000-0000-000011550000}"/>
    <cellStyle name="40 % - Markeringsfarve1 5 2 4 2" xfId="8469" xr:uid="{00000000-0005-0000-0000-000012550000}"/>
    <cellStyle name="40 % - Markeringsfarve1 5 2 4 2 2" xfId="16358" xr:uid="{00000000-0005-0000-0000-000013550000}"/>
    <cellStyle name="40 % - Markeringsfarve1 5 2 4 2 2 2" xfId="32673" xr:uid="{00000000-0005-0000-0000-000014550000}"/>
    <cellStyle name="40 % - Markeringsfarve1 5 2 4 2 2 3" xfId="47637" xr:uid="{00000000-0005-0000-0000-000015550000}"/>
    <cellStyle name="40 % - Markeringsfarve1 5 2 4 2 3" xfId="25651" xr:uid="{00000000-0005-0000-0000-000016550000}"/>
    <cellStyle name="40 % - Markeringsfarve1 5 2 4 2 4" xfId="40638" xr:uid="{00000000-0005-0000-0000-000017550000}"/>
    <cellStyle name="40 % - Markeringsfarve1 5 2 4 3" xfId="11879" xr:uid="{00000000-0005-0000-0000-000018550000}"/>
    <cellStyle name="40 % - Markeringsfarve1 5 2 4 3 2" xfId="28199" xr:uid="{00000000-0005-0000-0000-000019550000}"/>
    <cellStyle name="40 % - Markeringsfarve1 5 2 4 3 3" xfId="43164" xr:uid="{00000000-0005-0000-0000-00001A550000}"/>
    <cellStyle name="40 % - Markeringsfarve1 5 2 4 4" xfId="21177" xr:uid="{00000000-0005-0000-0000-00001B550000}"/>
    <cellStyle name="40 % - Markeringsfarve1 5 2 4 5" xfId="36165" xr:uid="{00000000-0005-0000-0000-00001C550000}"/>
    <cellStyle name="40 % - Markeringsfarve1 5 2 5" xfId="5732" xr:uid="{00000000-0005-0000-0000-00001D550000}"/>
    <cellStyle name="40 % - Markeringsfarve1 5 2 5 2" xfId="13651" xr:uid="{00000000-0005-0000-0000-00001E550000}"/>
    <cellStyle name="40 % - Markeringsfarve1 5 2 5 2 2" xfId="29966" xr:uid="{00000000-0005-0000-0000-00001F550000}"/>
    <cellStyle name="40 % - Markeringsfarve1 5 2 5 2 3" xfId="44930" xr:uid="{00000000-0005-0000-0000-000020550000}"/>
    <cellStyle name="40 % - Markeringsfarve1 5 2 5 3" xfId="22944" xr:uid="{00000000-0005-0000-0000-000021550000}"/>
    <cellStyle name="40 % - Markeringsfarve1 5 2 5 4" xfId="37931" xr:uid="{00000000-0005-0000-0000-000022550000}"/>
    <cellStyle name="40 % - Markeringsfarve1 5 2 6" xfId="11875" xr:uid="{00000000-0005-0000-0000-000023550000}"/>
    <cellStyle name="40 % - Markeringsfarve1 5 2 6 2" xfId="28195" xr:uid="{00000000-0005-0000-0000-000024550000}"/>
    <cellStyle name="40 % - Markeringsfarve1 5 2 6 3" xfId="43160" xr:uid="{00000000-0005-0000-0000-000025550000}"/>
    <cellStyle name="40 % - Markeringsfarve1 5 2 7" xfId="21173" xr:uid="{00000000-0005-0000-0000-000026550000}"/>
    <cellStyle name="40 % - Markeringsfarve1 5 2 8" xfId="36161" xr:uid="{00000000-0005-0000-0000-000027550000}"/>
    <cellStyle name="40 % - Markeringsfarve1 5 2 9" xfId="53914" xr:uid="{00000000-0005-0000-0000-000028550000}"/>
    <cellStyle name="40 % - Markeringsfarve1 5 3" xfId="3320" xr:uid="{00000000-0005-0000-0000-000029550000}"/>
    <cellStyle name="40 % - Markeringsfarve1 5 3 2" xfId="3321" xr:uid="{00000000-0005-0000-0000-00002A550000}"/>
    <cellStyle name="40 % - Markeringsfarve1 5 3 2 2" xfId="3322" xr:uid="{00000000-0005-0000-0000-00002B550000}"/>
    <cellStyle name="40 % - Markeringsfarve1 5 3 2 2 2" xfId="7727" xr:uid="{00000000-0005-0000-0000-00002C550000}"/>
    <cellStyle name="40 % - Markeringsfarve1 5 3 2 2 2 2" xfId="15629" xr:uid="{00000000-0005-0000-0000-00002D550000}"/>
    <cellStyle name="40 % - Markeringsfarve1 5 3 2 2 2 2 2" xfId="31944" xr:uid="{00000000-0005-0000-0000-00002E550000}"/>
    <cellStyle name="40 % - Markeringsfarve1 5 3 2 2 2 2 3" xfId="46908" xr:uid="{00000000-0005-0000-0000-00002F550000}"/>
    <cellStyle name="40 % - Markeringsfarve1 5 3 2 2 2 3" xfId="24922" xr:uid="{00000000-0005-0000-0000-000030550000}"/>
    <cellStyle name="40 % - Markeringsfarve1 5 3 2 2 2 4" xfId="39909" xr:uid="{00000000-0005-0000-0000-000031550000}"/>
    <cellStyle name="40 % - Markeringsfarve1 5 3 2 2 3" xfId="11882" xr:uid="{00000000-0005-0000-0000-000032550000}"/>
    <cellStyle name="40 % - Markeringsfarve1 5 3 2 2 3 2" xfId="28202" xr:uid="{00000000-0005-0000-0000-000033550000}"/>
    <cellStyle name="40 % - Markeringsfarve1 5 3 2 2 3 3" xfId="43167" xr:uid="{00000000-0005-0000-0000-000034550000}"/>
    <cellStyle name="40 % - Markeringsfarve1 5 3 2 2 4" xfId="21180" xr:uid="{00000000-0005-0000-0000-000035550000}"/>
    <cellStyle name="40 % - Markeringsfarve1 5 3 2 2 5" xfId="36168" xr:uid="{00000000-0005-0000-0000-000036550000}"/>
    <cellStyle name="40 % - Markeringsfarve1 5 3 2 3" xfId="6282" xr:uid="{00000000-0005-0000-0000-000037550000}"/>
    <cellStyle name="40 % - Markeringsfarve1 5 3 2 3 2" xfId="14200" xr:uid="{00000000-0005-0000-0000-000038550000}"/>
    <cellStyle name="40 % - Markeringsfarve1 5 3 2 3 2 2" xfId="30515" xr:uid="{00000000-0005-0000-0000-000039550000}"/>
    <cellStyle name="40 % - Markeringsfarve1 5 3 2 3 2 3" xfId="45479" xr:uid="{00000000-0005-0000-0000-00003A550000}"/>
    <cellStyle name="40 % - Markeringsfarve1 5 3 2 3 3" xfId="23493" xr:uid="{00000000-0005-0000-0000-00003B550000}"/>
    <cellStyle name="40 % - Markeringsfarve1 5 3 2 3 4" xfId="38480" xr:uid="{00000000-0005-0000-0000-00003C550000}"/>
    <cellStyle name="40 % - Markeringsfarve1 5 3 2 4" xfId="11881" xr:uid="{00000000-0005-0000-0000-00003D550000}"/>
    <cellStyle name="40 % - Markeringsfarve1 5 3 2 4 2" xfId="28201" xr:uid="{00000000-0005-0000-0000-00003E550000}"/>
    <cellStyle name="40 % - Markeringsfarve1 5 3 2 4 3" xfId="43166" xr:uid="{00000000-0005-0000-0000-00003F550000}"/>
    <cellStyle name="40 % - Markeringsfarve1 5 3 2 5" xfId="21179" xr:uid="{00000000-0005-0000-0000-000040550000}"/>
    <cellStyle name="40 % - Markeringsfarve1 5 3 2 6" xfId="36167" xr:uid="{00000000-0005-0000-0000-000041550000}"/>
    <cellStyle name="40 % - Markeringsfarve1 5 3 3" xfId="3323" xr:uid="{00000000-0005-0000-0000-000042550000}"/>
    <cellStyle name="40 % - Markeringsfarve1 5 3 3 2" xfId="6957" xr:uid="{00000000-0005-0000-0000-000043550000}"/>
    <cellStyle name="40 % - Markeringsfarve1 5 3 3 2 2" xfId="14869" xr:uid="{00000000-0005-0000-0000-000044550000}"/>
    <cellStyle name="40 % - Markeringsfarve1 5 3 3 2 2 2" xfId="31184" xr:uid="{00000000-0005-0000-0000-000045550000}"/>
    <cellStyle name="40 % - Markeringsfarve1 5 3 3 2 2 3" xfId="46148" xr:uid="{00000000-0005-0000-0000-000046550000}"/>
    <cellStyle name="40 % - Markeringsfarve1 5 3 3 2 3" xfId="24162" xr:uid="{00000000-0005-0000-0000-000047550000}"/>
    <cellStyle name="40 % - Markeringsfarve1 5 3 3 2 4" xfId="39149" xr:uid="{00000000-0005-0000-0000-000048550000}"/>
    <cellStyle name="40 % - Markeringsfarve1 5 3 3 3" xfId="11883" xr:uid="{00000000-0005-0000-0000-000049550000}"/>
    <cellStyle name="40 % - Markeringsfarve1 5 3 3 3 2" xfId="28203" xr:uid="{00000000-0005-0000-0000-00004A550000}"/>
    <cellStyle name="40 % - Markeringsfarve1 5 3 3 3 3" xfId="43168" xr:uid="{00000000-0005-0000-0000-00004B550000}"/>
    <cellStyle name="40 % - Markeringsfarve1 5 3 3 4" xfId="21181" xr:uid="{00000000-0005-0000-0000-00004C550000}"/>
    <cellStyle name="40 % - Markeringsfarve1 5 3 3 5" xfId="36169" xr:uid="{00000000-0005-0000-0000-00004D550000}"/>
    <cellStyle name="40 % - Markeringsfarve1 5 3 4" xfId="3324" xr:uid="{00000000-0005-0000-0000-00004E550000}"/>
    <cellStyle name="40 % - Markeringsfarve1 5 3 4 2" xfId="8714" xr:uid="{00000000-0005-0000-0000-00004F550000}"/>
    <cellStyle name="40 % - Markeringsfarve1 5 3 4 2 2" xfId="16591" xr:uid="{00000000-0005-0000-0000-000050550000}"/>
    <cellStyle name="40 % - Markeringsfarve1 5 3 4 2 2 2" xfId="32906" xr:uid="{00000000-0005-0000-0000-000051550000}"/>
    <cellStyle name="40 % - Markeringsfarve1 5 3 4 2 2 3" xfId="47870" xr:uid="{00000000-0005-0000-0000-000052550000}"/>
    <cellStyle name="40 % - Markeringsfarve1 5 3 4 2 3" xfId="25884" xr:uid="{00000000-0005-0000-0000-000053550000}"/>
    <cellStyle name="40 % - Markeringsfarve1 5 3 4 2 4" xfId="40871" xr:uid="{00000000-0005-0000-0000-000054550000}"/>
    <cellStyle name="40 % - Markeringsfarve1 5 3 4 3" xfId="11884" xr:uid="{00000000-0005-0000-0000-000055550000}"/>
    <cellStyle name="40 % - Markeringsfarve1 5 3 4 3 2" xfId="28204" xr:uid="{00000000-0005-0000-0000-000056550000}"/>
    <cellStyle name="40 % - Markeringsfarve1 5 3 4 3 3" xfId="43169" xr:uid="{00000000-0005-0000-0000-000057550000}"/>
    <cellStyle name="40 % - Markeringsfarve1 5 3 4 4" xfId="21182" xr:uid="{00000000-0005-0000-0000-000058550000}"/>
    <cellStyle name="40 % - Markeringsfarve1 5 3 4 5" xfId="36170" xr:uid="{00000000-0005-0000-0000-000059550000}"/>
    <cellStyle name="40 % - Markeringsfarve1 5 3 5" xfId="5733" xr:uid="{00000000-0005-0000-0000-00005A550000}"/>
    <cellStyle name="40 % - Markeringsfarve1 5 3 5 2" xfId="13652" xr:uid="{00000000-0005-0000-0000-00005B550000}"/>
    <cellStyle name="40 % - Markeringsfarve1 5 3 5 2 2" xfId="29967" xr:uid="{00000000-0005-0000-0000-00005C550000}"/>
    <cellStyle name="40 % - Markeringsfarve1 5 3 5 2 3" xfId="44931" xr:uid="{00000000-0005-0000-0000-00005D550000}"/>
    <cellStyle name="40 % - Markeringsfarve1 5 3 5 3" xfId="22945" xr:uid="{00000000-0005-0000-0000-00005E550000}"/>
    <cellStyle name="40 % - Markeringsfarve1 5 3 5 4" xfId="37932" xr:uid="{00000000-0005-0000-0000-00005F550000}"/>
    <cellStyle name="40 % - Markeringsfarve1 5 3 6" xfId="11880" xr:uid="{00000000-0005-0000-0000-000060550000}"/>
    <cellStyle name="40 % - Markeringsfarve1 5 3 6 2" xfId="28200" xr:uid="{00000000-0005-0000-0000-000061550000}"/>
    <cellStyle name="40 % - Markeringsfarve1 5 3 6 3" xfId="43165" xr:uid="{00000000-0005-0000-0000-000062550000}"/>
    <cellStyle name="40 % - Markeringsfarve1 5 3 7" xfId="21178" xr:uid="{00000000-0005-0000-0000-000063550000}"/>
    <cellStyle name="40 % - Markeringsfarve1 5 3 8" xfId="36166" xr:uid="{00000000-0005-0000-0000-000064550000}"/>
    <cellStyle name="40 % - Markeringsfarve1 5 3 9" xfId="56458" xr:uid="{00000000-0005-0000-0000-000065550000}"/>
    <cellStyle name="40 % - Markeringsfarve1 5 4" xfId="3325" xr:uid="{00000000-0005-0000-0000-000066550000}"/>
    <cellStyle name="40 % - Markeringsfarve1 5 4 2" xfId="3326" xr:uid="{00000000-0005-0000-0000-000067550000}"/>
    <cellStyle name="40 % - Markeringsfarve1 5 4 2 2" xfId="3327" xr:uid="{00000000-0005-0000-0000-000068550000}"/>
    <cellStyle name="40 % - Markeringsfarve1 5 4 2 2 2" xfId="7864" xr:uid="{00000000-0005-0000-0000-000069550000}"/>
    <cellStyle name="40 % - Markeringsfarve1 5 4 2 2 2 2" xfId="15766" xr:uid="{00000000-0005-0000-0000-00006A550000}"/>
    <cellStyle name="40 % - Markeringsfarve1 5 4 2 2 2 2 2" xfId="32081" xr:uid="{00000000-0005-0000-0000-00006B550000}"/>
    <cellStyle name="40 % - Markeringsfarve1 5 4 2 2 2 2 3" xfId="47045" xr:uid="{00000000-0005-0000-0000-00006C550000}"/>
    <cellStyle name="40 % - Markeringsfarve1 5 4 2 2 2 3" xfId="25059" xr:uid="{00000000-0005-0000-0000-00006D550000}"/>
    <cellStyle name="40 % - Markeringsfarve1 5 4 2 2 2 4" xfId="40046" xr:uid="{00000000-0005-0000-0000-00006E550000}"/>
    <cellStyle name="40 % - Markeringsfarve1 5 4 2 2 3" xfId="11887" xr:uid="{00000000-0005-0000-0000-00006F550000}"/>
    <cellStyle name="40 % - Markeringsfarve1 5 4 2 2 3 2" xfId="28207" xr:uid="{00000000-0005-0000-0000-000070550000}"/>
    <cellStyle name="40 % - Markeringsfarve1 5 4 2 2 3 3" xfId="43172" xr:uid="{00000000-0005-0000-0000-000071550000}"/>
    <cellStyle name="40 % - Markeringsfarve1 5 4 2 2 4" xfId="21185" xr:uid="{00000000-0005-0000-0000-000072550000}"/>
    <cellStyle name="40 % - Markeringsfarve1 5 4 2 2 5" xfId="36173" xr:uid="{00000000-0005-0000-0000-000073550000}"/>
    <cellStyle name="40 % - Markeringsfarve1 5 4 2 3" xfId="6399" xr:uid="{00000000-0005-0000-0000-000074550000}"/>
    <cellStyle name="40 % - Markeringsfarve1 5 4 2 3 2" xfId="14314" xr:uid="{00000000-0005-0000-0000-000075550000}"/>
    <cellStyle name="40 % - Markeringsfarve1 5 4 2 3 2 2" xfId="30629" xr:uid="{00000000-0005-0000-0000-000076550000}"/>
    <cellStyle name="40 % - Markeringsfarve1 5 4 2 3 2 3" xfId="45593" xr:uid="{00000000-0005-0000-0000-000077550000}"/>
    <cellStyle name="40 % - Markeringsfarve1 5 4 2 3 3" xfId="23607" xr:uid="{00000000-0005-0000-0000-000078550000}"/>
    <cellStyle name="40 % - Markeringsfarve1 5 4 2 3 4" xfId="38594" xr:uid="{00000000-0005-0000-0000-000079550000}"/>
    <cellStyle name="40 % - Markeringsfarve1 5 4 2 4" xfId="11886" xr:uid="{00000000-0005-0000-0000-00007A550000}"/>
    <cellStyle name="40 % - Markeringsfarve1 5 4 2 4 2" xfId="28206" xr:uid="{00000000-0005-0000-0000-00007B550000}"/>
    <cellStyle name="40 % - Markeringsfarve1 5 4 2 4 3" xfId="43171" xr:uid="{00000000-0005-0000-0000-00007C550000}"/>
    <cellStyle name="40 % - Markeringsfarve1 5 4 2 5" xfId="21184" xr:uid="{00000000-0005-0000-0000-00007D550000}"/>
    <cellStyle name="40 % - Markeringsfarve1 5 4 2 6" xfId="36172" xr:uid="{00000000-0005-0000-0000-00007E550000}"/>
    <cellStyle name="40 % - Markeringsfarve1 5 4 3" xfId="3328" xr:uid="{00000000-0005-0000-0000-00007F550000}"/>
    <cellStyle name="40 % - Markeringsfarve1 5 4 3 2" xfId="7140" xr:uid="{00000000-0005-0000-0000-000080550000}"/>
    <cellStyle name="40 % - Markeringsfarve1 5 4 3 2 2" xfId="15051" xr:uid="{00000000-0005-0000-0000-000081550000}"/>
    <cellStyle name="40 % - Markeringsfarve1 5 4 3 2 2 2" xfId="31366" xr:uid="{00000000-0005-0000-0000-000082550000}"/>
    <cellStyle name="40 % - Markeringsfarve1 5 4 3 2 2 3" xfId="46330" xr:uid="{00000000-0005-0000-0000-000083550000}"/>
    <cellStyle name="40 % - Markeringsfarve1 5 4 3 2 3" xfId="24344" xr:uid="{00000000-0005-0000-0000-000084550000}"/>
    <cellStyle name="40 % - Markeringsfarve1 5 4 3 2 4" xfId="39331" xr:uid="{00000000-0005-0000-0000-000085550000}"/>
    <cellStyle name="40 % - Markeringsfarve1 5 4 3 3" xfId="11888" xr:uid="{00000000-0005-0000-0000-000086550000}"/>
    <cellStyle name="40 % - Markeringsfarve1 5 4 3 3 2" xfId="28208" xr:uid="{00000000-0005-0000-0000-000087550000}"/>
    <cellStyle name="40 % - Markeringsfarve1 5 4 3 3 3" xfId="43173" xr:uid="{00000000-0005-0000-0000-000088550000}"/>
    <cellStyle name="40 % - Markeringsfarve1 5 4 3 4" xfId="21186" xr:uid="{00000000-0005-0000-0000-000089550000}"/>
    <cellStyle name="40 % - Markeringsfarve1 5 4 3 5" xfId="36174" xr:uid="{00000000-0005-0000-0000-00008A550000}"/>
    <cellStyle name="40 % - Markeringsfarve1 5 4 4" xfId="3329" xr:uid="{00000000-0005-0000-0000-00008B550000}"/>
    <cellStyle name="40 % - Markeringsfarve1 5 4 4 2" xfId="8434" xr:uid="{00000000-0005-0000-0000-00008C550000}"/>
    <cellStyle name="40 % - Markeringsfarve1 5 4 4 2 2" xfId="16324" xr:uid="{00000000-0005-0000-0000-00008D550000}"/>
    <cellStyle name="40 % - Markeringsfarve1 5 4 4 2 2 2" xfId="32639" xr:uid="{00000000-0005-0000-0000-00008E550000}"/>
    <cellStyle name="40 % - Markeringsfarve1 5 4 4 2 2 3" xfId="47603" xr:uid="{00000000-0005-0000-0000-00008F550000}"/>
    <cellStyle name="40 % - Markeringsfarve1 5 4 4 2 3" xfId="25617" xr:uid="{00000000-0005-0000-0000-000090550000}"/>
    <cellStyle name="40 % - Markeringsfarve1 5 4 4 2 4" xfId="40604" xr:uid="{00000000-0005-0000-0000-000091550000}"/>
    <cellStyle name="40 % - Markeringsfarve1 5 4 4 3" xfId="11889" xr:uid="{00000000-0005-0000-0000-000092550000}"/>
    <cellStyle name="40 % - Markeringsfarve1 5 4 4 3 2" xfId="28209" xr:uid="{00000000-0005-0000-0000-000093550000}"/>
    <cellStyle name="40 % - Markeringsfarve1 5 4 4 3 3" xfId="43174" xr:uid="{00000000-0005-0000-0000-000094550000}"/>
    <cellStyle name="40 % - Markeringsfarve1 5 4 4 4" xfId="21187" xr:uid="{00000000-0005-0000-0000-000095550000}"/>
    <cellStyle name="40 % - Markeringsfarve1 5 4 4 5" xfId="36175" xr:uid="{00000000-0005-0000-0000-000096550000}"/>
    <cellStyle name="40 % - Markeringsfarve1 5 4 5" xfId="5734" xr:uid="{00000000-0005-0000-0000-000097550000}"/>
    <cellStyle name="40 % - Markeringsfarve1 5 4 5 2" xfId="13653" xr:uid="{00000000-0005-0000-0000-000098550000}"/>
    <cellStyle name="40 % - Markeringsfarve1 5 4 5 2 2" xfId="29968" xr:uid="{00000000-0005-0000-0000-000099550000}"/>
    <cellStyle name="40 % - Markeringsfarve1 5 4 5 2 3" xfId="44932" xr:uid="{00000000-0005-0000-0000-00009A550000}"/>
    <cellStyle name="40 % - Markeringsfarve1 5 4 5 3" xfId="22946" xr:uid="{00000000-0005-0000-0000-00009B550000}"/>
    <cellStyle name="40 % - Markeringsfarve1 5 4 5 4" xfId="37933" xr:uid="{00000000-0005-0000-0000-00009C550000}"/>
    <cellStyle name="40 % - Markeringsfarve1 5 4 6" xfId="11885" xr:uid="{00000000-0005-0000-0000-00009D550000}"/>
    <cellStyle name="40 % - Markeringsfarve1 5 4 6 2" xfId="28205" xr:uid="{00000000-0005-0000-0000-00009E550000}"/>
    <cellStyle name="40 % - Markeringsfarve1 5 4 6 3" xfId="43170" xr:uid="{00000000-0005-0000-0000-00009F550000}"/>
    <cellStyle name="40 % - Markeringsfarve1 5 4 7" xfId="21183" xr:uid="{00000000-0005-0000-0000-0000A0550000}"/>
    <cellStyle name="40 % - Markeringsfarve1 5 4 8" xfId="36171" xr:uid="{00000000-0005-0000-0000-0000A1550000}"/>
    <cellStyle name="40 % - Markeringsfarve1 5 5" xfId="3330" xr:uid="{00000000-0005-0000-0000-0000A2550000}"/>
    <cellStyle name="40 % - Markeringsfarve1 5 5 2" xfId="3331" xr:uid="{00000000-0005-0000-0000-0000A3550000}"/>
    <cellStyle name="40 % - Markeringsfarve1 5 5 2 2" xfId="3332" xr:uid="{00000000-0005-0000-0000-0000A4550000}"/>
    <cellStyle name="40 % - Markeringsfarve1 5 5 2 2 2" xfId="7981" xr:uid="{00000000-0005-0000-0000-0000A5550000}"/>
    <cellStyle name="40 % - Markeringsfarve1 5 5 2 2 2 2" xfId="15883" xr:uid="{00000000-0005-0000-0000-0000A6550000}"/>
    <cellStyle name="40 % - Markeringsfarve1 5 5 2 2 2 2 2" xfId="32198" xr:uid="{00000000-0005-0000-0000-0000A7550000}"/>
    <cellStyle name="40 % - Markeringsfarve1 5 5 2 2 2 2 3" xfId="47162" xr:uid="{00000000-0005-0000-0000-0000A8550000}"/>
    <cellStyle name="40 % - Markeringsfarve1 5 5 2 2 2 3" xfId="25176" xr:uid="{00000000-0005-0000-0000-0000A9550000}"/>
    <cellStyle name="40 % - Markeringsfarve1 5 5 2 2 2 4" xfId="40163" xr:uid="{00000000-0005-0000-0000-0000AA550000}"/>
    <cellStyle name="40 % - Markeringsfarve1 5 5 2 2 3" xfId="11892" xr:uid="{00000000-0005-0000-0000-0000AB550000}"/>
    <cellStyle name="40 % - Markeringsfarve1 5 5 2 2 3 2" xfId="28212" xr:uid="{00000000-0005-0000-0000-0000AC550000}"/>
    <cellStyle name="40 % - Markeringsfarve1 5 5 2 2 3 3" xfId="43177" xr:uid="{00000000-0005-0000-0000-0000AD550000}"/>
    <cellStyle name="40 % - Markeringsfarve1 5 5 2 2 4" xfId="21190" xr:uid="{00000000-0005-0000-0000-0000AE550000}"/>
    <cellStyle name="40 % - Markeringsfarve1 5 5 2 2 5" xfId="36178" xr:uid="{00000000-0005-0000-0000-0000AF550000}"/>
    <cellStyle name="40 % - Markeringsfarve1 5 5 2 3" xfId="6498" xr:uid="{00000000-0005-0000-0000-0000B0550000}"/>
    <cellStyle name="40 % - Markeringsfarve1 5 5 2 3 2" xfId="14413" xr:uid="{00000000-0005-0000-0000-0000B1550000}"/>
    <cellStyle name="40 % - Markeringsfarve1 5 5 2 3 2 2" xfId="30728" xr:uid="{00000000-0005-0000-0000-0000B2550000}"/>
    <cellStyle name="40 % - Markeringsfarve1 5 5 2 3 2 3" xfId="45692" xr:uid="{00000000-0005-0000-0000-0000B3550000}"/>
    <cellStyle name="40 % - Markeringsfarve1 5 5 2 3 3" xfId="23706" xr:uid="{00000000-0005-0000-0000-0000B4550000}"/>
    <cellStyle name="40 % - Markeringsfarve1 5 5 2 3 4" xfId="38693" xr:uid="{00000000-0005-0000-0000-0000B5550000}"/>
    <cellStyle name="40 % - Markeringsfarve1 5 5 2 4" xfId="11891" xr:uid="{00000000-0005-0000-0000-0000B6550000}"/>
    <cellStyle name="40 % - Markeringsfarve1 5 5 2 4 2" xfId="28211" xr:uid="{00000000-0005-0000-0000-0000B7550000}"/>
    <cellStyle name="40 % - Markeringsfarve1 5 5 2 4 3" xfId="43176" xr:uid="{00000000-0005-0000-0000-0000B8550000}"/>
    <cellStyle name="40 % - Markeringsfarve1 5 5 2 5" xfId="21189" xr:uid="{00000000-0005-0000-0000-0000B9550000}"/>
    <cellStyle name="40 % - Markeringsfarve1 5 5 2 6" xfId="36177" xr:uid="{00000000-0005-0000-0000-0000BA550000}"/>
    <cellStyle name="40 % - Markeringsfarve1 5 5 3" xfId="3333" xr:uid="{00000000-0005-0000-0000-0000BB550000}"/>
    <cellStyle name="40 % - Markeringsfarve1 5 5 3 2" xfId="7257" xr:uid="{00000000-0005-0000-0000-0000BC550000}"/>
    <cellStyle name="40 % - Markeringsfarve1 5 5 3 2 2" xfId="15168" xr:uid="{00000000-0005-0000-0000-0000BD550000}"/>
    <cellStyle name="40 % - Markeringsfarve1 5 5 3 2 2 2" xfId="31483" xr:uid="{00000000-0005-0000-0000-0000BE550000}"/>
    <cellStyle name="40 % - Markeringsfarve1 5 5 3 2 2 3" xfId="46447" xr:uid="{00000000-0005-0000-0000-0000BF550000}"/>
    <cellStyle name="40 % - Markeringsfarve1 5 5 3 2 3" xfId="24461" xr:uid="{00000000-0005-0000-0000-0000C0550000}"/>
    <cellStyle name="40 % - Markeringsfarve1 5 5 3 2 4" xfId="39448" xr:uid="{00000000-0005-0000-0000-0000C1550000}"/>
    <cellStyle name="40 % - Markeringsfarve1 5 5 3 3" xfId="11893" xr:uid="{00000000-0005-0000-0000-0000C2550000}"/>
    <cellStyle name="40 % - Markeringsfarve1 5 5 3 3 2" xfId="28213" xr:uid="{00000000-0005-0000-0000-0000C3550000}"/>
    <cellStyle name="40 % - Markeringsfarve1 5 5 3 3 3" xfId="43178" xr:uid="{00000000-0005-0000-0000-0000C4550000}"/>
    <cellStyle name="40 % - Markeringsfarve1 5 5 3 4" xfId="21191" xr:uid="{00000000-0005-0000-0000-0000C5550000}"/>
    <cellStyle name="40 % - Markeringsfarve1 5 5 3 5" xfId="36179" xr:uid="{00000000-0005-0000-0000-0000C6550000}"/>
    <cellStyle name="40 % - Markeringsfarve1 5 5 4" xfId="3334" xr:uid="{00000000-0005-0000-0000-0000C7550000}"/>
    <cellStyle name="40 % - Markeringsfarve1 5 5 4 2" xfId="6643" xr:uid="{00000000-0005-0000-0000-0000C8550000}"/>
    <cellStyle name="40 % - Markeringsfarve1 5 5 4 2 2" xfId="14557" xr:uid="{00000000-0005-0000-0000-0000C9550000}"/>
    <cellStyle name="40 % - Markeringsfarve1 5 5 4 2 2 2" xfId="30872" xr:uid="{00000000-0005-0000-0000-0000CA550000}"/>
    <cellStyle name="40 % - Markeringsfarve1 5 5 4 2 2 3" xfId="45836" xr:uid="{00000000-0005-0000-0000-0000CB550000}"/>
    <cellStyle name="40 % - Markeringsfarve1 5 5 4 2 3" xfId="23850" xr:uid="{00000000-0005-0000-0000-0000CC550000}"/>
    <cellStyle name="40 % - Markeringsfarve1 5 5 4 2 4" xfId="38837" xr:uid="{00000000-0005-0000-0000-0000CD550000}"/>
    <cellStyle name="40 % - Markeringsfarve1 5 5 4 3" xfId="11894" xr:uid="{00000000-0005-0000-0000-0000CE550000}"/>
    <cellStyle name="40 % - Markeringsfarve1 5 5 4 3 2" xfId="28214" xr:uid="{00000000-0005-0000-0000-0000CF550000}"/>
    <cellStyle name="40 % - Markeringsfarve1 5 5 4 3 3" xfId="43179" xr:uid="{00000000-0005-0000-0000-0000D0550000}"/>
    <cellStyle name="40 % - Markeringsfarve1 5 5 4 4" xfId="21192" xr:uid="{00000000-0005-0000-0000-0000D1550000}"/>
    <cellStyle name="40 % - Markeringsfarve1 5 5 4 5" xfId="36180" xr:uid="{00000000-0005-0000-0000-0000D2550000}"/>
    <cellStyle name="40 % - Markeringsfarve1 5 5 5" xfId="5735" xr:uid="{00000000-0005-0000-0000-0000D3550000}"/>
    <cellStyle name="40 % - Markeringsfarve1 5 5 5 2" xfId="13654" xr:uid="{00000000-0005-0000-0000-0000D4550000}"/>
    <cellStyle name="40 % - Markeringsfarve1 5 5 5 2 2" xfId="29969" xr:uid="{00000000-0005-0000-0000-0000D5550000}"/>
    <cellStyle name="40 % - Markeringsfarve1 5 5 5 2 3" xfId="44933" xr:uid="{00000000-0005-0000-0000-0000D6550000}"/>
    <cellStyle name="40 % - Markeringsfarve1 5 5 5 3" xfId="22947" xr:uid="{00000000-0005-0000-0000-0000D7550000}"/>
    <cellStyle name="40 % - Markeringsfarve1 5 5 5 4" xfId="37934" xr:uid="{00000000-0005-0000-0000-0000D8550000}"/>
    <cellStyle name="40 % - Markeringsfarve1 5 5 6" xfId="11890" xr:uid="{00000000-0005-0000-0000-0000D9550000}"/>
    <cellStyle name="40 % - Markeringsfarve1 5 5 6 2" xfId="28210" xr:uid="{00000000-0005-0000-0000-0000DA550000}"/>
    <cellStyle name="40 % - Markeringsfarve1 5 5 6 3" xfId="43175" xr:uid="{00000000-0005-0000-0000-0000DB550000}"/>
    <cellStyle name="40 % - Markeringsfarve1 5 5 7" xfId="21188" xr:uid="{00000000-0005-0000-0000-0000DC550000}"/>
    <cellStyle name="40 % - Markeringsfarve1 5 5 8" xfId="36176" xr:uid="{00000000-0005-0000-0000-0000DD550000}"/>
    <cellStyle name="40 % - Markeringsfarve1 5 6" xfId="3335" xr:uid="{00000000-0005-0000-0000-0000DE550000}"/>
    <cellStyle name="40 % - Markeringsfarve1 5 6 2" xfId="3336" xr:uid="{00000000-0005-0000-0000-0000DF550000}"/>
    <cellStyle name="40 % - Markeringsfarve1 5 6 2 2" xfId="3337" xr:uid="{00000000-0005-0000-0000-0000E0550000}"/>
    <cellStyle name="40 % - Markeringsfarve1 5 6 2 2 2" xfId="8081" xr:uid="{00000000-0005-0000-0000-0000E1550000}"/>
    <cellStyle name="40 % - Markeringsfarve1 5 6 2 2 2 2" xfId="15983" xr:uid="{00000000-0005-0000-0000-0000E2550000}"/>
    <cellStyle name="40 % - Markeringsfarve1 5 6 2 2 2 2 2" xfId="32298" xr:uid="{00000000-0005-0000-0000-0000E3550000}"/>
    <cellStyle name="40 % - Markeringsfarve1 5 6 2 2 2 2 3" xfId="47262" xr:uid="{00000000-0005-0000-0000-0000E4550000}"/>
    <cellStyle name="40 % - Markeringsfarve1 5 6 2 2 2 3" xfId="25276" xr:uid="{00000000-0005-0000-0000-0000E5550000}"/>
    <cellStyle name="40 % - Markeringsfarve1 5 6 2 2 2 4" xfId="40263" xr:uid="{00000000-0005-0000-0000-0000E6550000}"/>
    <cellStyle name="40 % - Markeringsfarve1 5 6 2 2 3" xfId="11897" xr:uid="{00000000-0005-0000-0000-0000E7550000}"/>
    <cellStyle name="40 % - Markeringsfarve1 5 6 2 2 3 2" xfId="28217" xr:uid="{00000000-0005-0000-0000-0000E8550000}"/>
    <cellStyle name="40 % - Markeringsfarve1 5 6 2 2 3 3" xfId="43182" xr:uid="{00000000-0005-0000-0000-0000E9550000}"/>
    <cellStyle name="40 % - Markeringsfarve1 5 6 2 2 4" xfId="21195" xr:uid="{00000000-0005-0000-0000-0000EA550000}"/>
    <cellStyle name="40 % - Markeringsfarve1 5 6 2 2 5" xfId="36183" xr:uid="{00000000-0005-0000-0000-0000EB550000}"/>
    <cellStyle name="40 % - Markeringsfarve1 5 6 2 3" xfId="6583" xr:uid="{00000000-0005-0000-0000-0000EC550000}"/>
    <cellStyle name="40 % - Markeringsfarve1 5 6 2 3 2" xfId="14498" xr:uid="{00000000-0005-0000-0000-0000ED550000}"/>
    <cellStyle name="40 % - Markeringsfarve1 5 6 2 3 2 2" xfId="30813" xr:uid="{00000000-0005-0000-0000-0000EE550000}"/>
    <cellStyle name="40 % - Markeringsfarve1 5 6 2 3 2 3" xfId="45777" xr:uid="{00000000-0005-0000-0000-0000EF550000}"/>
    <cellStyle name="40 % - Markeringsfarve1 5 6 2 3 3" xfId="23791" xr:uid="{00000000-0005-0000-0000-0000F0550000}"/>
    <cellStyle name="40 % - Markeringsfarve1 5 6 2 3 4" xfId="38778" xr:uid="{00000000-0005-0000-0000-0000F1550000}"/>
    <cellStyle name="40 % - Markeringsfarve1 5 6 2 4" xfId="11896" xr:uid="{00000000-0005-0000-0000-0000F2550000}"/>
    <cellStyle name="40 % - Markeringsfarve1 5 6 2 4 2" xfId="28216" xr:uid="{00000000-0005-0000-0000-0000F3550000}"/>
    <cellStyle name="40 % - Markeringsfarve1 5 6 2 4 3" xfId="43181" xr:uid="{00000000-0005-0000-0000-0000F4550000}"/>
    <cellStyle name="40 % - Markeringsfarve1 5 6 2 5" xfId="21194" xr:uid="{00000000-0005-0000-0000-0000F5550000}"/>
    <cellStyle name="40 % - Markeringsfarve1 5 6 2 6" xfId="36182" xr:uid="{00000000-0005-0000-0000-0000F6550000}"/>
    <cellStyle name="40 % - Markeringsfarve1 5 6 3" xfId="3338" xr:uid="{00000000-0005-0000-0000-0000F7550000}"/>
    <cellStyle name="40 % - Markeringsfarve1 5 6 3 2" xfId="7358" xr:uid="{00000000-0005-0000-0000-0000F8550000}"/>
    <cellStyle name="40 % - Markeringsfarve1 5 6 3 2 2" xfId="15269" xr:uid="{00000000-0005-0000-0000-0000F9550000}"/>
    <cellStyle name="40 % - Markeringsfarve1 5 6 3 2 2 2" xfId="31584" xr:uid="{00000000-0005-0000-0000-0000FA550000}"/>
    <cellStyle name="40 % - Markeringsfarve1 5 6 3 2 2 3" xfId="46548" xr:uid="{00000000-0005-0000-0000-0000FB550000}"/>
    <cellStyle name="40 % - Markeringsfarve1 5 6 3 2 3" xfId="24562" xr:uid="{00000000-0005-0000-0000-0000FC550000}"/>
    <cellStyle name="40 % - Markeringsfarve1 5 6 3 2 4" xfId="39549" xr:uid="{00000000-0005-0000-0000-0000FD550000}"/>
    <cellStyle name="40 % - Markeringsfarve1 5 6 3 3" xfId="11898" xr:uid="{00000000-0005-0000-0000-0000FE550000}"/>
    <cellStyle name="40 % - Markeringsfarve1 5 6 3 3 2" xfId="28218" xr:uid="{00000000-0005-0000-0000-0000FF550000}"/>
    <cellStyle name="40 % - Markeringsfarve1 5 6 3 3 3" xfId="43183" xr:uid="{00000000-0005-0000-0000-000000560000}"/>
    <cellStyle name="40 % - Markeringsfarve1 5 6 3 4" xfId="21196" xr:uid="{00000000-0005-0000-0000-000001560000}"/>
    <cellStyle name="40 % - Markeringsfarve1 5 6 3 5" xfId="36184" xr:uid="{00000000-0005-0000-0000-000002560000}"/>
    <cellStyle name="40 % - Markeringsfarve1 5 6 4" xfId="3339" xr:uid="{00000000-0005-0000-0000-000003560000}"/>
    <cellStyle name="40 % - Markeringsfarve1 5 6 4 2" xfId="8644" xr:uid="{00000000-0005-0000-0000-000004560000}"/>
    <cellStyle name="40 % - Markeringsfarve1 5 6 4 2 2" xfId="16525" xr:uid="{00000000-0005-0000-0000-000005560000}"/>
    <cellStyle name="40 % - Markeringsfarve1 5 6 4 2 2 2" xfId="32840" xr:uid="{00000000-0005-0000-0000-000006560000}"/>
    <cellStyle name="40 % - Markeringsfarve1 5 6 4 2 2 3" xfId="47804" xr:uid="{00000000-0005-0000-0000-000007560000}"/>
    <cellStyle name="40 % - Markeringsfarve1 5 6 4 2 3" xfId="25818" xr:uid="{00000000-0005-0000-0000-000008560000}"/>
    <cellStyle name="40 % - Markeringsfarve1 5 6 4 2 4" xfId="40805" xr:uid="{00000000-0005-0000-0000-000009560000}"/>
    <cellStyle name="40 % - Markeringsfarve1 5 6 4 3" xfId="11899" xr:uid="{00000000-0005-0000-0000-00000A560000}"/>
    <cellStyle name="40 % - Markeringsfarve1 5 6 4 3 2" xfId="28219" xr:uid="{00000000-0005-0000-0000-00000B560000}"/>
    <cellStyle name="40 % - Markeringsfarve1 5 6 4 3 3" xfId="43184" xr:uid="{00000000-0005-0000-0000-00000C560000}"/>
    <cellStyle name="40 % - Markeringsfarve1 5 6 4 4" xfId="21197" xr:uid="{00000000-0005-0000-0000-00000D560000}"/>
    <cellStyle name="40 % - Markeringsfarve1 5 6 4 5" xfId="36185" xr:uid="{00000000-0005-0000-0000-00000E560000}"/>
    <cellStyle name="40 % - Markeringsfarve1 5 6 5" xfId="5736" xr:uid="{00000000-0005-0000-0000-00000F560000}"/>
    <cellStyle name="40 % - Markeringsfarve1 5 6 5 2" xfId="13655" xr:uid="{00000000-0005-0000-0000-000010560000}"/>
    <cellStyle name="40 % - Markeringsfarve1 5 6 5 2 2" xfId="29970" xr:uid="{00000000-0005-0000-0000-000011560000}"/>
    <cellStyle name="40 % - Markeringsfarve1 5 6 5 2 3" xfId="44934" xr:uid="{00000000-0005-0000-0000-000012560000}"/>
    <cellStyle name="40 % - Markeringsfarve1 5 6 5 3" xfId="22948" xr:uid="{00000000-0005-0000-0000-000013560000}"/>
    <cellStyle name="40 % - Markeringsfarve1 5 6 5 4" xfId="37935" xr:uid="{00000000-0005-0000-0000-000014560000}"/>
    <cellStyle name="40 % - Markeringsfarve1 5 6 6" xfId="11895" xr:uid="{00000000-0005-0000-0000-000015560000}"/>
    <cellStyle name="40 % - Markeringsfarve1 5 6 6 2" xfId="28215" xr:uid="{00000000-0005-0000-0000-000016560000}"/>
    <cellStyle name="40 % - Markeringsfarve1 5 6 6 3" xfId="43180" xr:uid="{00000000-0005-0000-0000-000017560000}"/>
    <cellStyle name="40 % - Markeringsfarve1 5 6 7" xfId="21193" xr:uid="{00000000-0005-0000-0000-000018560000}"/>
    <cellStyle name="40 % - Markeringsfarve1 5 6 8" xfId="36181" xr:uid="{00000000-0005-0000-0000-000019560000}"/>
    <cellStyle name="40 % - Markeringsfarve1 5 7" xfId="3340" xr:uid="{00000000-0005-0000-0000-00001A560000}"/>
    <cellStyle name="40 % - Markeringsfarve1 5 7 2" xfId="3341" xr:uid="{00000000-0005-0000-0000-00001B560000}"/>
    <cellStyle name="40 % - Markeringsfarve1 5 7 2 2" xfId="7507" xr:uid="{00000000-0005-0000-0000-00001C560000}"/>
    <cellStyle name="40 % - Markeringsfarve1 5 7 2 2 2" xfId="15409" xr:uid="{00000000-0005-0000-0000-00001D560000}"/>
    <cellStyle name="40 % - Markeringsfarve1 5 7 2 2 2 2" xfId="31724" xr:uid="{00000000-0005-0000-0000-00001E560000}"/>
    <cellStyle name="40 % - Markeringsfarve1 5 7 2 2 2 3" xfId="46688" xr:uid="{00000000-0005-0000-0000-00001F560000}"/>
    <cellStyle name="40 % - Markeringsfarve1 5 7 2 2 3" xfId="24702" xr:uid="{00000000-0005-0000-0000-000020560000}"/>
    <cellStyle name="40 % - Markeringsfarve1 5 7 2 2 4" xfId="39689" xr:uid="{00000000-0005-0000-0000-000021560000}"/>
    <cellStyle name="40 % - Markeringsfarve1 5 7 2 3" xfId="11901" xr:uid="{00000000-0005-0000-0000-000022560000}"/>
    <cellStyle name="40 % - Markeringsfarve1 5 7 2 3 2" xfId="28221" xr:uid="{00000000-0005-0000-0000-000023560000}"/>
    <cellStyle name="40 % - Markeringsfarve1 5 7 2 3 3" xfId="43186" xr:uid="{00000000-0005-0000-0000-000024560000}"/>
    <cellStyle name="40 % - Markeringsfarve1 5 7 2 4" xfId="21199" xr:uid="{00000000-0005-0000-0000-000025560000}"/>
    <cellStyle name="40 % - Markeringsfarve1 5 7 2 5" xfId="36187" xr:uid="{00000000-0005-0000-0000-000026560000}"/>
    <cellStyle name="40 % - Markeringsfarve1 5 7 3" xfId="6098" xr:uid="{00000000-0005-0000-0000-000027560000}"/>
    <cellStyle name="40 % - Markeringsfarve1 5 7 3 2" xfId="14016" xr:uid="{00000000-0005-0000-0000-000028560000}"/>
    <cellStyle name="40 % - Markeringsfarve1 5 7 3 2 2" xfId="30331" xr:uid="{00000000-0005-0000-0000-000029560000}"/>
    <cellStyle name="40 % - Markeringsfarve1 5 7 3 2 3" xfId="45295" xr:uid="{00000000-0005-0000-0000-00002A560000}"/>
    <cellStyle name="40 % - Markeringsfarve1 5 7 3 3" xfId="23309" xr:uid="{00000000-0005-0000-0000-00002B560000}"/>
    <cellStyle name="40 % - Markeringsfarve1 5 7 3 4" xfId="38296" xr:uid="{00000000-0005-0000-0000-00002C560000}"/>
    <cellStyle name="40 % - Markeringsfarve1 5 7 4" xfId="11900" xr:uid="{00000000-0005-0000-0000-00002D560000}"/>
    <cellStyle name="40 % - Markeringsfarve1 5 7 4 2" xfId="28220" xr:uid="{00000000-0005-0000-0000-00002E560000}"/>
    <cellStyle name="40 % - Markeringsfarve1 5 7 4 3" xfId="43185" xr:uid="{00000000-0005-0000-0000-00002F560000}"/>
    <cellStyle name="40 % - Markeringsfarve1 5 7 5" xfId="21198" xr:uid="{00000000-0005-0000-0000-000030560000}"/>
    <cellStyle name="40 % - Markeringsfarve1 5 7 6" xfId="36186" xr:uid="{00000000-0005-0000-0000-000031560000}"/>
    <cellStyle name="40 % - Markeringsfarve1 5 8" xfId="3342" xr:uid="{00000000-0005-0000-0000-000032560000}"/>
    <cellStyle name="40 % - Markeringsfarve1 5 8 2" xfId="6735" xr:uid="{00000000-0005-0000-0000-000033560000}"/>
    <cellStyle name="40 % - Markeringsfarve1 5 8 2 2" xfId="14647" xr:uid="{00000000-0005-0000-0000-000034560000}"/>
    <cellStyle name="40 % - Markeringsfarve1 5 8 2 2 2" xfId="30962" xr:uid="{00000000-0005-0000-0000-000035560000}"/>
    <cellStyle name="40 % - Markeringsfarve1 5 8 2 2 3" xfId="45926" xr:uid="{00000000-0005-0000-0000-000036560000}"/>
    <cellStyle name="40 % - Markeringsfarve1 5 8 2 3" xfId="23940" xr:uid="{00000000-0005-0000-0000-000037560000}"/>
    <cellStyle name="40 % - Markeringsfarve1 5 8 2 4" xfId="38927" xr:uid="{00000000-0005-0000-0000-000038560000}"/>
    <cellStyle name="40 % - Markeringsfarve1 5 8 3" xfId="11902" xr:uid="{00000000-0005-0000-0000-000039560000}"/>
    <cellStyle name="40 % - Markeringsfarve1 5 8 3 2" xfId="28222" xr:uid="{00000000-0005-0000-0000-00003A560000}"/>
    <cellStyle name="40 % - Markeringsfarve1 5 8 3 3" xfId="43187" xr:uid="{00000000-0005-0000-0000-00003B560000}"/>
    <cellStyle name="40 % - Markeringsfarve1 5 8 4" xfId="21200" xr:uid="{00000000-0005-0000-0000-00003C560000}"/>
    <cellStyle name="40 % - Markeringsfarve1 5 8 5" xfId="36188" xr:uid="{00000000-0005-0000-0000-00003D560000}"/>
    <cellStyle name="40 % - Markeringsfarve1 5 9" xfId="3343" xr:uid="{00000000-0005-0000-0000-00003E560000}"/>
    <cellStyle name="40 % - Markeringsfarve1 5 9 2" xfId="6632" xr:uid="{00000000-0005-0000-0000-00003F560000}"/>
    <cellStyle name="40 % - Markeringsfarve1 5 9 2 2" xfId="14546" xr:uid="{00000000-0005-0000-0000-000040560000}"/>
    <cellStyle name="40 % - Markeringsfarve1 5 9 2 2 2" xfId="30861" xr:uid="{00000000-0005-0000-0000-000041560000}"/>
    <cellStyle name="40 % - Markeringsfarve1 5 9 2 2 3" xfId="45825" xr:uid="{00000000-0005-0000-0000-000042560000}"/>
    <cellStyle name="40 % - Markeringsfarve1 5 9 2 3" xfId="23839" xr:uid="{00000000-0005-0000-0000-000043560000}"/>
    <cellStyle name="40 % - Markeringsfarve1 5 9 2 4" xfId="38826" xr:uid="{00000000-0005-0000-0000-000044560000}"/>
    <cellStyle name="40 % - Markeringsfarve1 5 9 3" xfId="11903" xr:uid="{00000000-0005-0000-0000-000045560000}"/>
    <cellStyle name="40 % - Markeringsfarve1 5 9 3 2" xfId="28223" xr:uid="{00000000-0005-0000-0000-000046560000}"/>
    <cellStyle name="40 % - Markeringsfarve1 5 9 3 3" xfId="43188" xr:uid="{00000000-0005-0000-0000-000047560000}"/>
    <cellStyle name="40 % - Markeringsfarve1 5 9 4" xfId="21201" xr:uid="{00000000-0005-0000-0000-000048560000}"/>
    <cellStyle name="40 % - Markeringsfarve1 5 9 5" xfId="36189" xr:uid="{00000000-0005-0000-0000-000049560000}"/>
    <cellStyle name="40 % - Markeringsfarve1 6" xfId="3344" xr:uid="{00000000-0005-0000-0000-00004A560000}"/>
    <cellStyle name="40 % - Markeringsfarve1 6 2" xfId="3345" xr:uid="{00000000-0005-0000-0000-00004B560000}"/>
    <cellStyle name="40 % - Markeringsfarve1 6 2 2" xfId="3346" xr:uid="{00000000-0005-0000-0000-00004C560000}"/>
    <cellStyle name="40 % - Markeringsfarve1 6 2 2 2" xfId="7548" xr:uid="{00000000-0005-0000-0000-00004D560000}"/>
    <cellStyle name="40 % - Markeringsfarve1 6 2 2 2 2" xfId="15450" xr:uid="{00000000-0005-0000-0000-00004E560000}"/>
    <cellStyle name="40 % - Markeringsfarve1 6 2 2 2 2 2" xfId="31765" xr:uid="{00000000-0005-0000-0000-00004F560000}"/>
    <cellStyle name="40 % - Markeringsfarve1 6 2 2 2 2 3" xfId="46729" xr:uid="{00000000-0005-0000-0000-000050560000}"/>
    <cellStyle name="40 % - Markeringsfarve1 6 2 2 2 3" xfId="24743" xr:uid="{00000000-0005-0000-0000-000051560000}"/>
    <cellStyle name="40 % - Markeringsfarve1 6 2 2 2 4" xfId="39730" xr:uid="{00000000-0005-0000-0000-000052560000}"/>
    <cellStyle name="40 % - Markeringsfarve1 6 2 2 3" xfId="11906" xr:uid="{00000000-0005-0000-0000-000053560000}"/>
    <cellStyle name="40 % - Markeringsfarve1 6 2 2 3 2" xfId="28226" xr:uid="{00000000-0005-0000-0000-000054560000}"/>
    <cellStyle name="40 % - Markeringsfarve1 6 2 2 3 3" xfId="43191" xr:uid="{00000000-0005-0000-0000-000055560000}"/>
    <cellStyle name="40 % - Markeringsfarve1 6 2 2 4" xfId="21204" xr:uid="{00000000-0005-0000-0000-000056560000}"/>
    <cellStyle name="40 % - Markeringsfarve1 6 2 2 5" xfId="36192" xr:uid="{00000000-0005-0000-0000-000057560000}"/>
    <cellStyle name="40 % - Markeringsfarve1 6 2 2 6" xfId="57080" xr:uid="{00000000-0005-0000-0000-000058560000}"/>
    <cellStyle name="40 % - Markeringsfarve1 6 2 3" xfId="6131" xr:uid="{00000000-0005-0000-0000-000059560000}"/>
    <cellStyle name="40 % - Markeringsfarve1 6 2 3 2" xfId="14049" xr:uid="{00000000-0005-0000-0000-00005A560000}"/>
    <cellStyle name="40 % - Markeringsfarve1 6 2 3 2 2" xfId="30364" xr:uid="{00000000-0005-0000-0000-00005B560000}"/>
    <cellStyle name="40 % - Markeringsfarve1 6 2 3 2 3" xfId="45328" xr:uid="{00000000-0005-0000-0000-00005C560000}"/>
    <cellStyle name="40 % - Markeringsfarve1 6 2 3 3" xfId="23342" xr:uid="{00000000-0005-0000-0000-00005D560000}"/>
    <cellStyle name="40 % - Markeringsfarve1 6 2 3 4" xfId="38329" xr:uid="{00000000-0005-0000-0000-00005E560000}"/>
    <cellStyle name="40 % - Markeringsfarve1 6 2 4" xfId="11905" xr:uid="{00000000-0005-0000-0000-00005F560000}"/>
    <cellStyle name="40 % - Markeringsfarve1 6 2 4 2" xfId="28225" xr:uid="{00000000-0005-0000-0000-000060560000}"/>
    <cellStyle name="40 % - Markeringsfarve1 6 2 4 3" xfId="43190" xr:uid="{00000000-0005-0000-0000-000061560000}"/>
    <cellStyle name="40 % - Markeringsfarve1 6 2 5" xfId="21203" xr:uid="{00000000-0005-0000-0000-000062560000}"/>
    <cellStyle name="40 % - Markeringsfarve1 6 2 6" xfId="36191" xr:uid="{00000000-0005-0000-0000-000063560000}"/>
    <cellStyle name="40 % - Markeringsfarve1 6 2 7" xfId="53913" xr:uid="{00000000-0005-0000-0000-000064560000}"/>
    <cellStyle name="40 % - Markeringsfarve1 6 3" xfId="3347" xr:uid="{00000000-0005-0000-0000-000065560000}"/>
    <cellStyle name="40 % - Markeringsfarve1 6 3 2" xfId="6778" xr:uid="{00000000-0005-0000-0000-000066560000}"/>
    <cellStyle name="40 % - Markeringsfarve1 6 3 2 2" xfId="14690" xr:uid="{00000000-0005-0000-0000-000067560000}"/>
    <cellStyle name="40 % - Markeringsfarve1 6 3 2 2 2" xfId="31005" xr:uid="{00000000-0005-0000-0000-000068560000}"/>
    <cellStyle name="40 % - Markeringsfarve1 6 3 2 2 3" xfId="45969" xr:uid="{00000000-0005-0000-0000-000069560000}"/>
    <cellStyle name="40 % - Markeringsfarve1 6 3 2 3" xfId="23983" xr:uid="{00000000-0005-0000-0000-00006A560000}"/>
    <cellStyle name="40 % - Markeringsfarve1 6 3 2 4" xfId="38970" xr:uid="{00000000-0005-0000-0000-00006B560000}"/>
    <cellStyle name="40 % - Markeringsfarve1 6 3 3" xfId="11907" xr:uid="{00000000-0005-0000-0000-00006C560000}"/>
    <cellStyle name="40 % - Markeringsfarve1 6 3 3 2" xfId="28227" xr:uid="{00000000-0005-0000-0000-00006D560000}"/>
    <cellStyle name="40 % - Markeringsfarve1 6 3 3 3" xfId="43192" xr:uid="{00000000-0005-0000-0000-00006E560000}"/>
    <cellStyle name="40 % - Markeringsfarve1 6 3 4" xfId="21205" xr:uid="{00000000-0005-0000-0000-00006F560000}"/>
    <cellStyle name="40 % - Markeringsfarve1 6 3 5" xfId="36193" xr:uid="{00000000-0005-0000-0000-000070560000}"/>
    <cellStyle name="40 % - Markeringsfarve1 6 3 6" xfId="56457" xr:uid="{00000000-0005-0000-0000-000071560000}"/>
    <cellStyle name="40 % - Markeringsfarve1 6 4" xfId="3348" xr:uid="{00000000-0005-0000-0000-000072560000}"/>
    <cellStyle name="40 % - Markeringsfarve1 6 4 2" xfId="8369" xr:uid="{00000000-0005-0000-0000-000073560000}"/>
    <cellStyle name="40 % - Markeringsfarve1 6 4 2 2" xfId="16262" xr:uid="{00000000-0005-0000-0000-000074560000}"/>
    <cellStyle name="40 % - Markeringsfarve1 6 4 2 2 2" xfId="32577" xr:uid="{00000000-0005-0000-0000-000075560000}"/>
    <cellStyle name="40 % - Markeringsfarve1 6 4 2 2 3" xfId="47541" xr:uid="{00000000-0005-0000-0000-000076560000}"/>
    <cellStyle name="40 % - Markeringsfarve1 6 4 2 3" xfId="25555" xr:uid="{00000000-0005-0000-0000-000077560000}"/>
    <cellStyle name="40 % - Markeringsfarve1 6 4 2 4" xfId="40542" xr:uid="{00000000-0005-0000-0000-000078560000}"/>
    <cellStyle name="40 % - Markeringsfarve1 6 4 3" xfId="11908" xr:uid="{00000000-0005-0000-0000-000079560000}"/>
    <cellStyle name="40 % - Markeringsfarve1 6 4 3 2" xfId="28228" xr:uid="{00000000-0005-0000-0000-00007A560000}"/>
    <cellStyle name="40 % - Markeringsfarve1 6 4 3 3" xfId="43193" xr:uid="{00000000-0005-0000-0000-00007B560000}"/>
    <cellStyle name="40 % - Markeringsfarve1 6 4 4" xfId="21206" xr:uid="{00000000-0005-0000-0000-00007C560000}"/>
    <cellStyle name="40 % - Markeringsfarve1 6 4 5" xfId="36194" xr:uid="{00000000-0005-0000-0000-00007D560000}"/>
    <cellStyle name="40 % - Markeringsfarve1 6 5" xfId="5737" xr:uid="{00000000-0005-0000-0000-00007E560000}"/>
    <cellStyle name="40 % - Markeringsfarve1 6 5 2" xfId="13656" xr:uid="{00000000-0005-0000-0000-00007F560000}"/>
    <cellStyle name="40 % - Markeringsfarve1 6 5 2 2" xfId="29971" xr:uid="{00000000-0005-0000-0000-000080560000}"/>
    <cellStyle name="40 % - Markeringsfarve1 6 5 2 3" xfId="44935" xr:uid="{00000000-0005-0000-0000-000081560000}"/>
    <cellStyle name="40 % - Markeringsfarve1 6 5 3" xfId="22949" xr:uid="{00000000-0005-0000-0000-000082560000}"/>
    <cellStyle name="40 % - Markeringsfarve1 6 5 4" xfId="37936" xr:uid="{00000000-0005-0000-0000-000083560000}"/>
    <cellStyle name="40 % - Markeringsfarve1 6 6" xfId="11904" xr:uid="{00000000-0005-0000-0000-000084560000}"/>
    <cellStyle name="40 % - Markeringsfarve1 6 6 2" xfId="28224" xr:uid="{00000000-0005-0000-0000-000085560000}"/>
    <cellStyle name="40 % - Markeringsfarve1 6 6 3" xfId="43189" xr:uid="{00000000-0005-0000-0000-000086560000}"/>
    <cellStyle name="40 % - Markeringsfarve1 6 7" xfId="21202" xr:uid="{00000000-0005-0000-0000-000087560000}"/>
    <cellStyle name="40 % - Markeringsfarve1 6 8" xfId="36190" xr:uid="{00000000-0005-0000-0000-000088560000}"/>
    <cellStyle name="40 % - Markeringsfarve1 6 9" xfId="53276" xr:uid="{00000000-0005-0000-0000-000089560000}"/>
    <cellStyle name="40 % - Markeringsfarve1 7" xfId="3349" xr:uid="{00000000-0005-0000-0000-00008A560000}"/>
    <cellStyle name="40 % - Markeringsfarve1 7 2" xfId="3350" xr:uid="{00000000-0005-0000-0000-00008B560000}"/>
    <cellStyle name="40 % - Markeringsfarve1 7 2 2" xfId="3351" xr:uid="{00000000-0005-0000-0000-00008C560000}"/>
    <cellStyle name="40 % - Markeringsfarve1 7 2 2 2" xfId="7719" xr:uid="{00000000-0005-0000-0000-00008D560000}"/>
    <cellStyle name="40 % - Markeringsfarve1 7 2 2 2 2" xfId="15621" xr:uid="{00000000-0005-0000-0000-00008E560000}"/>
    <cellStyle name="40 % - Markeringsfarve1 7 2 2 2 2 2" xfId="31936" xr:uid="{00000000-0005-0000-0000-00008F560000}"/>
    <cellStyle name="40 % - Markeringsfarve1 7 2 2 2 2 3" xfId="46900" xr:uid="{00000000-0005-0000-0000-000090560000}"/>
    <cellStyle name="40 % - Markeringsfarve1 7 2 2 2 3" xfId="24914" xr:uid="{00000000-0005-0000-0000-000091560000}"/>
    <cellStyle name="40 % - Markeringsfarve1 7 2 2 2 4" xfId="39901" xr:uid="{00000000-0005-0000-0000-000092560000}"/>
    <cellStyle name="40 % - Markeringsfarve1 7 2 2 3" xfId="11911" xr:uid="{00000000-0005-0000-0000-000093560000}"/>
    <cellStyle name="40 % - Markeringsfarve1 7 2 2 3 2" xfId="28231" xr:uid="{00000000-0005-0000-0000-000094560000}"/>
    <cellStyle name="40 % - Markeringsfarve1 7 2 2 3 3" xfId="43196" xr:uid="{00000000-0005-0000-0000-000095560000}"/>
    <cellStyle name="40 % - Markeringsfarve1 7 2 2 4" xfId="21209" xr:uid="{00000000-0005-0000-0000-000096560000}"/>
    <cellStyle name="40 % - Markeringsfarve1 7 2 2 5" xfId="36197" xr:uid="{00000000-0005-0000-0000-000097560000}"/>
    <cellStyle name="40 % - Markeringsfarve1 7 2 3" xfId="6274" xr:uid="{00000000-0005-0000-0000-000098560000}"/>
    <cellStyle name="40 % - Markeringsfarve1 7 2 3 2" xfId="14192" xr:uid="{00000000-0005-0000-0000-000099560000}"/>
    <cellStyle name="40 % - Markeringsfarve1 7 2 3 2 2" xfId="30507" xr:uid="{00000000-0005-0000-0000-00009A560000}"/>
    <cellStyle name="40 % - Markeringsfarve1 7 2 3 2 3" xfId="45471" xr:uid="{00000000-0005-0000-0000-00009B560000}"/>
    <cellStyle name="40 % - Markeringsfarve1 7 2 3 3" xfId="23485" xr:uid="{00000000-0005-0000-0000-00009C560000}"/>
    <cellStyle name="40 % - Markeringsfarve1 7 2 3 4" xfId="38472" xr:uid="{00000000-0005-0000-0000-00009D560000}"/>
    <cellStyle name="40 % - Markeringsfarve1 7 2 4" xfId="11910" xr:uid="{00000000-0005-0000-0000-00009E560000}"/>
    <cellStyle name="40 % - Markeringsfarve1 7 2 4 2" xfId="28230" xr:uid="{00000000-0005-0000-0000-00009F560000}"/>
    <cellStyle name="40 % - Markeringsfarve1 7 2 4 3" xfId="43195" xr:uid="{00000000-0005-0000-0000-0000A0560000}"/>
    <cellStyle name="40 % - Markeringsfarve1 7 2 5" xfId="21208" xr:uid="{00000000-0005-0000-0000-0000A1560000}"/>
    <cellStyle name="40 % - Markeringsfarve1 7 2 6" xfId="36196" xr:uid="{00000000-0005-0000-0000-0000A2560000}"/>
    <cellStyle name="40 % - Markeringsfarve1 7 2 7" xfId="57055" xr:uid="{00000000-0005-0000-0000-0000A3560000}"/>
    <cellStyle name="40 % - Markeringsfarve1 7 3" xfId="3352" xr:uid="{00000000-0005-0000-0000-0000A4560000}"/>
    <cellStyle name="40 % - Markeringsfarve1 7 3 2" xfId="6949" xr:uid="{00000000-0005-0000-0000-0000A5560000}"/>
    <cellStyle name="40 % - Markeringsfarve1 7 3 2 2" xfId="14861" xr:uid="{00000000-0005-0000-0000-0000A6560000}"/>
    <cellStyle name="40 % - Markeringsfarve1 7 3 2 2 2" xfId="31176" xr:uid="{00000000-0005-0000-0000-0000A7560000}"/>
    <cellStyle name="40 % - Markeringsfarve1 7 3 2 2 3" xfId="46140" xr:uid="{00000000-0005-0000-0000-0000A8560000}"/>
    <cellStyle name="40 % - Markeringsfarve1 7 3 2 3" xfId="24154" xr:uid="{00000000-0005-0000-0000-0000A9560000}"/>
    <cellStyle name="40 % - Markeringsfarve1 7 3 2 4" xfId="39141" xr:uid="{00000000-0005-0000-0000-0000AA560000}"/>
    <cellStyle name="40 % - Markeringsfarve1 7 3 3" xfId="11912" xr:uid="{00000000-0005-0000-0000-0000AB560000}"/>
    <cellStyle name="40 % - Markeringsfarve1 7 3 3 2" xfId="28232" xr:uid="{00000000-0005-0000-0000-0000AC560000}"/>
    <cellStyle name="40 % - Markeringsfarve1 7 3 3 3" xfId="43197" xr:uid="{00000000-0005-0000-0000-0000AD560000}"/>
    <cellStyle name="40 % - Markeringsfarve1 7 3 4" xfId="21210" xr:uid="{00000000-0005-0000-0000-0000AE560000}"/>
    <cellStyle name="40 % - Markeringsfarve1 7 3 5" xfId="36198" xr:uid="{00000000-0005-0000-0000-0000AF560000}"/>
    <cellStyle name="40 % - Markeringsfarve1 7 4" xfId="3353" xr:uid="{00000000-0005-0000-0000-0000B0560000}"/>
    <cellStyle name="40 % - Markeringsfarve1 7 4 2" xfId="8605" xr:uid="{00000000-0005-0000-0000-0000B1560000}"/>
    <cellStyle name="40 % - Markeringsfarve1 7 4 2 2" xfId="16488" xr:uid="{00000000-0005-0000-0000-0000B2560000}"/>
    <cellStyle name="40 % - Markeringsfarve1 7 4 2 2 2" xfId="32803" xr:uid="{00000000-0005-0000-0000-0000B3560000}"/>
    <cellStyle name="40 % - Markeringsfarve1 7 4 2 2 3" xfId="47767" xr:uid="{00000000-0005-0000-0000-0000B4560000}"/>
    <cellStyle name="40 % - Markeringsfarve1 7 4 2 3" xfId="25781" xr:uid="{00000000-0005-0000-0000-0000B5560000}"/>
    <cellStyle name="40 % - Markeringsfarve1 7 4 2 4" xfId="40768" xr:uid="{00000000-0005-0000-0000-0000B6560000}"/>
    <cellStyle name="40 % - Markeringsfarve1 7 4 3" xfId="11913" xr:uid="{00000000-0005-0000-0000-0000B7560000}"/>
    <cellStyle name="40 % - Markeringsfarve1 7 4 3 2" xfId="28233" xr:uid="{00000000-0005-0000-0000-0000B8560000}"/>
    <cellStyle name="40 % - Markeringsfarve1 7 4 3 3" xfId="43198" xr:uid="{00000000-0005-0000-0000-0000B9560000}"/>
    <cellStyle name="40 % - Markeringsfarve1 7 4 4" xfId="21211" xr:uid="{00000000-0005-0000-0000-0000BA560000}"/>
    <cellStyle name="40 % - Markeringsfarve1 7 4 5" xfId="36199" xr:uid="{00000000-0005-0000-0000-0000BB560000}"/>
    <cellStyle name="40 % - Markeringsfarve1 7 5" xfId="5738" xr:uid="{00000000-0005-0000-0000-0000BC560000}"/>
    <cellStyle name="40 % - Markeringsfarve1 7 5 2" xfId="13657" xr:uid="{00000000-0005-0000-0000-0000BD560000}"/>
    <cellStyle name="40 % - Markeringsfarve1 7 5 2 2" xfId="29972" xr:uid="{00000000-0005-0000-0000-0000BE560000}"/>
    <cellStyle name="40 % - Markeringsfarve1 7 5 2 3" xfId="44936" xr:uid="{00000000-0005-0000-0000-0000BF560000}"/>
    <cellStyle name="40 % - Markeringsfarve1 7 5 3" xfId="22950" xr:uid="{00000000-0005-0000-0000-0000C0560000}"/>
    <cellStyle name="40 % - Markeringsfarve1 7 5 4" xfId="37937" xr:uid="{00000000-0005-0000-0000-0000C1560000}"/>
    <cellStyle name="40 % - Markeringsfarve1 7 6" xfId="11909" xr:uid="{00000000-0005-0000-0000-0000C2560000}"/>
    <cellStyle name="40 % - Markeringsfarve1 7 6 2" xfId="28229" xr:uid="{00000000-0005-0000-0000-0000C3560000}"/>
    <cellStyle name="40 % - Markeringsfarve1 7 6 3" xfId="43194" xr:uid="{00000000-0005-0000-0000-0000C4560000}"/>
    <cellStyle name="40 % - Markeringsfarve1 7 7" xfId="21207" xr:uid="{00000000-0005-0000-0000-0000C5560000}"/>
    <cellStyle name="40 % - Markeringsfarve1 7 8" xfId="36195" xr:uid="{00000000-0005-0000-0000-0000C6560000}"/>
    <cellStyle name="40 % - Markeringsfarve1 7 9" xfId="53888" xr:uid="{00000000-0005-0000-0000-0000C7560000}"/>
    <cellStyle name="40 % - Markeringsfarve1 8" xfId="3354" xr:uid="{00000000-0005-0000-0000-0000C8560000}"/>
    <cellStyle name="40 % - Markeringsfarve1 8 2" xfId="3355" xr:uid="{00000000-0005-0000-0000-0000C9560000}"/>
    <cellStyle name="40 % - Markeringsfarve1 8 2 2" xfId="3356" xr:uid="{00000000-0005-0000-0000-0000CA560000}"/>
    <cellStyle name="40 % - Markeringsfarve1 8 2 2 2" xfId="7786" xr:uid="{00000000-0005-0000-0000-0000CB560000}"/>
    <cellStyle name="40 % - Markeringsfarve1 8 2 2 2 2" xfId="15688" xr:uid="{00000000-0005-0000-0000-0000CC560000}"/>
    <cellStyle name="40 % - Markeringsfarve1 8 2 2 2 2 2" xfId="32003" xr:uid="{00000000-0005-0000-0000-0000CD560000}"/>
    <cellStyle name="40 % - Markeringsfarve1 8 2 2 2 2 3" xfId="46967" xr:uid="{00000000-0005-0000-0000-0000CE560000}"/>
    <cellStyle name="40 % - Markeringsfarve1 8 2 2 2 3" xfId="24981" xr:uid="{00000000-0005-0000-0000-0000CF560000}"/>
    <cellStyle name="40 % - Markeringsfarve1 8 2 2 2 4" xfId="39968" xr:uid="{00000000-0005-0000-0000-0000D0560000}"/>
    <cellStyle name="40 % - Markeringsfarve1 8 2 2 3" xfId="11916" xr:uid="{00000000-0005-0000-0000-0000D1560000}"/>
    <cellStyle name="40 % - Markeringsfarve1 8 2 2 3 2" xfId="28236" xr:uid="{00000000-0005-0000-0000-0000D2560000}"/>
    <cellStyle name="40 % - Markeringsfarve1 8 2 2 3 3" xfId="43201" xr:uid="{00000000-0005-0000-0000-0000D3560000}"/>
    <cellStyle name="40 % - Markeringsfarve1 8 2 2 4" xfId="21214" xr:uid="{00000000-0005-0000-0000-0000D4560000}"/>
    <cellStyle name="40 % - Markeringsfarve1 8 2 2 5" xfId="36202" xr:uid="{00000000-0005-0000-0000-0000D5560000}"/>
    <cellStyle name="40 % - Markeringsfarve1 8 2 3" xfId="6333" xr:uid="{00000000-0005-0000-0000-0000D6560000}"/>
    <cellStyle name="40 % - Markeringsfarve1 8 2 3 2" xfId="14248" xr:uid="{00000000-0005-0000-0000-0000D7560000}"/>
    <cellStyle name="40 % - Markeringsfarve1 8 2 3 2 2" xfId="30563" xr:uid="{00000000-0005-0000-0000-0000D8560000}"/>
    <cellStyle name="40 % - Markeringsfarve1 8 2 3 2 3" xfId="45527" xr:uid="{00000000-0005-0000-0000-0000D9560000}"/>
    <cellStyle name="40 % - Markeringsfarve1 8 2 3 3" xfId="23541" xr:uid="{00000000-0005-0000-0000-0000DA560000}"/>
    <cellStyle name="40 % - Markeringsfarve1 8 2 3 4" xfId="38528" xr:uid="{00000000-0005-0000-0000-0000DB560000}"/>
    <cellStyle name="40 % - Markeringsfarve1 8 2 4" xfId="11915" xr:uid="{00000000-0005-0000-0000-0000DC560000}"/>
    <cellStyle name="40 % - Markeringsfarve1 8 2 4 2" xfId="28235" xr:uid="{00000000-0005-0000-0000-0000DD560000}"/>
    <cellStyle name="40 % - Markeringsfarve1 8 2 4 3" xfId="43200" xr:uid="{00000000-0005-0000-0000-0000DE560000}"/>
    <cellStyle name="40 % - Markeringsfarve1 8 2 5" xfId="21213" xr:uid="{00000000-0005-0000-0000-0000DF560000}"/>
    <cellStyle name="40 % - Markeringsfarve1 8 2 6" xfId="36201" xr:uid="{00000000-0005-0000-0000-0000E0560000}"/>
    <cellStyle name="40 % - Markeringsfarve1 8 3" xfId="3357" xr:uid="{00000000-0005-0000-0000-0000E1560000}"/>
    <cellStyle name="40 % - Markeringsfarve1 8 3 2" xfId="7062" xr:uid="{00000000-0005-0000-0000-0000E2560000}"/>
    <cellStyle name="40 % - Markeringsfarve1 8 3 2 2" xfId="14973" xr:uid="{00000000-0005-0000-0000-0000E3560000}"/>
    <cellStyle name="40 % - Markeringsfarve1 8 3 2 2 2" xfId="31288" xr:uid="{00000000-0005-0000-0000-0000E4560000}"/>
    <cellStyle name="40 % - Markeringsfarve1 8 3 2 2 3" xfId="46252" xr:uid="{00000000-0005-0000-0000-0000E5560000}"/>
    <cellStyle name="40 % - Markeringsfarve1 8 3 2 3" xfId="24266" xr:uid="{00000000-0005-0000-0000-0000E6560000}"/>
    <cellStyle name="40 % - Markeringsfarve1 8 3 2 4" xfId="39253" xr:uid="{00000000-0005-0000-0000-0000E7560000}"/>
    <cellStyle name="40 % - Markeringsfarve1 8 3 3" xfId="11917" xr:uid="{00000000-0005-0000-0000-0000E8560000}"/>
    <cellStyle name="40 % - Markeringsfarve1 8 3 3 2" xfId="28237" xr:uid="{00000000-0005-0000-0000-0000E9560000}"/>
    <cellStyle name="40 % - Markeringsfarve1 8 3 3 3" xfId="43202" xr:uid="{00000000-0005-0000-0000-0000EA560000}"/>
    <cellStyle name="40 % - Markeringsfarve1 8 3 4" xfId="21215" xr:uid="{00000000-0005-0000-0000-0000EB560000}"/>
    <cellStyle name="40 % - Markeringsfarve1 8 3 5" xfId="36203" xr:uid="{00000000-0005-0000-0000-0000EC560000}"/>
    <cellStyle name="40 % - Markeringsfarve1 8 4" xfId="3358" xr:uid="{00000000-0005-0000-0000-0000ED560000}"/>
    <cellStyle name="40 % - Markeringsfarve1 8 4 2" xfId="8327" xr:uid="{00000000-0005-0000-0000-0000EE560000}"/>
    <cellStyle name="40 % - Markeringsfarve1 8 4 2 2" xfId="16221" xr:uid="{00000000-0005-0000-0000-0000EF560000}"/>
    <cellStyle name="40 % - Markeringsfarve1 8 4 2 2 2" xfId="32536" xr:uid="{00000000-0005-0000-0000-0000F0560000}"/>
    <cellStyle name="40 % - Markeringsfarve1 8 4 2 2 3" xfId="47500" xr:uid="{00000000-0005-0000-0000-0000F1560000}"/>
    <cellStyle name="40 % - Markeringsfarve1 8 4 2 3" xfId="25514" xr:uid="{00000000-0005-0000-0000-0000F2560000}"/>
    <cellStyle name="40 % - Markeringsfarve1 8 4 2 4" xfId="40501" xr:uid="{00000000-0005-0000-0000-0000F3560000}"/>
    <cellStyle name="40 % - Markeringsfarve1 8 4 3" xfId="11918" xr:uid="{00000000-0005-0000-0000-0000F4560000}"/>
    <cellStyle name="40 % - Markeringsfarve1 8 4 3 2" xfId="28238" xr:uid="{00000000-0005-0000-0000-0000F5560000}"/>
    <cellStyle name="40 % - Markeringsfarve1 8 4 3 3" xfId="43203" xr:uid="{00000000-0005-0000-0000-0000F6560000}"/>
    <cellStyle name="40 % - Markeringsfarve1 8 4 4" xfId="21216" xr:uid="{00000000-0005-0000-0000-0000F7560000}"/>
    <cellStyle name="40 % - Markeringsfarve1 8 4 5" xfId="36204" xr:uid="{00000000-0005-0000-0000-0000F8560000}"/>
    <cellStyle name="40 % - Markeringsfarve1 8 5" xfId="5739" xr:uid="{00000000-0005-0000-0000-0000F9560000}"/>
    <cellStyle name="40 % - Markeringsfarve1 8 5 2" xfId="13658" xr:uid="{00000000-0005-0000-0000-0000FA560000}"/>
    <cellStyle name="40 % - Markeringsfarve1 8 5 2 2" xfId="29973" xr:uid="{00000000-0005-0000-0000-0000FB560000}"/>
    <cellStyle name="40 % - Markeringsfarve1 8 5 2 3" xfId="44937" xr:uid="{00000000-0005-0000-0000-0000FC560000}"/>
    <cellStyle name="40 % - Markeringsfarve1 8 5 3" xfId="22951" xr:uid="{00000000-0005-0000-0000-0000FD560000}"/>
    <cellStyle name="40 % - Markeringsfarve1 8 5 4" xfId="37938" xr:uid="{00000000-0005-0000-0000-0000FE560000}"/>
    <cellStyle name="40 % - Markeringsfarve1 8 6" xfId="11914" xr:uid="{00000000-0005-0000-0000-0000FF560000}"/>
    <cellStyle name="40 % - Markeringsfarve1 8 6 2" xfId="28234" xr:uid="{00000000-0005-0000-0000-000000570000}"/>
    <cellStyle name="40 % - Markeringsfarve1 8 6 3" xfId="43199" xr:uid="{00000000-0005-0000-0000-000001570000}"/>
    <cellStyle name="40 % - Markeringsfarve1 8 7" xfId="21212" xr:uid="{00000000-0005-0000-0000-000002570000}"/>
    <cellStyle name="40 % - Markeringsfarve1 8 8" xfId="36200" xr:uid="{00000000-0005-0000-0000-000003570000}"/>
    <cellStyle name="40 % - Markeringsfarve1 9" xfId="3359" xr:uid="{00000000-0005-0000-0000-000004570000}"/>
    <cellStyle name="40 % - Markeringsfarve1 9 2" xfId="3360" xr:uid="{00000000-0005-0000-0000-000005570000}"/>
    <cellStyle name="40 % - Markeringsfarve1 9 2 2" xfId="3361" xr:uid="{00000000-0005-0000-0000-000006570000}"/>
    <cellStyle name="40 % - Markeringsfarve1 9 2 2 2" xfId="7903" xr:uid="{00000000-0005-0000-0000-000007570000}"/>
    <cellStyle name="40 % - Markeringsfarve1 9 2 2 2 2" xfId="15805" xr:uid="{00000000-0005-0000-0000-000008570000}"/>
    <cellStyle name="40 % - Markeringsfarve1 9 2 2 2 2 2" xfId="32120" xr:uid="{00000000-0005-0000-0000-000009570000}"/>
    <cellStyle name="40 % - Markeringsfarve1 9 2 2 2 2 3" xfId="47084" xr:uid="{00000000-0005-0000-0000-00000A570000}"/>
    <cellStyle name="40 % - Markeringsfarve1 9 2 2 2 3" xfId="25098" xr:uid="{00000000-0005-0000-0000-00000B570000}"/>
    <cellStyle name="40 % - Markeringsfarve1 9 2 2 2 4" xfId="40085" xr:uid="{00000000-0005-0000-0000-00000C570000}"/>
    <cellStyle name="40 % - Markeringsfarve1 9 2 2 3" xfId="11921" xr:uid="{00000000-0005-0000-0000-00000D570000}"/>
    <cellStyle name="40 % - Markeringsfarve1 9 2 2 3 2" xfId="28241" xr:uid="{00000000-0005-0000-0000-00000E570000}"/>
    <cellStyle name="40 % - Markeringsfarve1 9 2 2 3 3" xfId="43206" xr:uid="{00000000-0005-0000-0000-00000F570000}"/>
    <cellStyle name="40 % - Markeringsfarve1 9 2 2 4" xfId="21219" xr:uid="{00000000-0005-0000-0000-000010570000}"/>
    <cellStyle name="40 % - Markeringsfarve1 9 2 2 5" xfId="36207" xr:uid="{00000000-0005-0000-0000-000011570000}"/>
    <cellStyle name="40 % - Markeringsfarve1 9 2 3" xfId="6432" xr:uid="{00000000-0005-0000-0000-000012570000}"/>
    <cellStyle name="40 % - Markeringsfarve1 9 2 3 2" xfId="14347" xr:uid="{00000000-0005-0000-0000-000013570000}"/>
    <cellStyle name="40 % - Markeringsfarve1 9 2 3 2 2" xfId="30662" xr:uid="{00000000-0005-0000-0000-000014570000}"/>
    <cellStyle name="40 % - Markeringsfarve1 9 2 3 2 3" xfId="45626" xr:uid="{00000000-0005-0000-0000-000015570000}"/>
    <cellStyle name="40 % - Markeringsfarve1 9 2 3 3" xfId="23640" xr:uid="{00000000-0005-0000-0000-000016570000}"/>
    <cellStyle name="40 % - Markeringsfarve1 9 2 3 4" xfId="38627" xr:uid="{00000000-0005-0000-0000-000017570000}"/>
    <cellStyle name="40 % - Markeringsfarve1 9 2 4" xfId="11920" xr:uid="{00000000-0005-0000-0000-000018570000}"/>
    <cellStyle name="40 % - Markeringsfarve1 9 2 4 2" xfId="28240" xr:uid="{00000000-0005-0000-0000-000019570000}"/>
    <cellStyle name="40 % - Markeringsfarve1 9 2 4 3" xfId="43205" xr:uid="{00000000-0005-0000-0000-00001A570000}"/>
    <cellStyle name="40 % - Markeringsfarve1 9 2 5" xfId="21218" xr:uid="{00000000-0005-0000-0000-00001B570000}"/>
    <cellStyle name="40 % - Markeringsfarve1 9 2 6" xfId="36206" xr:uid="{00000000-0005-0000-0000-00001C570000}"/>
    <cellStyle name="40 % - Markeringsfarve1 9 3" xfId="3362" xr:uid="{00000000-0005-0000-0000-00001D570000}"/>
    <cellStyle name="40 % - Markeringsfarve1 9 3 2" xfId="7179" xr:uid="{00000000-0005-0000-0000-00001E570000}"/>
    <cellStyle name="40 % - Markeringsfarve1 9 3 2 2" xfId="15090" xr:uid="{00000000-0005-0000-0000-00001F570000}"/>
    <cellStyle name="40 % - Markeringsfarve1 9 3 2 2 2" xfId="31405" xr:uid="{00000000-0005-0000-0000-000020570000}"/>
    <cellStyle name="40 % - Markeringsfarve1 9 3 2 2 3" xfId="46369" xr:uid="{00000000-0005-0000-0000-000021570000}"/>
    <cellStyle name="40 % - Markeringsfarve1 9 3 2 3" xfId="24383" xr:uid="{00000000-0005-0000-0000-000022570000}"/>
    <cellStyle name="40 % - Markeringsfarve1 9 3 2 4" xfId="39370" xr:uid="{00000000-0005-0000-0000-000023570000}"/>
    <cellStyle name="40 % - Markeringsfarve1 9 3 3" xfId="11922" xr:uid="{00000000-0005-0000-0000-000024570000}"/>
    <cellStyle name="40 % - Markeringsfarve1 9 3 3 2" xfId="28242" xr:uid="{00000000-0005-0000-0000-000025570000}"/>
    <cellStyle name="40 % - Markeringsfarve1 9 3 3 3" xfId="43207" xr:uid="{00000000-0005-0000-0000-000026570000}"/>
    <cellStyle name="40 % - Markeringsfarve1 9 3 4" xfId="21220" xr:uid="{00000000-0005-0000-0000-000027570000}"/>
    <cellStyle name="40 % - Markeringsfarve1 9 3 5" xfId="36208" xr:uid="{00000000-0005-0000-0000-000028570000}"/>
    <cellStyle name="40 % - Markeringsfarve1 9 4" xfId="3363" xr:uid="{00000000-0005-0000-0000-000029570000}"/>
    <cellStyle name="40 % - Markeringsfarve1 9 4 2" xfId="8576" xr:uid="{00000000-0005-0000-0000-00002A570000}"/>
    <cellStyle name="40 % - Markeringsfarve1 9 4 2 2" xfId="16460" xr:uid="{00000000-0005-0000-0000-00002B570000}"/>
    <cellStyle name="40 % - Markeringsfarve1 9 4 2 2 2" xfId="32775" xr:uid="{00000000-0005-0000-0000-00002C570000}"/>
    <cellStyle name="40 % - Markeringsfarve1 9 4 2 2 3" xfId="47739" xr:uid="{00000000-0005-0000-0000-00002D570000}"/>
    <cellStyle name="40 % - Markeringsfarve1 9 4 2 3" xfId="25753" xr:uid="{00000000-0005-0000-0000-00002E570000}"/>
    <cellStyle name="40 % - Markeringsfarve1 9 4 2 4" xfId="40740" xr:uid="{00000000-0005-0000-0000-00002F570000}"/>
    <cellStyle name="40 % - Markeringsfarve1 9 4 3" xfId="11923" xr:uid="{00000000-0005-0000-0000-000030570000}"/>
    <cellStyle name="40 % - Markeringsfarve1 9 4 3 2" xfId="28243" xr:uid="{00000000-0005-0000-0000-000031570000}"/>
    <cellStyle name="40 % - Markeringsfarve1 9 4 3 3" xfId="43208" xr:uid="{00000000-0005-0000-0000-000032570000}"/>
    <cellStyle name="40 % - Markeringsfarve1 9 4 4" xfId="21221" xr:uid="{00000000-0005-0000-0000-000033570000}"/>
    <cellStyle name="40 % - Markeringsfarve1 9 4 5" xfId="36209" xr:uid="{00000000-0005-0000-0000-000034570000}"/>
    <cellStyle name="40 % - Markeringsfarve1 9 5" xfId="5740" xr:uid="{00000000-0005-0000-0000-000035570000}"/>
    <cellStyle name="40 % - Markeringsfarve1 9 5 2" xfId="13659" xr:uid="{00000000-0005-0000-0000-000036570000}"/>
    <cellStyle name="40 % - Markeringsfarve1 9 5 2 2" xfId="29974" xr:uid="{00000000-0005-0000-0000-000037570000}"/>
    <cellStyle name="40 % - Markeringsfarve1 9 5 2 3" xfId="44938" xr:uid="{00000000-0005-0000-0000-000038570000}"/>
    <cellStyle name="40 % - Markeringsfarve1 9 5 3" xfId="22952" xr:uid="{00000000-0005-0000-0000-000039570000}"/>
    <cellStyle name="40 % - Markeringsfarve1 9 5 4" xfId="37939" xr:uid="{00000000-0005-0000-0000-00003A570000}"/>
    <cellStyle name="40 % - Markeringsfarve1 9 6" xfId="11919" xr:uid="{00000000-0005-0000-0000-00003B570000}"/>
    <cellStyle name="40 % - Markeringsfarve1 9 6 2" xfId="28239" xr:uid="{00000000-0005-0000-0000-00003C570000}"/>
    <cellStyle name="40 % - Markeringsfarve1 9 6 3" xfId="43204" xr:uid="{00000000-0005-0000-0000-00003D570000}"/>
    <cellStyle name="40 % - Markeringsfarve1 9 7" xfId="21217" xr:uid="{00000000-0005-0000-0000-00003E570000}"/>
    <cellStyle name="40 % - Markeringsfarve1 9 8" xfId="36205" xr:uid="{00000000-0005-0000-0000-00003F570000}"/>
    <cellStyle name="40 % - Markeringsfarve2 10" xfId="3364" xr:uid="{00000000-0005-0000-0000-000040570000}"/>
    <cellStyle name="40 % - Markeringsfarve2 10 2" xfId="3365" xr:uid="{00000000-0005-0000-0000-000041570000}"/>
    <cellStyle name="40 % - Markeringsfarve2 10 2 2" xfId="8082" xr:uid="{00000000-0005-0000-0000-000042570000}"/>
    <cellStyle name="40 % - Markeringsfarve2 10 2 2 2" xfId="15984" xr:uid="{00000000-0005-0000-0000-000043570000}"/>
    <cellStyle name="40 % - Markeringsfarve2 10 2 2 2 2" xfId="32299" xr:uid="{00000000-0005-0000-0000-000044570000}"/>
    <cellStyle name="40 % - Markeringsfarve2 10 2 2 2 3" xfId="47263" xr:uid="{00000000-0005-0000-0000-000045570000}"/>
    <cellStyle name="40 % - Markeringsfarve2 10 2 2 3" xfId="25277" xr:uid="{00000000-0005-0000-0000-000046570000}"/>
    <cellStyle name="40 % - Markeringsfarve2 10 2 2 4" xfId="40264" xr:uid="{00000000-0005-0000-0000-000047570000}"/>
    <cellStyle name="40 % - Markeringsfarve2 10 2 3" xfId="11925" xr:uid="{00000000-0005-0000-0000-000048570000}"/>
    <cellStyle name="40 % - Markeringsfarve2 10 2 3 2" xfId="28245" xr:uid="{00000000-0005-0000-0000-000049570000}"/>
    <cellStyle name="40 % - Markeringsfarve2 10 2 3 3" xfId="43210" xr:uid="{00000000-0005-0000-0000-00004A570000}"/>
    <cellStyle name="40 % - Markeringsfarve2 10 2 4" xfId="21223" xr:uid="{00000000-0005-0000-0000-00004B570000}"/>
    <cellStyle name="40 % - Markeringsfarve2 10 2 5" xfId="36211" xr:uid="{00000000-0005-0000-0000-00004C570000}"/>
    <cellStyle name="40 % - Markeringsfarve2 10 3" xfId="3366" xr:uid="{00000000-0005-0000-0000-00004D570000}"/>
    <cellStyle name="40 % - Markeringsfarve2 10 3 2" xfId="7359" xr:uid="{00000000-0005-0000-0000-00004E570000}"/>
    <cellStyle name="40 % - Markeringsfarve2 10 3 2 2" xfId="15270" xr:uid="{00000000-0005-0000-0000-00004F570000}"/>
    <cellStyle name="40 % - Markeringsfarve2 10 3 2 2 2" xfId="31585" xr:uid="{00000000-0005-0000-0000-000050570000}"/>
    <cellStyle name="40 % - Markeringsfarve2 10 3 2 2 3" xfId="46549" xr:uid="{00000000-0005-0000-0000-000051570000}"/>
    <cellStyle name="40 % - Markeringsfarve2 10 3 2 3" xfId="24563" xr:uid="{00000000-0005-0000-0000-000052570000}"/>
    <cellStyle name="40 % - Markeringsfarve2 10 3 2 4" xfId="39550" xr:uid="{00000000-0005-0000-0000-000053570000}"/>
    <cellStyle name="40 % - Markeringsfarve2 10 3 3" xfId="11926" xr:uid="{00000000-0005-0000-0000-000054570000}"/>
    <cellStyle name="40 % - Markeringsfarve2 10 3 3 2" xfId="28246" xr:uid="{00000000-0005-0000-0000-000055570000}"/>
    <cellStyle name="40 % - Markeringsfarve2 10 3 3 3" xfId="43211" xr:uid="{00000000-0005-0000-0000-000056570000}"/>
    <cellStyle name="40 % - Markeringsfarve2 10 3 4" xfId="21224" xr:uid="{00000000-0005-0000-0000-000057570000}"/>
    <cellStyle name="40 % - Markeringsfarve2 10 3 5" xfId="36212" xr:uid="{00000000-0005-0000-0000-000058570000}"/>
    <cellStyle name="40 % - Markeringsfarve2 10 4" xfId="5741" xr:uid="{00000000-0005-0000-0000-000059570000}"/>
    <cellStyle name="40 % - Markeringsfarve2 10 4 2" xfId="13660" xr:uid="{00000000-0005-0000-0000-00005A570000}"/>
    <cellStyle name="40 % - Markeringsfarve2 10 4 2 2" xfId="29975" xr:uid="{00000000-0005-0000-0000-00005B570000}"/>
    <cellStyle name="40 % - Markeringsfarve2 10 4 2 3" xfId="44939" xr:uid="{00000000-0005-0000-0000-00005C570000}"/>
    <cellStyle name="40 % - Markeringsfarve2 10 4 3" xfId="22953" xr:uid="{00000000-0005-0000-0000-00005D570000}"/>
    <cellStyle name="40 % - Markeringsfarve2 10 4 4" xfId="37940" xr:uid="{00000000-0005-0000-0000-00005E570000}"/>
    <cellStyle name="40 % - Markeringsfarve2 10 5" xfId="11924" xr:uid="{00000000-0005-0000-0000-00005F570000}"/>
    <cellStyle name="40 % - Markeringsfarve2 10 5 2" xfId="28244" xr:uid="{00000000-0005-0000-0000-000060570000}"/>
    <cellStyle name="40 % - Markeringsfarve2 10 5 3" xfId="43209" xr:uid="{00000000-0005-0000-0000-000061570000}"/>
    <cellStyle name="40 % - Markeringsfarve2 10 6" xfId="21222" xr:uid="{00000000-0005-0000-0000-000062570000}"/>
    <cellStyle name="40 % - Markeringsfarve2 10 7" xfId="36210" xr:uid="{00000000-0005-0000-0000-000063570000}"/>
    <cellStyle name="40 % - Markeringsfarve2 11" xfId="3367" xr:uid="{00000000-0005-0000-0000-000064570000}"/>
    <cellStyle name="40 % - Markeringsfarve2 11 2" xfId="3368" xr:uid="{00000000-0005-0000-0000-000065570000}"/>
    <cellStyle name="40 % - Markeringsfarve2 11 2 2" xfId="7430" xr:uid="{00000000-0005-0000-0000-000066570000}"/>
    <cellStyle name="40 % - Markeringsfarve2 11 2 2 2" xfId="15332" xr:uid="{00000000-0005-0000-0000-000067570000}"/>
    <cellStyle name="40 % - Markeringsfarve2 11 2 2 2 2" xfId="31647" xr:uid="{00000000-0005-0000-0000-000068570000}"/>
    <cellStyle name="40 % - Markeringsfarve2 11 2 2 2 3" xfId="46611" xr:uid="{00000000-0005-0000-0000-000069570000}"/>
    <cellStyle name="40 % - Markeringsfarve2 11 2 2 3" xfId="24625" xr:uid="{00000000-0005-0000-0000-00006A570000}"/>
    <cellStyle name="40 % - Markeringsfarve2 11 2 2 4" xfId="39612" xr:uid="{00000000-0005-0000-0000-00006B570000}"/>
    <cellStyle name="40 % - Markeringsfarve2 11 2 3" xfId="11928" xr:uid="{00000000-0005-0000-0000-00006C570000}"/>
    <cellStyle name="40 % - Markeringsfarve2 11 2 3 2" xfId="28248" xr:uid="{00000000-0005-0000-0000-00006D570000}"/>
    <cellStyle name="40 % - Markeringsfarve2 11 2 3 3" xfId="43213" xr:uid="{00000000-0005-0000-0000-00006E570000}"/>
    <cellStyle name="40 % - Markeringsfarve2 11 2 4" xfId="21226" xr:uid="{00000000-0005-0000-0000-00006F570000}"/>
    <cellStyle name="40 % - Markeringsfarve2 11 2 5" xfId="36214" xr:uid="{00000000-0005-0000-0000-000070570000}"/>
    <cellStyle name="40 % - Markeringsfarve2 11 3" xfId="5742" xr:uid="{00000000-0005-0000-0000-000071570000}"/>
    <cellStyle name="40 % - Markeringsfarve2 11 3 2" xfId="13661" xr:uid="{00000000-0005-0000-0000-000072570000}"/>
    <cellStyle name="40 % - Markeringsfarve2 11 3 2 2" xfId="29976" xr:uid="{00000000-0005-0000-0000-000073570000}"/>
    <cellStyle name="40 % - Markeringsfarve2 11 3 2 3" xfId="44940" xr:uid="{00000000-0005-0000-0000-000074570000}"/>
    <cellStyle name="40 % - Markeringsfarve2 11 3 3" xfId="22954" xr:uid="{00000000-0005-0000-0000-000075570000}"/>
    <cellStyle name="40 % - Markeringsfarve2 11 3 4" xfId="37941" xr:uid="{00000000-0005-0000-0000-000076570000}"/>
    <cellStyle name="40 % - Markeringsfarve2 11 4" xfId="11927" xr:uid="{00000000-0005-0000-0000-000077570000}"/>
    <cellStyle name="40 % - Markeringsfarve2 11 4 2" xfId="28247" xr:uid="{00000000-0005-0000-0000-000078570000}"/>
    <cellStyle name="40 % - Markeringsfarve2 11 4 3" xfId="43212" xr:uid="{00000000-0005-0000-0000-000079570000}"/>
    <cellStyle name="40 % - Markeringsfarve2 11 5" xfId="21225" xr:uid="{00000000-0005-0000-0000-00007A570000}"/>
    <cellStyle name="40 % - Markeringsfarve2 11 6" xfId="36213" xr:uid="{00000000-0005-0000-0000-00007B570000}"/>
    <cellStyle name="40 % - Markeringsfarve2 12" xfId="3369" xr:uid="{00000000-0005-0000-0000-00007C570000}"/>
    <cellStyle name="40 % - Markeringsfarve2 12 2" xfId="6652" xr:uid="{00000000-0005-0000-0000-00007D570000}"/>
    <cellStyle name="40 % - Markeringsfarve2 12 2 2" xfId="14566" xr:uid="{00000000-0005-0000-0000-00007E570000}"/>
    <cellStyle name="40 % - Markeringsfarve2 12 2 2 2" xfId="30881" xr:uid="{00000000-0005-0000-0000-00007F570000}"/>
    <cellStyle name="40 % - Markeringsfarve2 12 2 2 3" xfId="45845" xr:uid="{00000000-0005-0000-0000-000080570000}"/>
    <cellStyle name="40 % - Markeringsfarve2 12 2 3" xfId="23859" xr:uid="{00000000-0005-0000-0000-000081570000}"/>
    <cellStyle name="40 % - Markeringsfarve2 12 2 4" xfId="38846" xr:uid="{00000000-0005-0000-0000-000082570000}"/>
    <cellStyle name="40 % - Markeringsfarve2 12 3" xfId="11929" xr:uid="{00000000-0005-0000-0000-000083570000}"/>
    <cellStyle name="40 % - Markeringsfarve2 12 3 2" xfId="28249" xr:uid="{00000000-0005-0000-0000-000084570000}"/>
    <cellStyle name="40 % - Markeringsfarve2 12 3 3" xfId="43214" xr:uid="{00000000-0005-0000-0000-000085570000}"/>
    <cellStyle name="40 % - Markeringsfarve2 12 4" xfId="21227" xr:uid="{00000000-0005-0000-0000-000086570000}"/>
    <cellStyle name="40 % - Markeringsfarve2 12 5" xfId="36215" xr:uid="{00000000-0005-0000-0000-000087570000}"/>
    <cellStyle name="40 % - Markeringsfarve2 13" xfId="5328" xr:uid="{00000000-0005-0000-0000-000088570000}"/>
    <cellStyle name="40 % - Markeringsfarve2 13 2" xfId="13255" xr:uid="{00000000-0005-0000-0000-000089570000}"/>
    <cellStyle name="40 % - Markeringsfarve2 13 2 2" xfId="29570" xr:uid="{00000000-0005-0000-0000-00008A570000}"/>
    <cellStyle name="40 % - Markeringsfarve2 13 2 3" xfId="44534" xr:uid="{00000000-0005-0000-0000-00008B570000}"/>
    <cellStyle name="40 % - Markeringsfarve2 13 3" xfId="22548" xr:uid="{00000000-0005-0000-0000-00008C570000}"/>
    <cellStyle name="40 % - Markeringsfarve2 13 4" xfId="37535" xr:uid="{00000000-0005-0000-0000-00008D570000}"/>
    <cellStyle name="40 % - Markeringsfarve2 2" xfId="3370" xr:uid="{00000000-0005-0000-0000-00008E570000}"/>
    <cellStyle name="40 % - Markeringsfarve2 2 10" xfId="3371" xr:uid="{00000000-0005-0000-0000-00008F570000}"/>
    <cellStyle name="40 % - Markeringsfarve2 2 10 2" xfId="6684" xr:uid="{00000000-0005-0000-0000-000090570000}"/>
    <cellStyle name="40 % - Markeringsfarve2 2 10 2 2" xfId="14596" xr:uid="{00000000-0005-0000-0000-000091570000}"/>
    <cellStyle name="40 % - Markeringsfarve2 2 10 2 2 2" xfId="30911" xr:uid="{00000000-0005-0000-0000-000092570000}"/>
    <cellStyle name="40 % - Markeringsfarve2 2 10 2 2 3" xfId="45875" xr:uid="{00000000-0005-0000-0000-000093570000}"/>
    <cellStyle name="40 % - Markeringsfarve2 2 10 2 3" xfId="23889" xr:uid="{00000000-0005-0000-0000-000094570000}"/>
    <cellStyle name="40 % - Markeringsfarve2 2 10 2 4" xfId="38876" xr:uid="{00000000-0005-0000-0000-000095570000}"/>
    <cellStyle name="40 % - Markeringsfarve2 2 10 3" xfId="11931" xr:uid="{00000000-0005-0000-0000-000096570000}"/>
    <cellStyle name="40 % - Markeringsfarve2 2 10 3 2" xfId="28251" xr:uid="{00000000-0005-0000-0000-000097570000}"/>
    <cellStyle name="40 % - Markeringsfarve2 2 10 3 3" xfId="43216" xr:uid="{00000000-0005-0000-0000-000098570000}"/>
    <cellStyle name="40 % - Markeringsfarve2 2 10 4" xfId="21229" xr:uid="{00000000-0005-0000-0000-000099570000}"/>
    <cellStyle name="40 % - Markeringsfarve2 2 10 5" xfId="36217" xr:uid="{00000000-0005-0000-0000-00009A570000}"/>
    <cellStyle name="40 % - Markeringsfarve2 2 11" xfId="5743" xr:uid="{00000000-0005-0000-0000-00009B570000}"/>
    <cellStyle name="40 % - Markeringsfarve2 2 11 2" xfId="13662" xr:uid="{00000000-0005-0000-0000-00009C570000}"/>
    <cellStyle name="40 % - Markeringsfarve2 2 11 2 2" xfId="29977" xr:uid="{00000000-0005-0000-0000-00009D570000}"/>
    <cellStyle name="40 % - Markeringsfarve2 2 11 2 3" xfId="44941" xr:uid="{00000000-0005-0000-0000-00009E570000}"/>
    <cellStyle name="40 % - Markeringsfarve2 2 11 3" xfId="22955" xr:uid="{00000000-0005-0000-0000-00009F570000}"/>
    <cellStyle name="40 % - Markeringsfarve2 2 11 4" xfId="37942" xr:uid="{00000000-0005-0000-0000-0000A0570000}"/>
    <cellStyle name="40 % - Markeringsfarve2 2 12" xfId="11930" xr:uid="{00000000-0005-0000-0000-0000A1570000}"/>
    <cellStyle name="40 % - Markeringsfarve2 2 12 2" xfId="28250" xr:uid="{00000000-0005-0000-0000-0000A2570000}"/>
    <cellStyle name="40 % - Markeringsfarve2 2 12 3" xfId="43215" xr:uid="{00000000-0005-0000-0000-0000A3570000}"/>
    <cellStyle name="40 % - Markeringsfarve2 2 13" xfId="21228" xr:uid="{00000000-0005-0000-0000-0000A4570000}"/>
    <cellStyle name="40 % - Markeringsfarve2 2 14" xfId="36216" xr:uid="{00000000-0005-0000-0000-0000A5570000}"/>
    <cellStyle name="40 % - Markeringsfarve2 2 15" xfId="53275" xr:uid="{00000000-0005-0000-0000-0000A6570000}"/>
    <cellStyle name="40 % - Markeringsfarve2 2 2" xfId="3372" xr:uid="{00000000-0005-0000-0000-0000A7570000}"/>
    <cellStyle name="40 % - Markeringsfarve2 2 2 10" xfId="11932" xr:uid="{00000000-0005-0000-0000-0000A8570000}"/>
    <cellStyle name="40 % - Markeringsfarve2 2 2 10 2" xfId="28252" xr:uid="{00000000-0005-0000-0000-0000A9570000}"/>
    <cellStyle name="40 % - Markeringsfarve2 2 2 10 3" xfId="43217" xr:uid="{00000000-0005-0000-0000-0000AA570000}"/>
    <cellStyle name="40 % - Markeringsfarve2 2 2 11" xfId="21230" xr:uid="{00000000-0005-0000-0000-0000AB570000}"/>
    <cellStyle name="40 % - Markeringsfarve2 2 2 12" xfId="36218" xr:uid="{00000000-0005-0000-0000-0000AC570000}"/>
    <cellStyle name="40 % - Markeringsfarve2 2 2 13" xfId="53274" xr:uid="{00000000-0005-0000-0000-0000AD570000}"/>
    <cellStyle name="40 % - Markeringsfarve2 2 2 2" xfId="3373" xr:uid="{00000000-0005-0000-0000-0000AE570000}"/>
    <cellStyle name="40 % - Markeringsfarve2 2 2 2 2" xfId="3374" xr:uid="{00000000-0005-0000-0000-0000AF570000}"/>
    <cellStyle name="40 % - Markeringsfarve2 2 2 2 2 2" xfId="7615" xr:uid="{00000000-0005-0000-0000-0000B0570000}"/>
    <cellStyle name="40 % - Markeringsfarve2 2 2 2 2 2 2" xfId="15517" xr:uid="{00000000-0005-0000-0000-0000B1570000}"/>
    <cellStyle name="40 % - Markeringsfarve2 2 2 2 2 2 2 2" xfId="31832" xr:uid="{00000000-0005-0000-0000-0000B2570000}"/>
    <cellStyle name="40 % - Markeringsfarve2 2 2 2 2 2 2 3" xfId="46796" xr:uid="{00000000-0005-0000-0000-0000B3570000}"/>
    <cellStyle name="40 % - Markeringsfarve2 2 2 2 2 2 3" xfId="24810" xr:uid="{00000000-0005-0000-0000-0000B4570000}"/>
    <cellStyle name="40 % - Markeringsfarve2 2 2 2 2 2 4" xfId="39797" xr:uid="{00000000-0005-0000-0000-0000B5570000}"/>
    <cellStyle name="40 % - Markeringsfarve2 2 2 2 2 3" xfId="11934" xr:uid="{00000000-0005-0000-0000-0000B6570000}"/>
    <cellStyle name="40 % - Markeringsfarve2 2 2 2 2 3 2" xfId="28254" xr:uid="{00000000-0005-0000-0000-0000B7570000}"/>
    <cellStyle name="40 % - Markeringsfarve2 2 2 2 2 3 3" xfId="43219" xr:uid="{00000000-0005-0000-0000-0000B8570000}"/>
    <cellStyle name="40 % - Markeringsfarve2 2 2 2 2 4" xfId="21232" xr:uid="{00000000-0005-0000-0000-0000B9570000}"/>
    <cellStyle name="40 % - Markeringsfarve2 2 2 2 2 5" xfId="36220" xr:uid="{00000000-0005-0000-0000-0000BA570000}"/>
    <cellStyle name="40 % - Markeringsfarve2 2 2 2 2 6" xfId="57078" xr:uid="{00000000-0005-0000-0000-0000BB570000}"/>
    <cellStyle name="40 % - Markeringsfarve2 2 2 2 3" xfId="3375" xr:uid="{00000000-0005-0000-0000-0000BC570000}"/>
    <cellStyle name="40 % - Markeringsfarve2 2 2 2 3 2" xfId="6845" xr:uid="{00000000-0005-0000-0000-0000BD570000}"/>
    <cellStyle name="40 % - Markeringsfarve2 2 2 2 3 2 2" xfId="14757" xr:uid="{00000000-0005-0000-0000-0000BE570000}"/>
    <cellStyle name="40 % - Markeringsfarve2 2 2 2 3 2 2 2" xfId="31072" xr:uid="{00000000-0005-0000-0000-0000BF570000}"/>
    <cellStyle name="40 % - Markeringsfarve2 2 2 2 3 2 2 3" xfId="46036" xr:uid="{00000000-0005-0000-0000-0000C0570000}"/>
    <cellStyle name="40 % - Markeringsfarve2 2 2 2 3 2 3" xfId="24050" xr:uid="{00000000-0005-0000-0000-0000C1570000}"/>
    <cellStyle name="40 % - Markeringsfarve2 2 2 2 3 2 4" xfId="39037" xr:uid="{00000000-0005-0000-0000-0000C2570000}"/>
    <cellStyle name="40 % - Markeringsfarve2 2 2 2 3 3" xfId="11935" xr:uid="{00000000-0005-0000-0000-0000C3570000}"/>
    <cellStyle name="40 % - Markeringsfarve2 2 2 2 3 3 2" xfId="28255" xr:uid="{00000000-0005-0000-0000-0000C4570000}"/>
    <cellStyle name="40 % - Markeringsfarve2 2 2 2 3 3 3" xfId="43220" xr:uid="{00000000-0005-0000-0000-0000C5570000}"/>
    <cellStyle name="40 % - Markeringsfarve2 2 2 2 3 4" xfId="21233" xr:uid="{00000000-0005-0000-0000-0000C6570000}"/>
    <cellStyle name="40 % - Markeringsfarve2 2 2 2 3 5" xfId="36221" xr:uid="{00000000-0005-0000-0000-0000C7570000}"/>
    <cellStyle name="40 % - Markeringsfarve2 2 2 2 4" xfId="5745" xr:uid="{00000000-0005-0000-0000-0000C8570000}"/>
    <cellStyle name="40 % - Markeringsfarve2 2 2 2 4 2" xfId="13664" xr:uid="{00000000-0005-0000-0000-0000C9570000}"/>
    <cellStyle name="40 % - Markeringsfarve2 2 2 2 4 2 2" xfId="29979" xr:uid="{00000000-0005-0000-0000-0000CA570000}"/>
    <cellStyle name="40 % - Markeringsfarve2 2 2 2 4 2 3" xfId="44943" xr:uid="{00000000-0005-0000-0000-0000CB570000}"/>
    <cellStyle name="40 % - Markeringsfarve2 2 2 2 4 3" xfId="22957" xr:uid="{00000000-0005-0000-0000-0000CC570000}"/>
    <cellStyle name="40 % - Markeringsfarve2 2 2 2 4 4" xfId="37944" xr:uid="{00000000-0005-0000-0000-0000CD570000}"/>
    <cellStyle name="40 % - Markeringsfarve2 2 2 2 5" xfId="11933" xr:uid="{00000000-0005-0000-0000-0000CE570000}"/>
    <cellStyle name="40 % - Markeringsfarve2 2 2 2 5 2" xfId="28253" xr:uid="{00000000-0005-0000-0000-0000CF570000}"/>
    <cellStyle name="40 % - Markeringsfarve2 2 2 2 5 3" xfId="43218" xr:uid="{00000000-0005-0000-0000-0000D0570000}"/>
    <cellStyle name="40 % - Markeringsfarve2 2 2 2 6" xfId="21231" xr:uid="{00000000-0005-0000-0000-0000D1570000}"/>
    <cellStyle name="40 % - Markeringsfarve2 2 2 2 7" xfId="36219" xr:uid="{00000000-0005-0000-0000-0000D2570000}"/>
    <cellStyle name="40 % - Markeringsfarve2 2 2 2 8" xfId="53911" xr:uid="{00000000-0005-0000-0000-0000D3570000}"/>
    <cellStyle name="40 % - Markeringsfarve2 2 2 3" xfId="3376" xr:uid="{00000000-0005-0000-0000-0000D4570000}"/>
    <cellStyle name="40 % - Markeringsfarve2 2 2 3 2" xfId="3377" xr:uid="{00000000-0005-0000-0000-0000D5570000}"/>
    <cellStyle name="40 % - Markeringsfarve2 2 2 3 2 2" xfId="7730" xr:uid="{00000000-0005-0000-0000-0000D6570000}"/>
    <cellStyle name="40 % - Markeringsfarve2 2 2 3 2 2 2" xfId="15632" xr:uid="{00000000-0005-0000-0000-0000D7570000}"/>
    <cellStyle name="40 % - Markeringsfarve2 2 2 3 2 2 2 2" xfId="31947" xr:uid="{00000000-0005-0000-0000-0000D8570000}"/>
    <cellStyle name="40 % - Markeringsfarve2 2 2 3 2 2 2 3" xfId="46911" xr:uid="{00000000-0005-0000-0000-0000D9570000}"/>
    <cellStyle name="40 % - Markeringsfarve2 2 2 3 2 2 3" xfId="24925" xr:uid="{00000000-0005-0000-0000-0000DA570000}"/>
    <cellStyle name="40 % - Markeringsfarve2 2 2 3 2 2 4" xfId="39912" xr:uid="{00000000-0005-0000-0000-0000DB570000}"/>
    <cellStyle name="40 % - Markeringsfarve2 2 2 3 2 3" xfId="11937" xr:uid="{00000000-0005-0000-0000-0000DC570000}"/>
    <cellStyle name="40 % - Markeringsfarve2 2 2 3 2 3 2" xfId="28257" xr:uid="{00000000-0005-0000-0000-0000DD570000}"/>
    <cellStyle name="40 % - Markeringsfarve2 2 2 3 2 3 3" xfId="43222" xr:uid="{00000000-0005-0000-0000-0000DE570000}"/>
    <cellStyle name="40 % - Markeringsfarve2 2 2 3 2 4" xfId="21235" xr:uid="{00000000-0005-0000-0000-0000DF570000}"/>
    <cellStyle name="40 % - Markeringsfarve2 2 2 3 2 5" xfId="36223" xr:uid="{00000000-0005-0000-0000-0000E0570000}"/>
    <cellStyle name="40 % - Markeringsfarve2 2 2 3 3" xfId="3378" xr:uid="{00000000-0005-0000-0000-0000E1570000}"/>
    <cellStyle name="40 % - Markeringsfarve2 2 2 3 3 2" xfId="6960" xr:uid="{00000000-0005-0000-0000-0000E2570000}"/>
    <cellStyle name="40 % - Markeringsfarve2 2 2 3 3 2 2" xfId="14872" xr:uid="{00000000-0005-0000-0000-0000E3570000}"/>
    <cellStyle name="40 % - Markeringsfarve2 2 2 3 3 2 2 2" xfId="31187" xr:uid="{00000000-0005-0000-0000-0000E4570000}"/>
    <cellStyle name="40 % - Markeringsfarve2 2 2 3 3 2 2 3" xfId="46151" xr:uid="{00000000-0005-0000-0000-0000E5570000}"/>
    <cellStyle name="40 % - Markeringsfarve2 2 2 3 3 2 3" xfId="24165" xr:uid="{00000000-0005-0000-0000-0000E6570000}"/>
    <cellStyle name="40 % - Markeringsfarve2 2 2 3 3 2 4" xfId="39152" xr:uid="{00000000-0005-0000-0000-0000E7570000}"/>
    <cellStyle name="40 % - Markeringsfarve2 2 2 3 3 3" xfId="11938" xr:uid="{00000000-0005-0000-0000-0000E8570000}"/>
    <cellStyle name="40 % - Markeringsfarve2 2 2 3 3 3 2" xfId="28258" xr:uid="{00000000-0005-0000-0000-0000E9570000}"/>
    <cellStyle name="40 % - Markeringsfarve2 2 2 3 3 3 3" xfId="43223" xr:uid="{00000000-0005-0000-0000-0000EA570000}"/>
    <cellStyle name="40 % - Markeringsfarve2 2 2 3 3 4" xfId="21236" xr:uid="{00000000-0005-0000-0000-0000EB570000}"/>
    <cellStyle name="40 % - Markeringsfarve2 2 2 3 3 5" xfId="36224" xr:uid="{00000000-0005-0000-0000-0000EC570000}"/>
    <cellStyle name="40 % - Markeringsfarve2 2 2 3 4" xfId="5746" xr:uid="{00000000-0005-0000-0000-0000ED570000}"/>
    <cellStyle name="40 % - Markeringsfarve2 2 2 3 4 2" xfId="13665" xr:uid="{00000000-0005-0000-0000-0000EE570000}"/>
    <cellStyle name="40 % - Markeringsfarve2 2 2 3 4 2 2" xfId="29980" xr:uid="{00000000-0005-0000-0000-0000EF570000}"/>
    <cellStyle name="40 % - Markeringsfarve2 2 2 3 4 2 3" xfId="44944" xr:uid="{00000000-0005-0000-0000-0000F0570000}"/>
    <cellStyle name="40 % - Markeringsfarve2 2 2 3 4 3" xfId="22958" xr:uid="{00000000-0005-0000-0000-0000F1570000}"/>
    <cellStyle name="40 % - Markeringsfarve2 2 2 3 4 4" xfId="37945" xr:uid="{00000000-0005-0000-0000-0000F2570000}"/>
    <cellStyle name="40 % - Markeringsfarve2 2 2 3 5" xfId="11936" xr:uid="{00000000-0005-0000-0000-0000F3570000}"/>
    <cellStyle name="40 % - Markeringsfarve2 2 2 3 5 2" xfId="28256" xr:uid="{00000000-0005-0000-0000-0000F4570000}"/>
    <cellStyle name="40 % - Markeringsfarve2 2 2 3 5 3" xfId="43221" xr:uid="{00000000-0005-0000-0000-0000F5570000}"/>
    <cellStyle name="40 % - Markeringsfarve2 2 2 3 6" xfId="21234" xr:uid="{00000000-0005-0000-0000-0000F6570000}"/>
    <cellStyle name="40 % - Markeringsfarve2 2 2 3 7" xfId="36222" xr:uid="{00000000-0005-0000-0000-0000F7570000}"/>
    <cellStyle name="40 % - Markeringsfarve2 2 2 3 8" xfId="56455" xr:uid="{00000000-0005-0000-0000-0000F8570000}"/>
    <cellStyle name="40 % - Markeringsfarve2 2 2 4" xfId="3379" xr:uid="{00000000-0005-0000-0000-0000F9570000}"/>
    <cellStyle name="40 % - Markeringsfarve2 2 2 4 2" xfId="3380" xr:uid="{00000000-0005-0000-0000-0000FA570000}"/>
    <cellStyle name="40 % - Markeringsfarve2 2 2 4 2 2" xfId="7853" xr:uid="{00000000-0005-0000-0000-0000FB570000}"/>
    <cellStyle name="40 % - Markeringsfarve2 2 2 4 2 2 2" xfId="15755" xr:uid="{00000000-0005-0000-0000-0000FC570000}"/>
    <cellStyle name="40 % - Markeringsfarve2 2 2 4 2 2 2 2" xfId="32070" xr:uid="{00000000-0005-0000-0000-0000FD570000}"/>
    <cellStyle name="40 % - Markeringsfarve2 2 2 4 2 2 2 3" xfId="47034" xr:uid="{00000000-0005-0000-0000-0000FE570000}"/>
    <cellStyle name="40 % - Markeringsfarve2 2 2 4 2 2 3" xfId="25048" xr:uid="{00000000-0005-0000-0000-0000FF570000}"/>
    <cellStyle name="40 % - Markeringsfarve2 2 2 4 2 2 4" xfId="40035" xr:uid="{00000000-0005-0000-0000-000000580000}"/>
    <cellStyle name="40 % - Markeringsfarve2 2 2 4 2 3" xfId="11940" xr:uid="{00000000-0005-0000-0000-000001580000}"/>
    <cellStyle name="40 % - Markeringsfarve2 2 2 4 2 3 2" xfId="28260" xr:uid="{00000000-0005-0000-0000-000002580000}"/>
    <cellStyle name="40 % - Markeringsfarve2 2 2 4 2 3 3" xfId="43225" xr:uid="{00000000-0005-0000-0000-000003580000}"/>
    <cellStyle name="40 % - Markeringsfarve2 2 2 4 2 4" xfId="21238" xr:uid="{00000000-0005-0000-0000-000004580000}"/>
    <cellStyle name="40 % - Markeringsfarve2 2 2 4 2 5" xfId="36226" xr:uid="{00000000-0005-0000-0000-000005580000}"/>
    <cellStyle name="40 % - Markeringsfarve2 2 2 4 3" xfId="3381" xr:uid="{00000000-0005-0000-0000-000006580000}"/>
    <cellStyle name="40 % - Markeringsfarve2 2 2 4 3 2" xfId="7129" xr:uid="{00000000-0005-0000-0000-000007580000}"/>
    <cellStyle name="40 % - Markeringsfarve2 2 2 4 3 2 2" xfId="15040" xr:uid="{00000000-0005-0000-0000-000008580000}"/>
    <cellStyle name="40 % - Markeringsfarve2 2 2 4 3 2 2 2" xfId="31355" xr:uid="{00000000-0005-0000-0000-000009580000}"/>
    <cellStyle name="40 % - Markeringsfarve2 2 2 4 3 2 2 3" xfId="46319" xr:uid="{00000000-0005-0000-0000-00000A580000}"/>
    <cellStyle name="40 % - Markeringsfarve2 2 2 4 3 2 3" xfId="24333" xr:uid="{00000000-0005-0000-0000-00000B580000}"/>
    <cellStyle name="40 % - Markeringsfarve2 2 2 4 3 2 4" xfId="39320" xr:uid="{00000000-0005-0000-0000-00000C580000}"/>
    <cellStyle name="40 % - Markeringsfarve2 2 2 4 3 3" xfId="11941" xr:uid="{00000000-0005-0000-0000-00000D580000}"/>
    <cellStyle name="40 % - Markeringsfarve2 2 2 4 3 3 2" xfId="28261" xr:uid="{00000000-0005-0000-0000-00000E580000}"/>
    <cellStyle name="40 % - Markeringsfarve2 2 2 4 3 3 3" xfId="43226" xr:uid="{00000000-0005-0000-0000-00000F580000}"/>
    <cellStyle name="40 % - Markeringsfarve2 2 2 4 3 4" xfId="21239" xr:uid="{00000000-0005-0000-0000-000010580000}"/>
    <cellStyle name="40 % - Markeringsfarve2 2 2 4 3 5" xfId="36227" xr:uid="{00000000-0005-0000-0000-000011580000}"/>
    <cellStyle name="40 % - Markeringsfarve2 2 2 4 4" xfId="5747" xr:uid="{00000000-0005-0000-0000-000012580000}"/>
    <cellStyle name="40 % - Markeringsfarve2 2 2 4 4 2" xfId="13666" xr:uid="{00000000-0005-0000-0000-000013580000}"/>
    <cellStyle name="40 % - Markeringsfarve2 2 2 4 4 2 2" xfId="29981" xr:uid="{00000000-0005-0000-0000-000014580000}"/>
    <cellStyle name="40 % - Markeringsfarve2 2 2 4 4 2 3" xfId="44945" xr:uid="{00000000-0005-0000-0000-000015580000}"/>
    <cellStyle name="40 % - Markeringsfarve2 2 2 4 4 3" xfId="22959" xr:uid="{00000000-0005-0000-0000-000016580000}"/>
    <cellStyle name="40 % - Markeringsfarve2 2 2 4 4 4" xfId="37946" xr:uid="{00000000-0005-0000-0000-000017580000}"/>
    <cellStyle name="40 % - Markeringsfarve2 2 2 4 5" xfId="11939" xr:uid="{00000000-0005-0000-0000-000018580000}"/>
    <cellStyle name="40 % - Markeringsfarve2 2 2 4 5 2" xfId="28259" xr:uid="{00000000-0005-0000-0000-000019580000}"/>
    <cellStyle name="40 % - Markeringsfarve2 2 2 4 5 3" xfId="43224" xr:uid="{00000000-0005-0000-0000-00001A580000}"/>
    <cellStyle name="40 % - Markeringsfarve2 2 2 4 6" xfId="21237" xr:uid="{00000000-0005-0000-0000-00001B580000}"/>
    <cellStyle name="40 % - Markeringsfarve2 2 2 4 7" xfId="36225" xr:uid="{00000000-0005-0000-0000-00001C580000}"/>
    <cellStyle name="40 % - Markeringsfarve2 2 2 5" xfId="3382" xr:uid="{00000000-0005-0000-0000-00001D580000}"/>
    <cellStyle name="40 % - Markeringsfarve2 2 2 5 2" xfId="3383" xr:uid="{00000000-0005-0000-0000-00001E580000}"/>
    <cellStyle name="40 % - Markeringsfarve2 2 2 5 2 2" xfId="7970" xr:uid="{00000000-0005-0000-0000-00001F580000}"/>
    <cellStyle name="40 % - Markeringsfarve2 2 2 5 2 2 2" xfId="15872" xr:uid="{00000000-0005-0000-0000-000020580000}"/>
    <cellStyle name="40 % - Markeringsfarve2 2 2 5 2 2 2 2" xfId="32187" xr:uid="{00000000-0005-0000-0000-000021580000}"/>
    <cellStyle name="40 % - Markeringsfarve2 2 2 5 2 2 2 3" xfId="47151" xr:uid="{00000000-0005-0000-0000-000022580000}"/>
    <cellStyle name="40 % - Markeringsfarve2 2 2 5 2 2 3" xfId="25165" xr:uid="{00000000-0005-0000-0000-000023580000}"/>
    <cellStyle name="40 % - Markeringsfarve2 2 2 5 2 2 4" xfId="40152" xr:uid="{00000000-0005-0000-0000-000024580000}"/>
    <cellStyle name="40 % - Markeringsfarve2 2 2 5 2 3" xfId="11943" xr:uid="{00000000-0005-0000-0000-000025580000}"/>
    <cellStyle name="40 % - Markeringsfarve2 2 2 5 2 3 2" xfId="28263" xr:uid="{00000000-0005-0000-0000-000026580000}"/>
    <cellStyle name="40 % - Markeringsfarve2 2 2 5 2 3 3" xfId="43228" xr:uid="{00000000-0005-0000-0000-000027580000}"/>
    <cellStyle name="40 % - Markeringsfarve2 2 2 5 2 4" xfId="21241" xr:uid="{00000000-0005-0000-0000-000028580000}"/>
    <cellStyle name="40 % - Markeringsfarve2 2 2 5 2 5" xfId="36229" xr:uid="{00000000-0005-0000-0000-000029580000}"/>
    <cellStyle name="40 % - Markeringsfarve2 2 2 5 3" xfId="3384" xr:uid="{00000000-0005-0000-0000-00002A580000}"/>
    <cellStyle name="40 % - Markeringsfarve2 2 2 5 3 2" xfId="7246" xr:uid="{00000000-0005-0000-0000-00002B580000}"/>
    <cellStyle name="40 % - Markeringsfarve2 2 2 5 3 2 2" xfId="15157" xr:uid="{00000000-0005-0000-0000-00002C580000}"/>
    <cellStyle name="40 % - Markeringsfarve2 2 2 5 3 2 2 2" xfId="31472" xr:uid="{00000000-0005-0000-0000-00002D580000}"/>
    <cellStyle name="40 % - Markeringsfarve2 2 2 5 3 2 2 3" xfId="46436" xr:uid="{00000000-0005-0000-0000-00002E580000}"/>
    <cellStyle name="40 % - Markeringsfarve2 2 2 5 3 2 3" xfId="24450" xr:uid="{00000000-0005-0000-0000-00002F580000}"/>
    <cellStyle name="40 % - Markeringsfarve2 2 2 5 3 2 4" xfId="39437" xr:uid="{00000000-0005-0000-0000-000030580000}"/>
    <cellStyle name="40 % - Markeringsfarve2 2 2 5 3 3" xfId="11944" xr:uid="{00000000-0005-0000-0000-000031580000}"/>
    <cellStyle name="40 % - Markeringsfarve2 2 2 5 3 3 2" xfId="28264" xr:uid="{00000000-0005-0000-0000-000032580000}"/>
    <cellStyle name="40 % - Markeringsfarve2 2 2 5 3 3 3" xfId="43229" xr:uid="{00000000-0005-0000-0000-000033580000}"/>
    <cellStyle name="40 % - Markeringsfarve2 2 2 5 3 4" xfId="21242" xr:uid="{00000000-0005-0000-0000-000034580000}"/>
    <cellStyle name="40 % - Markeringsfarve2 2 2 5 3 5" xfId="36230" xr:uid="{00000000-0005-0000-0000-000035580000}"/>
    <cellStyle name="40 % - Markeringsfarve2 2 2 5 4" xfId="5748" xr:uid="{00000000-0005-0000-0000-000036580000}"/>
    <cellStyle name="40 % - Markeringsfarve2 2 2 5 4 2" xfId="13667" xr:uid="{00000000-0005-0000-0000-000037580000}"/>
    <cellStyle name="40 % - Markeringsfarve2 2 2 5 4 2 2" xfId="29982" xr:uid="{00000000-0005-0000-0000-000038580000}"/>
    <cellStyle name="40 % - Markeringsfarve2 2 2 5 4 2 3" xfId="44946" xr:uid="{00000000-0005-0000-0000-000039580000}"/>
    <cellStyle name="40 % - Markeringsfarve2 2 2 5 4 3" xfId="22960" xr:uid="{00000000-0005-0000-0000-00003A580000}"/>
    <cellStyle name="40 % - Markeringsfarve2 2 2 5 4 4" xfId="37947" xr:uid="{00000000-0005-0000-0000-00003B580000}"/>
    <cellStyle name="40 % - Markeringsfarve2 2 2 5 5" xfId="11942" xr:uid="{00000000-0005-0000-0000-00003C580000}"/>
    <cellStyle name="40 % - Markeringsfarve2 2 2 5 5 2" xfId="28262" xr:uid="{00000000-0005-0000-0000-00003D580000}"/>
    <cellStyle name="40 % - Markeringsfarve2 2 2 5 5 3" xfId="43227" xr:uid="{00000000-0005-0000-0000-00003E580000}"/>
    <cellStyle name="40 % - Markeringsfarve2 2 2 5 6" xfId="21240" xr:uid="{00000000-0005-0000-0000-00003F580000}"/>
    <cellStyle name="40 % - Markeringsfarve2 2 2 5 7" xfId="36228" xr:uid="{00000000-0005-0000-0000-000040580000}"/>
    <cellStyle name="40 % - Markeringsfarve2 2 2 6" xfId="3385" xr:uid="{00000000-0005-0000-0000-000041580000}"/>
    <cellStyle name="40 % - Markeringsfarve2 2 2 6 2" xfId="3386" xr:uid="{00000000-0005-0000-0000-000042580000}"/>
    <cellStyle name="40 % - Markeringsfarve2 2 2 6 2 2" xfId="8084" xr:uid="{00000000-0005-0000-0000-000043580000}"/>
    <cellStyle name="40 % - Markeringsfarve2 2 2 6 2 2 2" xfId="15986" xr:uid="{00000000-0005-0000-0000-000044580000}"/>
    <cellStyle name="40 % - Markeringsfarve2 2 2 6 2 2 2 2" xfId="32301" xr:uid="{00000000-0005-0000-0000-000045580000}"/>
    <cellStyle name="40 % - Markeringsfarve2 2 2 6 2 2 2 3" xfId="47265" xr:uid="{00000000-0005-0000-0000-000046580000}"/>
    <cellStyle name="40 % - Markeringsfarve2 2 2 6 2 2 3" xfId="25279" xr:uid="{00000000-0005-0000-0000-000047580000}"/>
    <cellStyle name="40 % - Markeringsfarve2 2 2 6 2 2 4" xfId="40266" xr:uid="{00000000-0005-0000-0000-000048580000}"/>
    <cellStyle name="40 % - Markeringsfarve2 2 2 6 2 3" xfId="11946" xr:uid="{00000000-0005-0000-0000-000049580000}"/>
    <cellStyle name="40 % - Markeringsfarve2 2 2 6 2 3 2" xfId="28266" xr:uid="{00000000-0005-0000-0000-00004A580000}"/>
    <cellStyle name="40 % - Markeringsfarve2 2 2 6 2 3 3" xfId="43231" xr:uid="{00000000-0005-0000-0000-00004B580000}"/>
    <cellStyle name="40 % - Markeringsfarve2 2 2 6 2 4" xfId="21244" xr:uid="{00000000-0005-0000-0000-00004C580000}"/>
    <cellStyle name="40 % - Markeringsfarve2 2 2 6 2 5" xfId="36232" xr:uid="{00000000-0005-0000-0000-00004D580000}"/>
    <cellStyle name="40 % - Markeringsfarve2 2 2 6 3" xfId="3387" xr:uid="{00000000-0005-0000-0000-00004E580000}"/>
    <cellStyle name="40 % - Markeringsfarve2 2 2 6 3 2" xfId="7361" xr:uid="{00000000-0005-0000-0000-00004F580000}"/>
    <cellStyle name="40 % - Markeringsfarve2 2 2 6 3 2 2" xfId="15272" xr:uid="{00000000-0005-0000-0000-000050580000}"/>
    <cellStyle name="40 % - Markeringsfarve2 2 2 6 3 2 2 2" xfId="31587" xr:uid="{00000000-0005-0000-0000-000051580000}"/>
    <cellStyle name="40 % - Markeringsfarve2 2 2 6 3 2 2 3" xfId="46551" xr:uid="{00000000-0005-0000-0000-000052580000}"/>
    <cellStyle name="40 % - Markeringsfarve2 2 2 6 3 2 3" xfId="24565" xr:uid="{00000000-0005-0000-0000-000053580000}"/>
    <cellStyle name="40 % - Markeringsfarve2 2 2 6 3 2 4" xfId="39552" xr:uid="{00000000-0005-0000-0000-000054580000}"/>
    <cellStyle name="40 % - Markeringsfarve2 2 2 6 3 3" xfId="11947" xr:uid="{00000000-0005-0000-0000-000055580000}"/>
    <cellStyle name="40 % - Markeringsfarve2 2 2 6 3 3 2" xfId="28267" xr:uid="{00000000-0005-0000-0000-000056580000}"/>
    <cellStyle name="40 % - Markeringsfarve2 2 2 6 3 3 3" xfId="43232" xr:uid="{00000000-0005-0000-0000-000057580000}"/>
    <cellStyle name="40 % - Markeringsfarve2 2 2 6 3 4" xfId="21245" xr:uid="{00000000-0005-0000-0000-000058580000}"/>
    <cellStyle name="40 % - Markeringsfarve2 2 2 6 3 5" xfId="36233" xr:uid="{00000000-0005-0000-0000-000059580000}"/>
    <cellStyle name="40 % - Markeringsfarve2 2 2 6 4" xfId="5749" xr:uid="{00000000-0005-0000-0000-00005A580000}"/>
    <cellStyle name="40 % - Markeringsfarve2 2 2 6 4 2" xfId="13668" xr:uid="{00000000-0005-0000-0000-00005B580000}"/>
    <cellStyle name="40 % - Markeringsfarve2 2 2 6 4 2 2" xfId="29983" xr:uid="{00000000-0005-0000-0000-00005C580000}"/>
    <cellStyle name="40 % - Markeringsfarve2 2 2 6 4 2 3" xfId="44947" xr:uid="{00000000-0005-0000-0000-00005D580000}"/>
    <cellStyle name="40 % - Markeringsfarve2 2 2 6 4 3" xfId="22961" xr:uid="{00000000-0005-0000-0000-00005E580000}"/>
    <cellStyle name="40 % - Markeringsfarve2 2 2 6 4 4" xfId="37948" xr:uid="{00000000-0005-0000-0000-00005F580000}"/>
    <cellStyle name="40 % - Markeringsfarve2 2 2 6 5" xfId="11945" xr:uid="{00000000-0005-0000-0000-000060580000}"/>
    <cellStyle name="40 % - Markeringsfarve2 2 2 6 5 2" xfId="28265" xr:uid="{00000000-0005-0000-0000-000061580000}"/>
    <cellStyle name="40 % - Markeringsfarve2 2 2 6 5 3" xfId="43230" xr:uid="{00000000-0005-0000-0000-000062580000}"/>
    <cellStyle name="40 % - Markeringsfarve2 2 2 6 6" xfId="21243" xr:uid="{00000000-0005-0000-0000-000063580000}"/>
    <cellStyle name="40 % - Markeringsfarve2 2 2 6 7" xfId="36231" xr:uid="{00000000-0005-0000-0000-000064580000}"/>
    <cellStyle name="40 % - Markeringsfarve2 2 2 7" xfId="3388" xr:uid="{00000000-0005-0000-0000-000065580000}"/>
    <cellStyle name="40 % - Markeringsfarve2 2 2 7 2" xfId="7496" xr:uid="{00000000-0005-0000-0000-000066580000}"/>
    <cellStyle name="40 % - Markeringsfarve2 2 2 7 2 2" xfId="15398" xr:uid="{00000000-0005-0000-0000-000067580000}"/>
    <cellStyle name="40 % - Markeringsfarve2 2 2 7 2 2 2" xfId="31713" xr:uid="{00000000-0005-0000-0000-000068580000}"/>
    <cellStyle name="40 % - Markeringsfarve2 2 2 7 2 2 3" xfId="46677" xr:uid="{00000000-0005-0000-0000-000069580000}"/>
    <cellStyle name="40 % - Markeringsfarve2 2 2 7 2 3" xfId="24691" xr:uid="{00000000-0005-0000-0000-00006A580000}"/>
    <cellStyle name="40 % - Markeringsfarve2 2 2 7 2 4" xfId="39678" xr:uid="{00000000-0005-0000-0000-00006B580000}"/>
    <cellStyle name="40 % - Markeringsfarve2 2 2 7 3" xfId="11948" xr:uid="{00000000-0005-0000-0000-00006C580000}"/>
    <cellStyle name="40 % - Markeringsfarve2 2 2 7 3 2" xfId="28268" xr:uid="{00000000-0005-0000-0000-00006D580000}"/>
    <cellStyle name="40 % - Markeringsfarve2 2 2 7 3 3" xfId="43233" xr:uid="{00000000-0005-0000-0000-00006E580000}"/>
    <cellStyle name="40 % - Markeringsfarve2 2 2 7 4" xfId="21246" xr:uid="{00000000-0005-0000-0000-00006F580000}"/>
    <cellStyle name="40 % - Markeringsfarve2 2 2 7 5" xfId="36234" xr:uid="{00000000-0005-0000-0000-000070580000}"/>
    <cellStyle name="40 % - Markeringsfarve2 2 2 8" xfId="3389" xr:uid="{00000000-0005-0000-0000-000071580000}"/>
    <cellStyle name="40 % - Markeringsfarve2 2 2 8 2" xfId="6724" xr:uid="{00000000-0005-0000-0000-000072580000}"/>
    <cellStyle name="40 % - Markeringsfarve2 2 2 8 2 2" xfId="14636" xr:uid="{00000000-0005-0000-0000-000073580000}"/>
    <cellStyle name="40 % - Markeringsfarve2 2 2 8 2 2 2" xfId="30951" xr:uid="{00000000-0005-0000-0000-000074580000}"/>
    <cellStyle name="40 % - Markeringsfarve2 2 2 8 2 2 3" xfId="45915" xr:uid="{00000000-0005-0000-0000-000075580000}"/>
    <cellStyle name="40 % - Markeringsfarve2 2 2 8 2 3" xfId="23929" xr:uid="{00000000-0005-0000-0000-000076580000}"/>
    <cellStyle name="40 % - Markeringsfarve2 2 2 8 2 4" xfId="38916" xr:uid="{00000000-0005-0000-0000-000077580000}"/>
    <cellStyle name="40 % - Markeringsfarve2 2 2 8 3" xfId="11949" xr:uid="{00000000-0005-0000-0000-000078580000}"/>
    <cellStyle name="40 % - Markeringsfarve2 2 2 8 3 2" xfId="28269" xr:uid="{00000000-0005-0000-0000-000079580000}"/>
    <cellStyle name="40 % - Markeringsfarve2 2 2 8 3 3" xfId="43234" xr:uid="{00000000-0005-0000-0000-00007A580000}"/>
    <cellStyle name="40 % - Markeringsfarve2 2 2 8 4" xfId="21247" xr:uid="{00000000-0005-0000-0000-00007B580000}"/>
    <cellStyle name="40 % - Markeringsfarve2 2 2 8 5" xfId="36235" xr:uid="{00000000-0005-0000-0000-00007C580000}"/>
    <cellStyle name="40 % - Markeringsfarve2 2 2 9" xfId="5744" xr:uid="{00000000-0005-0000-0000-00007D580000}"/>
    <cellStyle name="40 % - Markeringsfarve2 2 2 9 2" xfId="13663" xr:uid="{00000000-0005-0000-0000-00007E580000}"/>
    <cellStyle name="40 % - Markeringsfarve2 2 2 9 2 2" xfId="29978" xr:uid="{00000000-0005-0000-0000-00007F580000}"/>
    <cellStyle name="40 % - Markeringsfarve2 2 2 9 2 3" xfId="44942" xr:uid="{00000000-0005-0000-0000-000080580000}"/>
    <cellStyle name="40 % - Markeringsfarve2 2 2 9 3" xfId="22956" xr:uid="{00000000-0005-0000-0000-000081580000}"/>
    <cellStyle name="40 % - Markeringsfarve2 2 2 9 4" xfId="37943" xr:uid="{00000000-0005-0000-0000-000082580000}"/>
    <cellStyle name="40 % - Markeringsfarve2 2 3" xfId="3390" xr:uid="{00000000-0005-0000-0000-000083580000}"/>
    <cellStyle name="40 % - Markeringsfarve2 2 3 10" xfId="11950" xr:uid="{00000000-0005-0000-0000-000084580000}"/>
    <cellStyle name="40 % - Markeringsfarve2 2 3 10 2" xfId="28270" xr:uid="{00000000-0005-0000-0000-000085580000}"/>
    <cellStyle name="40 % - Markeringsfarve2 2 3 10 3" xfId="43235" xr:uid="{00000000-0005-0000-0000-000086580000}"/>
    <cellStyle name="40 % - Markeringsfarve2 2 3 11" xfId="21248" xr:uid="{00000000-0005-0000-0000-000087580000}"/>
    <cellStyle name="40 % - Markeringsfarve2 2 3 12" xfId="36236" xr:uid="{00000000-0005-0000-0000-000088580000}"/>
    <cellStyle name="40 % - Markeringsfarve2 2 3 13" xfId="53273" xr:uid="{00000000-0005-0000-0000-000089580000}"/>
    <cellStyle name="40 % - Markeringsfarve2 2 3 2" xfId="3391" xr:uid="{00000000-0005-0000-0000-00008A580000}"/>
    <cellStyle name="40 % - Markeringsfarve2 2 3 2 2" xfId="3392" xr:uid="{00000000-0005-0000-0000-00008B580000}"/>
    <cellStyle name="40 % - Markeringsfarve2 2 3 2 2 2" xfId="7654" xr:uid="{00000000-0005-0000-0000-00008C580000}"/>
    <cellStyle name="40 % - Markeringsfarve2 2 3 2 2 2 2" xfId="15556" xr:uid="{00000000-0005-0000-0000-00008D580000}"/>
    <cellStyle name="40 % - Markeringsfarve2 2 3 2 2 2 2 2" xfId="31871" xr:uid="{00000000-0005-0000-0000-00008E580000}"/>
    <cellStyle name="40 % - Markeringsfarve2 2 3 2 2 2 2 3" xfId="46835" xr:uid="{00000000-0005-0000-0000-00008F580000}"/>
    <cellStyle name="40 % - Markeringsfarve2 2 3 2 2 2 3" xfId="24849" xr:uid="{00000000-0005-0000-0000-000090580000}"/>
    <cellStyle name="40 % - Markeringsfarve2 2 3 2 2 2 4" xfId="39836" xr:uid="{00000000-0005-0000-0000-000091580000}"/>
    <cellStyle name="40 % - Markeringsfarve2 2 3 2 2 3" xfId="11952" xr:uid="{00000000-0005-0000-0000-000092580000}"/>
    <cellStyle name="40 % - Markeringsfarve2 2 3 2 2 3 2" xfId="28272" xr:uid="{00000000-0005-0000-0000-000093580000}"/>
    <cellStyle name="40 % - Markeringsfarve2 2 3 2 2 3 3" xfId="43237" xr:uid="{00000000-0005-0000-0000-000094580000}"/>
    <cellStyle name="40 % - Markeringsfarve2 2 3 2 2 4" xfId="21250" xr:uid="{00000000-0005-0000-0000-000095580000}"/>
    <cellStyle name="40 % - Markeringsfarve2 2 3 2 2 5" xfId="36238" xr:uid="{00000000-0005-0000-0000-000096580000}"/>
    <cellStyle name="40 % - Markeringsfarve2 2 3 2 2 6" xfId="57077" xr:uid="{00000000-0005-0000-0000-000097580000}"/>
    <cellStyle name="40 % - Markeringsfarve2 2 3 2 3" xfId="3393" xr:uid="{00000000-0005-0000-0000-000098580000}"/>
    <cellStyle name="40 % - Markeringsfarve2 2 3 2 3 2" xfId="6884" xr:uid="{00000000-0005-0000-0000-000099580000}"/>
    <cellStyle name="40 % - Markeringsfarve2 2 3 2 3 2 2" xfId="14796" xr:uid="{00000000-0005-0000-0000-00009A580000}"/>
    <cellStyle name="40 % - Markeringsfarve2 2 3 2 3 2 2 2" xfId="31111" xr:uid="{00000000-0005-0000-0000-00009B580000}"/>
    <cellStyle name="40 % - Markeringsfarve2 2 3 2 3 2 2 3" xfId="46075" xr:uid="{00000000-0005-0000-0000-00009C580000}"/>
    <cellStyle name="40 % - Markeringsfarve2 2 3 2 3 2 3" xfId="24089" xr:uid="{00000000-0005-0000-0000-00009D580000}"/>
    <cellStyle name="40 % - Markeringsfarve2 2 3 2 3 2 4" xfId="39076" xr:uid="{00000000-0005-0000-0000-00009E580000}"/>
    <cellStyle name="40 % - Markeringsfarve2 2 3 2 3 3" xfId="11953" xr:uid="{00000000-0005-0000-0000-00009F580000}"/>
    <cellStyle name="40 % - Markeringsfarve2 2 3 2 3 3 2" xfId="28273" xr:uid="{00000000-0005-0000-0000-0000A0580000}"/>
    <cellStyle name="40 % - Markeringsfarve2 2 3 2 3 3 3" xfId="43238" xr:uid="{00000000-0005-0000-0000-0000A1580000}"/>
    <cellStyle name="40 % - Markeringsfarve2 2 3 2 3 4" xfId="21251" xr:uid="{00000000-0005-0000-0000-0000A2580000}"/>
    <cellStyle name="40 % - Markeringsfarve2 2 3 2 3 5" xfId="36239" xr:uid="{00000000-0005-0000-0000-0000A3580000}"/>
    <cellStyle name="40 % - Markeringsfarve2 2 3 2 4" xfId="5751" xr:uid="{00000000-0005-0000-0000-0000A4580000}"/>
    <cellStyle name="40 % - Markeringsfarve2 2 3 2 4 2" xfId="13670" xr:uid="{00000000-0005-0000-0000-0000A5580000}"/>
    <cellStyle name="40 % - Markeringsfarve2 2 3 2 4 2 2" xfId="29985" xr:uid="{00000000-0005-0000-0000-0000A6580000}"/>
    <cellStyle name="40 % - Markeringsfarve2 2 3 2 4 2 3" xfId="44949" xr:uid="{00000000-0005-0000-0000-0000A7580000}"/>
    <cellStyle name="40 % - Markeringsfarve2 2 3 2 4 3" xfId="22963" xr:uid="{00000000-0005-0000-0000-0000A8580000}"/>
    <cellStyle name="40 % - Markeringsfarve2 2 3 2 4 4" xfId="37950" xr:uid="{00000000-0005-0000-0000-0000A9580000}"/>
    <cellStyle name="40 % - Markeringsfarve2 2 3 2 5" xfId="11951" xr:uid="{00000000-0005-0000-0000-0000AA580000}"/>
    <cellStyle name="40 % - Markeringsfarve2 2 3 2 5 2" xfId="28271" xr:uid="{00000000-0005-0000-0000-0000AB580000}"/>
    <cellStyle name="40 % - Markeringsfarve2 2 3 2 5 3" xfId="43236" xr:uid="{00000000-0005-0000-0000-0000AC580000}"/>
    <cellStyle name="40 % - Markeringsfarve2 2 3 2 6" xfId="21249" xr:uid="{00000000-0005-0000-0000-0000AD580000}"/>
    <cellStyle name="40 % - Markeringsfarve2 2 3 2 7" xfId="36237" xr:uid="{00000000-0005-0000-0000-0000AE580000}"/>
    <cellStyle name="40 % - Markeringsfarve2 2 3 2 8" xfId="53910" xr:uid="{00000000-0005-0000-0000-0000AF580000}"/>
    <cellStyle name="40 % - Markeringsfarve2 2 3 3" xfId="3394" xr:uid="{00000000-0005-0000-0000-0000B0580000}"/>
    <cellStyle name="40 % - Markeringsfarve2 2 3 3 2" xfId="3395" xr:uid="{00000000-0005-0000-0000-0000B1580000}"/>
    <cellStyle name="40 % - Markeringsfarve2 2 3 3 2 2" xfId="7731" xr:uid="{00000000-0005-0000-0000-0000B2580000}"/>
    <cellStyle name="40 % - Markeringsfarve2 2 3 3 2 2 2" xfId="15633" xr:uid="{00000000-0005-0000-0000-0000B3580000}"/>
    <cellStyle name="40 % - Markeringsfarve2 2 3 3 2 2 2 2" xfId="31948" xr:uid="{00000000-0005-0000-0000-0000B4580000}"/>
    <cellStyle name="40 % - Markeringsfarve2 2 3 3 2 2 2 3" xfId="46912" xr:uid="{00000000-0005-0000-0000-0000B5580000}"/>
    <cellStyle name="40 % - Markeringsfarve2 2 3 3 2 2 3" xfId="24926" xr:uid="{00000000-0005-0000-0000-0000B6580000}"/>
    <cellStyle name="40 % - Markeringsfarve2 2 3 3 2 2 4" xfId="39913" xr:uid="{00000000-0005-0000-0000-0000B7580000}"/>
    <cellStyle name="40 % - Markeringsfarve2 2 3 3 2 3" xfId="11955" xr:uid="{00000000-0005-0000-0000-0000B8580000}"/>
    <cellStyle name="40 % - Markeringsfarve2 2 3 3 2 3 2" xfId="28275" xr:uid="{00000000-0005-0000-0000-0000B9580000}"/>
    <cellStyle name="40 % - Markeringsfarve2 2 3 3 2 3 3" xfId="43240" xr:uid="{00000000-0005-0000-0000-0000BA580000}"/>
    <cellStyle name="40 % - Markeringsfarve2 2 3 3 2 4" xfId="21253" xr:uid="{00000000-0005-0000-0000-0000BB580000}"/>
    <cellStyle name="40 % - Markeringsfarve2 2 3 3 2 5" xfId="36241" xr:uid="{00000000-0005-0000-0000-0000BC580000}"/>
    <cellStyle name="40 % - Markeringsfarve2 2 3 3 3" xfId="3396" xr:uid="{00000000-0005-0000-0000-0000BD580000}"/>
    <cellStyle name="40 % - Markeringsfarve2 2 3 3 3 2" xfId="6961" xr:uid="{00000000-0005-0000-0000-0000BE580000}"/>
    <cellStyle name="40 % - Markeringsfarve2 2 3 3 3 2 2" xfId="14873" xr:uid="{00000000-0005-0000-0000-0000BF580000}"/>
    <cellStyle name="40 % - Markeringsfarve2 2 3 3 3 2 2 2" xfId="31188" xr:uid="{00000000-0005-0000-0000-0000C0580000}"/>
    <cellStyle name="40 % - Markeringsfarve2 2 3 3 3 2 2 3" xfId="46152" xr:uid="{00000000-0005-0000-0000-0000C1580000}"/>
    <cellStyle name="40 % - Markeringsfarve2 2 3 3 3 2 3" xfId="24166" xr:uid="{00000000-0005-0000-0000-0000C2580000}"/>
    <cellStyle name="40 % - Markeringsfarve2 2 3 3 3 2 4" xfId="39153" xr:uid="{00000000-0005-0000-0000-0000C3580000}"/>
    <cellStyle name="40 % - Markeringsfarve2 2 3 3 3 3" xfId="11956" xr:uid="{00000000-0005-0000-0000-0000C4580000}"/>
    <cellStyle name="40 % - Markeringsfarve2 2 3 3 3 3 2" xfId="28276" xr:uid="{00000000-0005-0000-0000-0000C5580000}"/>
    <cellStyle name="40 % - Markeringsfarve2 2 3 3 3 3 3" xfId="43241" xr:uid="{00000000-0005-0000-0000-0000C6580000}"/>
    <cellStyle name="40 % - Markeringsfarve2 2 3 3 3 4" xfId="21254" xr:uid="{00000000-0005-0000-0000-0000C7580000}"/>
    <cellStyle name="40 % - Markeringsfarve2 2 3 3 3 5" xfId="36242" xr:uid="{00000000-0005-0000-0000-0000C8580000}"/>
    <cellStyle name="40 % - Markeringsfarve2 2 3 3 4" xfId="5752" xr:uid="{00000000-0005-0000-0000-0000C9580000}"/>
    <cellStyle name="40 % - Markeringsfarve2 2 3 3 4 2" xfId="13671" xr:uid="{00000000-0005-0000-0000-0000CA580000}"/>
    <cellStyle name="40 % - Markeringsfarve2 2 3 3 4 2 2" xfId="29986" xr:uid="{00000000-0005-0000-0000-0000CB580000}"/>
    <cellStyle name="40 % - Markeringsfarve2 2 3 3 4 2 3" xfId="44950" xr:uid="{00000000-0005-0000-0000-0000CC580000}"/>
    <cellStyle name="40 % - Markeringsfarve2 2 3 3 4 3" xfId="22964" xr:uid="{00000000-0005-0000-0000-0000CD580000}"/>
    <cellStyle name="40 % - Markeringsfarve2 2 3 3 4 4" xfId="37951" xr:uid="{00000000-0005-0000-0000-0000CE580000}"/>
    <cellStyle name="40 % - Markeringsfarve2 2 3 3 5" xfId="11954" xr:uid="{00000000-0005-0000-0000-0000CF580000}"/>
    <cellStyle name="40 % - Markeringsfarve2 2 3 3 5 2" xfId="28274" xr:uid="{00000000-0005-0000-0000-0000D0580000}"/>
    <cellStyle name="40 % - Markeringsfarve2 2 3 3 5 3" xfId="43239" xr:uid="{00000000-0005-0000-0000-0000D1580000}"/>
    <cellStyle name="40 % - Markeringsfarve2 2 3 3 6" xfId="21252" xr:uid="{00000000-0005-0000-0000-0000D2580000}"/>
    <cellStyle name="40 % - Markeringsfarve2 2 3 3 7" xfId="36240" xr:uid="{00000000-0005-0000-0000-0000D3580000}"/>
    <cellStyle name="40 % - Markeringsfarve2 2 3 3 8" xfId="56454" xr:uid="{00000000-0005-0000-0000-0000D4580000}"/>
    <cellStyle name="40 % - Markeringsfarve2 2 3 4" xfId="3397" xr:uid="{00000000-0005-0000-0000-0000D5580000}"/>
    <cellStyle name="40 % - Markeringsfarve2 2 3 4 2" xfId="3398" xr:uid="{00000000-0005-0000-0000-0000D6580000}"/>
    <cellStyle name="40 % - Markeringsfarve2 2 3 4 2 2" xfId="7892" xr:uid="{00000000-0005-0000-0000-0000D7580000}"/>
    <cellStyle name="40 % - Markeringsfarve2 2 3 4 2 2 2" xfId="15794" xr:uid="{00000000-0005-0000-0000-0000D8580000}"/>
    <cellStyle name="40 % - Markeringsfarve2 2 3 4 2 2 2 2" xfId="32109" xr:uid="{00000000-0005-0000-0000-0000D9580000}"/>
    <cellStyle name="40 % - Markeringsfarve2 2 3 4 2 2 2 3" xfId="47073" xr:uid="{00000000-0005-0000-0000-0000DA580000}"/>
    <cellStyle name="40 % - Markeringsfarve2 2 3 4 2 2 3" xfId="25087" xr:uid="{00000000-0005-0000-0000-0000DB580000}"/>
    <cellStyle name="40 % - Markeringsfarve2 2 3 4 2 2 4" xfId="40074" xr:uid="{00000000-0005-0000-0000-0000DC580000}"/>
    <cellStyle name="40 % - Markeringsfarve2 2 3 4 2 3" xfId="11958" xr:uid="{00000000-0005-0000-0000-0000DD580000}"/>
    <cellStyle name="40 % - Markeringsfarve2 2 3 4 2 3 2" xfId="28278" xr:uid="{00000000-0005-0000-0000-0000DE580000}"/>
    <cellStyle name="40 % - Markeringsfarve2 2 3 4 2 3 3" xfId="43243" xr:uid="{00000000-0005-0000-0000-0000DF580000}"/>
    <cellStyle name="40 % - Markeringsfarve2 2 3 4 2 4" xfId="21256" xr:uid="{00000000-0005-0000-0000-0000E0580000}"/>
    <cellStyle name="40 % - Markeringsfarve2 2 3 4 2 5" xfId="36244" xr:uid="{00000000-0005-0000-0000-0000E1580000}"/>
    <cellStyle name="40 % - Markeringsfarve2 2 3 4 3" xfId="3399" xr:uid="{00000000-0005-0000-0000-0000E2580000}"/>
    <cellStyle name="40 % - Markeringsfarve2 2 3 4 3 2" xfId="7168" xr:uid="{00000000-0005-0000-0000-0000E3580000}"/>
    <cellStyle name="40 % - Markeringsfarve2 2 3 4 3 2 2" xfId="15079" xr:uid="{00000000-0005-0000-0000-0000E4580000}"/>
    <cellStyle name="40 % - Markeringsfarve2 2 3 4 3 2 2 2" xfId="31394" xr:uid="{00000000-0005-0000-0000-0000E5580000}"/>
    <cellStyle name="40 % - Markeringsfarve2 2 3 4 3 2 2 3" xfId="46358" xr:uid="{00000000-0005-0000-0000-0000E6580000}"/>
    <cellStyle name="40 % - Markeringsfarve2 2 3 4 3 2 3" xfId="24372" xr:uid="{00000000-0005-0000-0000-0000E7580000}"/>
    <cellStyle name="40 % - Markeringsfarve2 2 3 4 3 2 4" xfId="39359" xr:uid="{00000000-0005-0000-0000-0000E8580000}"/>
    <cellStyle name="40 % - Markeringsfarve2 2 3 4 3 3" xfId="11959" xr:uid="{00000000-0005-0000-0000-0000E9580000}"/>
    <cellStyle name="40 % - Markeringsfarve2 2 3 4 3 3 2" xfId="28279" xr:uid="{00000000-0005-0000-0000-0000EA580000}"/>
    <cellStyle name="40 % - Markeringsfarve2 2 3 4 3 3 3" xfId="43244" xr:uid="{00000000-0005-0000-0000-0000EB580000}"/>
    <cellStyle name="40 % - Markeringsfarve2 2 3 4 3 4" xfId="21257" xr:uid="{00000000-0005-0000-0000-0000EC580000}"/>
    <cellStyle name="40 % - Markeringsfarve2 2 3 4 3 5" xfId="36245" xr:uid="{00000000-0005-0000-0000-0000ED580000}"/>
    <cellStyle name="40 % - Markeringsfarve2 2 3 4 4" xfId="5753" xr:uid="{00000000-0005-0000-0000-0000EE580000}"/>
    <cellStyle name="40 % - Markeringsfarve2 2 3 4 4 2" xfId="13672" xr:uid="{00000000-0005-0000-0000-0000EF580000}"/>
    <cellStyle name="40 % - Markeringsfarve2 2 3 4 4 2 2" xfId="29987" xr:uid="{00000000-0005-0000-0000-0000F0580000}"/>
    <cellStyle name="40 % - Markeringsfarve2 2 3 4 4 2 3" xfId="44951" xr:uid="{00000000-0005-0000-0000-0000F1580000}"/>
    <cellStyle name="40 % - Markeringsfarve2 2 3 4 4 3" xfId="22965" xr:uid="{00000000-0005-0000-0000-0000F2580000}"/>
    <cellStyle name="40 % - Markeringsfarve2 2 3 4 4 4" xfId="37952" xr:uid="{00000000-0005-0000-0000-0000F3580000}"/>
    <cellStyle name="40 % - Markeringsfarve2 2 3 4 5" xfId="11957" xr:uid="{00000000-0005-0000-0000-0000F4580000}"/>
    <cellStyle name="40 % - Markeringsfarve2 2 3 4 5 2" xfId="28277" xr:uid="{00000000-0005-0000-0000-0000F5580000}"/>
    <cellStyle name="40 % - Markeringsfarve2 2 3 4 5 3" xfId="43242" xr:uid="{00000000-0005-0000-0000-0000F6580000}"/>
    <cellStyle name="40 % - Markeringsfarve2 2 3 4 6" xfId="21255" xr:uid="{00000000-0005-0000-0000-0000F7580000}"/>
    <cellStyle name="40 % - Markeringsfarve2 2 3 4 7" xfId="36243" xr:uid="{00000000-0005-0000-0000-0000F8580000}"/>
    <cellStyle name="40 % - Markeringsfarve2 2 3 5" xfId="3400" xr:uid="{00000000-0005-0000-0000-0000F9580000}"/>
    <cellStyle name="40 % - Markeringsfarve2 2 3 5 2" xfId="3401" xr:uid="{00000000-0005-0000-0000-0000FA580000}"/>
    <cellStyle name="40 % - Markeringsfarve2 2 3 5 2 2" xfId="8009" xr:uid="{00000000-0005-0000-0000-0000FB580000}"/>
    <cellStyle name="40 % - Markeringsfarve2 2 3 5 2 2 2" xfId="15911" xr:uid="{00000000-0005-0000-0000-0000FC580000}"/>
    <cellStyle name="40 % - Markeringsfarve2 2 3 5 2 2 2 2" xfId="32226" xr:uid="{00000000-0005-0000-0000-0000FD580000}"/>
    <cellStyle name="40 % - Markeringsfarve2 2 3 5 2 2 2 3" xfId="47190" xr:uid="{00000000-0005-0000-0000-0000FE580000}"/>
    <cellStyle name="40 % - Markeringsfarve2 2 3 5 2 2 3" xfId="25204" xr:uid="{00000000-0005-0000-0000-0000FF580000}"/>
    <cellStyle name="40 % - Markeringsfarve2 2 3 5 2 2 4" xfId="40191" xr:uid="{00000000-0005-0000-0000-000000590000}"/>
    <cellStyle name="40 % - Markeringsfarve2 2 3 5 2 3" xfId="11961" xr:uid="{00000000-0005-0000-0000-000001590000}"/>
    <cellStyle name="40 % - Markeringsfarve2 2 3 5 2 3 2" xfId="28281" xr:uid="{00000000-0005-0000-0000-000002590000}"/>
    <cellStyle name="40 % - Markeringsfarve2 2 3 5 2 3 3" xfId="43246" xr:uid="{00000000-0005-0000-0000-000003590000}"/>
    <cellStyle name="40 % - Markeringsfarve2 2 3 5 2 4" xfId="21259" xr:uid="{00000000-0005-0000-0000-000004590000}"/>
    <cellStyle name="40 % - Markeringsfarve2 2 3 5 2 5" xfId="36247" xr:uid="{00000000-0005-0000-0000-000005590000}"/>
    <cellStyle name="40 % - Markeringsfarve2 2 3 5 3" xfId="3402" xr:uid="{00000000-0005-0000-0000-000006590000}"/>
    <cellStyle name="40 % - Markeringsfarve2 2 3 5 3 2" xfId="7285" xr:uid="{00000000-0005-0000-0000-000007590000}"/>
    <cellStyle name="40 % - Markeringsfarve2 2 3 5 3 2 2" xfId="15196" xr:uid="{00000000-0005-0000-0000-000008590000}"/>
    <cellStyle name="40 % - Markeringsfarve2 2 3 5 3 2 2 2" xfId="31511" xr:uid="{00000000-0005-0000-0000-000009590000}"/>
    <cellStyle name="40 % - Markeringsfarve2 2 3 5 3 2 2 3" xfId="46475" xr:uid="{00000000-0005-0000-0000-00000A590000}"/>
    <cellStyle name="40 % - Markeringsfarve2 2 3 5 3 2 3" xfId="24489" xr:uid="{00000000-0005-0000-0000-00000B590000}"/>
    <cellStyle name="40 % - Markeringsfarve2 2 3 5 3 2 4" xfId="39476" xr:uid="{00000000-0005-0000-0000-00000C590000}"/>
    <cellStyle name="40 % - Markeringsfarve2 2 3 5 3 3" xfId="11962" xr:uid="{00000000-0005-0000-0000-00000D590000}"/>
    <cellStyle name="40 % - Markeringsfarve2 2 3 5 3 3 2" xfId="28282" xr:uid="{00000000-0005-0000-0000-00000E590000}"/>
    <cellStyle name="40 % - Markeringsfarve2 2 3 5 3 3 3" xfId="43247" xr:uid="{00000000-0005-0000-0000-00000F590000}"/>
    <cellStyle name="40 % - Markeringsfarve2 2 3 5 3 4" xfId="21260" xr:uid="{00000000-0005-0000-0000-000010590000}"/>
    <cellStyle name="40 % - Markeringsfarve2 2 3 5 3 5" xfId="36248" xr:uid="{00000000-0005-0000-0000-000011590000}"/>
    <cellStyle name="40 % - Markeringsfarve2 2 3 5 4" xfId="5754" xr:uid="{00000000-0005-0000-0000-000012590000}"/>
    <cellStyle name="40 % - Markeringsfarve2 2 3 5 4 2" xfId="13673" xr:uid="{00000000-0005-0000-0000-000013590000}"/>
    <cellStyle name="40 % - Markeringsfarve2 2 3 5 4 2 2" xfId="29988" xr:uid="{00000000-0005-0000-0000-000014590000}"/>
    <cellStyle name="40 % - Markeringsfarve2 2 3 5 4 2 3" xfId="44952" xr:uid="{00000000-0005-0000-0000-000015590000}"/>
    <cellStyle name="40 % - Markeringsfarve2 2 3 5 4 3" xfId="22966" xr:uid="{00000000-0005-0000-0000-000016590000}"/>
    <cellStyle name="40 % - Markeringsfarve2 2 3 5 4 4" xfId="37953" xr:uid="{00000000-0005-0000-0000-000017590000}"/>
    <cellStyle name="40 % - Markeringsfarve2 2 3 5 5" xfId="11960" xr:uid="{00000000-0005-0000-0000-000018590000}"/>
    <cellStyle name="40 % - Markeringsfarve2 2 3 5 5 2" xfId="28280" xr:uid="{00000000-0005-0000-0000-000019590000}"/>
    <cellStyle name="40 % - Markeringsfarve2 2 3 5 5 3" xfId="43245" xr:uid="{00000000-0005-0000-0000-00001A590000}"/>
    <cellStyle name="40 % - Markeringsfarve2 2 3 5 6" xfId="21258" xr:uid="{00000000-0005-0000-0000-00001B590000}"/>
    <cellStyle name="40 % - Markeringsfarve2 2 3 5 7" xfId="36246" xr:uid="{00000000-0005-0000-0000-00001C590000}"/>
    <cellStyle name="40 % - Markeringsfarve2 2 3 6" xfId="3403" xr:uid="{00000000-0005-0000-0000-00001D590000}"/>
    <cellStyle name="40 % - Markeringsfarve2 2 3 6 2" xfId="3404" xr:uid="{00000000-0005-0000-0000-00001E590000}"/>
    <cellStyle name="40 % - Markeringsfarve2 2 3 6 2 2" xfId="8085" xr:uid="{00000000-0005-0000-0000-00001F590000}"/>
    <cellStyle name="40 % - Markeringsfarve2 2 3 6 2 2 2" xfId="15987" xr:uid="{00000000-0005-0000-0000-000020590000}"/>
    <cellStyle name="40 % - Markeringsfarve2 2 3 6 2 2 2 2" xfId="32302" xr:uid="{00000000-0005-0000-0000-000021590000}"/>
    <cellStyle name="40 % - Markeringsfarve2 2 3 6 2 2 2 3" xfId="47266" xr:uid="{00000000-0005-0000-0000-000022590000}"/>
    <cellStyle name="40 % - Markeringsfarve2 2 3 6 2 2 3" xfId="25280" xr:uid="{00000000-0005-0000-0000-000023590000}"/>
    <cellStyle name="40 % - Markeringsfarve2 2 3 6 2 2 4" xfId="40267" xr:uid="{00000000-0005-0000-0000-000024590000}"/>
    <cellStyle name="40 % - Markeringsfarve2 2 3 6 2 3" xfId="11964" xr:uid="{00000000-0005-0000-0000-000025590000}"/>
    <cellStyle name="40 % - Markeringsfarve2 2 3 6 2 3 2" xfId="28284" xr:uid="{00000000-0005-0000-0000-000026590000}"/>
    <cellStyle name="40 % - Markeringsfarve2 2 3 6 2 3 3" xfId="43249" xr:uid="{00000000-0005-0000-0000-000027590000}"/>
    <cellStyle name="40 % - Markeringsfarve2 2 3 6 2 4" xfId="21262" xr:uid="{00000000-0005-0000-0000-000028590000}"/>
    <cellStyle name="40 % - Markeringsfarve2 2 3 6 2 5" xfId="36250" xr:uid="{00000000-0005-0000-0000-000029590000}"/>
    <cellStyle name="40 % - Markeringsfarve2 2 3 6 3" xfId="3405" xr:uid="{00000000-0005-0000-0000-00002A590000}"/>
    <cellStyle name="40 % - Markeringsfarve2 2 3 6 3 2" xfId="7362" xr:uid="{00000000-0005-0000-0000-00002B590000}"/>
    <cellStyle name="40 % - Markeringsfarve2 2 3 6 3 2 2" xfId="15273" xr:uid="{00000000-0005-0000-0000-00002C590000}"/>
    <cellStyle name="40 % - Markeringsfarve2 2 3 6 3 2 2 2" xfId="31588" xr:uid="{00000000-0005-0000-0000-00002D590000}"/>
    <cellStyle name="40 % - Markeringsfarve2 2 3 6 3 2 2 3" xfId="46552" xr:uid="{00000000-0005-0000-0000-00002E590000}"/>
    <cellStyle name="40 % - Markeringsfarve2 2 3 6 3 2 3" xfId="24566" xr:uid="{00000000-0005-0000-0000-00002F590000}"/>
    <cellStyle name="40 % - Markeringsfarve2 2 3 6 3 2 4" xfId="39553" xr:uid="{00000000-0005-0000-0000-000030590000}"/>
    <cellStyle name="40 % - Markeringsfarve2 2 3 6 3 3" xfId="11965" xr:uid="{00000000-0005-0000-0000-000031590000}"/>
    <cellStyle name="40 % - Markeringsfarve2 2 3 6 3 3 2" xfId="28285" xr:uid="{00000000-0005-0000-0000-000032590000}"/>
    <cellStyle name="40 % - Markeringsfarve2 2 3 6 3 3 3" xfId="43250" xr:uid="{00000000-0005-0000-0000-000033590000}"/>
    <cellStyle name="40 % - Markeringsfarve2 2 3 6 3 4" xfId="21263" xr:uid="{00000000-0005-0000-0000-000034590000}"/>
    <cellStyle name="40 % - Markeringsfarve2 2 3 6 3 5" xfId="36251" xr:uid="{00000000-0005-0000-0000-000035590000}"/>
    <cellStyle name="40 % - Markeringsfarve2 2 3 6 4" xfId="5755" xr:uid="{00000000-0005-0000-0000-000036590000}"/>
    <cellStyle name="40 % - Markeringsfarve2 2 3 6 4 2" xfId="13674" xr:uid="{00000000-0005-0000-0000-000037590000}"/>
    <cellStyle name="40 % - Markeringsfarve2 2 3 6 4 2 2" xfId="29989" xr:uid="{00000000-0005-0000-0000-000038590000}"/>
    <cellStyle name="40 % - Markeringsfarve2 2 3 6 4 2 3" xfId="44953" xr:uid="{00000000-0005-0000-0000-000039590000}"/>
    <cellStyle name="40 % - Markeringsfarve2 2 3 6 4 3" xfId="22967" xr:uid="{00000000-0005-0000-0000-00003A590000}"/>
    <cellStyle name="40 % - Markeringsfarve2 2 3 6 4 4" xfId="37954" xr:uid="{00000000-0005-0000-0000-00003B590000}"/>
    <cellStyle name="40 % - Markeringsfarve2 2 3 6 5" xfId="11963" xr:uid="{00000000-0005-0000-0000-00003C590000}"/>
    <cellStyle name="40 % - Markeringsfarve2 2 3 6 5 2" xfId="28283" xr:uid="{00000000-0005-0000-0000-00003D590000}"/>
    <cellStyle name="40 % - Markeringsfarve2 2 3 6 5 3" xfId="43248" xr:uid="{00000000-0005-0000-0000-00003E590000}"/>
    <cellStyle name="40 % - Markeringsfarve2 2 3 6 6" xfId="21261" xr:uid="{00000000-0005-0000-0000-00003F590000}"/>
    <cellStyle name="40 % - Markeringsfarve2 2 3 6 7" xfId="36249" xr:uid="{00000000-0005-0000-0000-000040590000}"/>
    <cellStyle name="40 % - Markeringsfarve2 2 3 7" xfId="3406" xr:uid="{00000000-0005-0000-0000-000041590000}"/>
    <cellStyle name="40 % - Markeringsfarve2 2 3 7 2" xfId="7535" xr:uid="{00000000-0005-0000-0000-000042590000}"/>
    <cellStyle name="40 % - Markeringsfarve2 2 3 7 2 2" xfId="15437" xr:uid="{00000000-0005-0000-0000-000043590000}"/>
    <cellStyle name="40 % - Markeringsfarve2 2 3 7 2 2 2" xfId="31752" xr:uid="{00000000-0005-0000-0000-000044590000}"/>
    <cellStyle name="40 % - Markeringsfarve2 2 3 7 2 2 3" xfId="46716" xr:uid="{00000000-0005-0000-0000-000045590000}"/>
    <cellStyle name="40 % - Markeringsfarve2 2 3 7 2 3" xfId="24730" xr:uid="{00000000-0005-0000-0000-000046590000}"/>
    <cellStyle name="40 % - Markeringsfarve2 2 3 7 2 4" xfId="39717" xr:uid="{00000000-0005-0000-0000-000047590000}"/>
    <cellStyle name="40 % - Markeringsfarve2 2 3 7 3" xfId="11966" xr:uid="{00000000-0005-0000-0000-000048590000}"/>
    <cellStyle name="40 % - Markeringsfarve2 2 3 7 3 2" xfId="28286" xr:uid="{00000000-0005-0000-0000-000049590000}"/>
    <cellStyle name="40 % - Markeringsfarve2 2 3 7 3 3" xfId="43251" xr:uid="{00000000-0005-0000-0000-00004A590000}"/>
    <cellStyle name="40 % - Markeringsfarve2 2 3 7 4" xfId="21264" xr:uid="{00000000-0005-0000-0000-00004B590000}"/>
    <cellStyle name="40 % - Markeringsfarve2 2 3 7 5" xfId="36252" xr:uid="{00000000-0005-0000-0000-00004C590000}"/>
    <cellStyle name="40 % - Markeringsfarve2 2 3 8" xfId="3407" xr:uid="{00000000-0005-0000-0000-00004D590000}"/>
    <cellStyle name="40 % - Markeringsfarve2 2 3 8 2" xfId="6763" xr:uid="{00000000-0005-0000-0000-00004E590000}"/>
    <cellStyle name="40 % - Markeringsfarve2 2 3 8 2 2" xfId="14675" xr:uid="{00000000-0005-0000-0000-00004F590000}"/>
    <cellStyle name="40 % - Markeringsfarve2 2 3 8 2 2 2" xfId="30990" xr:uid="{00000000-0005-0000-0000-000050590000}"/>
    <cellStyle name="40 % - Markeringsfarve2 2 3 8 2 2 3" xfId="45954" xr:uid="{00000000-0005-0000-0000-000051590000}"/>
    <cellStyle name="40 % - Markeringsfarve2 2 3 8 2 3" xfId="23968" xr:uid="{00000000-0005-0000-0000-000052590000}"/>
    <cellStyle name="40 % - Markeringsfarve2 2 3 8 2 4" xfId="38955" xr:uid="{00000000-0005-0000-0000-000053590000}"/>
    <cellStyle name="40 % - Markeringsfarve2 2 3 8 3" xfId="11967" xr:uid="{00000000-0005-0000-0000-000054590000}"/>
    <cellStyle name="40 % - Markeringsfarve2 2 3 8 3 2" xfId="28287" xr:uid="{00000000-0005-0000-0000-000055590000}"/>
    <cellStyle name="40 % - Markeringsfarve2 2 3 8 3 3" xfId="43252" xr:uid="{00000000-0005-0000-0000-000056590000}"/>
    <cellStyle name="40 % - Markeringsfarve2 2 3 8 4" xfId="21265" xr:uid="{00000000-0005-0000-0000-000057590000}"/>
    <cellStyle name="40 % - Markeringsfarve2 2 3 8 5" xfId="36253" xr:uid="{00000000-0005-0000-0000-000058590000}"/>
    <cellStyle name="40 % - Markeringsfarve2 2 3 9" xfId="5750" xr:uid="{00000000-0005-0000-0000-000059590000}"/>
    <cellStyle name="40 % - Markeringsfarve2 2 3 9 2" xfId="13669" xr:uid="{00000000-0005-0000-0000-00005A590000}"/>
    <cellStyle name="40 % - Markeringsfarve2 2 3 9 2 2" xfId="29984" xr:uid="{00000000-0005-0000-0000-00005B590000}"/>
    <cellStyle name="40 % - Markeringsfarve2 2 3 9 2 3" xfId="44948" xr:uid="{00000000-0005-0000-0000-00005C590000}"/>
    <cellStyle name="40 % - Markeringsfarve2 2 3 9 3" xfId="22962" xr:uid="{00000000-0005-0000-0000-00005D590000}"/>
    <cellStyle name="40 % - Markeringsfarve2 2 3 9 4" xfId="37949" xr:uid="{00000000-0005-0000-0000-00005E590000}"/>
    <cellStyle name="40 % - Markeringsfarve2 2 4" xfId="3408" xr:uid="{00000000-0005-0000-0000-00005F590000}"/>
    <cellStyle name="40 % - Markeringsfarve2 2 4 2" xfId="3409" xr:uid="{00000000-0005-0000-0000-000060590000}"/>
    <cellStyle name="40 % - Markeringsfarve2 2 4 2 2" xfId="7576" xr:uid="{00000000-0005-0000-0000-000061590000}"/>
    <cellStyle name="40 % - Markeringsfarve2 2 4 2 2 2" xfId="15478" xr:uid="{00000000-0005-0000-0000-000062590000}"/>
    <cellStyle name="40 % - Markeringsfarve2 2 4 2 2 2 2" xfId="31793" xr:uid="{00000000-0005-0000-0000-000063590000}"/>
    <cellStyle name="40 % - Markeringsfarve2 2 4 2 2 2 3" xfId="46757" xr:uid="{00000000-0005-0000-0000-000064590000}"/>
    <cellStyle name="40 % - Markeringsfarve2 2 4 2 2 3" xfId="24771" xr:uid="{00000000-0005-0000-0000-000065590000}"/>
    <cellStyle name="40 % - Markeringsfarve2 2 4 2 2 4" xfId="39758" xr:uid="{00000000-0005-0000-0000-000066590000}"/>
    <cellStyle name="40 % - Markeringsfarve2 2 4 2 3" xfId="11969" xr:uid="{00000000-0005-0000-0000-000067590000}"/>
    <cellStyle name="40 % - Markeringsfarve2 2 4 2 3 2" xfId="28289" xr:uid="{00000000-0005-0000-0000-000068590000}"/>
    <cellStyle name="40 % - Markeringsfarve2 2 4 2 3 3" xfId="43254" xr:uid="{00000000-0005-0000-0000-000069590000}"/>
    <cellStyle name="40 % - Markeringsfarve2 2 4 2 4" xfId="21267" xr:uid="{00000000-0005-0000-0000-00006A590000}"/>
    <cellStyle name="40 % - Markeringsfarve2 2 4 2 5" xfId="36255" xr:uid="{00000000-0005-0000-0000-00006B590000}"/>
    <cellStyle name="40 % - Markeringsfarve2 2 4 2 6" xfId="57079" xr:uid="{00000000-0005-0000-0000-00006C590000}"/>
    <cellStyle name="40 % - Markeringsfarve2 2 4 3" xfId="3410" xr:uid="{00000000-0005-0000-0000-00006D590000}"/>
    <cellStyle name="40 % - Markeringsfarve2 2 4 3 2" xfId="6806" xr:uid="{00000000-0005-0000-0000-00006E590000}"/>
    <cellStyle name="40 % - Markeringsfarve2 2 4 3 2 2" xfId="14718" xr:uid="{00000000-0005-0000-0000-00006F590000}"/>
    <cellStyle name="40 % - Markeringsfarve2 2 4 3 2 2 2" xfId="31033" xr:uid="{00000000-0005-0000-0000-000070590000}"/>
    <cellStyle name="40 % - Markeringsfarve2 2 4 3 2 2 3" xfId="45997" xr:uid="{00000000-0005-0000-0000-000071590000}"/>
    <cellStyle name="40 % - Markeringsfarve2 2 4 3 2 3" xfId="24011" xr:uid="{00000000-0005-0000-0000-000072590000}"/>
    <cellStyle name="40 % - Markeringsfarve2 2 4 3 2 4" xfId="38998" xr:uid="{00000000-0005-0000-0000-000073590000}"/>
    <cellStyle name="40 % - Markeringsfarve2 2 4 3 3" xfId="11970" xr:uid="{00000000-0005-0000-0000-000074590000}"/>
    <cellStyle name="40 % - Markeringsfarve2 2 4 3 3 2" xfId="28290" xr:uid="{00000000-0005-0000-0000-000075590000}"/>
    <cellStyle name="40 % - Markeringsfarve2 2 4 3 3 3" xfId="43255" xr:uid="{00000000-0005-0000-0000-000076590000}"/>
    <cellStyle name="40 % - Markeringsfarve2 2 4 3 4" xfId="21268" xr:uid="{00000000-0005-0000-0000-000077590000}"/>
    <cellStyle name="40 % - Markeringsfarve2 2 4 3 5" xfId="36256" xr:uid="{00000000-0005-0000-0000-000078590000}"/>
    <cellStyle name="40 % - Markeringsfarve2 2 4 4" xfId="5756" xr:uid="{00000000-0005-0000-0000-000079590000}"/>
    <cellStyle name="40 % - Markeringsfarve2 2 4 4 2" xfId="13675" xr:uid="{00000000-0005-0000-0000-00007A590000}"/>
    <cellStyle name="40 % - Markeringsfarve2 2 4 4 2 2" xfId="29990" xr:uid="{00000000-0005-0000-0000-00007B590000}"/>
    <cellStyle name="40 % - Markeringsfarve2 2 4 4 2 3" xfId="44954" xr:uid="{00000000-0005-0000-0000-00007C590000}"/>
    <cellStyle name="40 % - Markeringsfarve2 2 4 4 3" xfId="22968" xr:uid="{00000000-0005-0000-0000-00007D590000}"/>
    <cellStyle name="40 % - Markeringsfarve2 2 4 4 4" xfId="37955" xr:uid="{00000000-0005-0000-0000-00007E590000}"/>
    <cellStyle name="40 % - Markeringsfarve2 2 4 5" xfId="11968" xr:uid="{00000000-0005-0000-0000-00007F590000}"/>
    <cellStyle name="40 % - Markeringsfarve2 2 4 5 2" xfId="28288" xr:uid="{00000000-0005-0000-0000-000080590000}"/>
    <cellStyle name="40 % - Markeringsfarve2 2 4 5 3" xfId="43253" xr:uid="{00000000-0005-0000-0000-000081590000}"/>
    <cellStyle name="40 % - Markeringsfarve2 2 4 6" xfId="21266" xr:uid="{00000000-0005-0000-0000-000082590000}"/>
    <cellStyle name="40 % - Markeringsfarve2 2 4 7" xfId="36254" xr:uid="{00000000-0005-0000-0000-000083590000}"/>
    <cellStyle name="40 % - Markeringsfarve2 2 4 8" xfId="53912" xr:uid="{00000000-0005-0000-0000-000084590000}"/>
    <cellStyle name="40 % - Markeringsfarve2 2 5" xfId="3411" xr:uid="{00000000-0005-0000-0000-000085590000}"/>
    <cellStyle name="40 % - Markeringsfarve2 2 5 2" xfId="3412" xr:uid="{00000000-0005-0000-0000-000086590000}"/>
    <cellStyle name="40 % - Markeringsfarve2 2 5 2 2" xfId="7729" xr:uid="{00000000-0005-0000-0000-000087590000}"/>
    <cellStyle name="40 % - Markeringsfarve2 2 5 2 2 2" xfId="15631" xr:uid="{00000000-0005-0000-0000-000088590000}"/>
    <cellStyle name="40 % - Markeringsfarve2 2 5 2 2 2 2" xfId="31946" xr:uid="{00000000-0005-0000-0000-000089590000}"/>
    <cellStyle name="40 % - Markeringsfarve2 2 5 2 2 2 3" xfId="46910" xr:uid="{00000000-0005-0000-0000-00008A590000}"/>
    <cellStyle name="40 % - Markeringsfarve2 2 5 2 2 3" xfId="24924" xr:uid="{00000000-0005-0000-0000-00008B590000}"/>
    <cellStyle name="40 % - Markeringsfarve2 2 5 2 2 4" xfId="39911" xr:uid="{00000000-0005-0000-0000-00008C590000}"/>
    <cellStyle name="40 % - Markeringsfarve2 2 5 2 3" xfId="11972" xr:uid="{00000000-0005-0000-0000-00008D590000}"/>
    <cellStyle name="40 % - Markeringsfarve2 2 5 2 3 2" xfId="28292" xr:uid="{00000000-0005-0000-0000-00008E590000}"/>
    <cellStyle name="40 % - Markeringsfarve2 2 5 2 3 3" xfId="43257" xr:uid="{00000000-0005-0000-0000-00008F590000}"/>
    <cellStyle name="40 % - Markeringsfarve2 2 5 2 4" xfId="21270" xr:uid="{00000000-0005-0000-0000-000090590000}"/>
    <cellStyle name="40 % - Markeringsfarve2 2 5 2 5" xfId="36258" xr:uid="{00000000-0005-0000-0000-000091590000}"/>
    <cellStyle name="40 % - Markeringsfarve2 2 5 3" xfId="3413" xr:uid="{00000000-0005-0000-0000-000092590000}"/>
    <cellStyle name="40 % - Markeringsfarve2 2 5 3 2" xfId="6959" xr:uid="{00000000-0005-0000-0000-000093590000}"/>
    <cellStyle name="40 % - Markeringsfarve2 2 5 3 2 2" xfId="14871" xr:uid="{00000000-0005-0000-0000-000094590000}"/>
    <cellStyle name="40 % - Markeringsfarve2 2 5 3 2 2 2" xfId="31186" xr:uid="{00000000-0005-0000-0000-000095590000}"/>
    <cellStyle name="40 % - Markeringsfarve2 2 5 3 2 2 3" xfId="46150" xr:uid="{00000000-0005-0000-0000-000096590000}"/>
    <cellStyle name="40 % - Markeringsfarve2 2 5 3 2 3" xfId="24164" xr:uid="{00000000-0005-0000-0000-000097590000}"/>
    <cellStyle name="40 % - Markeringsfarve2 2 5 3 2 4" xfId="39151" xr:uid="{00000000-0005-0000-0000-000098590000}"/>
    <cellStyle name="40 % - Markeringsfarve2 2 5 3 3" xfId="11973" xr:uid="{00000000-0005-0000-0000-000099590000}"/>
    <cellStyle name="40 % - Markeringsfarve2 2 5 3 3 2" xfId="28293" xr:uid="{00000000-0005-0000-0000-00009A590000}"/>
    <cellStyle name="40 % - Markeringsfarve2 2 5 3 3 3" xfId="43258" xr:uid="{00000000-0005-0000-0000-00009B590000}"/>
    <cellStyle name="40 % - Markeringsfarve2 2 5 3 4" xfId="21271" xr:uid="{00000000-0005-0000-0000-00009C590000}"/>
    <cellStyle name="40 % - Markeringsfarve2 2 5 3 5" xfId="36259" xr:uid="{00000000-0005-0000-0000-00009D590000}"/>
    <cellStyle name="40 % - Markeringsfarve2 2 5 4" xfId="5757" xr:uid="{00000000-0005-0000-0000-00009E590000}"/>
    <cellStyle name="40 % - Markeringsfarve2 2 5 4 2" xfId="13676" xr:uid="{00000000-0005-0000-0000-00009F590000}"/>
    <cellStyle name="40 % - Markeringsfarve2 2 5 4 2 2" xfId="29991" xr:uid="{00000000-0005-0000-0000-0000A0590000}"/>
    <cellStyle name="40 % - Markeringsfarve2 2 5 4 2 3" xfId="44955" xr:uid="{00000000-0005-0000-0000-0000A1590000}"/>
    <cellStyle name="40 % - Markeringsfarve2 2 5 4 3" xfId="22969" xr:uid="{00000000-0005-0000-0000-0000A2590000}"/>
    <cellStyle name="40 % - Markeringsfarve2 2 5 4 4" xfId="37956" xr:uid="{00000000-0005-0000-0000-0000A3590000}"/>
    <cellStyle name="40 % - Markeringsfarve2 2 5 5" xfId="11971" xr:uid="{00000000-0005-0000-0000-0000A4590000}"/>
    <cellStyle name="40 % - Markeringsfarve2 2 5 5 2" xfId="28291" xr:uid="{00000000-0005-0000-0000-0000A5590000}"/>
    <cellStyle name="40 % - Markeringsfarve2 2 5 5 3" xfId="43256" xr:uid="{00000000-0005-0000-0000-0000A6590000}"/>
    <cellStyle name="40 % - Markeringsfarve2 2 5 6" xfId="21269" xr:uid="{00000000-0005-0000-0000-0000A7590000}"/>
    <cellStyle name="40 % - Markeringsfarve2 2 5 7" xfId="36257" xr:uid="{00000000-0005-0000-0000-0000A8590000}"/>
    <cellStyle name="40 % - Markeringsfarve2 2 5 8" xfId="56456" xr:uid="{00000000-0005-0000-0000-0000A9590000}"/>
    <cellStyle name="40 % - Markeringsfarve2 2 6" xfId="3414" xr:uid="{00000000-0005-0000-0000-0000AA590000}"/>
    <cellStyle name="40 % - Markeringsfarve2 2 6 2" xfId="3415" xr:uid="{00000000-0005-0000-0000-0000AB590000}"/>
    <cellStyle name="40 % - Markeringsfarve2 2 6 2 2" xfId="7814" xr:uid="{00000000-0005-0000-0000-0000AC590000}"/>
    <cellStyle name="40 % - Markeringsfarve2 2 6 2 2 2" xfId="15716" xr:uid="{00000000-0005-0000-0000-0000AD590000}"/>
    <cellStyle name="40 % - Markeringsfarve2 2 6 2 2 2 2" xfId="32031" xr:uid="{00000000-0005-0000-0000-0000AE590000}"/>
    <cellStyle name="40 % - Markeringsfarve2 2 6 2 2 2 3" xfId="46995" xr:uid="{00000000-0005-0000-0000-0000AF590000}"/>
    <cellStyle name="40 % - Markeringsfarve2 2 6 2 2 3" xfId="25009" xr:uid="{00000000-0005-0000-0000-0000B0590000}"/>
    <cellStyle name="40 % - Markeringsfarve2 2 6 2 2 4" xfId="39996" xr:uid="{00000000-0005-0000-0000-0000B1590000}"/>
    <cellStyle name="40 % - Markeringsfarve2 2 6 2 3" xfId="11975" xr:uid="{00000000-0005-0000-0000-0000B2590000}"/>
    <cellStyle name="40 % - Markeringsfarve2 2 6 2 3 2" xfId="28295" xr:uid="{00000000-0005-0000-0000-0000B3590000}"/>
    <cellStyle name="40 % - Markeringsfarve2 2 6 2 3 3" xfId="43260" xr:uid="{00000000-0005-0000-0000-0000B4590000}"/>
    <cellStyle name="40 % - Markeringsfarve2 2 6 2 4" xfId="21273" xr:uid="{00000000-0005-0000-0000-0000B5590000}"/>
    <cellStyle name="40 % - Markeringsfarve2 2 6 2 5" xfId="36261" xr:uid="{00000000-0005-0000-0000-0000B6590000}"/>
    <cellStyle name="40 % - Markeringsfarve2 2 6 3" xfId="3416" xr:uid="{00000000-0005-0000-0000-0000B7590000}"/>
    <cellStyle name="40 % - Markeringsfarve2 2 6 3 2" xfId="7090" xr:uid="{00000000-0005-0000-0000-0000B8590000}"/>
    <cellStyle name="40 % - Markeringsfarve2 2 6 3 2 2" xfId="15001" xr:uid="{00000000-0005-0000-0000-0000B9590000}"/>
    <cellStyle name="40 % - Markeringsfarve2 2 6 3 2 2 2" xfId="31316" xr:uid="{00000000-0005-0000-0000-0000BA590000}"/>
    <cellStyle name="40 % - Markeringsfarve2 2 6 3 2 2 3" xfId="46280" xr:uid="{00000000-0005-0000-0000-0000BB590000}"/>
    <cellStyle name="40 % - Markeringsfarve2 2 6 3 2 3" xfId="24294" xr:uid="{00000000-0005-0000-0000-0000BC590000}"/>
    <cellStyle name="40 % - Markeringsfarve2 2 6 3 2 4" xfId="39281" xr:uid="{00000000-0005-0000-0000-0000BD590000}"/>
    <cellStyle name="40 % - Markeringsfarve2 2 6 3 3" xfId="11976" xr:uid="{00000000-0005-0000-0000-0000BE590000}"/>
    <cellStyle name="40 % - Markeringsfarve2 2 6 3 3 2" xfId="28296" xr:uid="{00000000-0005-0000-0000-0000BF590000}"/>
    <cellStyle name="40 % - Markeringsfarve2 2 6 3 3 3" xfId="43261" xr:uid="{00000000-0005-0000-0000-0000C0590000}"/>
    <cellStyle name="40 % - Markeringsfarve2 2 6 3 4" xfId="21274" xr:uid="{00000000-0005-0000-0000-0000C1590000}"/>
    <cellStyle name="40 % - Markeringsfarve2 2 6 3 5" xfId="36262" xr:uid="{00000000-0005-0000-0000-0000C2590000}"/>
    <cellStyle name="40 % - Markeringsfarve2 2 6 4" xfId="5758" xr:uid="{00000000-0005-0000-0000-0000C3590000}"/>
    <cellStyle name="40 % - Markeringsfarve2 2 6 4 2" xfId="13677" xr:uid="{00000000-0005-0000-0000-0000C4590000}"/>
    <cellStyle name="40 % - Markeringsfarve2 2 6 4 2 2" xfId="29992" xr:uid="{00000000-0005-0000-0000-0000C5590000}"/>
    <cellStyle name="40 % - Markeringsfarve2 2 6 4 2 3" xfId="44956" xr:uid="{00000000-0005-0000-0000-0000C6590000}"/>
    <cellStyle name="40 % - Markeringsfarve2 2 6 4 3" xfId="22970" xr:uid="{00000000-0005-0000-0000-0000C7590000}"/>
    <cellStyle name="40 % - Markeringsfarve2 2 6 4 4" xfId="37957" xr:uid="{00000000-0005-0000-0000-0000C8590000}"/>
    <cellStyle name="40 % - Markeringsfarve2 2 6 5" xfId="11974" xr:uid="{00000000-0005-0000-0000-0000C9590000}"/>
    <cellStyle name="40 % - Markeringsfarve2 2 6 5 2" xfId="28294" xr:uid="{00000000-0005-0000-0000-0000CA590000}"/>
    <cellStyle name="40 % - Markeringsfarve2 2 6 5 3" xfId="43259" xr:uid="{00000000-0005-0000-0000-0000CB590000}"/>
    <cellStyle name="40 % - Markeringsfarve2 2 6 6" xfId="21272" xr:uid="{00000000-0005-0000-0000-0000CC590000}"/>
    <cellStyle name="40 % - Markeringsfarve2 2 6 7" xfId="36260" xr:uid="{00000000-0005-0000-0000-0000CD590000}"/>
    <cellStyle name="40 % - Markeringsfarve2 2 7" xfId="3417" xr:uid="{00000000-0005-0000-0000-0000CE590000}"/>
    <cellStyle name="40 % - Markeringsfarve2 2 7 2" xfId="3418" xr:uid="{00000000-0005-0000-0000-0000CF590000}"/>
    <cellStyle name="40 % - Markeringsfarve2 2 7 2 2" xfId="7931" xr:uid="{00000000-0005-0000-0000-0000D0590000}"/>
    <cellStyle name="40 % - Markeringsfarve2 2 7 2 2 2" xfId="15833" xr:uid="{00000000-0005-0000-0000-0000D1590000}"/>
    <cellStyle name="40 % - Markeringsfarve2 2 7 2 2 2 2" xfId="32148" xr:uid="{00000000-0005-0000-0000-0000D2590000}"/>
    <cellStyle name="40 % - Markeringsfarve2 2 7 2 2 2 3" xfId="47112" xr:uid="{00000000-0005-0000-0000-0000D3590000}"/>
    <cellStyle name="40 % - Markeringsfarve2 2 7 2 2 3" xfId="25126" xr:uid="{00000000-0005-0000-0000-0000D4590000}"/>
    <cellStyle name="40 % - Markeringsfarve2 2 7 2 2 4" xfId="40113" xr:uid="{00000000-0005-0000-0000-0000D5590000}"/>
    <cellStyle name="40 % - Markeringsfarve2 2 7 2 3" xfId="11978" xr:uid="{00000000-0005-0000-0000-0000D6590000}"/>
    <cellStyle name="40 % - Markeringsfarve2 2 7 2 3 2" xfId="28298" xr:uid="{00000000-0005-0000-0000-0000D7590000}"/>
    <cellStyle name="40 % - Markeringsfarve2 2 7 2 3 3" xfId="43263" xr:uid="{00000000-0005-0000-0000-0000D8590000}"/>
    <cellStyle name="40 % - Markeringsfarve2 2 7 2 4" xfId="21276" xr:uid="{00000000-0005-0000-0000-0000D9590000}"/>
    <cellStyle name="40 % - Markeringsfarve2 2 7 2 5" xfId="36264" xr:uid="{00000000-0005-0000-0000-0000DA590000}"/>
    <cellStyle name="40 % - Markeringsfarve2 2 7 3" xfId="3419" xr:uid="{00000000-0005-0000-0000-0000DB590000}"/>
    <cellStyle name="40 % - Markeringsfarve2 2 7 3 2" xfId="7207" xr:uid="{00000000-0005-0000-0000-0000DC590000}"/>
    <cellStyle name="40 % - Markeringsfarve2 2 7 3 2 2" xfId="15118" xr:uid="{00000000-0005-0000-0000-0000DD590000}"/>
    <cellStyle name="40 % - Markeringsfarve2 2 7 3 2 2 2" xfId="31433" xr:uid="{00000000-0005-0000-0000-0000DE590000}"/>
    <cellStyle name="40 % - Markeringsfarve2 2 7 3 2 2 3" xfId="46397" xr:uid="{00000000-0005-0000-0000-0000DF590000}"/>
    <cellStyle name="40 % - Markeringsfarve2 2 7 3 2 3" xfId="24411" xr:uid="{00000000-0005-0000-0000-0000E0590000}"/>
    <cellStyle name="40 % - Markeringsfarve2 2 7 3 2 4" xfId="39398" xr:uid="{00000000-0005-0000-0000-0000E1590000}"/>
    <cellStyle name="40 % - Markeringsfarve2 2 7 3 3" xfId="11979" xr:uid="{00000000-0005-0000-0000-0000E2590000}"/>
    <cellStyle name="40 % - Markeringsfarve2 2 7 3 3 2" xfId="28299" xr:uid="{00000000-0005-0000-0000-0000E3590000}"/>
    <cellStyle name="40 % - Markeringsfarve2 2 7 3 3 3" xfId="43264" xr:uid="{00000000-0005-0000-0000-0000E4590000}"/>
    <cellStyle name="40 % - Markeringsfarve2 2 7 3 4" xfId="21277" xr:uid="{00000000-0005-0000-0000-0000E5590000}"/>
    <cellStyle name="40 % - Markeringsfarve2 2 7 3 5" xfId="36265" xr:uid="{00000000-0005-0000-0000-0000E6590000}"/>
    <cellStyle name="40 % - Markeringsfarve2 2 7 4" xfId="5759" xr:uid="{00000000-0005-0000-0000-0000E7590000}"/>
    <cellStyle name="40 % - Markeringsfarve2 2 7 4 2" xfId="13678" xr:uid="{00000000-0005-0000-0000-0000E8590000}"/>
    <cellStyle name="40 % - Markeringsfarve2 2 7 4 2 2" xfId="29993" xr:uid="{00000000-0005-0000-0000-0000E9590000}"/>
    <cellStyle name="40 % - Markeringsfarve2 2 7 4 2 3" xfId="44957" xr:uid="{00000000-0005-0000-0000-0000EA590000}"/>
    <cellStyle name="40 % - Markeringsfarve2 2 7 4 3" xfId="22971" xr:uid="{00000000-0005-0000-0000-0000EB590000}"/>
    <cellStyle name="40 % - Markeringsfarve2 2 7 4 4" xfId="37958" xr:uid="{00000000-0005-0000-0000-0000EC590000}"/>
    <cellStyle name="40 % - Markeringsfarve2 2 7 5" xfId="11977" xr:uid="{00000000-0005-0000-0000-0000ED590000}"/>
    <cellStyle name="40 % - Markeringsfarve2 2 7 5 2" xfId="28297" xr:uid="{00000000-0005-0000-0000-0000EE590000}"/>
    <cellStyle name="40 % - Markeringsfarve2 2 7 5 3" xfId="43262" xr:uid="{00000000-0005-0000-0000-0000EF590000}"/>
    <cellStyle name="40 % - Markeringsfarve2 2 7 6" xfId="21275" xr:uid="{00000000-0005-0000-0000-0000F0590000}"/>
    <cellStyle name="40 % - Markeringsfarve2 2 7 7" xfId="36263" xr:uid="{00000000-0005-0000-0000-0000F1590000}"/>
    <cellStyle name="40 % - Markeringsfarve2 2 8" xfId="3420" xr:uid="{00000000-0005-0000-0000-0000F2590000}"/>
    <cellStyle name="40 % - Markeringsfarve2 2 8 2" xfId="3421" xr:uid="{00000000-0005-0000-0000-0000F3590000}"/>
    <cellStyle name="40 % - Markeringsfarve2 2 8 2 2" xfId="8083" xr:uid="{00000000-0005-0000-0000-0000F4590000}"/>
    <cellStyle name="40 % - Markeringsfarve2 2 8 2 2 2" xfId="15985" xr:uid="{00000000-0005-0000-0000-0000F5590000}"/>
    <cellStyle name="40 % - Markeringsfarve2 2 8 2 2 2 2" xfId="32300" xr:uid="{00000000-0005-0000-0000-0000F6590000}"/>
    <cellStyle name="40 % - Markeringsfarve2 2 8 2 2 2 3" xfId="47264" xr:uid="{00000000-0005-0000-0000-0000F7590000}"/>
    <cellStyle name="40 % - Markeringsfarve2 2 8 2 2 3" xfId="25278" xr:uid="{00000000-0005-0000-0000-0000F8590000}"/>
    <cellStyle name="40 % - Markeringsfarve2 2 8 2 2 4" xfId="40265" xr:uid="{00000000-0005-0000-0000-0000F9590000}"/>
    <cellStyle name="40 % - Markeringsfarve2 2 8 2 3" xfId="11981" xr:uid="{00000000-0005-0000-0000-0000FA590000}"/>
    <cellStyle name="40 % - Markeringsfarve2 2 8 2 3 2" xfId="28301" xr:uid="{00000000-0005-0000-0000-0000FB590000}"/>
    <cellStyle name="40 % - Markeringsfarve2 2 8 2 3 3" xfId="43266" xr:uid="{00000000-0005-0000-0000-0000FC590000}"/>
    <cellStyle name="40 % - Markeringsfarve2 2 8 2 4" xfId="21279" xr:uid="{00000000-0005-0000-0000-0000FD590000}"/>
    <cellStyle name="40 % - Markeringsfarve2 2 8 2 5" xfId="36267" xr:uid="{00000000-0005-0000-0000-0000FE590000}"/>
    <cellStyle name="40 % - Markeringsfarve2 2 8 3" xfId="3422" xr:uid="{00000000-0005-0000-0000-0000FF590000}"/>
    <cellStyle name="40 % - Markeringsfarve2 2 8 3 2" xfId="7360" xr:uid="{00000000-0005-0000-0000-0000005A0000}"/>
    <cellStyle name="40 % - Markeringsfarve2 2 8 3 2 2" xfId="15271" xr:uid="{00000000-0005-0000-0000-0000015A0000}"/>
    <cellStyle name="40 % - Markeringsfarve2 2 8 3 2 2 2" xfId="31586" xr:uid="{00000000-0005-0000-0000-0000025A0000}"/>
    <cellStyle name="40 % - Markeringsfarve2 2 8 3 2 2 3" xfId="46550" xr:uid="{00000000-0005-0000-0000-0000035A0000}"/>
    <cellStyle name="40 % - Markeringsfarve2 2 8 3 2 3" xfId="24564" xr:uid="{00000000-0005-0000-0000-0000045A0000}"/>
    <cellStyle name="40 % - Markeringsfarve2 2 8 3 2 4" xfId="39551" xr:uid="{00000000-0005-0000-0000-0000055A0000}"/>
    <cellStyle name="40 % - Markeringsfarve2 2 8 3 3" xfId="11982" xr:uid="{00000000-0005-0000-0000-0000065A0000}"/>
    <cellStyle name="40 % - Markeringsfarve2 2 8 3 3 2" xfId="28302" xr:uid="{00000000-0005-0000-0000-0000075A0000}"/>
    <cellStyle name="40 % - Markeringsfarve2 2 8 3 3 3" xfId="43267" xr:uid="{00000000-0005-0000-0000-0000085A0000}"/>
    <cellStyle name="40 % - Markeringsfarve2 2 8 3 4" xfId="21280" xr:uid="{00000000-0005-0000-0000-0000095A0000}"/>
    <cellStyle name="40 % - Markeringsfarve2 2 8 3 5" xfId="36268" xr:uid="{00000000-0005-0000-0000-00000A5A0000}"/>
    <cellStyle name="40 % - Markeringsfarve2 2 8 4" xfId="5760" xr:uid="{00000000-0005-0000-0000-00000B5A0000}"/>
    <cellStyle name="40 % - Markeringsfarve2 2 8 4 2" xfId="13679" xr:uid="{00000000-0005-0000-0000-00000C5A0000}"/>
    <cellStyle name="40 % - Markeringsfarve2 2 8 4 2 2" xfId="29994" xr:uid="{00000000-0005-0000-0000-00000D5A0000}"/>
    <cellStyle name="40 % - Markeringsfarve2 2 8 4 2 3" xfId="44958" xr:uid="{00000000-0005-0000-0000-00000E5A0000}"/>
    <cellStyle name="40 % - Markeringsfarve2 2 8 4 3" xfId="22972" xr:uid="{00000000-0005-0000-0000-00000F5A0000}"/>
    <cellStyle name="40 % - Markeringsfarve2 2 8 4 4" xfId="37959" xr:uid="{00000000-0005-0000-0000-0000105A0000}"/>
    <cellStyle name="40 % - Markeringsfarve2 2 8 5" xfId="11980" xr:uid="{00000000-0005-0000-0000-0000115A0000}"/>
    <cellStyle name="40 % - Markeringsfarve2 2 8 5 2" xfId="28300" xr:uid="{00000000-0005-0000-0000-0000125A0000}"/>
    <cellStyle name="40 % - Markeringsfarve2 2 8 5 3" xfId="43265" xr:uid="{00000000-0005-0000-0000-0000135A0000}"/>
    <cellStyle name="40 % - Markeringsfarve2 2 8 6" xfId="21278" xr:uid="{00000000-0005-0000-0000-0000145A0000}"/>
    <cellStyle name="40 % - Markeringsfarve2 2 8 7" xfId="36266" xr:uid="{00000000-0005-0000-0000-0000155A0000}"/>
    <cellStyle name="40 % - Markeringsfarve2 2 9" xfId="3423" xr:uid="{00000000-0005-0000-0000-0000165A0000}"/>
    <cellStyle name="40 % - Markeringsfarve2 2 9 2" xfId="7457" xr:uid="{00000000-0005-0000-0000-0000175A0000}"/>
    <cellStyle name="40 % - Markeringsfarve2 2 9 2 2" xfId="15359" xr:uid="{00000000-0005-0000-0000-0000185A0000}"/>
    <cellStyle name="40 % - Markeringsfarve2 2 9 2 2 2" xfId="31674" xr:uid="{00000000-0005-0000-0000-0000195A0000}"/>
    <cellStyle name="40 % - Markeringsfarve2 2 9 2 2 3" xfId="46638" xr:uid="{00000000-0005-0000-0000-00001A5A0000}"/>
    <cellStyle name="40 % - Markeringsfarve2 2 9 2 3" xfId="24652" xr:uid="{00000000-0005-0000-0000-00001B5A0000}"/>
    <cellStyle name="40 % - Markeringsfarve2 2 9 2 4" xfId="39639" xr:uid="{00000000-0005-0000-0000-00001C5A0000}"/>
    <cellStyle name="40 % - Markeringsfarve2 2 9 3" xfId="11983" xr:uid="{00000000-0005-0000-0000-00001D5A0000}"/>
    <cellStyle name="40 % - Markeringsfarve2 2 9 3 2" xfId="28303" xr:uid="{00000000-0005-0000-0000-00001E5A0000}"/>
    <cellStyle name="40 % - Markeringsfarve2 2 9 3 3" xfId="43268" xr:uid="{00000000-0005-0000-0000-00001F5A0000}"/>
    <cellStyle name="40 % - Markeringsfarve2 2 9 4" xfId="21281" xr:uid="{00000000-0005-0000-0000-0000205A0000}"/>
    <cellStyle name="40 % - Markeringsfarve2 2 9 5" xfId="36269" xr:uid="{00000000-0005-0000-0000-0000215A0000}"/>
    <cellStyle name="40 % - Markeringsfarve2 3" xfId="3424" xr:uid="{00000000-0005-0000-0000-0000225A0000}"/>
    <cellStyle name="40 % - Markeringsfarve2 3 10" xfId="3425" xr:uid="{00000000-0005-0000-0000-0000235A0000}"/>
    <cellStyle name="40 % - Markeringsfarve2 3 10 2" xfId="6670" xr:uid="{00000000-0005-0000-0000-0000245A0000}"/>
    <cellStyle name="40 % - Markeringsfarve2 3 10 2 2" xfId="14583" xr:uid="{00000000-0005-0000-0000-0000255A0000}"/>
    <cellStyle name="40 % - Markeringsfarve2 3 10 2 2 2" xfId="30898" xr:uid="{00000000-0005-0000-0000-0000265A0000}"/>
    <cellStyle name="40 % - Markeringsfarve2 3 10 2 2 3" xfId="45862" xr:uid="{00000000-0005-0000-0000-0000275A0000}"/>
    <cellStyle name="40 % - Markeringsfarve2 3 10 2 3" xfId="23876" xr:uid="{00000000-0005-0000-0000-0000285A0000}"/>
    <cellStyle name="40 % - Markeringsfarve2 3 10 2 4" xfId="38863" xr:uid="{00000000-0005-0000-0000-0000295A0000}"/>
    <cellStyle name="40 % - Markeringsfarve2 3 10 3" xfId="11985" xr:uid="{00000000-0005-0000-0000-00002A5A0000}"/>
    <cellStyle name="40 % - Markeringsfarve2 3 10 3 2" xfId="28305" xr:uid="{00000000-0005-0000-0000-00002B5A0000}"/>
    <cellStyle name="40 % - Markeringsfarve2 3 10 3 3" xfId="43270" xr:uid="{00000000-0005-0000-0000-00002C5A0000}"/>
    <cellStyle name="40 % - Markeringsfarve2 3 10 4" xfId="21283" xr:uid="{00000000-0005-0000-0000-00002D5A0000}"/>
    <cellStyle name="40 % - Markeringsfarve2 3 10 5" xfId="36271" xr:uid="{00000000-0005-0000-0000-00002E5A0000}"/>
    <cellStyle name="40 % - Markeringsfarve2 3 11" xfId="5761" xr:uid="{00000000-0005-0000-0000-00002F5A0000}"/>
    <cellStyle name="40 % - Markeringsfarve2 3 11 2" xfId="13680" xr:uid="{00000000-0005-0000-0000-0000305A0000}"/>
    <cellStyle name="40 % - Markeringsfarve2 3 11 2 2" xfId="29995" xr:uid="{00000000-0005-0000-0000-0000315A0000}"/>
    <cellStyle name="40 % - Markeringsfarve2 3 11 2 3" xfId="44959" xr:uid="{00000000-0005-0000-0000-0000325A0000}"/>
    <cellStyle name="40 % - Markeringsfarve2 3 11 3" xfId="22973" xr:uid="{00000000-0005-0000-0000-0000335A0000}"/>
    <cellStyle name="40 % - Markeringsfarve2 3 11 4" xfId="37960" xr:uid="{00000000-0005-0000-0000-0000345A0000}"/>
    <cellStyle name="40 % - Markeringsfarve2 3 12" xfId="11984" xr:uid="{00000000-0005-0000-0000-0000355A0000}"/>
    <cellStyle name="40 % - Markeringsfarve2 3 12 2" xfId="28304" xr:uid="{00000000-0005-0000-0000-0000365A0000}"/>
    <cellStyle name="40 % - Markeringsfarve2 3 12 3" xfId="43269" xr:uid="{00000000-0005-0000-0000-0000375A0000}"/>
    <cellStyle name="40 % - Markeringsfarve2 3 13" xfId="21282" xr:uid="{00000000-0005-0000-0000-0000385A0000}"/>
    <cellStyle name="40 % - Markeringsfarve2 3 14" xfId="36270" xr:uid="{00000000-0005-0000-0000-0000395A0000}"/>
    <cellStyle name="40 % - Markeringsfarve2 3 15" xfId="53272" xr:uid="{00000000-0005-0000-0000-00003A5A0000}"/>
    <cellStyle name="40 % - Markeringsfarve2 3 2" xfId="3426" xr:uid="{00000000-0005-0000-0000-00003B5A0000}"/>
    <cellStyle name="40 % - Markeringsfarve2 3 2 10" xfId="11986" xr:uid="{00000000-0005-0000-0000-00003C5A0000}"/>
    <cellStyle name="40 % - Markeringsfarve2 3 2 10 2" xfId="28306" xr:uid="{00000000-0005-0000-0000-00003D5A0000}"/>
    <cellStyle name="40 % - Markeringsfarve2 3 2 10 3" xfId="43271" xr:uid="{00000000-0005-0000-0000-00003E5A0000}"/>
    <cellStyle name="40 % - Markeringsfarve2 3 2 11" xfId="21284" xr:uid="{00000000-0005-0000-0000-00003F5A0000}"/>
    <cellStyle name="40 % - Markeringsfarve2 3 2 12" xfId="36272" xr:uid="{00000000-0005-0000-0000-0000405A0000}"/>
    <cellStyle name="40 % - Markeringsfarve2 3 2 13" xfId="53909" xr:uid="{00000000-0005-0000-0000-0000415A0000}"/>
    <cellStyle name="40 % - Markeringsfarve2 3 2 2" xfId="3427" xr:uid="{00000000-0005-0000-0000-0000425A0000}"/>
    <cellStyle name="40 % - Markeringsfarve2 3 2 2 2" xfId="3428" xr:uid="{00000000-0005-0000-0000-0000435A0000}"/>
    <cellStyle name="40 % - Markeringsfarve2 3 2 2 2 2" xfId="7603" xr:uid="{00000000-0005-0000-0000-0000445A0000}"/>
    <cellStyle name="40 % - Markeringsfarve2 3 2 2 2 2 2" xfId="15505" xr:uid="{00000000-0005-0000-0000-0000455A0000}"/>
    <cellStyle name="40 % - Markeringsfarve2 3 2 2 2 2 2 2" xfId="31820" xr:uid="{00000000-0005-0000-0000-0000465A0000}"/>
    <cellStyle name="40 % - Markeringsfarve2 3 2 2 2 2 2 3" xfId="46784" xr:uid="{00000000-0005-0000-0000-0000475A0000}"/>
    <cellStyle name="40 % - Markeringsfarve2 3 2 2 2 2 3" xfId="24798" xr:uid="{00000000-0005-0000-0000-0000485A0000}"/>
    <cellStyle name="40 % - Markeringsfarve2 3 2 2 2 2 4" xfId="39785" xr:uid="{00000000-0005-0000-0000-0000495A0000}"/>
    <cellStyle name="40 % - Markeringsfarve2 3 2 2 2 3" xfId="11988" xr:uid="{00000000-0005-0000-0000-00004A5A0000}"/>
    <cellStyle name="40 % - Markeringsfarve2 3 2 2 2 3 2" xfId="28308" xr:uid="{00000000-0005-0000-0000-00004B5A0000}"/>
    <cellStyle name="40 % - Markeringsfarve2 3 2 2 2 3 3" xfId="43273" xr:uid="{00000000-0005-0000-0000-00004C5A0000}"/>
    <cellStyle name="40 % - Markeringsfarve2 3 2 2 2 4" xfId="21286" xr:uid="{00000000-0005-0000-0000-00004D5A0000}"/>
    <cellStyle name="40 % - Markeringsfarve2 3 2 2 2 5" xfId="36274" xr:uid="{00000000-0005-0000-0000-00004E5A0000}"/>
    <cellStyle name="40 % - Markeringsfarve2 3 2 2 3" xfId="3429" xr:uid="{00000000-0005-0000-0000-00004F5A0000}"/>
    <cellStyle name="40 % - Markeringsfarve2 3 2 2 3 2" xfId="6833" xr:uid="{00000000-0005-0000-0000-0000505A0000}"/>
    <cellStyle name="40 % - Markeringsfarve2 3 2 2 3 2 2" xfId="14745" xr:uid="{00000000-0005-0000-0000-0000515A0000}"/>
    <cellStyle name="40 % - Markeringsfarve2 3 2 2 3 2 2 2" xfId="31060" xr:uid="{00000000-0005-0000-0000-0000525A0000}"/>
    <cellStyle name="40 % - Markeringsfarve2 3 2 2 3 2 2 3" xfId="46024" xr:uid="{00000000-0005-0000-0000-0000535A0000}"/>
    <cellStyle name="40 % - Markeringsfarve2 3 2 2 3 2 3" xfId="24038" xr:uid="{00000000-0005-0000-0000-0000545A0000}"/>
    <cellStyle name="40 % - Markeringsfarve2 3 2 2 3 2 4" xfId="39025" xr:uid="{00000000-0005-0000-0000-0000555A0000}"/>
    <cellStyle name="40 % - Markeringsfarve2 3 2 2 3 3" xfId="11989" xr:uid="{00000000-0005-0000-0000-0000565A0000}"/>
    <cellStyle name="40 % - Markeringsfarve2 3 2 2 3 3 2" xfId="28309" xr:uid="{00000000-0005-0000-0000-0000575A0000}"/>
    <cellStyle name="40 % - Markeringsfarve2 3 2 2 3 3 3" xfId="43274" xr:uid="{00000000-0005-0000-0000-0000585A0000}"/>
    <cellStyle name="40 % - Markeringsfarve2 3 2 2 3 4" xfId="21287" xr:uid="{00000000-0005-0000-0000-0000595A0000}"/>
    <cellStyle name="40 % - Markeringsfarve2 3 2 2 3 5" xfId="36275" xr:uid="{00000000-0005-0000-0000-00005A5A0000}"/>
    <cellStyle name="40 % - Markeringsfarve2 3 2 2 4" xfId="5763" xr:uid="{00000000-0005-0000-0000-00005B5A0000}"/>
    <cellStyle name="40 % - Markeringsfarve2 3 2 2 4 2" xfId="13682" xr:uid="{00000000-0005-0000-0000-00005C5A0000}"/>
    <cellStyle name="40 % - Markeringsfarve2 3 2 2 4 2 2" xfId="29997" xr:uid="{00000000-0005-0000-0000-00005D5A0000}"/>
    <cellStyle name="40 % - Markeringsfarve2 3 2 2 4 2 3" xfId="44961" xr:uid="{00000000-0005-0000-0000-00005E5A0000}"/>
    <cellStyle name="40 % - Markeringsfarve2 3 2 2 4 3" xfId="22975" xr:uid="{00000000-0005-0000-0000-00005F5A0000}"/>
    <cellStyle name="40 % - Markeringsfarve2 3 2 2 4 4" xfId="37962" xr:uid="{00000000-0005-0000-0000-0000605A0000}"/>
    <cellStyle name="40 % - Markeringsfarve2 3 2 2 5" xfId="11987" xr:uid="{00000000-0005-0000-0000-0000615A0000}"/>
    <cellStyle name="40 % - Markeringsfarve2 3 2 2 5 2" xfId="28307" xr:uid="{00000000-0005-0000-0000-0000625A0000}"/>
    <cellStyle name="40 % - Markeringsfarve2 3 2 2 5 3" xfId="43272" xr:uid="{00000000-0005-0000-0000-0000635A0000}"/>
    <cellStyle name="40 % - Markeringsfarve2 3 2 2 6" xfId="21285" xr:uid="{00000000-0005-0000-0000-0000645A0000}"/>
    <cellStyle name="40 % - Markeringsfarve2 3 2 2 7" xfId="36273" xr:uid="{00000000-0005-0000-0000-0000655A0000}"/>
    <cellStyle name="40 % - Markeringsfarve2 3 2 2 8" xfId="57076" xr:uid="{00000000-0005-0000-0000-0000665A0000}"/>
    <cellStyle name="40 % - Markeringsfarve2 3 2 3" xfId="3430" xr:uid="{00000000-0005-0000-0000-0000675A0000}"/>
    <cellStyle name="40 % - Markeringsfarve2 3 2 3 2" xfId="3431" xr:uid="{00000000-0005-0000-0000-0000685A0000}"/>
    <cellStyle name="40 % - Markeringsfarve2 3 2 3 2 2" xfId="7733" xr:uid="{00000000-0005-0000-0000-0000695A0000}"/>
    <cellStyle name="40 % - Markeringsfarve2 3 2 3 2 2 2" xfId="15635" xr:uid="{00000000-0005-0000-0000-00006A5A0000}"/>
    <cellStyle name="40 % - Markeringsfarve2 3 2 3 2 2 2 2" xfId="31950" xr:uid="{00000000-0005-0000-0000-00006B5A0000}"/>
    <cellStyle name="40 % - Markeringsfarve2 3 2 3 2 2 2 3" xfId="46914" xr:uid="{00000000-0005-0000-0000-00006C5A0000}"/>
    <cellStyle name="40 % - Markeringsfarve2 3 2 3 2 2 3" xfId="24928" xr:uid="{00000000-0005-0000-0000-00006D5A0000}"/>
    <cellStyle name="40 % - Markeringsfarve2 3 2 3 2 2 4" xfId="39915" xr:uid="{00000000-0005-0000-0000-00006E5A0000}"/>
    <cellStyle name="40 % - Markeringsfarve2 3 2 3 2 3" xfId="11991" xr:uid="{00000000-0005-0000-0000-00006F5A0000}"/>
    <cellStyle name="40 % - Markeringsfarve2 3 2 3 2 3 2" xfId="28311" xr:uid="{00000000-0005-0000-0000-0000705A0000}"/>
    <cellStyle name="40 % - Markeringsfarve2 3 2 3 2 3 3" xfId="43276" xr:uid="{00000000-0005-0000-0000-0000715A0000}"/>
    <cellStyle name="40 % - Markeringsfarve2 3 2 3 2 4" xfId="21289" xr:uid="{00000000-0005-0000-0000-0000725A0000}"/>
    <cellStyle name="40 % - Markeringsfarve2 3 2 3 2 5" xfId="36277" xr:uid="{00000000-0005-0000-0000-0000735A0000}"/>
    <cellStyle name="40 % - Markeringsfarve2 3 2 3 3" xfId="3432" xr:uid="{00000000-0005-0000-0000-0000745A0000}"/>
    <cellStyle name="40 % - Markeringsfarve2 3 2 3 3 2" xfId="6963" xr:uid="{00000000-0005-0000-0000-0000755A0000}"/>
    <cellStyle name="40 % - Markeringsfarve2 3 2 3 3 2 2" xfId="14875" xr:uid="{00000000-0005-0000-0000-0000765A0000}"/>
    <cellStyle name="40 % - Markeringsfarve2 3 2 3 3 2 2 2" xfId="31190" xr:uid="{00000000-0005-0000-0000-0000775A0000}"/>
    <cellStyle name="40 % - Markeringsfarve2 3 2 3 3 2 2 3" xfId="46154" xr:uid="{00000000-0005-0000-0000-0000785A0000}"/>
    <cellStyle name="40 % - Markeringsfarve2 3 2 3 3 2 3" xfId="24168" xr:uid="{00000000-0005-0000-0000-0000795A0000}"/>
    <cellStyle name="40 % - Markeringsfarve2 3 2 3 3 2 4" xfId="39155" xr:uid="{00000000-0005-0000-0000-00007A5A0000}"/>
    <cellStyle name="40 % - Markeringsfarve2 3 2 3 3 3" xfId="11992" xr:uid="{00000000-0005-0000-0000-00007B5A0000}"/>
    <cellStyle name="40 % - Markeringsfarve2 3 2 3 3 3 2" xfId="28312" xr:uid="{00000000-0005-0000-0000-00007C5A0000}"/>
    <cellStyle name="40 % - Markeringsfarve2 3 2 3 3 3 3" xfId="43277" xr:uid="{00000000-0005-0000-0000-00007D5A0000}"/>
    <cellStyle name="40 % - Markeringsfarve2 3 2 3 3 4" xfId="21290" xr:uid="{00000000-0005-0000-0000-00007E5A0000}"/>
    <cellStyle name="40 % - Markeringsfarve2 3 2 3 3 5" xfId="36278" xr:uid="{00000000-0005-0000-0000-00007F5A0000}"/>
    <cellStyle name="40 % - Markeringsfarve2 3 2 3 4" xfId="5764" xr:uid="{00000000-0005-0000-0000-0000805A0000}"/>
    <cellStyle name="40 % - Markeringsfarve2 3 2 3 4 2" xfId="13683" xr:uid="{00000000-0005-0000-0000-0000815A0000}"/>
    <cellStyle name="40 % - Markeringsfarve2 3 2 3 4 2 2" xfId="29998" xr:uid="{00000000-0005-0000-0000-0000825A0000}"/>
    <cellStyle name="40 % - Markeringsfarve2 3 2 3 4 2 3" xfId="44962" xr:uid="{00000000-0005-0000-0000-0000835A0000}"/>
    <cellStyle name="40 % - Markeringsfarve2 3 2 3 4 3" xfId="22976" xr:uid="{00000000-0005-0000-0000-0000845A0000}"/>
    <cellStyle name="40 % - Markeringsfarve2 3 2 3 4 4" xfId="37963" xr:uid="{00000000-0005-0000-0000-0000855A0000}"/>
    <cellStyle name="40 % - Markeringsfarve2 3 2 3 5" xfId="11990" xr:uid="{00000000-0005-0000-0000-0000865A0000}"/>
    <cellStyle name="40 % - Markeringsfarve2 3 2 3 5 2" xfId="28310" xr:uid="{00000000-0005-0000-0000-0000875A0000}"/>
    <cellStyle name="40 % - Markeringsfarve2 3 2 3 5 3" xfId="43275" xr:uid="{00000000-0005-0000-0000-0000885A0000}"/>
    <cellStyle name="40 % - Markeringsfarve2 3 2 3 6" xfId="21288" xr:uid="{00000000-0005-0000-0000-0000895A0000}"/>
    <cellStyle name="40 % - Markeringsfarve2 3 2 3 7" xfId="36276" xr:uid="{00000000-0005-0000-0000-00008A5A0000}"/>
    <cellStyle name="40 % - Markeringsfarve2 3 2 4" xfId="3433" xr:uid="{00000000-0005-0000-0000-00008B5A0000}"/>
    <cellStyle name="40 % - Markeringsfarve2 3 2 4 2" xfId="3434" xr:uid="{00000000-0005-0000-0000-00008C5A0000}"/>
    <cellStyle name="40 % - Markeringsfarve2 3 2 4 2 2" xfId="7841" xr:uid="{00000000-0005-0000-0000-00008D5A0000}"/>
    <cellStyle name="40 % - Markeringsfarve2 3 2 4 2 2 2" xfId="15743" xr:uid="{00000000-0005-0000-0000-00008E5A0000}"/>
    <cellStyle name="40 % - Markeringsfarve2 3 2 4 2 2 2 2" xfId="32058" xr:uid="{00000000-0005-0000-0000-00008F5A0000}"/>
    <cellStyle name="40 % - Markeringsfarve2 3 2 4 2 2 2 3" xfId="47022" xr:uid="{00000000-0005-0000-0000-0000905A0000}"/>
    <cellStyle name="40 % - Markeringsfarve2 3 2 4 2 2 3" xfId="25036" xr:uid="{00000000-0005-0000-0000-0000915A0000}"/>
    <cellStyle name="40 % - Markeringsfarve2 3 2 4 2 2 4" xfId="40023" xr:uid="{00000000-0005-0000-0000-0000925A0000}"/>
    <cellStyle name="40 % - Markeringsfarve2 3 2 4 2 3" xfId="11994" xr:uid="{00000000-0005-0000-0000-0000935A0000}"/>
    <cellStyle name="40 % - Markeringsfarve2 3 2 4 2 3 2" xfId="28314" xr:uid="{00000000-0005-0000-0000-0000945A0000}"/>
    <cellStyle name="40 % - Markeringsfarve2 3 2 4 2 3 3" xfId="43279" xr:uid="{00000000-0005-0000-0000-0000955A0000}"/>
    <cellStyle name="40 % - Markeringsfarve2 3 2 4 2 4" xfId="21292" xr:uid="{00000000-0005-0000-0000-0000965A0000}"/>
    <cellStyle name="40 % - Markeringsfarve2 3 2 4 2 5" xfId="36280" xr:uid="{00000000-0005-0000-0000-0000975A0000}"/>
    <cellStyle name="40 % - Markeringsfarve2 3 2 4 3" xfId="3435" xr:uid="{00000000-0005-0000-0000-0000985A0000}"/>
    <cellStyle name="40 % - Markeringsfarve2 3 2 4 3 2" xfId="7117" xr:uid="{00000000-0005-0000-0000-0000995A0000}"/>
    <cellStyle name="40 % - Markeringsfarve2 3 2 4 3 2 2" xfId="15028" xr:uid="{00000000-0005-0000-0000-00009A5A0000}"/>
    <cellStyle name="40 % - Markeringsfarve2 3 2 4 3 2 2 2" xfId="31343" xr:uid="{00000000-0005-0000-0000-00009B5A0000}"/>
    <cellStyle name="40 % - Markeringsfarve2 3 2 4 3 2 2 3" xfId="46307" xr:uid="{00000000-0005-0000-0000-00009C5A0000}"/>
    <cellStyle name="40 % - Markeringsfarve2 3 2 4 3 2 3" xfId="24321" xr:uid="{00000000-0005-0000-0000-00009D5A0000}"/>
    <cellStyle name="40 % - Markeringsfarve2 3 2 4 3 2 4" xfId="39308" xr:uid="{00000000-0005-0000-0000-00009E5A0000}"/>
    <cellStyle name="40 % - Markeringsfarve2 3 2 4 3 3" xfId="11995" xr:uid="{00000000-0005-0000-0000-00009F5A0000}"/>
    <cellStyle name="40 % - Markeringsfarve2 3 2 4 3 3 2" xfId="28315" xr:uid="{00000000-0005-0000-0000-0000A05A0000}"/>
    <cellStyle name="40 % - Markeringsfarve2 3 2 4 3 3 3" xfId="43280" xr:uid="{00000000-0005-0000-0000-0000A15A0000}"/>
    <cellStyle name="40 % - Markeringsfarve2 3 2 4 3 4" xfId="21293" xr:uid="{00000000-0005-0000-0000-0000A25A0000}"/>
    <cellStyle name="40 % - Markeringsfarve2 3 2 4 3 5" xfId="36281" xr:uid="{00000000-0005-0000-0000-0000A35A0000}"/>
    <cellStyle name="40 % - Markeringsfarve2 3 2 4 4" xfId="5765" xr:uid="{00000000-0005-0000-0000-0000A45A0000}"/>
    <cellStyle name="40 % - Markeringsfarve2 3 2 4 4 2" xfId="13684" xr:uid="{00000000-0005-0000-0000-0000A55A0000}"/>
    <cellStyle name="40 % - Markeringsfarve2 3 2 4 4 2 2" xfId="29999" xr:uid="{00000000-0005-0000-0000-0000A65A0000}"/>
    <cellStyle name="40 % - Markeringsfarve2 3 2 4 4 2 3" xfId="44963" xr:uid="{00000000-0005-0000-0000-0000A75A0000}"/>
    <cellStyle name="40 % - Markeringsfarve2 3 2 4 4 3" xfId="22977" xr:uid="{00000000-0005-0000-0000-0000A85A0000}"/>
    <cellStyle name="40 % - Markeringsfarve2 3 2 4 4 4" xfId="37964" xr:uid="{00000000-0005-0000-0000-0000A95A0000}"/>
    <cellStyle name="40 % - Markeringsfarve2 3 2 4 5" xfId="11993" xr:uid="{00000000-0005-0000-0000-0000AA5A0000}"/>
    <cellStyle name="40 % - Markeringsfarve2 3 2 4 5 2" xfId="28313" xr:uid="{00000000-0005-0000-0000-0000AB5A0000}"/>
    <cellStyle name="40 % - Markeringsfarve2 3 2 4 5 3" xfId="43278" xr:uid="{00000000-0005-0000-0000-0000AC5A0000}"/>
    <cellStyle name="40 % - Markeringsfarve2 3 2 4 6" xfId="21291" xr:uid="{00000000-0005-0000-0000-0000AD5A0000}"/>
    <cellStyle name="40 % - Markeringsfarve2 3 2 4 7" xfId="36279" xr:uid="{00000000-0005-0000-0000-0000AE5A0000}"/>
    <cellStyle name="40 % - Markeringsfarve2 3 2 5" xfId="3436" xr:uid="{00000000-0005-0000-0000-0000AF5A0000}"/>
    <cellStyle name="40 % - Markeringsfarve2 3 2 5 2" xfId="3437" xr:uid="{00000000-0005-0000-0000-0000B05A0000}"/>
    <cellStyle name="40 % - Markeringsfarve2 3 2 5 2 2" xfId="7958" xr:uid="{00000000-0005-0000-0000-0000B15A0000}"/>
    <cellStyle name="40 % - Markeringsfarve2 3 2 5 2 2 2" xfId="15860" xr:uid="{00000000-0005-0000-0000-0000B25A0000}"/>
    <cellStyle name="40 % - Markeringsfarve2 3 2 5 2 2 2 2" xfId="32175" xr:uid="{00000000-0005-0000-0000-0000B35A0000}"/>
    <cellStyle name="40 % - Markeringsfarve2 3 2 5 2 2 2 3" xfId="47139" xr:uid="{00000000-0005-0000-0000-0000B45A0000}"/>
    <cellStyle name="40 % - Markeringsfarve2 3 2 5 2 2 3" xfId="25153" xr:uid="{00000000-0005-0000-0000-0000B55A0000}"/>
    <cellStyle name="40 % - Markeringsfarve2 3 2 5 2 2 4" xfId="40140" xr:uid="{00000000-0005-0000-0000-0000B65A0000}"/>
    <cellStyle name="40 % - Markeringsfarve2 3 2 5 2 3" xfId="11997" xr:uid="{00000000-0005-0000-0000-0000B75A0000}"/>
    <cellStyle name="40 % - Markeringsfarve2 3 2 5 2 3 2" xfId="28317" xr:uid="{00000000-0005-0000-0000-0000B85A0000}"/>
    <cellStyle name="40 % - Markeringsfarve2 3 2 5 2 3 3" xfId="43282" xr:uid="{00000000-0005-0000-0000-0000B95A0000}"/>
    <cellStyle name="40 % - Markeringsfarve2 3 2 5 2 4" xfId="21295" xr:uid="{00000000-0005-0000-0000-0000BA5A0000}"/>
    <cellStyle name="40 % - Markeringsfarve2 3 2 5 2 5" xfId="36283" xr:uid="{00000000-0005-0000-0000-0000BB5A0000}"/>
    <cellStyle name="40 % - Markeringsfarve2 3 2 5 3" xfId="3438" xr:uid="{00000000-0005-0000-0000-0000BC5A0000}"/>
    <cellStyle name="40 % - Markeringsfarve2 3 2 5 3 2" xfId="7234" xr:uid="{00000000-0005-0000-0000-0000BD5A0000}"/>
    <cellStyle name="40 % - Markeringsfarve2 3 2 5 3 2 2" xfId="15145" xr:uid="{00000000-0005-0000-0000-0000BE5A0000}"/>
    <cellStyle name="40 % - Markeringsfarve2 3 2 5 3 2 2 2" xfId="31460" xr:uid="{00000000-0005-0000-0000-0000BF5A0000}"/>
    <cellStyle name="40 % - Markeringsfarve2 3 2 5 3 2 2 3" xfId="46424" xr:uid="{00000000-0005-0000-0000-0000C05A0000}"/>
    <cellStyle name="40 % - Markeringsfarve2 3 2 5 3 2 3" xfId="24438" xr:uid="{00000000-0005-0000-0000-0000C15A0000}"/>
    <cellStyle name="40 % - Markeringsfarve2 3 2 5 3 2 4" xfId="39425" xr:uid="{00000000-0005-0000-0000-0000C25A0000}"/>
    <cellStyle name="40 % - Markeringsfarve2 3 2 5 3 3" xfId="11998" xr:uid="{00000000-0005-0000-0000-0000C35A0000}"/>
    <cellStyle name="40 % - Markeringsfarve2 3 2 5 3 3 2" xfId="28318" xr:uid="{00000000-0005-0000-0000-0000C45A0000}"/>
    <cellStyle name="40 % - Markeringsfarve2 3 2 5 3 3 3" xfId="43283" xr:uid="{00000000-0005-0000-0000-0000C55A0000}"/>
    <cellStyle name="40 % - Markeringsfarve2 3 2 5 3 4" xfId="21296" xr:uid="{00000000-0005-0000-0000-0000C65A0000}"/>
    <cellStyle name="40 % - Markeringsfarve2 3 2 5 3 5" xfId="36284" xr:uid="{00000000-0005-0000-0000-0000C75A0000}"/>
    <cellStyle name="40 % - Markeringsfarve2 3 2 5 4" xfId="5766" xr:uid="{00000000-0005-0000-0000-0000C85A0000}"/>
    <cellStyle name="40 % - Markeringsfarve2 3 2 5 4 2" xfId="13685" xr:uid="{00000000-0005-0000-0000-0000C95A0000}"/>
    <cellStyle name="40 % - Markeringsfarve2 3 2 5 4 2 2" xfId="30000" xr:uid="{00000000-0005-0000-0000-0000CA5A0000}"/>
    <cellStyle name="40 % - Markeringsfarve2 3 2 5 4 2 3" xfId="44964" xr:uid="{00000000-0005-0000-0000-0000CB5A0000}"/>
    <cellStyle name="40 % - Markeringsfarve2 3 2 5 4 3" xfId="22978" xr:uid="{00000000-0005-0000-0000-0000CC5A0000}"/>
    <cellStyle name="40 % - Markeringsfarve2 3 2 5 4 4" xfId="37965" xr:uid="{00000000-0005-0000-0000-0000CD5A0000}"/>
    <cellStyle name="40 % - Markeringsfarve2 3 2 5 5" xfId="11996" xr:uid="{00000000-0005-0000-0000-0000CE5A0000}"/>
    <cellStyle name="40 % - Markeringsfarve2 3 2 5 5 2" xfId="28316" xr:uid="{00000000-0005-0000-0000-0000CF5A0000}"/>
    <cellStyle name="40 % - Markeringsfarve2 3 2 5 5 3" xfId="43281" xr:uid="{00000000-0005-0000-0000-0000D05A0000}"/>
    <cellStyle name="40 % - Markeringsfarve2 3 2 5 6" xfId="21294" xr:uid="{00000000-0005-0000-0000-0000D15A0000}"/>
    <cellStyle name="40 % - Markeringsfarve2 3 2 5 7" xfId="36282" xr:uid="{00000000-0005-0000-0000-0000D25A0000}"/>
    <cellStyle name="40 % - Markeringsfarve2 3 2 6" xfId="3439" xr:uid="{00000000-0005-0000-0000-0000D35A0000}"/>
    <cellStyle name="40 % - Markeringsfarve2 3 2 6 2" xfId="3440" xr:uid="{00000000-0005-0000-0000-0000D45A0000}"/>
    <cellStyle name="40 % - Markeringsfarve2 3 2 6 2 2" xfId="8087" xr:uid="{00000000-0005-0000-0000-0000D55A0000}"/>
    <cellStyle name="40 % - Markeringsfarve2 3 2 6 2 2 2" xfId="15989" xr:uid="{00000000-0005-0000-0000-0000D65A0000}"/>
    <cellStyle name="40 % - Markeringsfarve2 3 2 6 2 2 2 2" xfId="32304" xr:uid="{00000000-0005-0000-0000-0000D75A0000}"/>
    <cellStyle name="40 % - Markeringsfarve2 3 2 6 2 2 2 3" xfId="47268" xr:uid="{00000000-0005-0000-0000-0000D85A0000}"/>
    <cellStyle name="40 % - Markeringsfarve2 3 2 6 2 2 3" xfId="25282" xr:uid="{00000000-0005-0000-0000-0000D95A0000}"/>
    <cellStyle name="40 % - Markeringsfarve2 3 2 6 2 2 4" xfId="40269" xr:uid="{00000000-0005-0000-0000-0000DA5A0000}"/>
    <cellStyle name="40 % - Markeringsfarve2 3 2 6 2 3" xfId="12000" xr:uid="{00000000-0005-0000-0000-0000DB5A0000}"/>
    <cellStyle name="40 % - Markeringsfarve2 3 2 6 2 3 2" xfId="28320" xr:uid="{00000000-0005-0000-0000-0000DC5A0000}"/>
    <cellStyle name="40 % - Markeringsfarve2 3 2 6 2 3 3" xfId="43285" xr:uid="{00000000-0005-0000-0000-0000DD5A0000}"/>
    <cellStyle name="40 % - Markeringsfarve2 3 2 6 2 4" xfId="21298" xr:uid="{00000000-0005-0000-0000-0000DE5A0000}"/>
    <cellStyle name="40 % - Markeringsfarve2 3 2 6 2 5" xfId="36286" xr:uid="{00000000-0005-0000-0000-0000DF5A0000}"/>
    <cellStyle name="40 % - Markeringsfarve2 3 2 6 3" xfId="3441" xr:uid="{00000000-0005-0000-0000-0000E05A0000}"/>
    <cellStyle name="40 % - Markeringsfarve2 3 2 6 3 2" xfId="7364" xr:uid="{00000000-0005-0000-0000-0000E15A0000}"/>
    <cellStyle name="40 % - Markeringsfarve2 3 2 6 3 2 2" xfId="15275" xr:uid="{00000000-0005-0000-0000-0000E25A0000}"/>
    <cellStyle name="40 % - Markeringsfarve2 3 2 6 3 2 2 2" xfId="31590" xr:uid="{00000000-0005-0000-0000-0000E35A0000}"/>
    <cellStyle name="40 % - Markeringsfarve2 3 2 6 3 2 2 3" xfId="46554" xr:uid="{00000000-0005-0000-0000-0000E45A0000}"/>
    <cellStyle name="40 % - Markeringsfarve2 3 2 6 3 2 3" xfId="24568" xr:uid="{00000000-0005-0000-0000-0000E55A0000}"/>
    <cellStyle name="40 % - Markeringsfarve2 3 2 6 3 2 4" xfId="39555" xr:uid="{00000000-0005-0000-0000-0000E65A0000}"/>
    <cellStyle name="40 % - Markeringsfarve2 3 2 6 3 3" xfId="12001" xr:uid="{00000000-0005-0000-0000-0000E75A0000}"/>
    <cellStyle name="40 % - Markeringsfarve2 3 2 6 3 3 2" xfId="28321" xr:uid="{00000000-0005-0000-0000-0000E85A0000}"/>
    <cellStyle name="40 % - Markeringsfarve2 3 2 6 3 3 3" xfId="43286" xr:uid="{00000000-0005-0000-0000-0000E95A0000}"/>
    <cellStyle name="40 % - Markeringsfarve2 3 2 6 3 4" xfId="21299" xr:uid="{00000000-0005-0000-0000-0000EA5A0000}"/>
    <cellStyle name="40 % - Markeringsfarve2 3 2 6 3 5" xfId="36287" xr:uid="{00000000-0005-0000-0000-0000EB5A0000}"/>
    <cellStyle name="40 % - Markeringsfarve2 3 2 6 4" xfId="5767" xr:uid="{00000000-0005-0000-0000-0000EC5A0000}"/>
    <cellStyle name="40 % - Markeringsfarve2 3 2 6 4 2" xfId="13686" xr:uid="{00000000-0005-0000-0000-0000ED5A0000}"/>
    <cellStyle name="40 % - Markeringsfarve2 3 2 6 4 2 2" xfId="30001" xr:uid="{00000000-0005-0000-0000-0000EE5A0000}"/>
    <cellStyle name="40 % - Markeringsfarve2 3 2 6 4 2 3" xfId="44965" xr:uid="{00000000-0005-0000-0000-0000EF5A0000}"/>
    <cellStyle name="40 % - Markeringsfarve2 3 2 6 4 3" xfId="22979" xr:uid="{00000000-0005-0000-0000-0000F05A0000}"/>
    <cellStyle name="40 % - Markeringsfarve2 3 2 6 4 4" xfId="37966" xr:uid="{00000000-0005-0000-0000-0000F15A0000}"/>
    <cellStyle name="40 % - Markeringsfarve2 3 2 6 5" xfId="11999" xr:uid="{00000000-0005-0000-0000-0000F25A0000}"/>
    <cellStyle name="40 % - Markeringsfarve2 3 2 6 5 2" xfId="28319" xr:uid="{00000000-0005-0000-0000-0000F35A0000}"/>
    <cellStyle name="40 % - Markeringsfarve2 3 2 6 5 3" xfId="43284" xr:uid="{00000000-0005-0000-0000-0000F45A0000}"/>
    <cellStyle name="40 % - Markeringsfarve2 3 2 6 6" xfId="21297" xr:uid="{00000000-0005-0000-0000-0000F55A0000}"/>
    <cellStyle name="40 % - Markeringsfarve2 3 2 6 7" xfId="36285" xr:uid="{00000000-0005-0000-0000-0000F65A0000}"/>
    <cellStyle name="40 % - Markeringsfarve2 3 2 7" xfId="3442" xr:uid="{00000000-0005-0000-0000-0000F75A0000}"/>
    <cellStyle name="40 % - Markeringsfarve2 3 2 7 2" xfId="7484" xr:uid="{00000000-0005-0000-0000-0000F85A0000}"/>
    <cellStyle name="40 % - Markeringsfarve2 3 2 7 2 2" xfId="15386" xr:uid="{00000000-0005-0000-0000-0000F95A0000}"/>
    <cellStyle name="40 % - Markeringsfarve2 3 2 7 2 2 2" xfId="31701" xr:uid="{00000000-0005-0000-0000-0000FA5A0000}"/>
    <cellStyle name="40 % - Markeringsfarve2 3 2 7 2 2 3" xfId="46665" xr:uid="{00000000-0005-0000-0000-0000FB5A0000}"/>
    <cellStyle name="40 % - Markeringsfarve2 3 2 7 2 3" xfId="24679" xr:uid="{00000000-0005-0000-0000-0000FC5A0000}"/>
    <cellStyle name="40 % - Markeringsfarve2 3 2 7 2 4" xfId="39666" xr:uid="{00000000-0005-0000-0000-0000FD5A0000}"/>
    <cellStyle name="40 % - Markeringsfarve2 3 2 7 3" xfId="12002" xr:uid="{00000000-0005-0000-0000-0000FE5A0000}"/>
    <cellStyle name="40 % - Markeringsfarve2 3 2 7 3 2" xfId="28322" xr:uid="{00000000-0005-0000-0000-0000FF5A0000}"/>
    <cellStyle name="40 % - Markeringsfarve2 3 2 7 3 3" xfId="43287" xr:uid="{00000000-0005-0000-0000-0000005B0000}"/>
    <cellStyle name="40 % - Markeringsfarve2 3 2 7 4" xfId="21300" xr:uid="{00000000-0005-0000-0000-0000015B0000}"/>
    <cellStyle name="40 % - Markeringsfarve2 3 2 7 5" xfId="36288" xr:uid="{00000000-0005-0000-0000-0000025B0000}"/>
    <cellStyle name="40 % - Markeringsfarve2 3 2 8" xfId="3443" xr:uid="{00000000-0005-0000-0000-0000035B0000}"/>
    <cellStyle name="40 % - Markeringsfarve2 3 2 8 2" xfId="6712" xr:uid="{00000000-0005-0000-0000-0000045B0000}"/>
    <cellStyle name="40 % - Markeringsfarve2 3 2 8 2 2" xfId="14624" xr:uid="{00000000-0005-0000-0000-0000055B0000}"/>
    <cellStyle name="40 % - Markeringsfarve2 3 2 8 2 2 2" xfId="30939" xr:uid="{00000000-0005-0000-0000-0000065B0000}"/>
    <cellStyle name="40 % - Markeringsfarve2 3 2 8 2 2 3" xfId="45903" xr:uid="{00000000-0005-0000-0000-0000075B0000}"/>
    <cellStyle name="40 % - Markeringsfarve2 3 2 8 2 3" xfId="23917" xr:uid="{00000000-0005-0000-0000-0000085B0000}"/>
    <cellStyle name="40 % - Markeringsfarve2 3 2 8 2 4" xfId="38904" xr:uid="{00000000-0005-0000-0000-0000095B0000}"/>
    <cellStyle name="40 % - Markeringsfarve2 3 2 8 3" xfId="12003" xr:uid="{00000000-0005-0000-0000-00000A5B0000}"/>
    <cellStyle name="40 % - Markeringsfarve2 3 2 8 3 2" xfId="28323" xr:uid="{00000000-0005-0000-0000-00000B5B0000}"/>
    <cellStyle name="40 % - Markeringsfarve2 3 2 8 3 3" xfId="43288" xr:uid="{00000000-0005-0000-0000-00000C5B0000}"/>
    <cellStyle name="40 % - Markeringsfarve2 3 2 8 4" xfId="21301" xr:uid="{00000000-0005-0000-0000-00000D5B0000}"/>
    <cellStyle name="40 % - Markeringsfarve2 3 2 8 5" xfId="36289" xr:uid="{00000000-0005-0000-0000-00000E5B0000}"/>
    <cellStyle name="40 % - Markeringsfarve2 3 2 9" xfId="5762" xr:uid="{00000000-0005-0000-0000-00000F5B0000}"/>
    <cellStyle name="40 % - Markeringsfarve2 3 2 9 2" xfId="13681" xr:uid="{00000000-0005-0000-0000-0000105B0000}"/>
    <cellStyle name="40 % - Markeringsfarve2 3 2 9 2 2" xfId="29996" xr:uid="{00000000-0005-0000-0000-0000115B0000}"/>
    <cellStyle name="40 % - Markeringsfarve2 3 2 9 2 3" xfId="44960" xr:uid="{00000000-0005-0000-0000-0000125B0000}"/>
    <cellStyle name="40 % - Markeringsfarve2 3 2 9 3" xfId="22974" xr:uid="{00000000-0005-0000-0000-0000135B0000}"/>
    <cellStyle name="40 % - Markeringsfarve2 3 2 9 4" xfId="37961" xr:uid="{00000000-0005-0000-0000-0000145B0000}"/>
    <cellStyle name="40 % - Markeringsfarve2 3 3" xfId="3444" xr:uid="{00000000-0005-0000-0000-0000155B0000}"/>
    <cellStyle name="40 % - Markeringsfarve2 3 3 10" xfId="12004" xr:uid="{00000000-0005-0000-0000-0000165B0000}"/>
    <cellStyle name="40 % - Markeringsfarve2 3 3 10 2" xfId="28324" xr:uid="{00000000-0005-0000-0000-0000175B0000}"/>
    <cellStyle name="40 % - Markeringsfarve2 3 3 10 3" xfId="43289" xr:uid="{00000000-0005-0000-0000-0000185B0000}"/>
    <cellStyle name="40 % - Markeringsfarve2 3 3 11" xfId="21302" xr:uid="{00000000-0005-0000-0000-0000195B0000}"/>
    <cellStyle name="40 % - Markeringsfarve2 3 3 12" xfId="36290" xr:uid="{00000000-0005-0000-0000-00001A5B0000}"/>
    <cellStyle name="40 % - Markeringsfarve2 3 3 13" xfId="56453" xr:uid="{00000000-0005-0000-0000-00001B5B0000}"/>
    <cellStyle name="40 % - Markeringsfarve2 3 3 2" xfId="3445" xr:uid="{00000000-0005-0000-0000-00001C5B0000}"/>
    <cellStyle name="40 % - Markeringsfarve2 3 3 2 2" xfId="3446" xr:uid="{00000000-0005-0000-0000-00001D5B0000}"/>
    <cellStyle name="40 % - Markeringsfarve2 3 3 2 2 2" xfId="7642" xr:uid="{00000000-0005-0000-0000-00001E5B0000}"/>
    <cellStyle name="40 % - Markeringsfarve2 3 3 2 2 2 2" xfId="15544" xr:uid="{00000000-0005-0000-0000-00001F5B0000}"/>
    <cellStyle name="40 % - Markeringsfarve2 3 3 2 2 2 2 2" xfId="31859" xr:uid="{00000000-0005-0000-0000-0000205B0000}"/>
    <cellStyle name="40 % - Markeringsfarve2 3 3 2 2 2 2 3" xfId="46823" xr:uid="{00000000-0005-0000-0000-0000215B0000}"/>
    <cellStyle name="40 % - Markeringsfarve2 3 3 2 2 2 3" xfId="24837" xr:uid="{00000000-0005-0000-0000-0000225B0000}"/>
    <cellStyle name="40 % - Markeringsfarve2 3 3 2 2 2 4" xfId="39824" xr:uid="{00000000-0005-0000-0000-0000235B0000}"/>
    <cellStyle name="40 % - Markeringsfarve2 3 3 2 2 3" xfId="12006" xr:uid="{00000000-0005-0000-0000-0000245B0000}"/>
    <cellStyle name="40 % - Markeringsfarve2 3 3 2 2 3 2" xfId="28326" xr:uid="{00000000-0005-0000-0000-0000255B0000}"/>
    <cellStyle name="40 % - Markeringsfarve2 3 3 2 2 3 3" xfId="43291" xr:uid="{00000000-0005-0000-0000-0000265B0000}"/>
    <cellStyle name="40 % - Markeringsfarve2 3 3 2 2 4" xfId="21304" xr:uid="{00000000-0005-0000-0000-0000275B0000}"/>
    <cellStyle name="40 % - Markeringsfarve2 3 3 2 2 5" xfId="36292" xr:uid="{00000000-0005-0000-0000-0000285B0000}"/>
    <cellStyle name="40 % - Markeringsfarve2 3 3 2 3" xfId="3447" xr:uid="{00000000-0005-0000-0000-0000295B0000}"/>
    <cellStyle name="40 % - Markeringsfarve2 3 3 2 3 2" xfId="6872" xr:uid="{00000000-0005-0000-0000-00002A5B0000}"/>
    <cellStyle name="40 % - Markeringsfarve2 3 3 2 3 2 2" xfId="14784" xr:uid="{00000000-0005-0000-0000-00002B5B0000}"/>
    <cellStyle name="40 % - Markeringsfarve2 3 3 2 3 2 2 2" xfId="31099" xr:uid="{00000000-0005-0000-0000-00002C5B0000}"/>
    <cellStyle name="40 % - Markeringsfarve2 3 3 2 3 2 2 3" xfId="46063" xr:uid="{00000000-0005-0000-0000-00002D5B0000}"/>
    <cellStyle name="40 % - Markeringsfarve2 3 3 2 3 2 3" xfId="24077" xr:uid="{00000000-0005-0000-0000-00002E5B0000}"/>
    <cellStyle name="40 % - Markeringsfarve2 3 3 2 3 2 4" xfId="39064" xr:uid="{00000000-0005-0000-0000-00002F5B0000}"/>
    <cellStyle name="40 % - Markeringsfarve2 3 3 2 3 3" xfId="12007" xr:uid="{00000000-0005-0000-0000-0000305B0000}"/>
    <cellStyle name="40 % - Markeringsfarve2 3 3 2 3 3 2" xfId="28327" xr:uid="{00000000-0005-0000-0000-0000315B0000}"/>
    <cellStyle name="40 % - Markeringsfarve2 3 3 2 3 3 3" xfId="43292" xr:uid="{00000000-0005-0000-0000-0000325B0000}"/>
    <cellStyle name="40 % - Markeringsfarve2 3 3 2 3 4" xfId="21305" xr:uid="{00000000-0005-0000-0000-0000335B0000}"/>
    <cellStyle name="40 % - Markeringsfarve2 3 3 2 3 5" xfId="36293" xr:uid="{00000000-0005-0000-0000-0000345B0000}"/>
    <cellStyle name="40 % - Markeringsfarve2 3 3 2 4" xfId="5769" xr:uid="{00000000-0005-0000-0000-0000355B0000}"/>
    <cellStyle name="40 % - Markeringsfarve2 3 3 2 4 2" xfId="13688" xr:uid="{00000000-0005-0000-0000-0000365B0000}"/>
    <cellStyle name="40 % - Markeringsfarve2 3 3 2 4 2 2" xfId="30003" xr:uid="{00000000-0005-0000-0000-0000375B0000}"/>
    <cellStyle name="40 % - Markeringsfarve2 3 3 2 4 2 3" xfId="44967" xr:uid="{00000000-0005-0000-0000-0000385B0000}"/>
    <cellStyle name="40 % - Markeringsfarve2 3 3 2 4 3" xfId="22981" xr:uid="{00000000-0005-0000-0000-0000395B0000}"/>
    <cellStyle name="40 % - Markeringsfarve2 3 3 2 4 4" xfId="37968" xr:uid="{00000000-0005-0000-0000-00003A5B0000}"/>
    <cellStyle name="40 % - Markeringsfarve2 3 3 2 5" xfId="12005" xr:uid="{00000000-0005-0000-0000-00003B5B0000}"/>
    <cellStyle name="40 % - Markeringsfarve2 3 3 2 5 2" xfId="28325" xr:uid="{00000000-0005-0000-0000-00003C5B0000}"/>
    <cellStyle name="40 % - Markeringsfarve2 3 3 2 5 3" xfId="43290" xr:uid="{00000000-0005-0000-0000-00003D5B0000}"/>
    <cellStyle name="40 % - Markeringsfarve2 3 3 2 6" xfId="21303" xr:uid="{00000000-0005-0000-0000-00003E5B0000}"/>
    <cellStyle name="40 % - Markeringsfarve2 3 3 2 7" xfId="36291" xr:uid="{00000000-0005-0000-0000-00003F5B0000}"/>
    <cellStyle name="40 % - Markeringsfarve2 3 3 3" xfId="3448" xr:uid="{00000000-0005-0000-0000-0000405B0000}"/>
    <cellStyle name="40 % - Markeringsfarve2 3 3 3 2" xfId="3449" xr:uid="{00000000-0005-0000-0000-0000415B0000}"/>
    <cellStyle name="40 % - Markeringsfarve2 3 3 3 2 2" xfId="7734" xr:uid="{00000000-0005-0000-0000-0000425B0000}"/>
    <cellStyle name="40 % - Markeringsfarve2 3 3 3 2 2 2" xfId="15636" xr:uid="{00000000-0005-0000-0000-0000435B0000}"/>
    <cellStyle name="40 % - Markeringsfarve2 3 3 3 2 2 2 2" xfId="31951" xr:uid="{00000000-0005-0000-0000-0000445B0000}"/>
    <cellStyle name="40 % - Markeringsfarve2 3 3 3 2 2 2 3" xfId="46915" xr:uid="{00000000-0005-0000-0000-0000455B0000}"/>
    <cellStyle name="40 % - Markeringsfarve2 3 3 3 2 2 3" xfId="24929" xr:uid="{00000000-0005-0000-0000-0000465B0000}"/>
    <cellStyle name="40 % - Markeringsfarve2 3 3 3 2 2 4" xfId="39916" xr:uid="{00000000-0005-0000-0000-0000475B0000}"/>
    <cellStyle name="40 % - Markeringsfarve2 3 3 3 2 3" xfId="12009" xr:uid="{00000000-0005-0000-0000-0000485B0000}"/>
    <cellStyle name="40 % - Markeringsfarve2 3 3 3 2 3 2" xfId="28329" xr:uid="{00000000-0005-0000-0000-0000495B0000}"/>
    <cellStyle name="40 % - Markeringsfarve2 3 3 3 2 3 3" xfId="43294" xr:uid="{00000000-0005-0000-0000-00004A5B0000}"/>
    <cellStyle name="40 % - Markeringsfarve2 3 3 3 2 4" xfId="21307" xr:uid="{00000000-0005-0000-0000-00004B5B0000}"/>
    <cellStyle name="40 % - Markeringsfarve2 3 3 3 2 5" xfId="36295" xr:uid="{00000000-0005-0000-0000-00004C5B0000}"/>
    <cellStyle name="40 % - Markeringsfarve2 3 3 3 3" xfId="3450" xr:uid="{00000000-0005-0000-0000-00004D5B0000}"/>
    <cellStyle name="40 % - Markeringsfarve2 3 3 3 3 2" xfId="6964" xr:uid="{00000000-0005-0000-0000-00004E5B0000}"/>
    <cellStyle name="40 % - Markeringsfarve2 3 3 3 3 2 2" xfId="14876" xr:uid="{00000000-0005-0000-0000-00004F5B0000}"/>
    <cellStyle name="40 % - Markeringsfarve2 3 3 3 3 2 2 2" xfId="31191" xr:uid="{00000000-0005-0000-0000-0000505B0000}"/>
    <cellStyle name="40 % - Markeringsfarve2 3 3 3 3 2 2 3" xfId="46155" xr:uid="{00000000-0005-0000-0000-0000515B0000}"/>
    <cellStyle name="40 % - Markeringsfarve2 3 3 3 3 2 3" xfId="24169" xr:uid="{00000000-0005-0000-0000-0000525B0000}"/>
    <cellStyle name="40 % - Markeringsfarve2 3 3 3 3 2 4" xfId="39156" xr:uid="{00000000-0005-0000-0000-0000535B0000}"/>
    <cellStyle name="40 % - Markeringsfarve2 3 3 3 3 3" xfId="12010" xr:uid="{00000000-0005-0000-0000-0000545B0000}"/>
    <cellStyle name="40 % - Markeringsfarve2 3 3 3 3 3 2" xfId="28330" xr:uid="{00000000-0005-0000-0000-0000555B0000}"/>
    <cellStyle name="40 % - Markeringsfarve2 3 3 3 3 3 3" xfId="43295" xr:uid="{00000000-0005-0000-0000-0000565B0000}"/>
    <cellStyle name="40 % - Markeringsfarve2 3 3 3 3 4" xfId="21308" xr:uid="{00000000-0005-0000-0000-0000575B0000}"/>
    <cellStyle name="40 % - Markeringsfarve2 3 3 3 3 5" xfId="36296" xr:uid="{00000000-0005-0000-0000-0000585B0000}"/>
    <cellStyle name="40 % - Markeringsfarve2 3 3 3 4" xfId="5770" xr:uid="{00000000-0005-0000-0000-0000595B0000}"/>
    <cellStyle name="40 % - Markeringsfarve2 3 3 3 4 2" xfId="13689" xr:uid="{00000000-0005-0000-0000-00005A5B0000}"/>
    <cellStyle name="40 % - Markeringsfarve2 3 3 3 4 2 2" xfId="30004" xr:uid="{00000000-0005-0000-0000-00005B5B0000}"/>
    <cellStyle name="40 % - Markeringsfarve2 3 3 3 4 2 3" xfId="44968" xr:uid="{00000000-0005-0000-0000-00005C5B0000}"/>
    <cellStyle name="40 % - Markeringsfarve2 3 3 3 4 3" xfId="22982" xr:uid="{00000000-0005-0000-0000-00005D5B0000}"/>
    <cellStyle name="40 % - Markeringsfarve2 3 3 3 4 4" xfId="37969" xr:uid="{00000000-0005-0000-0000-00005E5B0000}"/>
    <cellStyle name="40 % - Markeringsfarve2 3 3 3 5" xfId="12008" xr:uid="{00000000-0005-0000-0000-00005F5B0000}"/>
    <cellStyle name="40 % - Markeringsfarve2 3 3 3 5 2" xfId="28328" xr:uid="{00000000-0005-0000-0000-0000605B0000}"/>
    <cellStyle name="40 % - Markeringsfarve2 3 3 3 5 3" xfId="43293" xr:uid="{00000000-0005-0000-0000-0000615B0000}"/>
    <cellStyle name="40 % - Markeringsfarve2 3 3 3 6" xfId="21306" xr:uid="{00000000-0005-0000-0000-0000625B0000}"/>
    <cellStyle name="40 % - Markeringsfarve2 3 3 3 7" xfId="36294" xr:uid="{00000000-0005-0000-0000-0000635B0000}"/>
    <cellStyle name="40 % - Markeringsfarve2 3 3 4" xfId="3451" xr:uid="{00000000-0005-0000-0000-0000645B0000}"/>
    <cellStyle name="40 % - Markeringsfarve2 3 3 4 2" xfId="3452" xr:uid="{00000000-0005-0000-0000-0000655B0000}"/>
    <cellStyle name="40 % - Markeringsfarve2 3 3 4 2 2" xfId="7880" xr:uid="{00000000-0005-0000-0000-0000665B0000}"/>
    <cellStyle name="40 % - Markeringsfarve2 3 3 4 2 2 2" xfId="15782" xr:uid="{00000000-0005-0000-0000-0000675B0000}"/>
    <cellStyle name="40 % - Markeringsfarve2 3 3 4 2 2 2 2" xfId="32097" xr:uid="{00000000-0005-0000-0000-0000685B0000}"/>
    <cellStyle name="40 % - Markeringsfarve2 3 3 4 2 2 2 3" xfId="47061" xr:uid="{00000000-0005-0000-0000-0000695B0000}"/>
    <cellStyle name="40 % - Markeringsfarve2 3 3 4 2 2 3" xfId="25075" xr:uid="{00000000-0005-0000-0000-00006A5B0000}"/>
    <cellStyle name="40 % - Markeringsfarve2 3 3 4 2 2 4" xfId="40062" xr:uid="{00000000-0005-0000-0000-00006B5B0000}"/>
    <cellStyle name="40 % - Markeringsfarve2 3 3 4 2 3" xfId="12012" xr:uid="{00000000-0005-0000-0000-00006C5B0000}"/>
    <cellStyle name="40 % - Markeringsfarve2 3 3 4 2 3 2" xfId="28332" xr:uid="{00000000-0005-0000-0000-00006D5B0000}"/>
    <cellStyle name="40 % - Markeringsfarve2 3 3 4 2 3 3" xfId="43297" xr:uid="{00000000-0005-0000-0000-00006E5B0000}"/>
    <cellStyle name="40 % - Markeringsfarve2 3 3 4 2 4" xfId="21310" xr:uid="{00000000-0005-0000-0000-00006F5B0000}"/>
    <cellStyle name="40 % - Markeringsfarve2 3 3 4 2 5" xfId="36298" xr:uid="{00000000-0005-0000-0000-0000705B0000}"/>
    <cellStyle name="40 % - Markeringsfarve2 3 3 4 3" xfId="3453" xr:uid="{00000000-0005-0000-0000-0000715B0000}"/>
    <cellStyle name="40 % - Markeringsfarve2 3 3 4 3 2" xfId="7156" xr:uid="{00000000-0005-0000-0000-0000725B0000}"/>
    <cellStyle name="40 % - Markeringsfarve2 3 3 4 3 2 2" xfId="15067" xr:uid="{00000000-0005-0000-0000-0000735B0000}"/>
    <cellStyle name="40 % - Markeringsfarve2 3 3 4 3 2 2 2" xfId="31382" xr:uid="{00000000-0005-0000-0000-0000745B0000}"/>
    <cellStyle name="40 % - Markeringsfarve2 3 3 4 3 2 2 3" xfId="46346" xr:uid="{00000000-0005-0000-0000-0000755B0000}"/>
    <cellStyle name="40 % - Markeringsfarve2 3 3 4 3 2 3" xfId="24360" xr:uid="{00000000-0005-0000-0000-0000765B0000}"/>
    <cellStyle name="40 % - Markeringsfarve2 3 3 4 3 2 4" xfId="39347" xr:uid="{00000000-0005-0000-0000-0000775B0000}"/>
    <cellStyle name="40 % - Markeringsfarve2 3 3 4 3 3" xfId="12013" xr:uid="{00000000-0005-0000-0000-0000785B0000}"/>
    <cellStyle name="40 % - Markeringsfarve2 3 3 4 3 3 2" xfId="28333" xr:uid="{00000000-0005-0000-0000-0000795B0000}"/>
    <cellStyle name="40 % - Markeringsfarve2 3 3 4 3 3 3" xfId="43298" xr:uid="{00000000-0005-0000-0000-00007A5B0000}"/>
    <cellStyle name="40 % - Markeringsfarve2 3 3 4 3 4" xfId="21311" xr:uid="{00000000-0005-0000-0000-00007B5B0000}"/>
    <cellStyle name="40 % - Markeringsfarve2 3 3 4 3 5" xfId="36299" xr:uid="{00000000-0005-0000-0000-00007C5B0000}"/>
    <cellStyle name="40 % - Markeringsfarve2 3 3 4 4" xfId="5771" xr:uid="{00000000-0005-0000-0000-00007D5B0000}"/>
    <cellStyle name="40 % - Markeringsfarve2 3 3 4 4 2" xfId="13690" xr:uid="{00000000-0005-0000-0000-00007E5B0000}"/>
    <cellStyle name="40 % - Markeringsfarve2 3 3 4 4 2 2" xfId="30005" xr:uid="{00000000-0005-0000-0000-00007F5B0000}"/>
    <cellStyle name="40 % - Markeringsfarve2 3 3 4 4 2 3" xfId="44969" xr:uid="{00000000-0005-0000-0000-0000805B0000}"/>
    <cellStyle name="40 % - Markeringsfarve2 3 3 4 4 3" xfId="22983" xr:uid="{00000000-0005-0000-0000-0000815B0000}"/>
    <cellStyle name="40 % - Markeringsfarve2 3 3 4 4 4" xfId="37970" xr:uid="{00000000-0005-0000-0000-0000825B0000}"/>
    <cellStyle name="40 % - Markeringsfarve2 3 3 4 5" xfId="12011" xr:uid="{00000000-0005-0000-0000-0000835B0000}"/>
    <cellStyle name="40 % - Markeringsfarve2 3 3 4 5 2" xfId="28331" xr:uid="{00000000-0005-0000-0000-0000845B0000}"/>
    <cellStyle name="40 % - Markeringsfarve2 3 3 4 5 3" xfId="43296" xr:uid="{00000000-0005-0000-0000-0000855B0000}"/>
    <cellStyle name="40 % - Markeringsfarve2 3 3 4 6" xfId="21309" xr:uid="{00000000-0005-0000-0000-0000865B0000}"/>
    <cellStyle name="40 % - Markeringsfarve2 3 3 4 7" xfId="36297" xr:uid="{00000000-0005-0000-0000-0000875B0000}"/>
    <cellStyle name="40 % - Markeringsfarve2 3 3 5" xfId="3454" xr:uid="{00000000-0005-0000-0000-0000885B0000}"/>
    <cellStyle name="40 % - Markeringsfarve2 3 3 5 2" xfId="3455" xr:uid="{00000000-0005-0000-0000-0000895B0000}"/>
    <cellStyle name="40 % - Markeringsfarve2 3 3 5 2 2" xfId="7997" xr:uid="{00000000-0005-0000-0000-00008A5B0000}"/>
    <cellStyle name="40 % - Markeringsfarve2 3 3 5 2 2 2" xfId="15899" xr:uid="{00000000-0005-0000-0000-00008B5B0000}"/>
    <cellStyle name="40 % - Markeringsfarve2 3 3 5 2 2 2 2" xfId="32214" xr:uid="{00000000-0005-0000-0000-00008C5B0000}"/>
    <cellStyle name="40 % - Markeringsfarve2 3 3 5 2 2 2 3" xfId="47178" xr:uid="{00000000-0005-0000-0000-00008D5B0000}"/>
    <cellStyle name="40 % - Markeringsfarve2 3 3 5 2 2 3" xfId="25192" xr:uid="{00000000-0005-0000-0000-00008E5B0000}"/>
    <cellStyle name="40 % - Markeringsfarve2 3 3 5 2 2 4" xfId="40179" xr:uid="{00000000-0005-0000-0000-00008F5B0000}"/>
    <cellStyle name="40 % - Markeringsfarve2 3 3 5 2 3" xfId="12015" xr:uid="{00000000-0005-0000-0000-0000905B0000}"/>
    <cellStyle name="40 % - Markeringsfarve2 3 3 5 2 3 2" xfId="28335" xr:uid="{00000000-0005-0000-0000-0000915B0000}"/>
    <cellStyle name="40 % - Markeringsfarve2 3 3 5 2 3 3" xfId="43300" xr:uid="{00000000-0005-0000-0000-0000925B0000}"/>
    <cellStyle name="40 % - Markeringsfarve2 3 3 5 2 4" xfId="21313" xr:uid="{00000000-0005-0000-0000-0000935B0000}"/>
    <cellStyle name="40 % - Markeringsfarve2 3 3 5 2 5" xfId="36301" xr:uid="{00000000-0005-0000-0000-0000945B0000}"/>
    <cellStyle name="40 % - Markeringsfarve2 3 3 5 3" xfId="3456" xr:uid="{00000000-0005-0000-0000-0000955B0000}"/>
    <cellStyle name="40 % - Markeringsfarve2 3 3 5 3 2" xfId="7273" xr:uid="{00000000-0005-0000-0000-0000965B0000}"/>
    <cellStyle name="40 % - Markeringsfarve2 3 3 5 3 2 2" xfId="15184" xr:uid="{00000000-0005-0000-0000-0000975B0000}"/>
    <cellStyle name="40 % - Markeringsfarve2 3 3 5 3 2 2 2" xfId="31499" xr:uid="{00000000-0005-0000-0000-0000985B0000}"/>
    <cellStyle name="40 % - Markeringsfarve2 3 3 5 3 2 2 3" xfId="46463" xr:uid="{00000000-0005-0000-0000-0000995B0000}"/>
    <cellStyle name="40 % - Markeringsfarve2 3 3 5 3 2 3" xfId="24477" xr:uid="{00000000-0005-0000-0000-00009A5B0000}"/>
    <cellStyle name="40 % - Markeringsfarve2 3 3 5 3 2 4" xfId="39464" xr:uid="{00000000-0005-0000-0000-00009B5B0000}"/>
    <cellStyle name="40 % - Markeringsfarve2 3 3 5 3 3" xfId="12016" xr:uid="{00000000-0005-0000-0000-00009C5B0000}"/>
    <cellStyle name="40 % - Markeringsfarve2 3 3 5 3 3 2" xfId="28336" xr:uid="{00000000-0005-0000-0000-00009D5B0000}"/>
    <cellStyle name="40 % - Markeringsfarve2 3 3 5 3 3 3" xfId="43301" xr:uid="{00000000-0005-0000-0000-00009E5B0000}"/>
    <cellStyle name="40 % - Markeringsfarve2 3 3 5 3 4" xfId="21314" xr:uid="{00000000-0005-0000-0000-00009F5B0000}"/>
    <cellStyle name="40 % - Markeringsfarve2 3 3 5 3 5" xfId="36302" xr:uid="{00000000-0005-0000-0000-0000A05B0000}"/>
    <cellStyle name="40 % - Markeringsfarve2 3 3 5 4" xfId="5772" xr:uid="{00000000-0005-0000-0000-0000A15B0000}"/>
    <cellStyle name="40 % - Markeringsfarve2 3 3 5 4 2" xfId="13691" xr:uid="{00000000-0005-0000-0000-0000A25B0000}"/>
    <cellStyle name="40 % - Markeringsfarve2 3 3 5 4 2 2" xfId="30006" xr:uid="{00000000-0005-0000-0000-0000A35B0000}"/>
    <cellStyle name="40 % - Markeringsfarve2 3 3 5 4 2 3" xfId="44970" xr:uid="{00000000-0005-0000-0000-0000A45B0000}"/>
    <cellStyle name="40 % - Markeringsfarve2 3 3 5 4 3" xfId="22984" xr:uid="{00000000-0005-0000-0000-0000A55B0000}"/>
    <cellStyle name="40 % - Markeringsfarve2 3 3 5 4 4" xfId="37971" xr:uid="{00000000-0005-0000-0000-0000A65B0000}"/>
    <cellStyle name="40 % - Markeringsfarve2 3 3 5 5" xfId="12014" xr:uid="{00000000-0005-0000-0000-0000A75B0000}"/>
    <cellStyle name="40 % - Markeringsfarve2 3 3 5 5 2" xfId="28334" xr:uid="{00000000-0005-0000-0000-0000A85B0000}"/>
    <cellStyle name="40 % - Markeringsfarve2 3 3 5 5 3" xfId="43299" xr:uid="{00000000-0005-0000-0000-0000A95B0000}"/>
    <cellStyle name="40 % - Markeringsfarve2 3 3 5 6" xfId="21312" xr:uid="{00000000-0005-0000-0000-0000AA5B0000}"/>
    <cellStyle name="40 % - Markeringsfarve2 3 3 5 7" xfId="36300" xr:uid="{00000000-0005-0000-0000-0000AB5B0000}"/>
    <cellStyle name="40 % - Markeringsfarve2 3 3 6" xfId="3457" xr:uid="{00000000-0005-0000-0000-0000AC5B0000}"/>
    <cellStyle name="40 % - Markeringsfarve2 3 3 6 2" xfId="3458" xr:uid="{00000000-0005-0000-0000-0000AD5B0000}"/>
    <cellStyle name="40 % - Markeringsfarve2 3 3 6 2 2" xfId="8088" xr:uid="{00000000-0005-0000-0000-0000AE5B0000}"/>
    <cellStyle name="40 % - Markeringsfarve2 3 3 6 2 2 2" xfId="15990" xr:uid="{00000000-0005-0000-0000-0000AF5B0000}"/>
    <cellStyle name="40 % - Markeringsfarve2 3 3 6 2 2 2 2" xfId="32305" xr:uid="{00000000-0005-0000-0000-0000B05B0000}"/>
    <cellStyle name="40 % - Markeringsfarve2 3 3 6 2 2 2 3" xfId="47269" xr:uid="{00000000-0005-0000-0000-0000B15B0000}"/>
    <cellStyle name="40 % - Markeringsfarve2 3 3 6 2 2 3" xfId="25283" xr:uid="{00000000-0005-0000-0000-0000B25B0000}"/>
    <cellStyle name="40 % - Markeringsfarve2 3 3 6 2 2 4" xfId="40270" xr:uid="{00000000-0005-0000-0000-0000B35B0000}"/>
    <cellStyle name="40 % - Markeringsfarve2 3 3 6 2 3" xfId="12018" xr:uid="{00000000-0005-0000-0000-0000B45B0000}"/>
    <cellStyle name="40 % - Markeringsfarve2 3 3 6 2 3 2" xfId="28338" xr:uid="{00000000-0005-0000-0000-0000B55B0000}"/>
    <cellStyle name="40 % - Markeringsfarve2 3 3 6 2 3 3" xfId="43303" xr:uid="{00000000-0005-0000-0000-0000B65B0000}"/>
    <cellStyle name="40 % - Markeringsfarve2 3 3 6 2 4" xfId="21316" xr:uid="{00000000-0005-0000-0000-0000B75B0000}"/>
    <cellStyle name="40 % - Markeringsfarve2 3 3 6 2 5" xfId="36304" xr:uid="{00000000-0005-0000-0000-0000B85B0000}"/>
    <cellStyle name="40 % - Markeringsfarve2 3 3 6 3" xfId="3459" xr:uid="{00000000-0005-0000-0000-0000B95B0000}"/>
    <cellStyle name="40 % - Markeringsfarve2 3 3 6 3 2" xfId="7365" xr:uid="{00000000-0005-0000-0000-0000BA5B0000}"/>
    <cellStyle name="40 % - Markeringsfarve2 3 3 6 3 2 2" xfId="15276" xr:uid="{00000000-0005-0000-0000-0000BB5B0000}"/>
    <cellStyle name="40 % - Markeringsfarve2 3 3 6 3 2 2 2" xfId="31591" xr:uid="{00000000-0005-0000-0000-0000BC5B0000}"/>
    <cellStyle name="40 % - Markeringsfarve2 3 3 6 3 2 2 3" xfId="46555" xr:uid="{00000000-0005-0000-0000-0000BD5B0000}"/>
    <cellStyle name="40 % - Markeringsfarve2 3 3 6 3 2 3" xfId="24569" xr:uid="{00000000-0005-0000-0000-0000BE5B0000}"/>
    <cellStyle name="40 % - Markeringsfarve2 3 3 6 3 2 4" xfId="39556" xr:uid="{00000000-0005-0000-0000-0000BF5B0000}"/>
    <cellStyle name="40 % - Markeringsfarve2 3 3 6 3 3" xfId="12019" xr:uid="{00000000-0005-0000-0000-0000C05B0000}"/>
    <cellStyle name="40 % - Markeringsfarve2 3 3 6 3 3 2" xfId="28339" xr:uid="{00000000-0005-0000-0000-0000C15B0000}"/>
    <cellStyle name="40 % - Markeringsfarve2 3 3 6 3 3 3" xfId="43304" xr:uid="{00000000-0005-0000-0000-0000C25B0000}"/>
    <cellStyle name="40 % - Markeringsfarve2 3 3 6 3 4" xfId="21317" xr:uid="{00000000-0005-0000-0000-0000C35B0000}"/>
    <cellStyle name="40 % - Markeringsfarve2 3 3 6 3 5" xfId="36305" xr:uid="{00000000-0005-0000-0000-0000C45B0000}"/>
    <cellStyle name="40 % - Markeringsfarve2 3 3 6 4" xfId="5773" xr:uid="{00000000-0005-0000-0000-0000C55B0000}"/>
    <cellStyle name="40 % - Markeringsfarve2 3 3 6 4 2" xfId="13692" xr:uid="{00000000-0005-0000-0000-0000C65B0000}"/>
    <cellStyle name="40 % - Markeringsfarve2 3 3 6 4 2 2" xfId="30007" xr:uid="{00000000-0005-0000-0000-0000C75B0000}"/>
    <cellStyle name="40 % - Markeringsfarve2 3 3 6 4 2 3" xfId="44971" xr:uid="{00000000-0005-0000-0000-0000C85B0000}"/>
    <cellStyle name="40 % - Markeringsfarve2 3 3 6 4 3" xfId="22985" xr:uid="{00000000-0005-0000-0000-0000C95B0000}"/>
    <cellStyle name="40 % - Markeringsfarve2 3 3 6 4 4" xfId="37972" xr:uid="{00000000-0005-0000-0000-0000CA5B0000}"/>
    <cellStyle name="40 % - Markeringsfarve2 3 3 6 5" xfId="12017" xr:uid="{00000000-0005-0000-0000-0000CB5B0000}"/>
    <cellStyle name="40 % - Markeringsfarve2 3 3 6 5 2" xfId="28337" xr:uid="{00000000-0005-0000-0000-0000CC5B0000}"/>
    <cellStyle name="40 % - Markeringsfarve2 3 3 6 5 3" xfId="43302" xr:uid="{00000000-0005-0000-0000-0000CD5B0000}"/>
    <cellStyle name="40 % - Markeringsfarve2 3 3 6 6" xfId="21315" xr:uid="{00000000-0005-0000-0000-0000CE5B0000}"/>
    <cellStyle name="40 % - Markeringsfarve2 3 3 6 7" xfId="36303" xr:uid="{00000000-0005-0000-0000-0000CF5B0000}"/>
    <cellStyle name="40 % - Markeringsfarve2 3 3 7" xfId="3460" xr:uid="{00000000-0005-0000-0000-0000D05B0000}"/>
    <cellStyle name="40 % - Markeringsfarve2 3 3 7 2" xfId="7523" xr:uid="{00000000-0005-0000-0000-0000D15B0000}"/>
    <cellStyle name="40 % - Markeringsfarve2 3 3 7 2 2" xfId="15425" xr:uid="{00000000-0005-0000-0000-0000D25B0000}"/>
    <cellStyle name="40 % - Markeringsfarve2 3 3 7 2 2 2" xfId="31740" xr:uid="{00000000-0005-0000-0000-0000D35B0000}"/>
    <cellStyle name="40 % - Markeringsfarve2 3 3 7 2 2 3" xfId="46704" xr:uid="{00000000-0005-0000-0000-0000D45B0000}"/>
    <cellStyle name="40 % - Markeringsfarve2 3 3 7 2 3" xfId="24718" xr:uid="{00000000-0005-0000-0000-0000D55B0000}"/>
    <cellStyle name="40 % - Markeringsfarve2 3 3 7 2 4" xfId="39705" xr:uid="{00000000-0005-0000-0000-0000D65B0000}"/>
    <cellStyle name="40 % - Markeringsfarve2 3 3 7 3" xfId="12020" xr:uid="{00000000-0005-0000-0000-0000D75B0000}"/>
    <cellStyle name="40 % - Markeringsfarve2 3 3 7 3 2" xfId="28340" xr:uid="{00000000-0005-0000-0000-0000D85B0000}"/>
    <cellStyle name="40 % - Markeringsfarve2 3 3 7 3 3" xfId="43305" xr:uid="{00000000-0005-0000-0000-0000D95B0000}"/>
    <cellStyle name="40 % - Markeringsfarve2 3 3 7 4" xfId="21318" xr:uid="{00000000-0005-0000-0000-0000DA5B0000}"/>
    <cellStyle name="40 % - Markeringsfarve2 3 3 7 5" xfId="36306" xr:uid="{00000000-0005-0000-0000-0000DB5B0000}"/>
    <cellStyle name="40 % - Markeringsfarve2 3 3 8" xfId="3461" xr:uid="{00000000-0005-0000-0000-0000DC5B0000}"/>
    <cellStyle name="40 % - Markeringsfarve2 3 3 8 2" xfId="6751" xr:uid="{00000000-0005-0000-0000-0000DD5B0000}"/>
    <cellStyle name="40 % - Markeringsfarve2 3 3 8 2 2" xfId="14663" xr:uid="{00000000-0005-0000-0000-0000DE5B0000}"/>
    <cellStyle name="40 % - Markeringsfarve2 3 3 8 2 2 2" xfId="30978" xr:uid="{00000000-0005-0000-0000-0000DF5B0000}"/>
    <cellStyle name="40 % - Markeringsfarve2 3 3 8 2 2 3" xfId="45942" xr:uid="{00000000-0005-0000-0000-0000E05B0000}"/>
    <cellStyle name="40 % - Markeringsfarve2 3 3 8 2 3" xfId="23956" xr:uid="{00000000-0005-0000-0000-0000E15B0000}"/>
    <cellStyle name="40 % - Markeringsfarve2 3 3 8 2 4" xfId="38943" xr:uid="{00000000-0005-0000-0000-0000E25B0000}"/>
    <cellStyle name="40 % - Markeringsfarve2 3 3 8 3" xfId="12021" xr:uid="{00000000-0005-0000-0000-0000E35B0000}"/>
    <cellStyle name="40 % - Markeringsfarve2 3 3 8 3 2" xfId="28341" xr:uid="{00000000-0005-0000-0000-0000E45B0000}"/>
    <cellStyle name="40 % - Markeringsfarve2 3 3 8 3 3" xfId="43306" xr:uid="{00000000-0005-0000-0000-0000E55B0000}"/>
    <cellStyle name="40 % - Markeringsfarve2 3 3 8 4" xfId="21319" xr:uid="{00000000-0005-0000-0000-0000E65B0000}"/>
    <cellStyle name="40 % - Markeringsfarve2 3 3 8 5" xfId="36307" xr:uid="{00000000-0005-0000-0000-0000E75B0000}"/>
    <cellStyle name="40 % - Markeringsfarve2 3 3 9" xfId="5768" xr:uid="{00000000-0005-0000-0000-0000E85B0000}"/>
    <cellStyle name="40 % - Markeringsfarve2 3 3 9 2" xfId="13687" xr:uid="{00000000-0005-0000-0000-0000E95B0000}"/>
    <cellStyle name="40 % - Markeringsfarve2 3 3 9 2 2" xfId="30002" xr:uid="{00000000-0005-0000-0000-0000EA5B0000}"/>
    <cellStyle name="40 % - Markeringsfarve2 3 3 9 2 3" xfId="44966" xr:uid="{00000000-0005-0000-0000-0000EB5B0000}"/>
    <cellStyle name="40 % - Markeringsfarve2 3 3 9 3" xfId="22980" xr:uid="{00000000-0005-0000-0000-0000EC5B0000}"/>
    <cellStyle name="40 % - Markeringsfarve2 3 3 9 4" xfId="37967" xr:uid="{00000000-0005-0000-0000-0000ED5B0000}"/>
    <cellStyle name="40 % - Markeringsfarve2 3 4" xfId="3462" xr:uid="{00000000-0005-0000-0000-0000EE5B0000}"/>
    <cellStyle name="40 % - Markeringsfarve2 3 4 2" xfId="3463" xr:uid="{00000000-0005-0000-0000-0000EF5B0000}"/>
    <cellStyle name="40 % - Markeringsfarve2 3 4 2 2" xfId="7564" xr:uid="{00000000-0005-0000-0000-0000F05B0000}"/>
    <cellStyle name="40 % - Markeringsfarve2 3 4 2 2 2" xfId="15466" xr:uid="{00000000-0005-0000-0000-0000F15B0000}"/>
    <cellStyle name="40 % - Markeringsfarve2 3 4 2 2 2 2" xfId="31781" xr:uid="{00000000-0005-0000-0000-0000F25B0000}"/>
    <cellStyle name="40 % - Markeringsfarve2 3 4 2 2 2 3" xfId="46745" xr:uid="{00000000-0005-0000-0000-0000F35B0000}"/>
    <cellStyle name="40 % - Markeringsfarve2 3 4 2 2 3" xfId="24759" xr:uid="{00000000-0005-0000-0000-0000F45B0000}"/>
    <cellStyle name="40 % - Markeringsfarve2 3 4 2 2 4" xfId="39746" xr:uid="{00000000-0005-0000-0000-0000F55B0000}"/>
    <cellStyle name="40 % - Markeringsfarve2 3 4 2 3" xfId="12023" xr:uid="{00000000-0005-0000-0000-0000F65B0000}"/>
    <cellStyle name="40 % - Markeringsfarve2 3 4 2 3 2" xfId="28343" xr:uid="{00000000-0005-0000-0000-0000F75B0000}"/>
    <cellStyle name="40 % - Markeringsfarve2 3 4 2 3 3" xfId="43308" xr:uid="{00000000-0005-0000-0000-0000F85B0000}"/>
    <cellStyle name="40 % - Markeringsfarve2 3 4 2 4" xfId="21321" xr:uid="{00000000-0005-0000-0000-0000F95B0000}"/>
    <cellStyle name="40 % - Markeringsfarve2 3 4 2 5" xfId="36309" xr:uid="{00000000-0005-0000-0000-0000FA5B0000}"/>
    <cellStyle name="40 % - Markeringsfarve2 3 4 3" xfId="3464" xr:uid="{00000000-0005-0000-0000-0000FB5B0000}"/>
    <cellStyle name="40 % - Markeringsfarve2 3 4 3 2" xfId="6794" xr:uid="{00000000-0005-0000-0000-0000FC5B0000}"/>
    <cellStyle name="40 % - Markeringsfarve2 3 4 3 2 2" xfId="14706" xr:uid="{00000000-0005-0000-0000-0000FD5B0000}"/>
    <cellStyle name="40 % - Markeringsfarve2 3 4 3 2 2 2" xfId="31021" xr:uid="{00000000-0005-0000-0000-0000FE5B0000}"/>
    <cellStyle name="40 % - Markeringsfarve2 3 4 3 2 2 3" xfId="45985" xr:uid="{00000000-0005-0000-0000-0000FF5B0000}"/>
    <cellStyle name="40 % - Markeringsfarve2 3 4 3 2 3" xfId="23999" xr:uid="{00000000-0005-0000-0000-0000005C0000}"/>
    <cellStyle name="40 % - Markeringsfarve2 3 4 3 2 4" xfId="38986" xr:uid="{00000000-0005-0000-0000-0000015C0000}"/>
    <cellStyle name="40 % - Markeringsfarve2 3 4 3 3" xfId="12024" xr:uid="{00000000-0005-0000-0000-0000025C0000}"/>
    <cellStyle name="40 % - Markeringsfarve2 3 4 3 3 2" xfId="28344" xr:uid="{00000000-0005-0000-0000-0000035C0000}"/>
    <cellStyle name="40 % - Markeringsfarve2 3 4 3 3 3" xfId="43309" xr:uid="{00000000-0005-0000-0000-0000045C0000}"/>
    <cellStyle name="40 % - Markeringsfarve2 3 4 3 4" xfId="21322" xr:uid="{00000000-0005-0000-0000-0000055C0000}"/>
    <cellStyle name="40 % - Markeringsfarve2 3 4 3 5" xfId="36310" xr:uid="{00000000-0005-0000-0000-0000065C0000}"/>
    <cellStyle name="40 % - Markeringsfarve2 3 4 4" xfId="5774" xr:uid="{00000000-0005-0000-0000-0000075C0000}"/>
    <cellStyle name="40 % - Markeringsfarve2 3 4 4 2" xfId="13693" xr:uid="{00000000-0005-0000-0000-0000085C0000}"/>
    <cellStyle name="40 % - Markeringsfarve2 3 4 4 2 2" xfId="30008" xr:uid="{00000000-0005-0000-0000-0000095C0000}"/>
    <cellStyle name="40 % - Markeringsfarve2 3 4 4 2 3" xfId="44972" xr:uid="{00000000-0005-0000-0000-00000A5C0000}"/>
    <cellStyle name="40 % - Markeringsfarve2 3 4 4 3" xfId="22986" xr:uid="{00000000-0005-0000-0000-00000B5C0000}"/>
    <cellStyle name="40 % - Markeringsfarve2 3 4 4 4" xfId="37973" xr:uid="{00000000-0005-0000-0000-00000C5C0000}"/>
    <cellStyle name="40 % - Markeringsfarve2 3 4 5" xfId="12022" xr:uid="{00000000-0005-0000-0000-00000D5C0000}"/>
    <cellStyle name="40 % - Markeringsfarve2 3 4 5 2" xfId="28342" xr:uid="{00000000-0005-0000-0000-00000E5C0000}"/>
    <cellStyle name="40 % - Markeringsfarve2 3 4 5 3" xfId="43307" xr:uid="{00000000-0005-0000-0000-00000F5C0000}"/>
    <cellStyle name="40 % - Markeringsfarve2 3 4 6" xfId="21320" xr:uid="{00000000-0005-0000-0000-0000105C0000}"/>
    <cellStyle name="40 % - Markeringsfarve2 3 4 7" xfId="36308" xr:uid="{00000000-0005-0000-0000-0000115C0000}"/>
    <cellStyle name="40 % - Markeringsfarve2 3 5" xfId="3465" xr:uid="{00000000-0005-0000-0000-0000125C0000}"/>
    <cellStyle name="40 % - Markeringsfarve2 3 5 2" xfId="3466" xr:uid="{00000000-0005-0000-0000-0000135C0000}"/>
    <cellStyle name="40 % - Markeringsfarve2 3 5 2 2" xfId="7732" xr:uid="{00000000-0005-0000-0000-0000145C0000}"/>
    <cellStyle name="40 % - Markeringsfarve2 3 5 2 2 2" xfId="15634" xr:uid="{00000000-0005-0000-0000-0000155C0000}"/>
    <cellStyle name="40 % - Markeringsfarve2 3 5 2 2 2 2" xfId="31949" xr:uid="{00000000-0005-0000-0000-0000165C0000}"/>
    <cellStyle name="40 % - Markeringsfarve2 3 5 2 2 2 3" xfId="46913" xr:uid="{00000000-0005-0000-0000-0000175C0000}"/>
    <cellStyle name="40 % - Markeringsfarve2 3 5 2 2 3" xfId="24927" xr:uid="{00000000-0005-0000-0000-0000185C0000}"/>
    <cellStyle name="40 % - Markeringsfarve2 3 5 2 2 4" xfId="39914" xr:uid="{00000000-0005-0000-0000-0000195C0000}"/>
    <cellStyle name="40 % - Markeringsfarve2 3 5 2 3" xfId="12026" xr:uid="{00000000-0005-0000-0000-00001A5C0000}"/>
    <cellStyle name="40 % - Markeringsfarve2 3 5 2 3 2" xfId="28346" xr:uid="{00000000-0005-0000-0000-00001B5C0000}"/>
    <cellStyle name="40 % - Markeringsfarve2 3 5 2 3 3" xfId="43311" xr:uid="{00000000-0005-0000-0000-00001C5C0000}"/>
    <cellStyle name="40 % - Markeringsfarve2 3 5 2 4" xfId="21324" xr:uid="{00000000-0005-0000-0000-00001D5C0000}"/>
    <cellStyle name="40 % - Markeringsfarve2 3 5 2 5" xfId="36312" xr:uid="{00000000-0005-0000-0000-00001E5C0000}"/>
    <cellStyle name="40 % - Markeringsfarve2 3 5 3" xfId="3467" xr:uid="{00000000-0005-0000-0000-00001F5C0000}"/>
    <cellStyle name="40 % - Markeringsfarve2 3 5 3 2" xfId="6962" xr:uid="{00000000-0005-0000-0000-0000205C0000}"/>
    <cellStyle name="40 % - Markeringsfarve2 3 5 3 2 2" xfId="14874" xr:uid="{00000000-0005-0000-0000-0000215C0000}"/>
    <cellStyle name="40 % - Markeringsfarve2 3 5 3 2 2 2" xfId="31189" xr:uid="{00000000-0005-0000-0000-0000225C0000}"/>
    <cellStyle name="40 % - Markeringsfarve2 3 5 3 2 2 3" xfId="46153" xr:uid="{00000000-0005-0000-0000-0000235C0000}"/>
    <cellStyle name="40 % - Markeringsfarve2 3 5 3 2 3" xfId="24167" xr:uid="{00000000-0005-0000-0000-0000245C0000}"/>
    <cellStyle name="40 % - Markeringsfarve2 3 5 3 2 4" xfId="39154" xr:uid="{00000000-0005-0000-0000-0000255C0000}"/>
    <cellStyle name="40 % - Markeringsfarve2 3 5 3 3" xfId="12027" xr:uid="{00000000-0005-0000-0000-0000265C0000}"/>
    <cellStyle name="40 % - Markeringsfarve2 3 5 3 3 2" xfId="28347" xr:uid="{00000000-0005-0000-0000-0000275C0000}"/>
    <cellStyle name="40 % - Markeringsfarve2 3 5 3 3 3" xfId="43312" xr:uid="{00000000-0005-0000-0000-0000285C0000}"/>
    <cellStyle name="40 % - Markeringsfarve2 3 5 3 4" xfId="21325" xr:uid="{00000000-0005-0000-0000-0000295C0000}"/>
    <cellStyle name="40 % - Markeringsfarve2 3 5 3 5" xfId="36313" xr:uid="{00000000-0005-0000-0000-00002A5C0000}"/>
    <cellStyle name="40 % - Markeringsfarve2 3 5 4" xfId="5775" xr:uid="{00000000-0005-0000-0000-00002B5C0000}"/>
    <cellStyle name="40 % - Markeringsfarve2 3 5 4 2" xfId="13694" xr:uid="{00000000-0005-0000-0000-00002C5C0000}"/>
    <cellStyle name="40 % - Markeringsfarve2 3 5 4 2 2" xfId="30009" xr:uid="{00000000-0005-0000-0000-00002D5C0000}"/>
    <cellStyle name="40 % - Markeringsfarve2 3 5 4 2 3" xfId="44973" xr:uid="{00000000-0005-0000-0000-00002E5C0000}"/>
    <cellStyle name="40 % - Markeringsfarve2 3 5 4 3" xfId="22987" xr:uid="{00000000-0005-0000-0000-00002F5C0000}"/>
    <cellStyle name="40 % - Markeringsfarve2 3 5 4 4" xfId="37974" xr:uid="{00000000-0005-0000-0000-0000305C0000}"/>
    <cellStyle name="40 % - Markeringsfarve2 3 5 5" xfId="12025" xr:uid="{00000000-0005-0000-0000-0000315C0000}"/>
    <cellStyle name="40 % - Markeringsfarve2 3 5 5 2" xfId="28345" xr:uid="{00000000-0005-0000-0000-0000325C0000}"/>
    <cellStyle name="40 % - Markeringsfarve2 3 5 5 3" xfId="43310" xr:uid="{00000000-0005-0000-0000-0000335C0000}"/>
    <cellStyle name="40 % - Markeringsfarve2 3 5 6" xfId="21323" xr:uid="{00000000-0005-0000-0000-0000345C0000}"/>
    <cellStyle name="40 % - Markeringsfarve2 3 5 7" xfId="36311" xr:uid="{00000000-0005-0000-0000-0000355C0000}"/>
    <cellStyle name="40 % - Markeringsfarve2 3 6" xfId="3468" xr:uid="{00000000-0005-0000-0000-0000365C0000}"/>
    <cellStyle name="40 % - Markeringsfarve2 3 6 2" xfId="3469" xr:uid="{00000000-0005-0000-0000-0000375C0000}"/>
    <cellStyle name="40 % - Markeringsfarve2 3 6 2 2" xfId="7802" xr:uid="{00000000-0005-0000-0000-0000385C0000}"/>
    <cellStyle name="40 % - Markeringsfarve2 3 6 2 2 2" xfId="15704" xr:uid="{00000000-0005-0000-0000-0000395C0000}"/>
    <cellStyle name="40 % - Markeringsfarve2 3 6 2 2 2 2" xfId="32019" xr:uid="{00000000-0005-0000-0000-00003A5C0000}"/>
    <cellStyle name="40 % - Markeringsfarve2 3 6 2 2 2 3" xfId="46983" xr:uid="{00000000-0005-0000-0000-00003B5C0000}"/>
    <cellStyle name="40 % - Markeringsfarve2 3 6 2 2 3" xfId="24997" xr:uid="{00000000-0005-0000-0000-00003C5C0000}"/>
    <cellStyle name="40 % - Markeringsfarve2 3 6 2 2 4" xfId="39984" xr:uid="{00000000-0005-0000-0000-00003D5C0000}"/>
    <cellStyle name="40 % - Markeringsfarve2 3 6 2 3" xfId="12029" xr:uid="{00000000-0005-0000-0000-00003E5C0000}"/>
    <cellStyle name="40 % - Markeringsfarve2 3 6 2 3 2" xfId="28349" xr:uid="{00000000-0005-0000-0000-00003F5C0000}"/>
    <cellStyle name="40 % - Markeringsfarve2 3 6 2 3 3" xfId="43314" xr:uid="{00000000-0005-0000-0000-0000405C0000}"/>
    <cellStyle name="40 % - Markeringsfarve2 3 6 2 4" xfId="21327" xr:uid="{00000000-0005-0000-0000-0000415C0000}"/>
    <cellStyle name="40 % - Markeringsfarve2 3 6 2 5" xfId="36315" xr:uid="{00000000-0005-0000-0000-0000425C0000}"/>
    <cellStyle name="40 % - Markeringsfarve2 3 6 3" xfId="3470" xr:uid="{00000000-0005-0000-0000-0000435C0000}"/>
    <cellStyle name="40 % - Markeringsfarve2 3 6 3 2" xfId="7078" xr:uid="{00000000-0005-0000-0000-0000445C0000}"/>
    <cellStyle name="40 % - Markeringsfarve2 3 6 3 2 2" xfId="14989" xr:uid="{00000000-0005-0000-0000-0000455C0000}"/>
    <cellStyle name="40 % - Markeringsfarve2 3 6 3 2 2 2" xfId="31304" xr:uid="{00000000-0005-0000-0000-0000465C0000}"/>
    <cellStyle name="40 % - Markeringsfarve2 3 6 3 2 2 3" xfId="46268" xr:uid="{00000000-0005-0000-0000-0000475C0000}"/>
    <cellStyle name="40 % - Markeringsfarve2 3 6 3 2 3" xfId="24282" xr:uid="{00000000-0005-0000-0000-0000485C0000}"/>
    <cellStyle name="40 % - Markeringsfarve2 3 6 3 2 4" xfId="39269" xr:uid="{00000000-0005-0000-0000-0000495C0000}"/>
    <cellStyle name="40 % - Markeringsfarve2 3 6 3 3" xfId="12030" xr:uid="{00000000-0005-0000-0000-00004A5C0000}"/>
    <cellStyle name="40 % - Markeringsfarve2 3 6 3 3 2" xfId="28350" xr:uid="{00000000-0005-0000-0000-00004B5C0000}"/>
    <cellStyle name="40 % - Markeringsfarve2 3 6 3 3 3" xfId="43315" xr:uid="{00000000-0005-0000-0000-00004C5C0000}"/>
    <cellStyle name="40 % - Markeringsfarve2 3 6 3 4" xfId="21328" xr:uid="{00000000-0005-0000-0000-00004D5C0000}"/>
    <cellStyle name="40 % - Markeringsfarve2 3 6 3 5" xfId="36316" xr:uid="{00000000-0005-0000-0000-00004E5C0000}"/>
    <cellStyle name="40 % - Markeringsfarve2 3 6 4" xfId="5776" xr:uid="{00000000-0005-0000-0000-00004F5C0000}"/>
    <cellStyle name="40 % - Markeringsfarve2 3 6 4 2" xfId="13695" xr:uid="{00000000-0005-0000-0000-0000505C0000}"/>
    <cellStyle name="40 % - Markeringsfarve2 3 6 4 2 2" xfId="30010" xr:uid="{00000000-0005-0000-0000-0000515C0000}"/>
    <cellStyle name="40 % - Markeringsfarve2 3 6 4 2 3" xfId="44974" xr:uid="{00000000-0005-0000-0000-0000525C0000}"/>
    <cellStyle name="40 % - Markeringsfarve2 3 6 4 3" xfId="22988" xr:uid="{00000000-0005-0000-0000-0000535C0000}"/>
    <cellStyle name="40 % - Markeringsfarve2 3 6 4 4" xfId="37975" xr:uid="{00000000-0005-0000-0000-0000545C0000}"/>
    <cellStyle name="40 % - Markeringsfarve2 3 6 5" xfId="12028" xr:uid="{00000000-0005-0000-0000-0000555C0000}"/>
    <cellStyle name="40 % - Markeringsfarve2 3 6 5 2" xfId="28348" xr:uid="{00000000-0005-0000-0000-0000565C0000}"/>
    <cellStyle name="40 % - Markeringsfarve2 3 6 5 3" xfId="43313" xr:uid="{00000000-0005-0000-0000-0000575C0000}"/>
    <cellStyle name="40 % - Markeringsfarve2 3 6 6" xfId="21326" xr:uid="{00000000-0005-0000-0000-0000585C0000}"/>
    <cellStyle name="40 % - Markeringsfarve2 3 6 7" xfId="36314" xr:uid="{00000000-0005-0000-0000-0000595C0000}"/>
    <cellStyle name="40 % - Markeringsfarve2 3 7" xfId="3471" xr:uid="{00000000-0005-0000-0000-00005A5C0000}"/>
    <cellStyle name="40 % - Markeringsfarve2 3 7 2" xfId="3472" xr:uid="{00000000-0005-0000-0000-00005B5C0000}"/>
    <cellStyle name="40 % - Markeringsfarve2 3 7 2 2" xfId="7919" xr:uid="{00000000-0005-0000-0000-00005C5C0000}"/>
    <cellStyle name="40 % - Markeringsfarve2 3 7 2 2 2" xfId="15821" xr:uid="{00000000-0005-0000-0000-00005D5C0000}"/>
    <cellStyle name="40 % - Markeringsfarve2 3 7 2 2 2 2" xfId="32136" xr:uid="{00000000-0005-0000-0000-00005E5C0000}"/>
    <cellStyle name="40 % - Markeringsfarve2 3 7 2 2 2 3" xfId="47100" xr:uid="{00000000-0005-0000-0000-00005F5C0000}"/>
    <cellStyle name="40 % - Markeringsfarve2 3 7 2 2 3" xfId="25114" xr:uid="{00000000-0005-0000-0000-0000605C0000}"/>
    <cellStyle name="40 % - Markeringsfarve2 3 7 2 2 4" xfId="40101" xr:uid="{00000000-0005-0000-0000-0000615C0000}"/>
    <cellStyle name="40 % - Markeringsfarve2 3 7 2 3" xfId="12032" xr:uid="{00000000-0005-0000-0000-0000625C0000}"/>
    <cellStyle name="40 % - Markeringsfarve2 3 7 2 3 2" xfId="28352" xr:uid="{00000000-0005-0000-0000-0000635C0000}"/>
    <cellStyle name="40 % - Markeringsfarve2 3 7 2 3 3" xfId="43317" xr:uid="{00000000-0005-0000-0000-0000645C0000}"/>
    <cellStyle name="40 % - Markeringsfarve2 3 7 2 4" xfId="21330" xr:uid="{00000000-0005-0000-0000-0000655C0000}"/>
    <cellStyle name="40 % - Markeringsfarve2 3 7 2 5" xfId="36318" xr:uid="{00000000-0005-0000-0000-0000665C0000}"/>
    <cellStyle name="40 % - Markeringsfarve2 3 7 3" xfId="3473" xr:uid="{00000000-0005-0000-0000-0000675C0000}"/>
    <cellStyle name="40 % - Markeringsfarve2 3 7 3 2" xfId="7195" xr:uid="{00000000-0005-0000-0000-0000685C0000}"/>
    <cellStyle name="40 % - Markeringsfarve2 3 7 3 2 2" xfId="15106" xr:uid="{00000000-0005-0000-0000-0000695C0000}"/>
    <cellStyle name="40 % - Markeringsfarve2 3 7 3 2 2 2" xfId="31421" xr:uid="{00000000-0005-0000-0000-00006A5C0000}"/>
    <cellStyle name="40 % - Markeringsfarve2 3 7 3 2 2 3" xfId="46385" xr:uid="{00000000-0005-0000-0000-00006B5C0000}"/>
    <cellStyle name="40 % - Markeringsfarve2 3 7 3 2 3" xfId="24399" xr:uid="{00000000-0005-0000-0000-00006C5C0000}"/>
    <cellStyle name="40 % - Markeringsfarve2 3 7 3 2 4" xfId="39386" xr:uid="{00000000-0005-0000-0000-00006D5C0000}"/>
    <cellStyle name="40 % - Markeringsfarve2 3 7 3 3" xfId="12033" xr:uid="{00000000-0005-0000-0000-00006E5C0000}"/>
    <cellStyle name="40 % - Markeringsfarve2 3 7 3 3 2" xfId="28353" xr:uid="{00000000-0005-0000-0000-00006F5C0000}"/>
    <cellStyle name="40 % - Markeringsfarve2 3 7 3 3 3" xfId="43318" xr:uid="{00000000-0005-0000-0000-0000705C0000}"/>
    <cellStyle name="40 % - Markeringsfarve2 3 7 3 4" xfId="21331" xr:uid="{00000000-0005-0000-0000-0000715C0000}"/>
    <cellStyle name="40 % - Markeringsfarve2 3 7 3 5" xfId="36319" xr:uid="{00000000-0005-0000-0000-0000725C0000}"/>
    <cellStyle name="40 % - Markeringsfarve2 3 7 4" xfId="5777" xr:uid="{00000000-0005-0000-0000-0000735C0000}"/>
    <cellStyle name="40 % - Markeringsfarve2 3 7 4 2" xfId="13696" xr:uid="{00000000-0005-0000-0000-0000745C0000}"/>
    <cellStyle name="40 % - Markeringsfarve2 3 7 4 2 2" xfId="30011" xr:uid="{00000000-0005-0000-0000-0000755C0000}"/>
    <cellStyle name="40 % - Markeringsfarve2 3 7 4 2 3" xfId="44975" xr:uid="{00000000-0005-0000-0000-0000765C0000}"/>
    <cellStyle name="40 % - Markeringsfarve2 3 7 4 3" xfId="22989" xr:uid="{00000000-0005-0000-0000-0000775C0000}"/>
    <cellStyle name="40 % - Markeringsfarve2 3 7 4 4" xfId="37976" xr:uid="{00000000-0005-0000-0000-0000785C0000}"/>
    <cellStyle name="40 % - Markeringsfarve2 3 7 5" xfId="12031" xr:uid="{00000000-0005-0000-0000-0000795C0000}"/>
    <cellStyle name="40 % - Markeringsfarve2 3 7 5 2" xfId="28351" xr:uid="{00000000-0005-0000-0000-00007A5C0000}"/>
    <cellStyle name="40 % - Markeringsfarve2 3 7 5 3" xfId="43316" xr:uid="{00000000-0005-0000-0000-00007B5C0000}"/>
    <cellStyle name="40 % - Markeringsfarve2 3 7 6" xfId="21329" xr:uid="{00000000-0005-0000-0000-00007C5C0000}"/>
    <cellStyle name="40 % - Markeringsfarve2 3 7 7" xfId="36317" xr:uid="{00000000-0005-0000-0000-00007D5C0000}"/>
    <cellStyle name="40 % - Markeringsfarve2 3 8" xfId="3474" xr:uid="{00000000-0005-0000-0000-00007E5C0000}"/>
    <cellStyle name="40 % - Markeringsfarve2 3 8 2" xfId="3475" xr:uid="{00000000-0005-0000-0000-00007F5C0000}"/>
    <cellStyle name="40 % - Markeringsfarve2 3 8 2 2" xfId="8086" xr:uid="{00000000-0005-0000-0000-0000805C0000}"/>
    <cellStyle name="40 % - Markeringsfarve2 3 8 2 2 2" xfId="15988" xr:uid="{00000000-0005-0000-0000-0000815C0000}"/>
    <cellStyle name="40 % - Markeringsfarve2 3 8 2 2 2 2" xfId="32303" xr:uid="{00000000-0005-0000-0000-0000825C0000}"/>
    <cellStyle name="40 % - Markeringsfarve2 3 8 2 2 2 3" xfId="47267" xr:uid="{00000000-0005-0000-0000-0000835C0000}"/>
    <cellStyle name="40 % - Markeringsfarve2 3 8 2 2 3" xfId="25281" xr:uid="{00000000-0005-0000-0000-0000845C0000}"/>
    <cellStyle name="40 % - Markeringsfarve2 3 8 2 2 4" xfId="40268" xr:uid="{00000000-0005-0000-0000-0000855C0000}"/>
    <cellStyle name="40 % - Markeringsfarve2 3 8 2 3" xfId="12035" xr:uid="{00000000-0005-0000-0000-0000865C0000}"/>
    <cellStyle name="40 % - Markeringsfarve2 3 8 2 3 2" xfId="28355" xr:uid="{00000000-0005-0000-0000-0000875C0000}"/>
    <cellStyle name="40 % - Markeringsfarve2 3 8 2 3 3" xfId="43320" xr:uid="{00000000-0005-0000-0000-0000885C0000}"/>
    <cellStyle name="40 % - Markeringsfarve2 3 8 2 4" xfId="21333" xr:uid="{00000000-0005-0000-0000-0000895C0000}"/>
    <cellStyle name="40 % - Markeringsfarve2 3 8 2 5" xfId="36321" xr:uid="{00000000-0005-0000-0000-00008A5C0000}"/>
    <cellStyle name="40 % - Markeringsfarve2 3 8 3" xfId="3476" xr:uid="{00000000-0005-0000-0000-00008B5C0000}"/>
    <cellStyle name="40 % - Markeringsfarve2 3 8 3 2" xfId="7363" xr:uid="{00000000-0005-0000-0000-00008C5C0000}"/>
    <cellStyle name="40 % - Markeringsfarve2 3 8 3 2 2" xfId="15274" xr:uid="{00000000-0005-0000-0000-00008D5C0000}"/>
    <cellStyle name="40 % - Markeringsfarve2 3 8 3 2 2 2" xfId="31589" xr:uid="{00000000-0005-0000-0000-00008E5C0000}"/>
    <cellStyle name="40 % - Markeringsfarve2 3 8 3 2 2 3" xfId="46553" xr:uid="{00000000-0005-0000-0000-00008F5C0000}"/>
    <cellStyle name="40 % - Markeringsfarve2 3 8 3 2 3" xfId="24567" xr:uid="{00000000-0005-0000-0000-0000905C0000}"/>
    <cellStyle name="40 % - Markeringsfarve2 3 8 3 2 4" xfId="39554" xr:uid="{00000000-0005-0000-0000-0000915C0000}"/>
    <cellStyle name="40 % - Markeringsfarve2 3 8 3 3" xfId="12036" xr:uid="{00000000-0005-0000-0000-0000925C0000}"/>
    <cellStyle name="40 % - Markeringsfarve2 3 8 3 3 2" xfId="28356" xr:uid="{00000000-0005-0000-0000-0000935C0000}"/>
    <cellStyle name="40 % - Markeringsfarve2 3 8 3 3 3" xfId="43321" xr:uid="{00000000-0005-0000-0000-0000945C0000}"/>
    <cellStyle name="40 % - Markeringsfarve2 3 8 3 4" xfId="21334" xr:uid="{00000000-0005-0000-0000-0000955C0000}"/>
    <cellStyle name="40 % - Markeringsfarve2 3 8 3 5" xfId="36322" xr:uid="{00000000-0005-0000-0000-0000965C0000}"/>
    <cellStyle name="40 % - Markeringsfarve2 3 8 4" xfId="5778" xr:uid="{00000000-0005-0000-0000-0000975C0000}"/>
    <cellStyle name="40 % - Markeringsfarve2 3 8 4 2" xfId="13697" xr:uid="{00000000-0005-0000-0000-0000985C0000}"/>
    <cellStyle name="40 % - Markeringsfarve2 3 8 4 2 2" xfId="30012" xr:uid="{00000000-0005-0000-0000-0000995C0000}"/>
    <cellStyle name="40 % - Markeringsfarve2 3 8 4 2 3" xfId="44976" xr:uid="{00000000-0005-0000-0000-00009A5C0000}"/>
    <cellStyle name="40 % - Markeringsfarve2 3 8 4 3" xfId="22990" xr:uid="{00000000-0005-0000-0000-00009B5C0000}"/>
    <cellStyle name="40 % - Markeringsfarve2 3 8 4 4" xfId="37977" xr:uid="{00000000-0005-0000-0000-00009C5C0000}"/>
    <cellStyle name="40 % - Markeringsfarve2 3 8 5" xfId="12034" xr:uid="{00000000-0005-0000-0000-00009D5C0000}"/>
    <cellStyle name="40 % - Markeringsfarve2 3 8 5 2" xfId="28354" xr:uid="{00000000-0005-0000-0000-00009E5C0000}"/>
    <cellStyle name="40 % - Markeringsfarve2 3 8 5 3" xfId="43319" xr:uid="{00000000-0005-0000-0000-00009F5C0000}"/>
    <cellStyle name="40 % - Markeringsfarve2 3 8 6" xfId="21332" xr:uid="{00000000-0005-0000-0000-0000A05C0000}"/>
    <cellStyle name="40 % - Markeringsfarve2 3 8 7" xfId="36320" xr:uid="{00000000-0005-0000-0000-0000A15C0000}"/>
    <cellStyle name="40 % - Markeringsfarve2 3 9" xfId="3477" xr:uid="{00000000-0005-0000-0000-0000A25C0000}"/>
    <cellStyle name="40 % - Markeringsfarve2 3 9 2" xfId="7445" xr:uid="{00000000-0005-0000-0000-0000A35C0000}"/>
    <cellStyle name="40 % - Markeringsfarve2 3 9 2 2" xfId="15347" xr:uid="{00000000-0005-0000-0000-0000A45C0000}"/>
    <cellStyle name="40 % - Markeringsfarve2 3 9 2 2 2" xfId="31662" xr:uid="{00000000-0005-0000-0000-0000A55C0000}"/>
    <cellStyle name="40 % - Markeringsfarve2 3 9 2 2 3" xfId="46626" xr:uid="{00000000-0005-0000-0000-0000A65C0000}"/>
    <cellStyle name="40 % - Markeringsfarve2 3 9 2 3" xfId="24640" xr:uid="{00000000-0005-0000-0000-0000A75C0000}"/>
    <cellStyle name="40 % - Markeringsfarve2 3 9 2 4" xfId="39627" xr:uid="{00000000-0005-0000-0000-0000A85C0000}"/>
    <cellStyle name="40 % - Markeringsfarve2 3 9 3" xfId="12037" xr:uid="{00000000-0005-0000-0000-0000A95C0000}"/>
    <cellStyle name="40 % - Markeringsfarve2 3 9 3 2" xfId="28357" xr:uid="{00000000-0005-0000-0000-0000AA5C0000}"/>
    <cellStyle name="40 % - Markeringsfarve2 3 9 3 3" xfId="43322" xr:uid="{00000000-0005-0000-0000-0000AB5C0000}"/>
    <cellStyle name="40 % - Markeringsfarve2 3 9 4" xfId="21335" xr:uid="{00000000-0005-0000-0000-0000AC5C0000}"/>
    <cellStyle name="40 % - Markeringsfarve2 3 9 5" xfId="36323" xr:uid="{00000000-0005-0000-0000-0000AD5C0000}"/>
    <cellStyle name="40 % - Markeringsfarve2 4" xfId="3478" xr:uid="{00000000-0005-0000-0000-0000AE5C0000}"/>
    <cellStyle name="40 % - Markeringsfarve2 4 10" xfId="12038" xr:uid="{00000000-0005-0000-0000-0000AF5C0000}"/>
    <cellStyle name="40 % - Markeringsfarve2 4 10 2" xfId="28358" xr:uid="{00000000-0005-0000-0000-0000B05C0000}"/>
    <cellStyle name="40 % - Markeringsfarve2 4 10 3" xfId="43323" xr:uid="{00000000-0005-0000-0000-0000B15C0000}"/>
    <cellStyle name="40 % - Markeringsfarve2 4 11" xfId="21336" xr:uid="{00000000-0005-0000-0000-0000B25C0000}"/>
    <cellStyle name="40 % - Markeringsfarve2 4 12" xfId="36324" xr:uid="{00000000-0005-0000-0000-0000B35C0000}"/>
    <cellStyle name="40 % - Markeringsfarve2 4 13" xfId="53271" xr:uid="{00000000-0005-0000-0000-0000B45C0000}"/>
    <cellStyle name="40 % - Markeringsfarve2 4 2" xfId="3479" xr:uid="{00000000-0005-0000-0000-0000B55C0000}"/>
    <cellStyle name="40 % - Markeringsfarve2 4 2 2" xfId="3480" xr:uid="{00000000-0005-0000-0000-0000B65C0000}"/>
    <cellStyle name="40 % - Markeringsfarve2 4 2 2 2" xfId="7589" xr:uid="{00000000-0005-0000-0000-0000B75C0000}"/>
    <cellStyle name="40 % - Markeringsfarve2 4 2 2 2 2" xfId="15491" xr:uid="{00000000-0005-0000-0000-0000B85C0000}"/>
    <cellStyle name="40 % - Markeringsfarve2 4 2 2 2 2 2" xfId="31806" xr:uid="{00000000-0005-0000-0000-0000B95C0000}"/>
    <cellStyle name="40 % - Markeringsfarve2 4 2 2 2 2 3" xfId="46770" xr:uid="{00000000-0005-0000-0000-0000BA5C0000}"/>
    <cellStyle name="40 % - Markeringsfarve2 4 2 2 2 3" xfId="24784" xr:uid="{00000000-0005-0000-0000-0000BB5C0000}"/>
    <cellStyle name="40 % - Markeringsfarve2 4 2 2 2 4" xfId="39771" xr:uid="{00000000-0005-0000-0000-0000BC5C0000}"/>
    <cellStyle name="40 % - Markeringsfarve2 4 2 2 3" xfId="12040" xr:uid="{00000000-0005-0000-0000-0000BD5C0000}"/>
    <cellStyle name="40 % - Markeringsfarve2 4 2 2 3 2" xfId="28360" xr:uid="{00000000-0005-0000-0000-0000BE5C0000}"/>
    <cellStyle name="40 % - Markeringsfarve2 4 2 2 3 3" xfId="43325" xr:uid="{00000000-0005-0000-0000-0000BF5C0000}"/>
    <cellStyle name="40 % - Markeringsfarve2 4 2 2 4" xfId="21338" xr:uid="{00000000-0005-0000-0000-0000C05C0000}"/>
    <cellStyle name="40 % - Markeringsfarve2 4 2 2 5" xfId="36326" xr:uid="{00000000-0005-0000-0000-0000C15C0000}"/>
    <cellStyle name="40 % - Markeringsfarve2 4 2 2 6" xfId="57075" xr:uid="{00000000-0005-0000-0000-0000C25C0000}"/>
    <cellStyle name="40 % - Markeringsfarve2 4 2 3" xfId="3481" xr:uid="{00000000-0005-0000-0000-0000C35C0000}"/>
    <cellStyle name="40 % - Markeringsfarve2 4 2 3 2" xfId="6819" xr:uid="{00000000-0005-0000-0000-0000C45C0000}"/>
    <cellStyle name="40 % - Markeringsfarve2 4 2 3 2 2" xfId="14731" xr:uid="{00000000-0005-0000-0000-0000C55C0000}"/>
    <cellStyle name="40 % - Markeringsfarve2 4 2 3 2 2 2" xfId="31046" xr:uid="{00000000-0005-0000-0000-0000C65C0000}"/>
    <cellStyle name="40 % - Markeringsfarve2 4 2 3 2 2 3" xfId="46010" xr:uid="{00000000-0005-0000-0000-0000C75C0000}"/>
    <cellStyle name="40 % - Markeringsfarve2 4 2 3 2 3" xfId="24024" xr:uid="{00000000-0005-0000-0000-0000C85C0000}"/>
    <cellStyle name="40 % - Markeringsfarve2 4 2 3 2 4" xfId="39011" xr:uid="{00000000-0005-0000-0000-0000C95C0000}"/>
    <cellStyle name="40 % - Markeringsfarve2 4 2 3 3" xfId="12041" xr:uid="{00000000-0005-0000-0000-0000CA5C0000}"/>
    <cellStyle name="40 % - Markeringsfarve2 4 2 3 3 2" xfId="28361" xr:uid="{00000000-0005-0000-0000-0000CB5C0000}"/>
    <cellStyle name="40 % - Markeringsfarve2 4 2 3 3 3" xfId="43326" xr:uid="{00000000-0005-0000-0000-0000CC5C0000}"/>
    <cellStyle name="40 % - Markeringsfarve2 4 2 3 4" xfId="21339" xr:uid="{00000000-0005-0000-0000-0000CD5C0000}"/>
    <cellStyle name="40 % - Markeringsfarve2 4 2 3 5" xfId="36327" xr:uid="{00000000-0005-0000-0000-0000CE5C0000}"/>
    <cellStyle name="40 % - Markeringsfarve2 4 2 4" xfId="5780" xr:uid="{00000000-0005-0000-0000-0000CF5C0000}"/>
    <cellStyle name="40 % - Markeringsfarve2 4 2 4 2" xfId="13699" xr:uid="{00000000-0005-0000-0000-0000D05C0000}"/>
    <cellStyle name="40 % - Markeringsfarve2 4 2 4 2 2" xfId="30014" xr:uid="{00000000-0005-0000-0000-0000D15C0000}"/>
    <cellStyle name="40 % - Markeringsfarve2 4 2 4 2 3" xfId="44978" xr:uid="{00000000-0005-0000-0000-0000D25C0000}"/>
    <cellStyle name="40 % - Markeringsfarve2 4 2 4 3" xfId="22992" xr:uid="{00000000-0005-0000-0000-0000D35C0000}"/>
    <cellStyle name="40 % - Markeringsfarve2 4 2 4 4" xfId="37979" xr:uid="{00000000-0005-0000-0000-0000D45C0000}"/>
    <cellStyle name="40 % - Markeringsfarve2 4 2 5" xfId="12039" xr:uid="{00000000-0005-0000-0000-0000D55C0000}"/>
    <cellStyle name="40 % - Markeringsfarve2 4 2 5 2" xfId="28359" xr:uid="{00000000-0005-0000-0000-0000D65C0000}"/>
    <cellStyle name="40 % - Markeringsfarve2 4 2 5 3" xfId="43324" xr:uid="{00000000-0005-0000-0000-0000D75C0000}"/>
    <cellStyle name="40 % - Markeringsfarve2 4 2 6" xfId="21337" xr:uid="{00000000-0005-0000-0000-0000D85C0000}"/>
    <cellStyle name="40 % - Markeringsfarve2 4 2 7" xfId="36325" xr:uid="{00000000-0005-0000-0000-0000D95C0000}"/>
    <cellStyle name="40 % - Markeringsfarve2 4 2 8" xfId="53908" xr:uid="{00000000-0005-0000-0000-0000DA5C0000}"/>
    <cellStyle name="40 % - Markeringsfarve2 4 3" xfId="3482" xr:uid="{00000000-0005-0000-0000-0000DB5C0000}"/>
    <cellStyle name="40 % - Markeringsfarve2 4 3 2" xfId="3483" xr:uid="{00000000-0005-0000-0000-0000DC5C0000}"/>
    <cellStyle name="40 % - Markeringsfarve2 4 3 2 2" xfId="7735" xr:uid="{00000000-0005-0000-0000-0000DD5C0000}"/>
    <cellStyle name="40 % - Markeringsfarve2 4 3 2 2 2" xfId="15637" xr:uid="{00000000-0005-0000-0000-0000DE5C0000}"/>
    <cellStyle name="40 % - Markeringsfarve2 4 3 2 2 2 2" xfId="31952" xr:uid="{00000000-0005-0000-0000-0000DF5C0000}"/>
    <cellStyle name="40 % - Markeringsfarve2 4 3 2 2 2 3" xfId="46916" xr:uid="{00000000-0005-0000-0000-0000E05C0000}"/>
    <cellStyle name="40 % - Markeringsfarve2 4 3 2 2 3" xfId="24930" xr:uid="{00000000-0005-0000-0000-0000E15C0000}"/>
    <cellStyle name="40 % - Markeringsfarve2 4 3 2 2 4" xfId="39917" xr:uid="{00000000-0005-0000-0000-0000E25C0000}"/>
    <cellStyle name="40 % - Markeringsfarve2 4 3 2 3" xfId="12043" xr:uid="{00000000-0005-0000-0000-0000E35C0000}"/>
    <cellStyle name="40 % - Markeringsfarve2 4 3 2 3 2" xfId="28363" xr:uid="{00000000-0005-0000-0000-0000E45C0000}"/>
    <cellStyle name="40 % - Markeringsfarve2 4 3 2 3 3" xfId="43328" xr:uid="{00000000-0005-0000-0000-0000E55C0000}"/>
    <cellStyle name="40 % - Markeringsfarve2 4 3 2 4" xfId="21341" xr:uid="{00000000-0005-0000-0000-0000E65C0000}"/>
    <cellStyle name="40 % - Markeringsfarve2 4 3 2 5" xfId="36329" xr:uid="{00000000-0005-0000-0000-0000E75C0000}"/>
    <cellStyle name="40 % - Markeringsfarve2 4 3 3" xfId="3484" xr:uid="{00000000-0005-0000-0000-0000E85C0000}"/>
    <cellStyle name="40 % - Markeringsfarve2 4 3 3 2" xfId="6965" xr:uid="{00000000-0005-0000-0000-0000E95C0000}"/>
    <cellStyle name="40 % - Markeringsfarve2 4 3 3 2 2" xfId="14877" xr:uid="{00000000-0005-0000-0000-0000EA5C0000}"/>
    <cellStyle name="40 % - Markeringsfarve2 4 3 3 2 2 2" xfId="31192" xr:uid="{00000000-0005-0000-0000-0000EB5C0000}"/>
    <cellStyle name="40 % - Markeringsfarve2 4 3 3 2 2 3" xfId="46156" xr:uid="{00000000-0005-0000-0000-0000EC5C0000}"/>
    <cellStyle name="40 % - Markeringsfarve2 4 3 3 2 3" xfId="24170" xr:uid="{00000000-0005-0000-0000-0000ED5C0000}"/>
    <cellStyle name="40 % - Markeringsfarve2 4 3 3 2 4" xfId="39157" xr:uid="{00000000-0005-0000-0000-0000EE5C0000}"/>
    <cellStyle name="40 % - Markeringsfarve2 4 3 3 3" xfId="12044" xr:uid="{00000000-0005-0000-0000-0000EF5C0000}"/>
    <cellStyle name="40 % - Markeringsfarve2 4 3 3 3 2" xfId="28364" xr:uid="{00000000-0005-0000-0000-0000F05C0000}"/>
    <cellStyle name="40 % - Markeringsfarve2 4 3 3 3 3" xfId="43329" xr:uid="{00000000-0005-0000-0000-0000F15C0000}"/>
    <cellStyle name="40 % - Markeringsfarve2 4 3 3 4" xfId="21342" xr:uid="{00000000-0005-0000-0000-0000F25C0000}"/>
    <cellStyle name="40 % - Markeringsfarve2 4 3 3 5" xfId="36330" xr:uid="{00000000-0005-0000-0000-0000F35C0000}"/>
    <cellStyle name="40 % - Markeringsfarve2 4 3 4" xfId="5781" xr:uid="{00000000-0005-0000-0000-0000F45C0000}"/>
    <cellStyle name="40 % - Markeringsfarve2 4 3 4 2" xfId="13700" xr:uid="{00000000-0005-0000-0000-0000F55C0000}"/>
    <cellStyle name="40 % - Markeringsfarve2 4 3 4 2 2" xfId="30015" xr:uid="{00000000-0005-0000-0000-0000F65C0000}"/>
    <cellStyle name="40 % - Markeringsfarve2 4 3 4 2 3" xfId="44979" xr:uid="{00000000-0005-0000-0000-0000F75C0000}"/>
    <cellStyle name="40 % - Markeringsfarve2 4 3 4 3" xfId="22993" xr:uid="{00000000-0005-0000-0000-0000F85C0000}"/>
    <cellStyle name="40 % - Markeringsfarve2 4 3 4 4" xfId="37980" xr:uid="{00000000-0005-0000-0000-0000F95C0000}"/>
    <cellStyle name="40 % - Markeringsfarve2 4 3 5" xfId="12042" xr:uid="{00000000-0005-0000-0000-0000FA5C0000}"/>
    <cellStyle name="40 % - Markeringsfarve2 4 3 5 2" xfId="28362" xr:uid="{00000000-0005-0000-0000-0000FB5C0000}"/>
    <cellStyle name="40 % - Markeringsfarve2 4 3 5 3" xfId="43327" xr:uid="{00000000-0005-0000-0000-0000FC5C0000}"/>
    <cellStyle name="40 % - Markeringsfarve2 4 3 6" xfId="21340" xr:uid="{00000000-0005-0000-0000-0000FD5C0000}"/>
    <cellStyle name="40 % - Markeringsfarve2 4 3 7" xfId="36328" xr:uid="{00000000-0005-0000-0000-0000FE5C0000}"/>
    <cellStyle name="40 % - Markeringsfarve2 4 3 8" xfId="56452" xr:uid="{00000000-0005-0000-0000-0000FF5C0000}"/>
    <cellStyle name="40 % - Markeringsfarve2 4 4" xfId="3485" xr:uid="{00000000-0005-0000-0000-0000005D0000}"/>
    <cellStyle name="40 % - Markeringsfarve2 4 4 2" xfId="3486" xr:uid="{00000000-0005-0000-0000-0000015D0000}"/>
    <cellStyle name="40 % - Markeringsfarve2 4 4 2 2" xfId="7827" xr:uid="{00000000-0005-0000-0000-0000025D0000}"/>
    <cellStyle name="40 % - Markeringsfarve2 4 4 2 2 2" xfId="15729" xr:uid="{00000000-0005-0000-0000-0000035D0000}"/>
    <cellStyle name="40 % - Markeringsfarve2 4 4 2 2 2 2" xfId="32044" xr:uid="{00000000-0005-0000-0000-0000045D0000}"/>
    <cellStyle name="40 % - Markeringsfarve2 4 4 2 2 2 3" xfId="47008" xr:uid="{00000000-0005-0000-0000-0000055D0000}"/>
    <cellStyle name="40 % - Markeringsfarve2 4 4 2 2 3" xfId="25022" xr:uid="{00000000-0005-0000-0000-0000065D0000}"/>
    <cellStyle name="40 % - Markeringsfarve2 4 4 2 2 4" xfId="40009" xr:uid="{00000000-0005-0000-0000-0000075D0000}"/>
    <cellStyle name="40 % - Markeringsfarve2 4 4 2 3" xfId="12046" xr:uid="{00000000-0005-0000-0000-0000085D0000}"/>
    <cellStyle name="40 % - Markeringsfarve2 4 4 2 3 2" xfId="28366" xr:uid="{00000000-0005-0000-0000-0000095D0000}"/>
    <cellStyle name="40 % - Markeringsfarve2 4 4 2 3 3" xfId="43331" xr:uid="{00000000-0005-0000-0000-00000A5D0000}"/>
    <cellStyle name="40 % - Markeringsfarve2 4 4 2 4" xfId="21344" xr:uid="{00000000-0005-0000-0000-00000B5D0000}"/>
    <cellStyle name="40 % - Markeringsfarve2 4 4 2 5" xfId="36332" xr:uid="{00000000-0005-0000-0000-00000C5D0000}"/>
    <cellStyle name="40 % - Markeringsfarve2 4 4 3" xfId="3487" xr:uid="{00000000-0005-0000-0000-00000D5D0000}"/>
    <cellStyle name="40 % - Markeringsfarve2 4 4 3 2" xfId="7103" xr:uid="{00000000-0005-0000-0000-00000E5D0000}"/>
    <cellStyle name="40 % - Markeringsfarve2 4 4 3 2 2" xfId="15014" xr:uid="{00000000-0005-0000-0000-00000F5D0000}"/>
    <cellStyle name="40 % - Markeringsfarve2 4 4 3 2 2 2" xfId="31329" xr:uid="{00000000-0005-0000-0000-0000105D0000}"/>
    <cellStyle name="40 % - Markeringsfarve2 4 4 3 2 2 3" xfId="46293" xr:uid="{00000000-0005-0000-0000-0000115D0000}"/>
    <cellStyle name="40 % - Markeringsfarve2 4 4 3 2 3" xfId="24307" xr:uid="{00000000-0005-0000-0000-0000125D0000}"/>
    <cellStyle name="40 % - Markeringsfarve2 4 4 3 2 4" xfId="39294" xr:uid="{00000000-0005-0000-0000-0000135D0000}"/>
    <cellStyle name="40 % - Markeringsfarve2 4 4 3 3" xfId="12047" xr:uid="{00000000-0005-0000-0000-0000145D0000}"/>
    <cellStyle name="40 % - Markeringsfarve2 4 4 3 3 2" xfId="28367" xr:uid="{00000000-0005-0000-0000-0000155D0000}"/>
    <cellStyle name="40 % - Markeringsfarve2 4 4 3 3 3" xfId="43332" xr:uid="{00000000-0005-0000-0000-0000165D0000}"/>
    <cellStyle name="40 % - Markeringsfarve2 4 4 3 4" xfId="21345" xr:uid="{00000000-0005-0000-0000-0000175D0000}"/>
    <cellStyle name="40 % - Markeringsfarve2 4 4 3 5" xfId="36333" xr:uid="{00000000-0005-0000-0000-0000185D0000}"/>
    <cellStyle name="40 % - Markeringsfarve2 4 4 4" xfId="5782" xr:uid="{00000000-0005-0000-0000-0000195D0000}"/>
    <cellStyle name="40 % - Markeringsfarve2 4 4 4 2" xfId="13701" xr:uid="{00000000-0005-0000-0000-00001A5D0000}"/>
    <cellStyle name="40 % - Markeringsfarve2 4 4 4 2 2" xfId="30016" xr:uid="{00000000-0005-0000-0000-00001B5D0000}"/>
    <cellStyle name="40 % - Markeringsfarve2 4 4 4 2 3" xfId="44980" xr:uid="{00000000-0005-0000-0000-00001C5D0000}"/>
    <cellStyle name="40 % - Markeringsfarve2 4 4 4 3" xfId="22994" xr:uid="{00000000-0005-0000-0000-00001D5D0000}"/>
    <cellStyle name="40 % - Markeringsfarve2 4 4 4 4" xfId="37981" xr:uid="{00000000-0005-0000-0000-00001E5D0000}"/>
    <cellStyle name="40 % - Markeringsfarve2 4 4 5" xfId="12045" xr:uid="{00000000-0005-0000-0000-00001F5D0000}"/>
    <cellStyle name="40 % - Markeringsfarve2 4 4 5 2" xfId="28365" xr:uid="{00000000-0005-0000-0000-0000205D0000}"/>
    <cellStyle name="40 % - Markeringsfarve2 4 4 5 3" xfId="43330" xr:uid="{00000000-0005-0000-0000-0000215D0000}"/>
    <cellStyle name="40 % - Markeringsfarve2 4 4 6" xfId="21343" xr:uid="{00000000-0005-0000-0000-0000225D0000}"/>
    <cellStyle name="40 % - Markeringsfarve2 4 4 7" xfId="36331" xr:uid="{00000000-0005-0000-0000-0000235D0000}"/>
    <cellStyle name="40 % - Markeringsfarve2 4 5" xfId="3488" xr:uid="{00000000-0005-0000-0000-0000245D0000}"/>
    <cellStyle name="40 % - Markeringsfarve2 4 5 2" xfId="3489" xr:uid="{00000000-0005-0000-0000-0000255D0000}"/>
    <cellStyle name="40 % - Markeringsfarve2 4 5 2 2" xfId="7944" xr:uid="{00000000-0005-0000-0000-0000265D0000}"/>
    <cellStyle name="40 % - Markeringsfarve2 4 5 2 2 2" xfId="15846" xr:uid="{00000000-0005-0000-0000-0000275D0000}"/>
    <cellStyle name="40 % - Markeringsfarve2 4 5 2 2 2 2" xfId="32161" xr:uid="{00000000-0005-0000-0000-0000285D0000}"/>
    <cellStyle name="40 % - Markeringsfarve2 4 5 2 2 2 3" xfId="47125" xr:uid="{00000000-0005-0000-0000-0000295D0000}"/>
    <cellStyle name="40 % - Markeringsfarve2 4 5 2 2 3" xfId="25139" xr:uid="{00000000-0005-0000-0000-00002A5D0000}"/>
    <cellStyle name="40 % - Markeringsfarve2 4 5 2 2 4" xfId="40126" xr:uid="{00000000-0005-0000-0000-00002B5D0000}"/>
    <cellStyle name="40 % - Markeringsfarve2 4 5 2 3" xfId="12049" xr:uid="{00000000-0005-0000-0000-00002C5D0000}"/>
    <cellStyle name="40 % - Markeringsfarve2 4 5 2 3 2" xfId="28369" xr:uid="{00000000-0005-0000-0000-00002D5D0000}"/>
    <cellStyle name="40 % - Markeringsfarve2 4 5 2 3 3" xfId="43334" xr:uid="{00000000-0005-0000-0000-00002E5D0000}"/>
    <cellStyle name="40 % - Markeringsfarve2 4 5 2 4" xfId="21347" xr:uid="{00000000-0005-0000-0000-00002F5D0000}"/>
    <cellStyle name="40 % - Markeringsfarve2 4 5 2 5" xfId="36335" xr:uid="{00000000-0005-0000-0000-0000305D0000}"/>
    <cellStyle name="40 % - Markeringsfarve2 4 5 3" xfId="3490" xr:uid="{00000000-0005-0000-0000-0000315D0000}"/>
    <cellStyle name="40 % - Markeringsfarve2 4 5 3 2" xfId="7220" xr:uid="{00000000-0005-0000-0000-0000325D0000}"/>
    <cellStyle name="40 % - Markeringsfarve2 4 5 3 2 2" xfId="15131" xr:uid="{00000000-0005-0000-0000-0000335D0000}"/>
    <cellStyle name="40 % - Markeringsfarve2 4 5 3 2 2 2" xfId="31446" xr:uid="{00000000-0005-0000-0000-0000345D0000}"/>
    <cellStyle name="40 % - Markeringsfarve2 4 5 3 2 2 3" xfId="46410" xr:uid="{00000000-0005-0000-0000-0000355D0000}"/>
    <cellStyle name="40 % - Markeringsfarve2 4 5 3 2 3" xfId="24424" xr:uid="{00000000-0005-0000-0000-0000365D0000}"/>
    <cellStyle name="40 % - Markeringsfarve2 4 5 3 2 4" xfId="39411" xr:uid="{00000000-0005-0000-0000-0000375D0000}"/>
    <cellStyle name="40 % - Markeringsfarve2 4 5 3 3" xfId="12050" xr:uid="{00000000-0005-0000-0000-0000385D0000}"/>
    <cellStyle name="40 % - Markeringsfarve2 4 5 3 3 2" xfId="28370" xr:uid="{00000000-0005-0000-0000-0000395D0000}"/>
    <cellStyle name="40 % - Markeringsfarve2 4 5 3 3 3" xfId="43335" xr:uid="{00000000-0005-0000-0000-00003A5D0000}"/>
    <cellStyle name="40 % - Markeringsfarve2 4 5 3 4" xfId="21348" xr:uid="{00000000-0005-0000-0000-00003B5D0000}"/>
    <cellStyle name="40 % - Markeringsfarve2 4 5 3 5" xfId="36336" xr:uid="{00000000-0005-0000-0000-00003C5D0000}"/>
    <cellStyle name="40 % - Markeringsfarve2 4 5 4" xfId="5783" xr:uid="{00000000-0005-0000-0000-00003D5D0000}"/>
    <cellStyle name="40 % - Markeringsfarve2 4 5 4 2" xfId="13702" xr:uid="{00000000-0005-0000-0000-00003E5D0000}"/>
    <cellStyle name="40 % - Markeringsfarve2 4 5 4 2 2" xfId="30017" xr:uid="{00000000-0005-0000-0000-00003F5D0000}"/>
    <cellStyle name="40 % - Markeringsfarve2 4 5 4 2 3" xfId="44981" xr:uid="{00000000-0005-0000-0000-0000405D0000}"/>
    <cellStyle name="40 % - Markeringsfarve2 4 5 4 3" xfId="22995" xr:uid="{00000000-0005-0000-0000-0000415D0000}"/>
    <cellStyle name="40 % - Markeringsfarve2 4 5 4 4" xfId="37982" xr:uid="{00000000-0005-0000-0000-0000425D0000}"/>
    <cellStyle name="40 % - Markeringsfarve2 4 5 5" xfId="12048" xr:uid="{00000000-0005-0000-0000-0000435D0000}"/>
    <cellStyle name="40 % - Markeringsfarve2 4 5 5 2" xfId="28368" xr:uid="{00000000-0005-0000-0000-0000445D0000}"/>
    <cellStyle name="40 % - Markeringsfarve2 4 5 5 3" xfId="43333" xr:uid="{00000000-0005-0000-0000-0000455D0000}"/>
    <cellStyle name="40 % - Markeringsfarve2 4 5 6" xfId="21346" xr:uid="{00000000-0005-0000-0000-0000465D0000}"/>
    <cellStyle name="40 % - Markeringsfarve2 4 5 7" xfId="36334" xr:uid="{00000000-0005-0000-0000-0000475D0000}"/>
    <cellStyle name="40 % - Markeringsfarve2 4 6" xfId="3491" xr:uid="{00000000-0005-0000-0000-0000485D0000}"/>
    <cellStyle name="40 % - Markeringsfarve2 4 6 2" xfId="3492" xr:uid="{00000000-0005-0000-0000-0000495D0000}"/>
    <cellStyle name="40 % - Markeringsfarve2 4 6 2 2" xfId="8089" xr:uid="{00000000-0005-0000-0000-00004A5D0000}"/>
    <cellStyle name="40 % - Markeringsfarve2 4 6 2 2 2" xfId="15991" xr:uid="{00000000-0005-0000-0000-00004B5D0000}"/>
    <cellStyle name="40 % - Markeringsfarve2 4 6 2 2 2 2" xfId="32306" xr:uid="{00000000-0005-0000-0000-00004C5D0000}"/>
    <cellStyle name="40 % - Markeringsfarve2 4 6 2 2 2 3" xfId="47270" xr:uid="{00000000-0005-0000-0000-00004D5D0000}"/>
    <cellStyle name="40 % - Markeringsfarve2 4 6 2 2 3" xfId="25284" xr:uid="{00000000-0005-0000-0000-00004E5D0000}"/>
    <cellStyle name="40 % - Markeringsfarve2 4 6 2 2 4" xfId="40271" xr:uid="{00000000-0005-0000-0000-00004F5D0000}"/>
    <cellStyle name="40 % - Markeringsfarve2 4 6 2 3" xfId="12052" xr:uid="{00000000-0005-0000-0000-0000505D0000}"/>
    <cellStyle name="40 % - Markeringsfarve2 4 6 2 3 2" xfId="28372" xr:uid="{00000000-0005-0000-0000-0000515D0000}"/>
    <cellStyle name="40 % - Markeringsfarve2 4 6 2 3 3" xfId="43337" xr:uid="{00000000-0005-0000-0000-0000525D0000}"/>
    <cellStyle name="40 % - Markeringsfarve2 4 6 2 4" xfId="21350" xr:uid="{00000000-0005-0000-0000-0000535D0000}"/>
    <cellStyle name="40 % - Markeringsfarve2 4 6 2 5" xfId="36338" xr:uid="{00000000-0005-0000-0000-0000545D0000}"/>
    <cellStyle name="40 % - Markeringsfarve2 4 6 3" xfId="3493" xr:uid="{00000000-0005-0000-0000-0000555D0000}"/>
    <cellStyle name="40 % - Markeringsfarve2 4 6 3 2" xfId="7366" xr:uid="{00000000-0005-0000-0000-0000565D0000}"/>
    <cellStyle name="40 % - Markeringsfarve2 4 6 3 2 2" xfId="15277" xr:uid="{00000000-0005-0000-0000-0000575D0000}"/>
    <cellStyle name="40 % - Markeringsfarve2 4 6 3 2 2 2" xfId="31592" xr:uid="{00000000-0005-0000-0000-0000585D0000}"/>
    <cellStyle name="40 % - Markeringsfarve2 4 6 3 2 2 3" xfId="46556" xr:uid="{00000000-0005-0000-0000-0000595D0000}"/>
    <cellStyle name="40 % - Markeringsfarve2 4 6 3 2 3" xfId="24570" xr:uid="{00000000-0005-0000-0000-00005A5D0000}"/>
    <cellStyle name="40 % - Markeringsfarve2 4 6 3 2 4" xfId="39557" xr:uid="{00000000-0005-0000-0000-00005B5D0000}"/>
    <cellStyle name="40 % - Markeringsfarve2 4 6 3 3" xfId="12053" xr:uid="{00000000-0005-0000-0000-00005C5D0000}"/>
    <cellStyle name="40 % - Markeringsfarve2 4 6 3 3 2" xfId="28373" xr:uid="{00000000-0005-0000-0000-00005D5D0000}"/>
    <cellStyle name="40 % - Markeringsfarve2 4 6 3 3 3" xfId="43338" xr:uid="{00000000-0005-0000-0000-00005E5D0000}"/>
    <cellStyle name="40 % - Markeringsfarve2 4 6 3 4" xfId="21351" xr:uid="{00000000-0005-0000-0000-00005F5D0000}"/>
    <cellStyle name="40 % - Markeringsfarve2 4 6 3 5" xfId="36339" xr:uid="{00000000-0005-0000-0000-0000605D0000}"/>
    <cellStyle name="40 % - Markeringsfarve2 4 6 4" xfId="5784" xr:uid="{00000000-0005-0000-0000-0000615D0000}"/>
    <cellStyle name="40 % - Markeringsfarve2 4 6 4 2" xfId="13703" xr:uid="{00000000-0005-0000-0000-0000625D0000}"/>
    <cellStyle name="40 % - Markeringsfarve2 4 6 4 2 2" xfId="30018" xr:uid="{00000000-0005-0000-0000-0000635D0000}"/>
    <cellStyle name="40 % - Markeringsfarve2 4 6 4 2 3" xfId="44982" xr:uid="{00000000-0005-0000-0000-0000645D0000}"/>
    <cellStyle name="40 % - Markeringsfarve2 4 6 4 3" xfId="22996" xr:uid="{00000000-0005-0000-0000-0000655D0000}"/>
    <cellStyle name="40 % - Markeringsfarve2 4 6 4 4" xfId="37983" xr:uid="{00000000-0005-0000-0000-0000665D0000}"/>
    <cellStyle name="40 % - Markeringsfarve2 4 6 5" xfId="12051" xr:uid="{00000000-0005-0000-0000-0000675D0000}"/>
    <cellStyle name="40 % - Markeringsfarve2 4 6 5 2" xfId="28371" xr:uid="{00000000-0005-0000-0000-0000685D0000}"/>
    <cellStyle name="40 % - Markeringsfarve2 4 6 5 3" xfId="43336" xr:uid="{00000000-0005-0000-0000-0000695D0000}"/>
    <cellStyle name="40 % - Markeringsfarve2 4 6 6" xfId="21349" xr:uid="{00000000-0005-0000-0000-00006A5D0000}"/>
    <cellStyle name="40 % - Markeringsfarve2 4 6 7" xfId="36337" xr:uid="{00000000-0005-0000-0000-00006B5D0000}"/>
    <cellStyle name="40 % - Markeringsfarve2 4 7" xfId="3494" xr:uid="{00000000-0005-0000-0000-00006C5D0000}"/>
    <cellStyle name="40 % - Markeringsfarve2 4 7 2" xfId="7470" xr:uid="{00000000-0005-0000-0000-00006D5D0000}"/>
    <cellStyle name="40 % - Markeringsfarve2 4 7 2 2" xfId="15372" xr:uid="{00000000-0005-0000-0000-00006E5D0000}"/>
    <cellStyle name="40 % - Markeringsfarve2 4 7 2 2 2" xfId="31687" xr:uid="{00000000-0005-0000-0000-00006F5D0000}"/>
    <cellStyle name="40 % - Markeringsfarve2 4 7 2 2 3" xfId="46651" xr:uid="{00000000-0005-0000-0000-0000705D0000}"/>
    <cellStyle name="40 % - Markeringsfarve2 4 7 2 3" xfId="24665" xr:uid="{00000000-0005-0000-0000-0000715D0000}"/>
    <cellStyle name="40 % - Markeringsfarve2 4 7 2 4" xfId="39652" xr:uid="{00000000-0005-0000-0000-0000725D0000}"/>
    <cellStyle name="40 % - Markeringsfarve2 4 7 3" xfId="12054" xr:uid="{00000000-0005-0000-0000-0000735D0000}"/>
    <cellStyle name="40 % - Markeringsfarve2 4 7 3 2" xfId="28374" xr:uid="{00000000-0005-0000-0000-0000745D0000}"/>
    <cellStyle name="40 % - Markeringsfarve2 4 7 3 3" xfId="43339" xr:uid="{00000000-0005-0000-0000-0000755D0000}"/>
    <cellStyle name="40 % - Markeringsfarve2 4 7 4" xfId="21352" xr:uid="{00000000-0005-0000-0000-0000765D0000}"/>
    <cellStyle name="40 % - Markeringsfarve2 4 7 5" xfId="36340" xr:uid="{00000000-0005-0000-0000-0000775D0000}"/>
    <cellStyle name="40 % - Markeringsfarve2 4 8" xfId="3495" xr:uid="{00000000-0005-0000-0000-0000785D0000}"/>
    <cellStyle name="40 % - Markeringsfarve2 4 8 2" xfId="6698" xr:uid="{00000000-0005-0000-0000-0000795D0000}"/>
    <cellStyle name="40 % - Markeringsfarve2 4 8 2 2" xfId="14610" xr:uid="{00000000-0005-0000-0000-00007A5D0000}"/>
    <cellStyle name="40 % - Markeringsfarve2 4 8 2 2 2" xfId="30925" xr:uid="{00000000-0005-0000-0000-00007B5D0000}"/>
    <cellStyle name="40 % - Markeringsfarve2 4 8 2 2 3" xfId="45889" xr:uid="{00000000-0005-0000-0000-00007C5D0000}"/>
    <cellStyle name="40 % - Markeringsfarve2 4 8 2 3" xfId="23903" xr:uid="{00000000-0005-0000-0000-00007D5D0000}"/>
    <cellStyle name="40 % - Markeringsfarve2 4 8 2 4" xfId="38890" xr:uid="{00000000-0005-0000-0000-00007E5D0000}"/>
    <cellStyle name="40 % - Markeringsfarve2 4 8 3" xfId="12055" xr:uid="{00000000-0005-0000-0000-00007F5D0000}"/>
    <cellStyle name="40 % - Markeringsfarve2 4 8 3 2" xfId="28375" xr:uid="{00000000-0005-0000-0000-0000805D0000}"/>
    <cellStyle name="40 % - Markeringsfarve2 4 8 3 3" xfId="43340" xr:uid="{00000000-0005-0000-0000-0000815D0000}"/>
    <cellStyle name="40 % - Markeringsfarve2 4 8 4" xfId="21353" xr:uid="{00000000-0005-0000-0000-0000825D0000}"/>
    <cellStyle name="40 % - Markeringsfarve2 4 8 5" xfId="36341" xr:uid="{00000000-0005-0000-0000-0000835D0000}"/>
    <cellStyle name="40 % - Markeringsfarve2 4 9" xfId="5779" xr:uid="{00000000-0005-0000-0000-0000845D0000}"/>
    <cellStyle name="40 % - Markeringsfarve2 4 9 2" xfId="13698" xr:uid="{00000000-0005-0000-0000-0000855D0000}"/>
    <cellStyle name="40 % - Markeringsfarve2 4 9 2 2" xfId="30013" xr:uid="{00000000-0005-0000-0000-0000865D0000}"/>
    <cellStyle name="40 % - Markeringsfarve2 4 9 2 3" xfId="44977" xr:uid="{00000000-0005-0000-0000-0000875D0000}"/>
    <cellStyle name="40 % - Markeringsfarve2 4 9 3" xfId="22991" xr:uid="{00000000-0005-0000-0000-0000885D0000}"/>
    <cellStyle name="40 % - Markeringsfarve2 4 9 4" xfId="37978" xr:uid="{00000000-0005-0000-0000-0000895D0000}"/>
    <cellStyle name="40 % - Markeringsfarve2 5" xfId="3496" xr:uid="{00000000-0005-0000-0000-00008A5D0000}"/>
    <cellStyle name="40 % - Markeringsfarve2 5 10" xfId="12056" xr:uid="{00000000-0005-0000-0000-00008B5D0000}"/>
    <cellStyle name="40 % - Markeringsfarve2 5 10 2" xfId="28376" xr:uid="{00000000-0005-0000-0000-00008C5D0000}"/>
    <cellStyle name="40 % - Markeringsfarve2 5 10 3" xfId="43341" xr:uid="{00000000-0005-0000-0000-00008D5D0000}"/>
    <cellStyle name="40 % - Markeringsfarve2 5 11" xfId="21354" xr:uid="{00000000-0005-0000-0000-00008E5D0000}"/>
    <cellStyle name="40 % - Markeringsfarve2 5 12" xfId="36342" xr:uid="{00000000-0005-0000-0000-00008F5D0000}"/>
    <cellStyle name="40 % - Markeringsfarve2 5 13" xfId="53270" xr:uid="{00000000-0005-0000-0000-0000905D0000}"/>
    <cellStyle name="40 % - Markeringsfarve2 5 2" xfId="3497" xr:uid="{00000000-0005-0000-0000-0000915D0000}"/>
    <cellStyle name="40 % - Markeringsfarve2 5 2 2" xfId="3498" xr:uid="{00000000-0005-0000-0000-0000925D0000}"/>
    <cellStyle name="40 % - Markeringsfarve2 5 2 2 2" xfId="7628" xr:uid="{00000000-0005-0000-0000-0000935D0000}"/>
    <cellStyle name="40 % - Markeringsfarve2 5 2 2 2 2" xfId="15530" xr:uid="{00000000-0005-0000-0000-0000945D0000}"/>
    <cellStyle name="40 % - Markeringsfarve2 5 2 2 2 2 2" xfId="31845" xr:uid="{00000000-0005-0000-0000-0000955D0000}"/>
    <cellStyle name="40 % - Markeringsfarve2 5 2 2 2 2 3" xfId="46809" xr:uid="{00000000-0005-0000-0000-0000965D0000}"/>
    <cellStyle name="40 % - Markeringsfarve2 5 2 2 2 3" xfId="24823" xr:uid="{00000000-0005-0000-0000-0000975D0000}"/>
    <cellStyle name="40 % - Markeringsfarve2 5 2 2 2 4" xfId="39810" xr:uid="{00000000-0005-0000-0000-0000985D0000}"/>
    <cellStyle name="40 % - Markeringsfarve2 5 2 2 3" xfId="12058" xr:uid="{00000000-0005-0000-0000-0000995D0000}"/>
    <cellStyle name="40 % - Markeringsfarve2 5 2 2 3 2" xfId="28378" xr:uid="{00000000-0005-0000-0000-00009A5D0000}"/>
    <cellStyle name="40 % - Markeringsfarve2 5 2 2 3 3" xfId="43343" xr:uid="{00000000-0005-0000-0000-00009B5D0000}"/>
    <cellStyle name="40 % - Markeringsfarve2 5 2 2 4" xfId="21356" xr:uid="{00000000-0005-0000-0000-00009C5D0000}"/>
    <cellStyle name="40 % - Markeringsfarve2 5 2 2 5" xfId="36344" xr:uid="{00000000-0005-0000-0000-00009D5D0000}"/>
    <cellStyle name="40 % - Markeringsfarve2 5 2 2 6" xfId="57074" xr:uid="{00000000-0005-0000-0000-00009E5D0000}"/>
    <cellStyle name="40 % - Markeringsfarve2 5 2 3" xfId="3499" xr:uid="{00000000-0005-0000-0000-00009F5D0000}"/>
    <cellStyle name="40 % - Markeringsfarve2 5 2 3 2" xfId="6858" xr:uid="{00000000-0005-0000-0000-0000A05D0000}"/>
    <cellStyle name="40 % - Markeringsfarve2 5 2 3 2 2" xfId="14770" xr:uid="{00000000-0005-0000-0000-0000A15D0000}"/>
    <cellStyle name="40 % - Markeringsfarve2 5 2 3 2 2 2" xfId="31085" xr:uid="{00000000-0005-0000-0000-0000A25D0000}"/>
    <cellStyle name="40 % - Markeringsfarve2 5 2 3 2 2 3" xfId="46049" xr:uid="{00000000-0005-0000-0000-0000A35D0000}"/>
    <cellStyle name="40 % - Markeringsfarve2 5 2 3 2 3" xfId="24063" xr:uid="{00000000-0005-0000-0000-0000A45D0000}"/>
    <cellStyle name="40 % - Markeringsfarve2 5 2 3 2 4" xfId="39050" xr:uid="{00000000-0005-0000-0000-0000A55D0000}"/>
    <cellStyle name="40 % - Markeringsfarve2 5 2 3 3" xfId="12059" xr:uid="{00000000-0005-0000-0000-0000A65D0000}"/>
    <cellStyle name="40 % - Markeringsfarve2 5 2 3 3 2" xfId="28379" xr:uid="{00000000-0005-0000-0000-0000A75D0000}"/>
    <cellStyle name="40 % - Markeringsfarve2 5 2 3 3 3" xfId="43344" xr:uid="{00000000-0005-0000-0000-0000A85D0000}"/>
    <cellStyle name="40 % - Markeringsfarve2 5 2 3 4" xfId="21357" xr:uid="{00000000-0005-0000-0000-0000A95D0000}"/>
    <cellStyle name="40 % - Markeringsfarve2 5 2 3 5" xfId="36345" xr:uid="{00000000-0005-0000-0000-0000AA5D0000}"/>
    <cellStyle name="40 % - Markeringsfarve2 5 2 4" xfId="5786" xr:uid="{00000000-0005-0000-0000-0000AB5D0000}"/>
    <cellStyle name="40 % - Markeringsfarve2 5 2 4 2" xfId="13705" xr:uid="{00000000-0005-0000-0000-0000AC5D0000}"/>
    <cellStyle name="40 % - Markeringsfarve2 5 2 4 2 2" xfId="30020" xr:uid="{00000000-0005-0000-0000-0000AD5D0000}"/>
    <cellStyle name="40 % - Markeringsfarve2 5 2 4 2 3" xfId="44984" xr:uid="{00000000-0005-0000-0000-0000AE5D0000}"/>
    <cellStyle name="40 % - Markeringsfarve2 5 2 4 3" xfId="22998" xr:uid="{00000000-0005-0000-0000-0000AF5D0000}"/>
    <cellStyle name="40 % - Markeringsfarve2 5 2 4 4" xfId="37985" xr:uid="{00000000-0005-0000-0000-0000B05D0000}"/>
    <cellStyle name="40 % - Markeringsfarve2 5 2 5" xfId="12057" xr:uid="{00000000-0005-0000-0000-0000B15D0000}"/>
    <cellStyle name="40 % - Markeringsfarve2 5 2 5 2" xfId="28377" xr:uid="{00000000-0005-0000-0000-0000B25D0000}"/>
    <cellStyle name="40 % - Markeringsfarve2 5 2 5 3" xfId="43342" xr:uid="{00000000-0005-0000-0000-0000B35D0000}"/>
    <cellStyle name="40 % - Markeringsfarve2 5 2 6" xfId="21355" xr:uid="{00000000-0005-0000-0000-0000B45D0000}"/>
    <cellStyle name="40 % - Markeringsfarve2 5 2 7" xfId="36343" xr:uid="{00000000-0005-0000-0000-0000B55D0000}"/>
    <cellStyle name="40 % - Markeringsfarve2 5 2 8" xfId="53907" xr:uid="{00000000-0005-0000-0000-0000B65D0000}"/>
    <cellStyle name="40 % - Markeringsfarve2 5 3" xfId="3500" xr:uid="{00000000-0005-0000-0000-0000B75D0000}"/>
    <cellStyle name="40 % - Markeringsfarve2 5 3 2" xfId="3501" xr:uid="{00000000-0005-0000-0000-0000B85D0000}"/>
    <cellStyle name="40 % - Markeringsfarve2 5 3 2 2" xfId="7736" xr:uid="{00000000-0005-0000-0000-0000B95D0000}"/>
    <cellStyle name="40 % - Markeringsfarve2 5 3 2 2 2" xfId="15638" xr:uid="{00000000-0005-0000-0000-0000BA5D0000}"/>
    <cellStyle name="40 % - Markeringsfarve2 5 3 2 2 2 2" xfId="31953" xr:uid="{00000000-0005-0000-0000-0000BB5D0000}"/>
    <cellStyle name="40 % - Markeringsfarve2 5 3 2 2 2 3" xfId="46917" xr:uid="{00000000-0005-0000-0000-0000BC5D0000}"/>
    <cellStyle name="40 % - Markeringsfarve2 5 3 2 2 3" xfId="24931" xr:uid="{00000000-0005-0000-0000-0000BD5D0000}"/>
    <cellStyle name="40 % - Markeringsfarve2 5 3 2 2 4" xfId="39918" xr:uid="{00000000-0005-0000-0000-0000BE5D0000}"/>
    <cellStyle name="40 % - Markeringsfarve2 5 3 2 3" xfId="12061" xr:uid="{00000000-0005-0000-0000-0000BF5D0000}"/>
    <cellStyle name="40 % - Markeringsfarve2 5 3 2 3 2" xfId="28381" xr:uid="{00000000-0005-0000-0000-0000C05D0000}"/>
    <cellStyle name="40 % - Markeringsfarve2 5 3 2 3 3" xfId="43346" xr:uid="{00000000-0005-0000-0000-0000C15D0000}"/>
    <cellStyle name="40 % - Markeringsfarve2 5 3 2 4" xfId="21359" xr:uid="{00000000-0005-0000-0000-0000C25D0000}"/>
    <cellStyle name="40 % - Markeringsfarve2 5 3 2 5" xfId="36347" xr:uid="{00000000-0005-0000-0000-0000C35D0000}"/>
    <cellStyle name="40 % - Markeringsfarve2 5 3 3" xfId="3502" xr:uid="{00000000-0005-0000-0000-0000C45D0000}"/>
    <cellStyle name="40 % - Markeringsfarve2 5 3 3 2" xfId="6966" xr:uid="{00000000-0005-0000-0000-0000C55D0000}"/>
    <cellStyle name="40 % - Markeringsfarve2 5 3 3 2 2" xfId="14878" xr:uid="{00000000-0005-0000-0000-0000C65D0000}"/>
    <cellStyle name="40 % - Markeringsfarve2 5 3 3 2 2 2" xfId="31193" xr:uid="{00000000-0005-0000-0000-0000C75D0000}"/>
    <cellStyle name="40 % - Markeringsfarve2 5 3 3 2 2 3" xfId="46157" xr:uid="{00000000-0005-0000-0000-0000C85D0000}"/>
    <cellStyle name="40 % - Markeringsfarve2 5 3 3 2 3" xfId="24171" xr:uid="{00000000-0005-0000-0000-0000C95D0000}"/>
    <cellStyle name="40 % - Markeringsfarve2 5 3 3 2 4" xfId="39158" xr:uid="{00000000-0005-0000-0000-0000CA5D0000}"/>
    <cellStyle name="40 % - Markeringsfarve2 5 3 3 3" xfId="12062" xr:uid="{00000000-0005-0000-0000-0000CB5D0000}"/>
    <cellStyle name="40 % - Markeringsfarve2 5 3 3 3 2" xfId="28382" xr:uid="{00000000-0005-0000-0000-0000CC5D0000}"/>
    <cellStyle name="40 % - Markeringsfarve2 5 3 3 3 3" xfId="43347" xr:uid="{00000000-0005-0000-0000-0000CD5D0000}"/>
    <cellStyle name="40 % - Markeringsfarve2 5 3 3 4" xfId="21360" xr:uid="{00000000-0005-0000-0000-0000CE5D0000}"/>
    <cellStyle name="40 % - Markeringsfarve2 5 3 3 5" xfId="36348" xr:uid="{00000000-0005-0000-0000-0000CF5D0000}"/>
    <cellStyle name="40 % - Markeringsfarve2 5 3 4" xfId="5787" xr:uid="{00000000-0005-0000-0000-0000D05D0000}"/>
    <cellStyle name="40 % - Markeringsfarve2 5 3 4 2" xfId="13706" xr:uid="{00000000-0005-0000-0000-0000D15D0000}"/>
    <cellStyle name="40 % - Markeringsfarve2 5 3 4 2 2" xfId="30021" xr:uid="{00000000-0005-0000-0000-0000D25D0000}"/>
    <cellStyle name="40 % - Markeringsfarve2 5 3 4 2 3" xfId="44985" xr:uid="{00000000-0005-0000-0000-0000D35D0000}"/>
    <cellStyle name="40 % - Markeringsfarve2 5 3 4 3" xfId="22999" xr:uid="{00000000-0005-0000-0000-0000D45D0000}"/>
    <cellStyle name="40 % - Markeringsfarve2 5 3 4 4" xfId="37986" xr:uid="{00000000-0005-0000-0000-0000D55D0000}"/>
    <cellStyle name="40 % - Markeringsfarve2 5 3 5" xfId="12060" xr:uid="{00000000-0005-0000-0000-0000D65D0000}"/>
    <cellStyle name="40 % - Markeringsfarve2 5 3 5 2" xfId="28380" xr:uid="{00000000-0005-0000-0000-0000D75D0000}"/>
    <cellStyle name="40 % - Markeringsfarve2 5 3 5 3" xfId="43345" xr:uid="{00000000-0005-0000-0000-0000D85D0000}"/>
    <cellStyle name="40 % - Markeringsfarve2 5 3 6" xfId="21358" xr:uid="{00000000-0005-0000-0000-0000D95D0000}"/>
    <cellStyle name="40 % - Markeringsfarve2 5 3 7" xfId="36346" xr:uid="{00000000-0005-0000-0000-0000DA5D0000}"/>
    <cellStyle name="40 % - Markeringsfarve2 5 3 8" xfId="56451" xr:uid="{00000000-0005-0000-0000-0000DB5D0000}"/>
    <cellStyle name="40 % - Markeringsfarve2 5 4" xfId="3503" xr:uid="{00000000-0005-0000-0000-0000DC5D0000}"/>
    <cellStyle name="40 % - Markeringsfarve2 5 4 2" xfId="3504" xr:uid="{00000000-0005-0000-0000-0000DD5D0000}"/>
    <cellStyle name="40 % - Markeringsfarve2 5 4 2 2" xfId="7866" xr:uid="{00000000-0005-0000-0000-0000DE5D0000}"/>
    <cellStyle name="40 % - Markeringsfarve2 5 4 2 2 2" xfId="15768" xr:uid="{00000000-0005-0000-0000-0000DF5D0000}"/>
    <cellStyle name="40 % - Markeringsfarve2 5 4 2 2 2 2" xfId="32083" xr:uid="{00000000-0005-0000-0000-0000E05D0000}"/>
    <cellStyle name="40 % - Markeringsfarve2 5 4 2 2 2 3" xfId="47047" xr:uid="{00000000-0005-0000-0000-0000E15D0000}"/>
    <cellStyle name="40 % - Markeringsfarve2 5 4 2 2 3" xfId="25061" xr:uid="{00000000-0005-0000-0000-0000E25D0000}"/>
    <cellStyle name="40 % - Markeringsfarve2 5 4 2 2 4" xfId="40048" xr:uid="{00000000-0005-0000-0000-0000E35D0000}"/>
    <cellStyle name="40 % - Markeringsfarve2 5 4 2 3" xfId="12064" xr:uid="{00000000-0005-0000-0000-0000E45D0000}"/>
    <cellStyle name="40 % - Markeringsfarve2 5 4 2 3 2" xfId="28384" xr:uid="{00000000-0005-0000-0000-0000E55D0000}"/>
    <cellStyle name="40 % - Markeringsfarve2 5 4 2 3 3" xfId="43349" xr:uid="{00000000-0005-0000-0000-0000E65D0000}"/>
    <cellStyle name="40 % - Markeringsfarve2 5 4 2 4" xfId="21362" xr:uid="{00000000-0005-0000-0000-0000E75D0000}"/>
    <cellStyle name="40 % - Markeringsfarve2 5 4 2 5" xfId="36350" xr:uid="{00000000-0005-0000-0000-0000E85D0000}"/>
    <cellStyle name="40 % - Markeringsfarve2 5 4 3" xfId="3505" xr:uid="{00000000-0005-0000-0000-0000E95D0000}"/>
    <cellStyle name="40 % - Markeringsfarve2 5 4 3 2" xfId="7142" xr:uid="{00000000-0005-0000-0000-0000EA5D0000}"/>
    <cellStyle name="40 % - Markeringsfarve2 5 4 3 2 2" xfId="15053" xr:uid="{00000000-0005-0000-0000-0000EB5D0000}"/>
    <cellStyle name="40 % - Markeringsfarve2 5 4 3 2 2 2" xfId="31368" xr:uid="{00000000-0005-0000-0000-0000EC5D0000}"/>
    <cellStyle name="40 % - Markeringsfarve2 5 4 3 2 2 3" xfId="46332" xr:uid="{00000000-0005-0000-0000-0000ED5D0000}"/>
    <cellStyle name="40 % - Markeringsfarve2 5 4 3 2 3" xfId="24346" xr:uid="{00000000-0005-0000-0000-0000EE5D0000}"/>
    <cellStyle name="40 % - Markeringsfarve2 5 4 3 2 4" xfId="39333" xr:uid="{00000000-0005-0000-0000-0000EF5D0000}"/>
    <cellStyle name="40 % - Markeringsfarve2 5 4 3 3" xfId="12065" xr:uid="{00000000-0005-0000-0000-0000F05D0000}"/>
    <cellStyle name="40 % - Markeringsfarve2 5 4 3 3 2" xfId="28385" xr:uid="{00000000-0005-0000-0000-0000F15D0000}"/>
    <cellStyle name="40 % - Markeringsfarve2 5 4 3 3 3" xfId="43350" xr:uid="{00000000-0005-0000-0000-0000F25D0000}"/>
    <cellStyle name="40 % - Markeringsfarve2 5 4 3 4" xfId="21363" xr:uid="{00000000-0005-0000-0000-0000F35D0000}"/>
    <cellStyle name="40 % - Markeringsfarve2 5 4 3 5" xfId="36351" xr:uid="{00000000-0005-0000-0000-0000F45D0000}"/>
    <cellStyle name="40 % - Markeringsfarve2 5 4 4" xfId="5788" xr:uid="{00000000-0005-0000-0000-0000F55D0000}"/>
    <cellStyle name="40 % - Markeringsfarve2 5 4 4 2" xfId="13707" xr:uid="{00000000-0005-0000-0000-0000F65D0000}"/>
    <cellStyle name="40 % - Markeringsfarve2 5 4 4 2 2" xfId="30022" xr:uid="{00000000-0005-0000-0000-0000F75D0000}"/>
    <cellStyle name="40 % - Markeringsfarve2 5 4 4 2 3" xfId="44986" xr:uid="{00000000-0005-0000-0000-0000F85D0000}"/>
    <cellStyle name="40 % - Markeringsfarve2 5 4 4 3" xfId="23000" xr:uid="{00000000-0005-0000-0000-0000F95D0000}"/>
    <cellStyle name="40 % - Markeringsfarve2 5 4 4 4" xfId="37987" xr:uid="{00000000-0005-0000-0000-0000FA5D0000}"/>
    <cellStyle name="40 % - Markeringsfarve2 5 4 5" xfId="12063" xr:uid="{00000000-0005-0000-0000-0000FB5D0000}"/>
    <cellStyle name="40 % - Markeringsfarve2 5 4 5 2" xfId="28383" xr:uid="{00000000-0005-0000-0000-0000FC5D0000}"/>
    <cellStyle name="40 % - Markeringsfarve2 5 4 5 3" xfId="43348" xr:uid="{00000000-0005-0000-0000-0000FD5D0000}"/>
    <cellStyle name="40 % - Markeringsfarve2 5 4 6" xfId="21361" xr:uid="{00000000-0005-0000-0000-0000FE5D0000}"/>
    <cellStyle name="40 % - Markeringsfarve2 5 4 7" xfId="36349" xr:uid="{00000000-0005-0000-0000-0000FF5D0000}"/>
    <cellStyle name="40 % - Markeringsfarve2 5 5" xfId="3506" xr:uid="{00000000-0005-0000-0000-0000005E0000}"/>
    <cellStyle name="40 % - Markeringsfarve2 5 5 2" xfId="3507" xr:uid="{00000000-0005-0000-0000-0000015E0000}"/>
    <cellStyle name="40 % - Markeringsfarve2 5 5 2 2" xfId="7983" xr:uid="{00000000-0005-0000-0000-0000025E0000}"/>
    <cellStyle name="40 % - Markeringsfarve2 5 5 2 2 2" xfId="15885" xr:uid="{00000000-0005-0000-0000-0000035E0000}"/>
    <cellStyle name="40 % - Markeringsfarve2 5 5 2 2 2 2" xfId="32200" xr:uid="{00000000-0005-0000-0000-0000045E0000}"/>
    <cellStyle name="40 % - Markeringsfarve2 5 5 2 2 2 3" xfId="47164" xr:uid="{00000000-0005-0000-0000-0000055E0000}"/>
    <cellStyle name="40 % - Markeringsfarve2 5 5 2 2 3" xfId="25178" xr:uid="{00000000-0005-0000-0000-0000065E0000}"/>
    <cellStyle name="40 % - Markeringsfarve2 5 5 2 2 4" xfId="40165" xr:uid="{00000000-0005-0000-0000-0000075E0000}"/>
    <cellStyle name="40 % - Markeringsfarve2 5 5 2 3" xfId="12067" xr:uid="{00000000-0005-0000-0000-0000085E0000}"/>
    <cellStyle name="40 % - Markeringsfarve2 5 5 2 3 2" xfId="28387" xr:uid="{00000000-0005-0000-0000-0000095E0000}"/>
    <cellStyle name="40 % - Markeringsfarve2 5 5 2 3 3" xfId="43352" xr:uid="{00000000-0005-0000-0000-00000A5E0000}"/>
    <cellStyle name="40 % - Markeringsfarve2 5 5 2 4" xfId="21365" xr:uid="{00000000-0005-0000-0000-00000B5E0000}"/>
    <cellStyle name="40 % - Markeringsfarve2 5 5 2 5" xfId="36353" xr:uid="{00000000-0005-0000-0000-00000C5E0000}"/>
    <cellStyle name="40 % - Markeringsfarve2 5 5 3" xfId="3508" xr:uid="{00000000-0005-0000-0000-00000D5E0000}"/>
    <cellStyle name="40 % - Markeringsfarve2 5 5 3 2" xfId="7259" xr:uid="{00000000-0005-0000-0000-00000E5E0000}"/>
    <cellStyle name="40 % - Markeringsfarve2 5 5 3 2 2" xfId="15170" xr:uid="{00000000-0005-0000-0000-00000F5E0000}"/>
    <cellStyle name="40 % - Markeringsfarve2 5 5 3 2 2 2" xfId="31485" xr:uid="{00000000-0005-0000-0000-0000105E0000}"/>
    <cellStyle name="40 % - Markeringsfarve2 5 5 3 2 2 3" xfId="46449" xr:uid="{00000000-0005-0000-0000-0000115E0000}"/>
    <cellStyle name="40 % - Markeringsfarve2 5 5 3 2 3" xfId="24463" xr:uid="{00000000-0005-0000-0000-0000125E0000}"/>
    <cellStyle name="40 % - Markeringsfarve2 5 5 3 2 4" xfId="39450" xr:uid="{00000000-0005-0000-0000-0000135E0000}"/>
    <cellStyle name="40 % - Markeringsfarve2 5 5 3 3" xfId="12068" xr:uid="{00000000-0005-0000-0000-0000145E0000}"/>
    <cellStyle name="40 % - Markeringsfarve2 5 5 3 3 2" xfId="28388" xr:uid="{00000000-0005-0000-0000-0000155E0000}"/>
    <cellStyle name="40 % - Markeringsfarve2 5 5 3 3 3" xfId="43353" xr:uid="{00000000-0005-0000-0000-0000165E0000}"/>
    <cellStyle name="40 % - Markeringsfarve2 5 5 3 4" xfId="21366" xr:uid="{00000000-0005-0000-0000-0000175E0000}"/>
    <cellStyle name="40 % - Markeringsfarve2 5 5 3 5" xfId="36354" xr:uid="{00000000-0005-0000-0000-0000185E0000}"/>
    <cellStyle name="40 % - Markeringsfarve2 5 5 4" xfId="5789" xr:uid="{00000000-0005-0000-0000-0000195E0000}"/>
    <cellStyle name="40 % - Markeringsfarve2 5 5 4 2" xfId="13708" xr:uid="{00000000-0005-0000-0000-00001A5E0000}"/>
    <cellStyle name="40 % - Markeringsfarve2 5 5 4 2 2" xfId="30023" xr:uid="{00000000-0005-0000-0000-00001B5E0000}"/>
    <cellStyle name="40 % - Markeringsfarve2 5 5 4 2 3" xfId="44987" xr:uid="{00000000-0005-0000-0000-00001C5E0000}"/>
    <cellStyle name="40 % - Markeringsfarve2 5 5 4 3" xfId="23001" xr:uid="{00000000-0005-0000-0000-00001D5E0000}"/>
    <cellStyle name="40 % - Markeringsfarve2 5 5 4 4" xfId="37988" xr:uid="{00000000-0005-0000-0000-00001E5E0000}"/>
    <cellStyle name="40 % - Markeringsfarve2 5 5 5" xfId="12066" xr:uid="{00000000-0005-0000-0000-00001F5E0000}"/>
    <cellStyle name="40 % - Markeringsfarve2 5 5 5 2" xfId="28386" xr:uid="{00000000-0005-0000-0000-0000205E0000}"/>
    <cellStyle name="40 % - Markeringsfarve2 5 5 5 3" xfId="43351" xr:uid="{00000000-0005-0000-0000-0000215E0000}"/>
    <cellStyle name="40 % - Markeringsfarve2 5 5 6" xfId="21364" xr:uid="{00000000-0005-0000-0000-0000225E0000}"/>
    <cellStyle name="40 % - Markeringsfarve2 5 5 7" xfId="36352" xr:uid="{00000000-0005-0000-0000-0000235E0000}"/>
    <cellStyle name="40 % - Markeringsfarve2 5 6" xfId="3509" xr:uid="{00000000-0005-0000-0000-0000245E0000}"/>
    <cellStyle name="40 % - Markeringsfarve2 5 6 2" xfId="3510" xr:uid="{00000000-0005-0000-0000-0000255E0000}"/>
    <cellStyle name="40 % - Markeringsfarve2 5 6 2 2" xfId="8090" xr:uid="{00000000-0005-0000-0000-0000265E0000}"/>
    <cellStyle name="40 % - Markeringsfarve2 5 6 2 2 2" xfId="15992" xr:uid="{00000000-0005-0000-0000-0000275E0000}"/>
    <cellStyle name="40 % - Markeringsfarve2 5 6 2 2 2 2" xfId="32307" xr:uid="{00000000-0005-0000-0000-0000285E0000}"/>
    <cellStyle name="40 % - Markeringsfarve2 5 6 2 2 2 3" xfId="47271" xr:uid="{00000000-0005-0000-0000-0000295E0000}"/>
    <cellStyle name="40 % - Markeringsfarve2 5 6 2 2 3" xfId="25285" xr:uid="{00000000-0005-0000-0000-00002A5E0000}"/>
    <cellStyle name="40 % - Markeringsfarve2 5 6 2 2 4" xfId="40272" xr:uid="{00000000-0005-0000-0000-00002B5E0000}"/>
    <cellStyle name="40 % - Markeringsfarve2 5 6 2 3" xfId="12070" xr:uid="{00000000-0005-0000-0000-00002C5E0000}"/>
    <cellStyle name="40 % - Markeringsfarve2 5 6 2 3 2" xfId="28390" xr:uid="{00000000-0005-0000-0000-00002D5E0000}"/>
    <cellStyle name="40 % - Markeringsfarve2 5 6 2 3 3" xfId="43355" xr:uid="{00000000-0005-0000-0000-00002E5E0000}"/>
    <cellStyle name="40 % - Markeringsfarve2 5 6 2 4" xfId="21368" xr:uid="{00000000-0005-0000-0000-00002F5E0000}"/>
    <cellStyle name="40 % - Markeringsfarve2 5 6 2 5" xfId="36356" xr:uid="{00000000-0005-0000-0000-0000305E0000}"/>
    <cellStyle name="40 % - Markeringsfarve2 5 6 3" xfId="3511" xr:uid="{00000000-0005-0000-0000-0000315E0000}"/>
    <cellStyle name="40 % - Markeringsfarve2 5 6 3 2" xfId="7367" xr:uid="{00000000-0005-0000-0000-0000325E0000}"/>
    <cellStyle name="40 % - Markeringsfarve2 5 6 3 2 2" xfId="15278" xr:uid="{00000000-0005-0000-0000-0000335E0000}"/>
    <cellStyle name="40 % - Markeringsfarve2 5 6 3 2 2 2" xfId="31593" xr:uid="{00000000-0005-0000-0000-0000345E0000}"/>
    <cellStyle name="40 % - Markeringsfarve2 5 6 3 2 2 3" xfId="46557" xr:uid="{00000000-0005-0000-0000-0000355E0000}"/>
    <cellStyle name="40 % - Markeringsfarve2 5 6 3 2 3" xfId="24571" xr:uid="{00000000-0005-0000-0000-0000365E0000}"/>
    <cellStyle name="40 % - Markeringsfarve2 5 6 3 2 4" xfId="39558" xr:uid="{00000000-0005-0000-0000-0000375E0000}"/>
    <cellStyle name="40 % - Markeringsfarve2 5 6 3 3" xfId="12071" xr:uid="{00000000-0005-0000-0000-0000385E0000}"/>
    <cellStyle name="40 % - Markeringsfarve2 5 6 3 3 2" xfId="28391" xr:uid="{00000000-0005-0000-0000-0000395E0000}"/>
    <cellStyle name="40 % - Markeringsfarve2 5 6 3 3 3" xfId="43356" xr:uid="{00000000-0005-0000-0000-00003A5E0000}"/>
    <cellStyle name="40 % - Markeringsfarve2 5 6 3 4" xfId="21369" xr:uid="{00000000-0005-0000-0000-00003B5E0000}"/>
    <cellStyle name="40 % - Markeringsfarve2 5 6 3 5" xfId="36357" xr:uid="{00000000-0005-0000-0000-00003C5E0000}"/>
    <cellStyle name="40 % - Markeringsfarve2 5 6 4" xfId="5790" xr:uid="{00000000-0005-0000-0000-00003D5E0000}"/>
    <cellStyle name="40 % - Markeringsfarve2 5 6 4 2" xfId="13709" xr:uid="{00000000-0005-0000-0000-00003E5E0000}"/>
    <cellStyle name="40 % - Markeringsfarve2 5 6 4 2 2" xfId="30024" xr:uid="{00000000-0005-0000-0000-00003F5E0000}"/>
    <cellStyle name="40 % - Markeringsfarve2 5 6 4 2 3" xfId="44988" xr:uid="{00000000-0005-0000-0000-0000405E0000}"/>
    <cellStyle name="40 % - Markeringsfarve2 5 6 4 3" xfId="23002" xr:uid="{00000000-0005-0000-0000-0000415E0000}"/>
    <cellStyle name="40 % - Markeringsfarve2 5 6 4 4" xfId="37989" xr:uid="{00000000-0005-0000-0000-0000425E0000}"/>
    <cellStyle name="40 % - Markeringsfarve2 5 6 5" xfId="12069" xr:uid="{00000000-0005-0000-0000-0000435E0000}"/>
    <cellStyle name="40 % - Markeringsfarve2 5 6 5 2" xfId="28389" xr:uid="{00000000-0005-0000-0000-0000445E0000}"/>
    <cellStyle name="40 % - Markeringsfarve2 5 6 5 3" xfId="43354" xr:uid="{00000000-0005-0000-0000-0000455E0000}"/>
    <cellStyle name="40 % - Markeringsfarve2 5 6 6" xfId="21367" xr:uid="{00000000-0005-0000-0000-0000465E0000}"/>
    <cellStyle name="40 % - Markeringsfarve2 5 6 7" xfId="36355" xr:uid="{00000000-0005-0000-0000-0000475E0000}"/>
    <cellStyle name="40 % - Markeringsfarve2 5 7" xfId="3512" xr:uid="{00000000-0005-0000-0000-0000485E0000}"/>
    <cellStyle name="40 % - Markeringsfarve2 5 7 2" xfId="7509" xr:uid="{00000000-0005-0000-0000-0000495E0000}"/>
    <cellStyle name="40 % - Markeringsfarve2 5 7 2 2" xfId="15411" xr:uid="{00000000-0005-0000-0000-00004A5E0000}"/>
    <cellStyle name="40 % - Markeringsfarve2 5 7 2 2 2" xfId="31726" xr:uid="{00000000-0005-0000-0000-00004B5E0000}"/>
    <cellStyle name="40 % - Markeringsfarve2 5 7 2 2 3" xfId="46690" xr:uid="{00000000-0005-0000-0000-00004C5E0000}"/>
    <cellStyle name="40 % - Markeringsfarve2 5 7 2 3" xfId="24704" xr:uid="{00000000-0005-0000-0000-00004D5E0000}"/>
    <cellStyle name="40 % - Markeringsfarve2 5 7 2 4" xfId="39691" xr:uid="{00000000-0005-0000-0000-00004E5E0000}"/>
    <cellStyle name="40 % - Markeringsfarve2 5 7 3" xfId="12072" xr:uid="{00000000-0005-0000-0000-00004F5E0000}"/>
    <cellStyle name="40 % - Markeringsfarve2 5 7 3 2" xfId="28392" xr:uid="{00000000-0005-0000-0000-0000505E0000}"/>
    <cellStyle name="40 % - Markeringsfarve2 5 7 3 3" xfId="43357" xr:uid="{00000000-0005-0000-0000-0000515E0000}"/>
    <cellStyle name="40 % - Markeringsfarve2 5 7 4" xfId="21370" xr:uid="{00000000-0005-0000-0000-0000525E0000}"/>
    <cellStyle name="40 % - Markeringsfarve2 5 7 5" xfId="36358" xr:uid="{00000000-0005-0000-0000-0000535E0000}"/>
    <cellStyle name="40 % - Markeringsfarve2 5 8" xfId="3513" xr:uid="{00000000-0005-0000-0000-0000545E0000}"/>
    <cellStyle name="40 % - Markeringsfarve2 5 8 2" xfId="6737" xr:uid="{00000000-0005-0000-0000-0000555E0000}"/>
    <cellStyle name="40 % - Markeringsfarve2 5 8 2 2" xfId="14649" xr:uid="{00000000-0005-0000-0000-0000565E0000}"/>
    <cellStyle name="40 % - Markeringsfarve2 5 8 2 2 2" xfId="30964" xr:uid="{00000000-0005-0000-0000-0000575E0000}"/>
    <cellStyle name="40 % - Markeringsfarve2 5 8 2 2 3" xfId="45928" xr:uid="{00000000-0005-0000-0000-0000585E0000}"/>
    <cellStyle name="40 % - Markeringsfarve2 5 8 2 3" xfId="23942" xr:uid="{00000000-0005-0000-0000-0000595E0000}"/>
    <cellStyle name="40 % - Markeringsfarve2 5 8 2 4" xfId="38929" xr:uid="{00000000-0005-0000-0000-00005A5E0000}"/>
    <cellStyle name="40 % - Markeringsfarve2 5 8 3" xfId="12073" xr:uid="{00000000-0005-0000-0000-00005B5E0000}"/>
    <cellStyle name="40 % - Markeringsfarve2 5 8 3 2" xfId="28393" xr:uid="{00000000-0005-0000-0000-00005C5E0000}"/>
    <cellStyle name="40 % - Markeringsfarve2 5 8 3 3" xfId="43358" xr:uid="{00000000-0005-0000-0000-00005D5E0000}"/>
    <cellStyle name="40 % - Markeringsfarve2 5 8 4" xfId="21371" xr:uid="{00000000-0005-0000-0000-00005E5E0000}"/>
    <cellStyle name="40 % - Markeringsfarve2 5 8 5" xfId="36359" xr:uid="{00000000-0005-0000-0000-00005F5E0000}"/>
    <cellStyle name="40 % - Markeringsfarve2 5 9" xfId="5785" xr:uid="{00000000-0005-0000-0000-0000605E0000}"/>
    <cellStyle name="40 % - Markeringsfarve2 5 9 2" xfId="13704" xr:uid="{00000000-0005-0000-0000-0000615E0000}"/>
    <cellStyle name="40 % - Markeringsfarve2 5 9 2 2" xfId="30019" xr:uid="{00000000-0005-0000-0000-0000625E0000}"/>
    <cellStyle name="40 % - Markeringsfarve2 5 9 2 3" xfId="44983" xr:uid="{00000000-0005-0000-0000-0000635E0000}"/>
    <cellStyle name="40 % - Markeringsfarve2 5 9 3" xfId="22997" xr:uid="{00000000-0005-0000-0000-0000645E0000}"/>
    <cellStyle name="40 % - Markeringsfarve2 5 9 4" xfId="37984" xr:uid="{00000000-0005-0000-0000-0000655E0000}"/>
    <cellStyle name="40 % - Markeringsfarve2 6" xfId="3514" xr:uid="{00000000-0005-0000-0000-0000665E0000}"/>
    <cellStyle name="40 % - Markeringsfarve2 6 2" xfId="3515" xr:uid="{00000000-0005-0000-0000-0000675E0000}"/>
    <cellStyle name="40 % - Markeringsfarve2 6 2 2" xfId="7550" xr:uid="{00000000-0005-0000-0000-0000685E0000}"/>
    <cellStyle name="40 % - Markeringsfarve2 6 2 2 2" xfId="15452" xr:uid="{00000000-0005-0000-0000-0000695E0000}"/>
    <cellStyle name="40 % - Markeringsfarve2 6 2 2 2 2" xfId="31767" xr:uid="{00000000-0005-0000-0000-00006A5E0000}"/>
    <cellStyle name="40 % - Markeringsfarve2 6 2 2 2 3" xfId="46731" xr:uid="{00000000-0005-0000-0000-00006B5E0000}"/>
    <cellStyle name="40 % - Markeringsfarve2 6 2 2 3" xfId="24745" xr:uid="{00000000-0005-0000-0000-00006C5E0000}"/>
    <cellStyle name="40 % - Markeringsfarve2 6 2 2 4" xfId="39732" xr:uid="{00000000-0005-0000-0000-00006D5E0000}"/>
    <cellStyle name="40 % - Markeringsfarve2 6 2 2 5" xfId="57073" xr:uid="{00000000-0005-0000-0000-00006E5E0000}"/>
    <cellStyle name="40 % - Markeringsfarve2 6 2 3" xfId="12075" xr:uid="{00000000-0005-0000-0000-00006F5E0000}"/>
    <cellStyle name="40 % - Markeringsfarve2 6 2 3 2" xfId="28395" xr:uid="{00000000-0005-0000-0000-0000705E0000}"/>
    <cellStyle name="40 % - Markeringsfarve2 6 2 3 3" xfId="43360" xr:uid="{00000000-0005-0000-0000-0000715E0000}"/>
    <cellStyle name="40 % - Markeringsfarve2 6 2 4" xfId="21373" xr:uid="{00000000-0005-0000-0000-0000725E0000}"/>
    <cellStyle name="40 % - Markeringsfarve2 6 2 5" xfId="36361" xr:uid="{00000000-0005-0000-0000-0000735E0000}"/>
    <cellStyle name="40 % - Markeringsfarve2 6 2 6" xfId="53906" xr:uid="{00000000-0005-0000-0000-0000745E0000}"/>
    <cellStyle name="40 % - Markeringsfarve2 6 3" xfId="3516" xr:uid="{00000000-0005-0000-0000-0000755E0000}"/>
    <cellStyle name="40 % - Markeringsfarve2 6 3 2" xfId="6780" xr:uid="{00000000-0005-0000-0000-0000765E0000}"/>
    <cellStyle name="40 % - Markeringsfarve2 6 3 2 2" xfId="14692" xr:uid="{00000000-0005-0000-0000-0000775E0000}"/>
    <cellStyle name="40 % - Markeringsfarve2 6 3 2 2 2" xfId="31007" xr:uid="{00000000-0005-0000-0000-0000785E0000}"/>
    <cellStyle name="40 % - Markeringsfarve2 6 3 2 2 3" xfId="45971" xr:uid="{00000000-0005-0000-0000-0000795E0000}"/>
    <cellStyle name="40 % - Markeringsfarve2 6 3 2 3" xfId="23985" xr:uid="{00000000-0005-0000-0000-00007A5E0000}"/>
    <cellStyle name="40 % - Markeringsfarve2 6 3 2 4" xfId="38972" xr:uid="{00000000-0005-0000-0000-00007B5E0000}"/>
    <cellStyle name="40 % - Markeringsfarve2 6 3 3" xfId="12076" xr:uid="{00000000-0005-0000-0000-00007C5E0000}"/>
    <cellStyle name="40 % - Markeringsfarve2 6 3 3 2" xfId="28396" xr:uid="{00000000-0005-0000-0000-00007D5E0000}"/>
    <cellStyle name="40 % - Markeringsfarve2 6 3 3 3" xfId="43361" xr:uid="{00000000-0005-0000-0000-00007E5E0000}"/>
    <cellStyle name="40 % - Markeringsfarve2 6 3 4" xfId="21374" xr:uid="{00000000-0005-0000-0000-00007F5E0000}"/>
    <cellStyle name="40 % - Markeringsfarve2 6 3 5" xfId="36362" xr:uid="{00000000-0005-0000-0000-0000805E0000}"/>
    <cellStyle name="40 % - Markeringsfarve2 6 3 6" xfId="56450" xr:uid="{00000000-0005-0000-0000-0000815E0000}"/>
    <cellStyle name="40 % - Markeringsfarve2 6 4" xfId="5791" xr:uid="{00000000-0005-0000-0000-0000825E0000}"/>
    <cellStyle name="40 % - Markeringsfarve2 6 4 2" xfId="13710" xr:uid="{00000000-0005-0000-0000-0000835E0000}"/>
    <cellStyle name="40 % - Markeringsfarve2 6 4 2 2" xfId="30025" xr:uid="{00000000-0005-0000-0000-0000845E0000}"/>
    <cellStyle name="40 % - Markeringsfarve2 6 4 2 3" xfId="44989" xr:uid="{00000000-0005-0000-0000-0000855E0000}"/>
    <cellStyle name="40 % - Markeringsfarve2 6 4 3" xfId="23003" xr:uid="{00000000-0005-0000-0000-0000865E0000}"/>
    <cellStyle name="40 % - Markeringsfarve2 6 4 4" xfId="37990" xr:uid="{00000000-0005-0000-0000-0000875E0000}"/>
    <cellStyle name="40 % - Markeringsfarve2 6 5" xfId="12074" xr:uid="{00000000-0005-0000-0000-0000885E0000}"/>
    <cellStyle name="40 % - Markeringsfarve2 6 5 2" xfId="28394" xr:uid="{00000000-0005-0000-0000-0000895E0000}"/>
    <cellStyle name="40 % - Markeringsfarve2 6 5 3" xfId="43359" xr:uid="{00000000-0005-0000-0000-00008A5E0000}"/>
    <cellStyle name="40 % - Markeringsfarve2 6 6" xfId="21372" xr:uid="{00000000-0005-0000-0000-00008B5E0000}"/>
    <cellStyle name="40 % - Markeringsfarve2 6 7" xfId="36360" xr:uid="{00000000-0005-0000-0000-00008C5E0000}"/>
    <cellStyle name="40 % - Markeringsfarve2 6 8" xfId="53269" xr:uid="{00000000-0005-0000-0000-00008D5E0000}"/>
    <cellStyle name="40 % - Markeringsfarve2 7" xfId="3517" xr:uid="{00000000-0005-0000-0000-00008E5E0000}"/>
    <cellStyle name="40 % - Markeringsfarve2 7 2" xfId="3518" xr:uid="{00000000-0005-0000-0000-00008F5E0000}"/>
    <cellStyle name="40 % - Markeringsfarve2 7 2 2" xfId="7728" xr:uid="{00000000-0005-0000-0000-0000905E0000}"/>
    <cellStyle name="40 % - Markeringsfarve2 7 2 2 2" xfId="15630" xr:uid="{00000000-0005-0000-0000-0000915E0000}"/>
    <cellStyle name="40 % - Markeringsfarve2 7 2 2 2 2" xfId="31945" xr:uid="{00000000-0005-0000-0000-0000925E0000}"/>
    <cellStyle name="40 % - Markeringsfarve2 7 2 2 2 3" xfId="46909" xr:uid="{00000000-0005-0000-0000-0000935E0000}"/>
    <cellStyle name="40 % - Markeringsfarve2 7 2 2 3" xfId="24923" xr:uid="{00000000-0005-0000-0000-0000945E0000}"/>
    <cellStyle name="40 % - Markeringsfarve2 7 2 2 4" xfId="39910" xr:uid="{00000000-0005-0000-0000-0000955E0000}"/>
    <cellStyle name="40 % - Markeringsfarve2 7 2 3" xfId="12078" xr:uid="{00000000-0005-0000-0000-0000965E0000}"/>
    <cellStyle name="40 % - Markeringsfarve2 7 2 3 2" xfId="28398" xr:uid="{00000000-0005-0000-0000-0000975E0000}"/>
    <cellStyle name="40 % - Markeringsfarve2 7 2 3 3" xfId="43363" xr:uid="{00000000-0005-0000-0000-0000985E0000}"/>
    <cellStyle name="40 % - Markeringsfarve2 7 2 4" xfId="21376" xr:uid="{00000000-0005-0000-0000-0000995E0000}"/>
    <cellStyle name="40 % - Markeringsfarve2 7 2 5" xfId="36364" xr:uid="{00000000-0005-0000-0000-00009A5E0000}"/>
    <cellStyle name="40 % - Markeringsfarve2 7 2 6" xfId="57057" xr:uid="{00000000-0005-0000-0000-00009B5E0000}"/>
    <cellStyle name="40 % - Markeringsfarve2 7 3" xfId="3519" xr:uid="{00000000-0005-0000-0000-00009C5E0000}"/>
    <cellStyle name="40 % - Markeringsfarve2 7 3 2" xfId="6958" xr:uid="{00000000-0005-0000-0000-00009D5E0000}"/>
    <cellStyle name="40 % - Markeringsfarve2 7 3 2 2" xfId="14870" xr:uid="{00000000-0005-0000-0000-00009E5E0000}"/>
    <cellStyle name="40 % - Markeringsfarve2 7 3 2 2 2" xfId="31185" xr:uid="{00000000-0005-0000-0000-00009F5E0000}"/>
    <cellStyle name="40 % - Markeringsfarve2 7 3 2 2 3" xfId="46149" xr:uid="{00000000-0005-0000-0000-0000A05E0000}"/>
    <cellStyle name="40 % - Markeringsfarve2 7 3 2 3" xfId="24163" xr:uid="{00000000-0005-0000-0000-0000A15E0000}"/>
    <cellStyle name="40 % - Markeringsfarve2 7 3 2 4" xfId="39150" xr:uid="{00000000-0005-0000-0000-0000A25E0000}"/>
    <cellStyle name="40 % - Markeringsfarve2 7 3 3" xfId="12079" xr:uid="{00000000-0005-0000-0000-0000A35E0000}"/>
    <cellStyle name="40 % - Markeringsfarve2 7 3 3 2" xfId="28399" xr:uid="{00000000-0005-0000-0000-0000A45E0000}"/>
    <cellStyle name="40 % - Markeringsfarve2 7 3 3 3" xfId="43364" xr:uid="{00000000-0005-0000-0000-0000A55E0000}"/>
    <cellStyle name="40 % - Markeringsfarve2 7 3 4" xfId="21377" xr:uid="{00000000-0005-0000-0000-0000A65E0000}"/>
    <cellStyle name="40 % - Markeringsfarve2 7 3 5" xfId="36365" xr:uid="{00000000-0005-0000-0000-0000A75E0000}"/>
    <cellStyle name="40 % - Markeringsfarve2 7 4" xfId="5792" xr:uid="{00000000-0005-0000-0000-0000A85E0000}"/>
    <cellStyle name="40 % - Markeringsfarve2 7 4 2" xfId="13711" xr:uid="{00000000-0005-0000-0000-0000A95E0000}"/>
    <cellStyle name="40 % - Markeringsfarve2 7 4 2 2" xfId="30026" xr:uid="{00000000-0005-0000-0000-0000AA5E0000}"/>
    <cellStyle name="40 % - Markeringsfarve2 7 4 2 3" xfId="44990" xr:uid="{00000000-0005-0000-0000-0000AB5E0000}"/>
    <cellStyle name="40 % - Markeringsfarve2 7 4 3" xfId="23004" xr:uid="{00000000-0005-0000-0000-0000AC5E0000}"/>
    <cellStyle name="40 % - Markeringsfarve2 7 4 4" xfId="37991" xr:uid="{00000000-0005-0000-0000-0000AD5E0000}"/>
    <cellStyle name="40 % - Markeringsfarve2 7 5" xfId="12077" xr:uid="{00000000-0005-0000-0000-0000AE5E0000}"/>
    <cellStyle name="40 % - Markeringsfarve2 7 5 2" xfId="28397" xr:uid="{00000000-0005-0000-0000-0000AF5E0000}"/>
    <cellStyle name="40 % - Markeringsfarve2 7 5 3" xfId="43362" xr:uid="{00000000-0005-0000-0000-0000B05E0000}"/>
    <cellStyle name="40 % - Markeringsfarve2 7 6" xfId="21375" xr:uid="{00000000-0005-0000-0000-0000B15E0000}"/>
    <cellStyle name="40 % - Markeringsfarve2 7 7" xfId="36363" xr:uid="{00000000-0005-0000-0000-0000B25E0000}"/>
    <cellStyle name="40 % - Markeringsfarve2 7 8" xfId="53890" xr:uid="{00000000-0005-0000-0000-0000B35E0000}"/>
    <cellStyle name="40 % - Markeringsfarve2 8" xfId="3520" xr:uid="{00000000-0005-0000-0000-0000B45E0000}"/>
    <cellStyle name="40 % - Markeringsfarve2 8 2" xfId="3521" xr:uid="{00000000-0005-0000-0000-0000B55E0000}"/>
    <cellStyle name="40 % - Markeringsfarve2 8 2 2" xfId="7788" xr:uid="{00000000-0005-0000-0000-0000B65E0000}"/>
    <cellStyle name="40 % - Markeringsfarve2 8 2 2 2" xfId="15690" xr:uid="{00000000-0005-0000-0000-0000B75E0000}"/>
    <cellStyle name="40 % - Markeringsfarve2 8 2 2 2 2" xfId="32005" xr:uid="{00000000-0005-0000-0000-0000B85E0000}"/>
    <cellStyle name="40 % - Markeringsfarve2 8 2 2 2 3" xfId="46969" xr:uid="{00000000-0005-0000-0000-0000B95E0000}"/>
    <cellStyle name="40 % - Markeringsfarve2 8 2 2 3" xfId="24983" xr:uid="{00000000-0005-0000-0000-0000BA5E0000}"/>
    <cellStyle name="40 % - Markeringsfarve2 8 2 2 4" xfId="39970" xr:uid="{00000000-0005-0000-0000-0000BB5E0000}"/>
    <cellStyle name="40 % - Markeringsfarve2 8 2 3" xfId="12081" xr:uid="{00000000-0005-0000-0000-0000BC5E0000}"/>
    <cellStyle name="40 % - Markeringsfarve2 8 2 3 2" xfId="28401" xr:uid="{00000000-0005-0000-0000-0000BD5E0000}"/>
    <cellStyle name="40 % - Markeringsfarve2 8 2 3 3" xfId="43366" xr:uid="{00000000-0005-0000-0000-0000BE5E0000}"/>
    <cellStyle name="40 % - Markeringsfarve2 8 2 4" xfId="21379" xr:uid="{00000000-0005-0000-0000-0000BF5E0000}"/>
    <cellStyle name="40 % - Markeringsfarve2 8 2 5" xfId="36367" xr:uid="{00000000-0005-0000-0000-0000C05E0000}"/>
    <cellStyle name="40 % - Markeringsfarve2 8 3" xfId="3522" xr:uid="{00000000-0005-0000-0000-0000C15E0000}"/>
    <cellStyle name="40 % - Markeringsfarve2 8 3 2" xfId="7064" xr:uid="{00000000-0005-0000-0000-0000C25E0000}"/>
    <cellStyle name="40 % - Markeringsfarve2 8 3 2 2" xfId="14975" xr:uid="{00000000-0005-0000-0000-0000C35E0000}"/>
    <cellStyle name="40 % - Markeringsfarve2 8 3 2 2 2" xfId="31290" xr:uid="{00000000-0005-0000-0000-0000C45E0000}"/>
    <cellStyle name="40 % - Markeringsfarve2 8 3 2 2 3" xfId="46254" xr:uid="{00000000-0005-0000-0000-0000C55E0000}"/>
    <cellStyle name="40 % - Markeringsfarve2 8 3 2 3" xfId="24268" xr:uid="{00000000-0005-0000-0000-0000C65E0000}"/>
    <cellStyle name="40 % - Markeringsfarve2 8 3 2 4" xfId="39255" xr:uid="{00000000-0005-0000-0000-0000C75E0000}"/>
    <cellStyle name="40 % - Markeringsfarve2 8 3 3" xfId="12082" xr:uid="{00000000-0005-0000-0000-0000C85E0000}"/>
    <cellStyle name="40 % - Markeringsfarve2 8 3 3 2" xfId="28402" xr:uid="{00000000-0005-0000-0000-0000C95E0000}"/>
    <cellStyle name="40 % - Markeringsfarve2 8 3 3 3" xfId="43367" xr:uid="{00000000-0005-0000-0000-0000CA5E0000}"/>
    <cellStyle name="40 % - Markeringsfarve2 8 3 4" xfId="21380" xr:uid="{00000000-0005-0000-0000-0000CB5E0000}"/>
    <cellStyle name="40 % - Markeringsfarve2 8 3 5" xfId="36368" xr:uid="{00000000-0005-0000-0000-0000CC5E0000}"/>
    <cellStyle name="40 % - Markeringsfarve2 8 4" xfId="5793" xr:uid="{00000000-0005-0000-0000-0000CD5E0000}"/>
    <cellStyle name="40 % - Markeringsfarve2 8 4 2" xfId="13712" xr:uid="{00000000-0005-0000-0000-0000CE5E0000}"/>
    <cellStyle name="40 % - Markeringsfarve2 8 4 2 2" xfId="30027" xr:uid="{00000000-0005-0000-0000-0000CF5E0000}"/>
    <cellStyle name="40 % - Markeringsfarve2 8 4 2 3" xfId="44991" xr:uid="{00000000-0005-0000-0000-0000D05E0000}"/>
    <cellStyle name="40 % - Markeringsfarve2 8 4 3" xfId="23005" xr:uid="{00000000-0005-0000-0000-0000D15E0000}"/>
    <cellStyle name="40 % - Markeringsfarve2 8 4 4" xfId="37992" xr:uid="{00000000-0005-0000-0000-0000D25E0000}"/>
    <cellStyle name="40 % - Markeringsfarve2 8 5" xfId="12080" xr:uid="{00000000-0005-0000-0000-0000D35E0000}"/>
    <cellStyle name="40 % - Markeringsfarve2 8 5 2" xfId="28400" xr:uid="{00000000-0005-0000-0000-0000D45E0000}"/>
    <cellStyle name="40 % - Markeringsfarve2 8 5 3" xfId="43365" xr:uid="{00000000-0005-0000-0000-0000D55E0000}"/>
    <cellStyle name="40 % - Markeringsfarve2 8 6" xfId="21378" xr:uid="{00000000-0005-0000-0000-0000D65E0000}"/>
    <cellStyle name="40 % - Markeringsfarve2 8 7" xfId="36366" xr:uid="{00000000-0005-0000-0000-0000D75E0000}"/>
    <cellStyle name="40 % - Markeringsfarve2 9" xfId="3523" xr:uid="{00000000-0005-0000-0000-0000D85E0000}"/>
    <cellStyle name="40 % - Markeringsfarve2 9 2" xfId="3524" xr:uid="{00000000-0005-0000-0000-0000D95E0000}"/>
    <cellStyle name="40 % - Markeringsfarve2 9 2 2" xfId="7905" xr:uid="{00000000-0005-0000-0000-0000DA5E0000}"/>
    <cellStyle name="40 % - Markeringsfarve2 9 2 2 2" xfId="15807" xr:uid="{00000000-0005-0000-0000-0000DB5E0000}"/>
    <cellStyle name="40 % - Markeringsfarve2 9 2 2 2 2" xfId="32122" xr:uid="{00000000-0005-0000-0000-0000DC5E0000}"/>
    <cellStyle name="40 % - Markeringsfarve2 9 2 2 2 3" xfId="47086" xr:uid="{00000000-0005-0000-0000-0000DD5E0000}"/>
    <cellStyle name="40 % - Markeringsfarve2 9 2 2 3" xfId="25100" xr:uid="{00000000-0005-0000-0000-0000DE5E0000}"/>
    <cellStyle name="40 % - Markeringsfarve2 9 2 2 4" xfId="40087" xr:uid="{00000000-0005-0000-0000-0000DF5E0000}"/>
    <cellStyle name="40 % - Markeringsfarve2 9 2 3" xfId="12084" xr:uid="{00000000-0005-0000-0000-0000E05E0000}"/>
    <cellStyle name="40 % - Markeringsfarve2 9 2 3 2" xfId="28404" xr:uid="{00000000-0005-0000-0000-0000E15E0000}"/>
    <cellStyle name="40 % - Markeringsfarve2 9 2 3 3" xfId="43369" xr:uid="{00000000-0005-0000-0000-0000E25E0000}"/>
    <cellStyle name="40 % - Markeringsfarve2 9 2 4" xfId="21382" xr:uid="{00000000-0005-0000-0000-0000E35E0000}"/>
    <cellStyle name="40 % - Markeringsfarve2 9 2 5" xfId="36370" xr:uid="{00000000-0005-0000-0000-0000E45E0000}"/>
    <cellStyle name="40 % - Markeringsfarve2 9 3" xfId="3525" xr:uid="{00000000-0005-0000-0000-0000E55E0000}"/>
    <cellStyle name="40 % - Markeringsfarve2 9 3 2" xfId="7181" xr:uid="{00000000-0005-0000-0000-0000E65E0000}"/>
    <cellStyle name="40 % - Markeringsfarve2 9 3 2 2" xfId="15092" xr:uid="{00000000-0005-0000-0000-0000E75E0000}"/>
    <cellStyle name="40 % - Markeringsfarve2 9 3 2 2 2" xfId="31407" xr:uid="{00000000-0005-0000-0000-0000E85E0000}"/>
    <cellStyle name="40 % - Markeringsfarve2 9 3 2 2 3" xfId="46371" xr:uid="{00000000-0005-0000-0000-0000E95E0000}"/>
    <cellStyle name="40 % - Markeringsfarve2 9 3 2 3" xfId="24385" xr:uid="{00000000-0005-0000-0000-0000EA5E0000}"/>
    <cellStyle name="40 % - Markeringsfarve2 9 3 2 4" xfId="39372" xr:uid="{00000000-0005-0000-0000-0000EB5E0000}"/>
    <cellStyle name="40 % - Markeringsfarve2 9 3 3" xfId="12085" xr:uid="{00000000-0005-0000-0000-0000EC5E0000}"/>
    <cellStyle name="40 % - Markeringsfarve2 9 3 3 2" xfId="28405" xr:uid="{00000000-0005-0000-0000-0000ED5E0000}"/>
    <cellStyle name="40 % - Markeringsfarve2 9 3 3 3" xfId="43370" xr:uid="{00000000-0005-0000-0000-0000EE5E0000}"/>
    <cellStyle name="40 % - Markeringsfarve2 9 3 4" xfId="21383" xr:uid="{00000000-0005-0000-0000-0000EF5E0000}"/>
    <cellStyle name="40 % - Markeringsfarve2 9 3 5" xfId="36371" xr:uid="{00000000-0005-0000-0000-0000F05E0000}"/>
    <cellStyle name="40 % - Markeringsfarve2 9 4" xfId="5794" xr:uid="{00000000-0005-0000-0000-0000F15E0000}"/>
    <cellStyle name="40 % - Markeringsfarve2 9 4 2" xfId="13713" xr:uid="{00000000-0005-0000-0000-0000F25E0000}"/>
    <cellStyle name="40 % - Markeringsfarve2 9 4 2 2" xfId="30028" xr:uid="{00000000-0005-0000-0000-0000F35E0000}"/>
    <cellStyle name="40 % - Markeringsfarve2 9 4 2 3" xfId="44992" xr:uid="{00000000-0005-0000-0000-0000F45E0000}"/>
    <cellStyle name="40 % - Markeringsfarve2 9 4 3" xfId="23006" xr:uid="{00000000-0005-0000-0000-0000F55E0000}"/>
    <cellStyle name="40 % - Markeringsfarve2 9 4 4" xfId="37993" xr:uid="{00000000-0005-0000-0000-0000F65E0000}"/>
    <cellStyle name="40 % - Markeringsfarve2 9 5" xfId="12083" xr:uid="{00000000-0005-0000-0000-0000F75E0000}"/>
    <cellStyle name="40 % - Markeringsfarve2 9 5 2" xfId="28403" xr:uid="{00000000-0005-0000-0000-0000F85E0000}"/>
    <cellStyle name="40 % - Markeringsfarve2 9 5 3" xfId="43368" xr:uid="{00000000-0005-0000-0000-0000F95E0000}"/>
    <cellStyle name="40 % - Markeringsfarve2 9 6" xfId="21381" xr:uid="{00000000-0005-0000-0000-0000FA5E0000}"/>
    <cellStyle name="40 % - Markeringsfarve2 9 7" xfId="36369" xr:uid="{00000000-0005-0000-0000-0000FB5E0000}"/>
    <cellStyle name="40 % - Markeringsfarve3 10" xfId="3527" xr:uid="{00000000-0005-0000-0000-0000FC5E0000}"/>
    <cellStyle name="40 % - Markeringsfarve3 10 2" xfId="3528" xr:uid="{00000000-0005-0000-0000-0000FD5E0000}"/>
    <cellStyle name="40 % - Markeringsfarve3 10 2 2" xfId="7432" xr:uid="{00000000-0005-0000-0000-0000FE5E0000}"/>
    <cellStyle name="40 % - Markeringsfarve3 10 2 2 2" xfId="15334" xr:uid="{00000000-0005-0000-0000-0000FF5E0000}"/>
    <cellStyle name="40 % - Markeringsfarve3 10 2 2 2 2" xfId="31649" xr:uid="{00000000-0005-0000-0000-0000005F0000}"/>
    <cellStyle name="40 % - Markeringsfarve3 10 2 2 2 3" xfId="46613" xr:uid="{00000000-0005-0000-0000-0000015F0000}"/>
    <cellStyle name="40 % - Markeringsfarve3 10 2 2 3" xfId="24627" xr:uid="{00000000-0005-0000-0000-0000025F0000}"/>
    <cellStyle name="40 % - Markeringsfarve3 10 2 2 4" xfId="39614" xr:uid="{00000000-0005-0000-0000-0000035F0000}"/>
    <cellStyle name="40 % - Markeringsfarve3 10 2 3" xfId="12088" xr:uid="{00000000-0005-0000-0000-0000045F0000}"/>
    <cellStyle name="40 % - Markeringsfarve3 10 2 3 2" xfId="28408" xr:uid="{00000000-0005-0000-0000-0000055F0000}"/>
    <cellStyle name="40 % - Markeringsfarve3 10 2 3 3" xfId="43373" xr:uid="{00000000-0005-0000-0000-0000065F0000}"/>
    <cellStyle name="40 % - Markeringsfarve3 10 2 4" xfId="21386" xr:uid="{00000000-0005-0000-0000-0000075F0000}"/>
    <cellStyle name="40 % - Markeringsfarve3 10 2 5" xfId="36374" xr:uid="{00000000-0005-0000-0000-0000085F0000}"/>
    <cellStyle name="40 % - Markeringsfarve3 10 3" xfId="3529" xr:uid="{00000000-0005-0000-0000-0000095F0000}"/>
    <cellStyle name="40 % - Markeringsfarve3 10 3 2" xfId="8348" xr:uid="{00000000-0005-0000-0000-00000A5F0000}"/>
    <cellStyle name="40 % - Markeringsfarve3 10 3 2 2" xfId="16242" xr:uid="{00000000-0005-0000-0000-00000B5F0000}"/>
    <cellStyle name="40 % - Markeringsfarve3 10 3 2 2 2" xfId="32557" xr:uid="{00000000-0005-0000-0000-00000C5F0000}"/>
    <cellStyle name="40 % - Markeringsfarve3 10 3 2 2 3" xfId="47521" xr:uid="{00000000-0005-0000-0000-00000D5F0000}"/>
    <cellStyle name="40 % - Markeringsfarve3 10 3 2 3" xfId="25535" xr:uid="{00000000-0005-0000-0000-00000E5F0000}"/>
    <cellStyle name="40 % - Markeringsfarve3 10 3 2 4" xfId="40522" xr:uid="{00000000-0005-0000-0000-00000F5F0000}"/>
    <cellStyle name="40 % - Markeringsfarve3 10 3 3" xfId="12089" xr:uid="{00000000-0005-0000-0000-0000105F0000}"/>
    <cellStyle name="40 % - Markeringsfarve3 10 3 3 2" xfId="28409" xr:uid="{00000000-0005-0000-0000-0000115F0000}"/>
    <cellStyle name="40 % - Markeringsfarve3 10 3 3 3" xfId="43374" xr:uid="{00000000-0005-0000-0000-0000125F0000}"/>
    <cellStyle name="40 % - Markeringsfarve3 10 3 4" xfId="21387" xr:uid="{00000000-0005-0000-0000-0000135F0000}"/>
    <cellStyle name="40 % - Markeringsfarve3 10 3 5" xfId="36375" xr:uid="{00000000-0005-0000-0000-0000145F0000}"/>
    <cellStyle name="40 % - Markeringsfarve3 10 4" xfId="5796" xr:uid="{00000000-0005-0000-0000-0000155F0000}"/>
    <cellStyle name="40 % - Markeringsfarve3 10 4 2" xfId="13715" xr:uid="{00000000-0005-0000-0000-0000165F0000}"/>
    <cellStyle name="40 % - Markeringsfarve3 10 4 2 2" xfId="30030" xr:uid="{00000000-0005-0000-0000-0000175F0000}"/>
    <cellStyle name="40 % - Markeringsfarve3 10 4 2 3" xfId="44994" xr:uid="{00000000-0005-0000-0000-0000185F0000}"/>
    <cellStyle name="40 % - Markeringsfarve3 10 4 3" xfId="23008" xr:uid="{00000000-0005-0000-0000-0000195F0000}"/>
    <cellStyle name="40 % - Markeringsfarve3 10 4 4" xfId="37995" xr:uid="{00000000-0005-0000-0000-00001A5F0000}"/>
    <cellStyle name="40 % - Markeringsfarve3 10 5" xfId="12087" xr:uid="{00000000-0005-0000-0000-00001B5F0000}"/>
    <cellStyle name="40 % - Markeringsfarve3 10 5 2" xfId="28407" xr:uid="{00000000-0005-0000-0000-00001C5F0000}"/>
    <cellStyle name="40 % - Markeringsfarve3 10 5 3" xfId="43372" xr:uid="{00000000-0005-0000-0000-00001D5F0000}"/>
    <cellStyle name="40 % - Markeringsfarve3 10 6" xfId="21385" xr:uid="{00000000-0005-0000-0000-00001E5F0000}"/>
    <cellStyle name="40 % - Markeringsfarve3 10 7" xfId="36373" xr:uid="{00000000-0005-0000-0000-00001F5F0000}"/>
    <cellStyle name="40 % - Markeringsfarve3 11" xfId="3530" xr:uid="{00000000-0005-0000-0000-0000205F0000}"/>
    <cellStyle name="40 % - Markeringsfarve3 11 2" xfId="3531" xr:uid="{00000000-0005-0000-0000-0000215F0000}"/>
    <cellStyle name="40 % - Markeringsfarve3 11 2 2" xfId="8580" xr:uid="{00000000-0005-0000-0000-0000225F0000}"/>
    <cellStyle name="40 % - Markeringsfarve3 11 2 2 2" xfId="16464" xr:uid="{00000000-0005-0000-0000-0000235F0000}"/>
    <cellStyle name="40 % - Markeringsfarve3 11 2 2 2 2" xfId="32779" xr:uid="{00000000-0005-0000-0000-0000245F0000}"/>
    <cellStyle name="40 % - Markeringsfarve3 11 2 2 2 3" xfId="47743" xr:uid="{00000000-0005-0000-0000-0000255F0000}"/>
    <cellStyle name="40 % - Markeringsfarve3 11 2 2 3" xfId="25757" xr:uid="{00000000-0005-0000-0000-0000265F0000}"/>
    <cellStyle name="40 % - Markeringsfarve3 11 2 2 4" xfId="40744" xr:uid="{00000000-0005-0000-0000-0000275F0000}"/>
    <cellStyle name="40 % - Markeringsfarve3 11 2 3" xfId="12091" xr:uid="{00000000-0005-0000-0000-0000285F0000}"/>
    <cellStyle name="40 % - Markeringsfarve3 11 2 3 2" xfId="28411" xr:uid="{00000000-0005-0000-0000-0000295F0000}"/>
    <cellStyle name="40 % - Markeringsfarve3 11 2 3 3" xfId="43376" xr:uid="{00000000-0005-0000-0000-00002A5F0000}"/>
    <cellStyle name="40 % - Markeringsfarve3 11 2 4" xfId="21389" xr:uid="{00000000-0005-0000-0000-00002B5F0000}"/>
    <cellStyle name="40 % - Markeringsfarve3 11 2 5" xfId="36377" xr:uid="{00000000-0005-0000-0000-00002C5F0000}"/>
    <cellStyle name="40 % - Markeringsfarve3 11 3" xfId="5797" xr:uid="{00000000-0005-0000-0000-00002D5F0000}"/>
    <cellStyle name="40 % - Markeringsfarve3 11 3 2" xfId="13716" xr:uid="{00000000-0005-0000-0000-00002E5F0000}"/>
    <cellStyle name="40 % - Markeringsfarve3 11 3 2 2" xfId="30031" xr:uid="{00000000-0005-0000-0000-00002F5F0000}"/>
    <cellStyle name="40 % - Markeringsfarve3 11 3 2 3" xfId="44995" xr:uid="{00000000-0005-0000-0000-0000305F0000}"/>
    <cellStyle name="40 % - Markeringsfarve3 11 3 3" xfId="23009" xr:uid="{00000000-0005-0000-0000-0000315F0000}"/>
    <cellStyle name="40 % - Markeringsfarve3 11 3 4" xfId="37996" xr:uid="{00000000-0005-0000-0000-0000325F0000}"/>
    <cellStyle name="40 % - Markeringsfarve3 11 4" xfId="12090" xr:uid="{00000000-0005-0000-0000-0000335F0000}"/>
    <cellStyle name="40 % - Markeringsfarve3 11 4 2" xfId="28410" xr:uid="{00000000-0005-0000-0000-0000345F0000}"/>
    <cellStyle name="40 % - Markeringsfarve3 11 4 3" xfId="43375" xr:uid="{00000000-0005-0000-0000-0000355F0000}"/>
    <cellStyle name="40 % - Markeringsfarve3 11 5" xfId="21388" xr:uid="{00000000-0005-0000-0000-0000365F0000}"/>
    <cellStyle name="40 % - Markeringsfarve3 11 6" xfId="36376" xr:uid="{00000000-0005-0000-0000-0000375F0000}"/>
    <cellStyle name="40 % - Markeringsfarve3 12" xfId="3532" xr:uid="{00000000-0005-0000-0000-0000385F0000}"/>
    <cellStyle name="40 % - Markeringsfarve3 12 2" xfId="3533" xr:uid="{00000000-0005-0000-0000-0000395F0000}"/>
    <cellStyle name="40 % - Markeringsfarve3 12 2 2" xfId="8229" xr:uid="{00000000-0005-0000-0000-00003A5F0000}"/>
    <cellStyle name="40 % - Markeringsfarve3 12 2 2 2" xfId="16124" xr:uid="{00000000-0005-0000-0000-00003B5F0000}"/>
    <cellStyle name="40 % - Markeringsfarve3 12 2 2 2 2" xfId="32439" xr:uid="{00000000-0005-0000-0000-00003C5F0000}"/>
    <cellStyle name="40 % - Markeringsfarve3 12 2 2 2 3" xfId="47403" xr:uid="{00000000-0005-0000-0000-00003D5F0000}"/>
    <cellStyle name="40 % - Markeringsfarve3 12 2 2 3" xfId="25417" xr:uid="{00000000-0005-0000-0000-00003E5F0000}"/>
    <cellStyle name="40 % - Markeringsfarve3 12 2 2 4" xfId="40404" xr:uid="{00000000-0005-0000-0000-00003F5F0000}"/>
    <cellStyle name="40 % - Markeringsfarve3 12 2 3" xfId="12093" xr:uid="{00000000-0005-0000-0000-0000405F0000}"/>
    <cellStyle name="40 % - Markeringsfarve3 12 2 3 2" xfId="28413" xr:uid="{00000000-0005-0000-0000-0000415F0000}"/>
    <cellStyle name="40 % - Markeringsfarve3 12 2 3 3" xfId="43378" xr:uid="{00000000-0005-0000-0000-0000425F0000}"/>
    <cellStyle name="40 % - Markeringsfarve3 12 2 4" xfId="21391" xr:uid="{00000000-0005-0000-0000-0000435F0000}"/>
    <cellStyle name="40 % - Markeringsfarve3 12 2 5" xfId="36379" xr:uid="{00000000-0005-0000-0000-0000445F0000}"/>
    <cellStyle name="40 % - Markeringsfarve3 12 3" xfId="5798" xr:uid="{00000000-0005-0000-0000-0000455F0000}"/>
    <cellStyle name="40 % - Markeringsfarve3 12 3 2" xfId="13717" xr:uid="{00000000-0005-0000-0000-0000465F0000}"/>
    <cellStyle name="40 % - Markeringsfarve3 12 3 2 2" xfId="30032" xr:uid="{00000000-0005-0000-0000-0000475F0000}"/>
    <cellStyle name="40 % - Markeringsfarve3 12 3 2 3" xfId="44996" xr:uid="{00000000-0005-0000-0000-0000485F0000}"/>
    <cellStyle name="40 % - Markeringsfarve3 12 3 3" xfId="23010" xr:uid="{00000000-0005-0000-0000-0000495F0000}"/>
    <cellStyle name="40 % - Markeringsfarve3 12 3 4" xfId="37997" xr:uid="{00000000-0005-0000-0000-00004A5F0000}"/>
    <cellStyle name="40 % - Markeringsfarve3 12 4" xfId="12092" xr:uid="{00000000-0005-0000-0000-00004B5F0000}"/>
    <cellStyle name="40 % - Markeringsfarve3 12 4 2" xfId="28412" xr:uid="{00000000-0005-0000-0000-00004C5F0000}"/>
    <cellStyle name="40 % - Markeringsfarve3 12 4 3" xfId="43377" xr:uid="{00000000-0005-0000-0000-00004D5F0000}"/>
    <cellStyle name="40 % - Markeringsfarve3 12 5" xfId="21390" xr:uid="{00000000-0005-0000-0000-00004E5F0000}"/>
    <cellStyle name="40 % - Markeringsfarve3 12 6" xfId="36378" xr:uid="{00000000-0005-0000-0000-00004F5F0000}"/>
    <cellStyle name="40 % - Markeringsfarve3 13" xfId="3534" xr:uid="{00000000-0005-0000-0000-0000505F0000}"/>
    <cellStyle name="40 % - Markeringsfarve3 13 2" xfId="3535" xr:uid="{00000000-0005-0000-0000-0000515F0000}"/>
    <cellStyle name="40 % - Markeringsfarve3 13 2 2" xfId="8477" xr:uid="{00000000-0005-0000-0000-0000525F0000}"/>
    <cellStyle name="40 % - Markeringsfarve3 13 2 2 2" xfId="16366" xr:uid="{00000000-0005-0000-0000-0000535F0000}"/>
    <cellStyle name="40 % - Markeringsfarve3 13 2 2 2 2" xfId="32681" xr:uid="{00000000-0005-0000-0000-0000545F0000}"/>
    <cellStyle name="40 % - Markeringsfarve3 13 2 2 2 3" xfId="47645" xr:uid="{00000000-0005-0000-0000-0000555F0000}"/>
    <cellStyle name="40 % - Markeringsfarve3 13 2 2 3" xfId="25659" xr:uid="{00000000-0005-0000-0000-0000565F0000}"/>
    <cellStyle name="40 % - Markeringsfarve3 13 2 2 4" xfId="40646" xr:uid="{00000000-0005-0000-0000-0000575F0000}"/>
    <cellStyle name="40 % - Markeringsfarve3 13 2 3" xfId="12095" xr:uid="{00000000-0005-0000-0000-0000585F0000}"/>
    <cellStyle name="40 % - Markeringsfarve3 13 2 3 2" xfId="28415" xr:uid="{00000000-0005-0000-0000-0000595F0000}"/>
    <cellStyle name="40 % - Markeringsfarve3 13 2 3 3" xfId="43380" xr:uid="{00000000-0005-0000-0000-00005A5F0000}"/>
    <cellStyle name="40 % - Markeringsfarve3 13 2 4" xfId="21393" xr:uid="{00000000-0005-0000-0000-00005B5F0000}"/>
    <cellStyle name="40 % - Markeringsfarve3 13 2 5" xfId="36381" xr:uid="{00000000-0005-0000-0000-00005C5F0000}"/>
    <cellStyle name="40 % - Markeringsfarve3 13 3" xfId="5795" xr:uid="{00000000-0005-0000-0000-00005D5F0000}"/>
    <cellStyle name="40 % - Markeringsfarve3 13 3 2" xfId="13714" xr:uid="{00000000-0005-0000-0000-00005E5F0000}"/>
    <cellStyle name="40 % - Markeringsfarve3 13 3 2 2" xfId="30029" xr:uid="{00000000-0005-0000-0000-00005F5F0000}"/>
    <cellStyle name="40 % - Markeringsfarve3 13 3 2 3" xfId="44993" xr:uid="{00000000-0005-0000-0000-0000605F0000}"/>
    <cellStyle name="40 % - Markeringsfarve3 13 3 3" xfId="23007" xr:uid="{00000000-0005-0000-0000-0000615F0000}"/>
    <cellStyle name="40 % - Markeringsfarve3 13 3 4" xfId="37994" xr:uid="{00000000-0005-0000-0000-0000625F0000}"/>
    <cellStyle name="40 % - Markeringsfarve3 13 4" xfId="12094" xr:uid="{00000000-0005-0000-0000-0000635F0000}"/>
    <cellStyle name="40 % - Markeringsfarve3 13 4 2" xfId="28414" xr:uid="{00000000-0005-0000-0000-0000645F0000}"/>
    <cellStyle name="40 % - Markeringsfarve3 13 4 3" xfId="43379" xr:uid="{00000000-0005-0000-0000-0000655F0000}"/>
    <cellStyle name="40 % - Markeringsfarve3 13 5" xfId="21392" xr:uid="{00000000-0005-0000-0000-0000665F0000}"/>
    <cellStyle name="40 % - Markeringsfarve3 13 6" xfId="36380" xr:uid="{00000000-0005-0000-0000-0000675F0000}"/>
    <cellStyle name="40 % - Markeringsfarve3 14" xfId="3536" xr:uid="{00000000-0005-0000-0000-0000685F0000}"/>
    <cellStyle name="40 % - Markeringsfarve3 14 2" xfId="6654" xr:uid="{00000000-0005-0000-0000-0000695F0000}"/>
    <cellStyle name="40 % - Markeringsfarve3 14 2 2" xfId="14568" xr:uid="{00000000-0005-0000-0000-00006A5F0000}"/>
    <cellStyle name="40 % - Markeringsfarve3 14 2 2 2" xfId="30883" xr:uid="{00000000-0005-0000-0000-00006B5F0000}"/>
    <cellStyle name="40 % - Markeringsfarve3 14 2 2 3" xfId="45847" xr:uid="{00000000-0005-0000-0000-00006C5F0000}"/>
    <cellStyle name="40 % - Markeringsfarve3 14 2 3" xfId="23861" xr:uid="{00000000-0005-0000-0000-00006D5F0000}"/>
    <cellStyle name="40 % - Markeringsfarve3 14 2 4" xfId="38848" xr:uid="{00000000-0005-0000-0000-00006E5F0000}"/>
    <cellStyle name="40 % - Markeringsfarve3 14 3" xfId="12096" xr:uid="{00000000-0005-0000-0000-00006F5F0000}"/>
    <cellStyle name="40 % - Markeringsfarve3 14 3 2" xfId="28416" xr:uid="{00000000-0005-0000-0000-0000705F0000}"/>
    <cellStyle name="40 % - Markeringsfarve3 14 3 3" xfId="43381" xr:uid="{00000000-0005-0000-0000-0000715F0000}"/>
    <cellStyle name="40 % - Markeringsfarve3 14 4" xfId="21394" xr:uid="{00000000-0005-0000-0000-0000725F0000}"/>
    <cellStyle name="40 % - Markeringsfarve3 14 5" xfId="36382" xr:uid="{00000000-0005-0000-0000-0000735F0000}"/>
    <cellStyle name="40 % - Markeringsfarve3 15" xfId="3537" xr:uid="{00000000-0005-0000-0000-0000745F0000}"/>
    <cellStyle name="40 % - Markeringsfarve3 15 2" xfId="8356" xr:uid="{00000000-0005-0000-0000-0000755F0000}"/>
    <cellStyle name="40 % - Markeringsfarve3 15 2 2" xfId="16250" xr:uid="{00000000-0005-0000-0000-0000765F0000}"/>
    <cellStyle name="40 % - Markeringsfarve3 15 2 2 2" xfId="32565" xr:uid="{00000000-0005-0000-0000-0000775F0000}"/>
    <cellStyle name="40 % - Markeringsfarve3 15 2 2 3" xfId="47529" xr:uid="{00000000-0005-0000-0000-0000785F0000}"/>
    <cellStyle name="40 % - Markeringsfarve3 15 2 3" xfId="25543" xr:uid="{00000000-0005-0000-0000-0000795F0000}"/>
    <cellStyle name="40 % - Markeringsfarve3 15 2 4" xfId="40530" xr:uid="{00000000-0005-0000-0000-00007A5F0000}"/>
    <cellStyle name="40 % - Markeringsfarve3 15 3" xfId="12097" xr:uid="{00000000-0005-0000-0000-00007B5F0000}"/>
    <cellStyle name="40 % - Markeringsfarve3 15 3 2" xfId="28417" xr:uid="{00000000-0005-0000-0000-00007C5F0000}"/>
    <cellStyle name="40 % - Markeringsfarve3 15 3 3" xfId="43382" xr:uid="{00000000-0005-0000-0000-00007D5F0000}"/>
    <cellStyle name="40 % - Markeringsfarve3 15 4" xfId="21395" xr:uid="{00000000-0005-0000-0000-00007E5F0000}"/>
    <cellStyle name="40 % - Markeringsfarve3 15 5" xfId="36383" xr:uid="{00000000-0005-0000-0000-00007F5F0000}"/>
    <cellStyle name="40 % - Markeringsfarve3 16" xfId="3538" xr:uid="{00000000-0005-0000-0000-0000805F0000}"/>
    <cellStyle name="40 % - Markeringsfarve3 16 2" xfId="8624" xr:uid="{00000000-0005-0000-0000-0000815F0000}"/>
    <cellStyle name="40 % - Markeringsfarve3 16 2 2" xfId="16506" xr:uid="{00000000-0005-0000-0000-0000825F0000}"/>
    <cellStyle name="40 % - Markeringsfarve3 16 2 2 2" xfId="32821" xr:uid="{00000000-0005-0000-0000-0000835F0000}"/>
    <cellStyle name="40 % - Markeringsfarve3 16 2 2 3" xfId="47785" xr:uid="{00000000-0005-0000-0000-0000845F0000}"/>
    <cellStyle name="40 % - Markeringsfarve3 16 2 3" xfId="25799" xr:uid="{00000000-0005-0000-0000-0000855F0000}"/>
    <cellStyle name="40 % - Markeringsfarve3 16 2 4" xfId="40786" xr:uid="{00000000-0005-0000-0000-0000865F0000}"/>
    <cellStyle name="40 % - Markeringsfarve3 16 3" xfId="12098" xr:uid="{00000000-0005-0000-0000-0000875F0000}"/>
    <cellStyle name="40 % - Markeringsfarve3 16 3 2" xfId="28418" xr:uid="{00000000-0005-0000-0000-0000885F0000}"/>
    <cellStyle name="40 % - Markeringsfarve3 16 3 3" xfId="43383" xr:uid="{00000000-0005-0000-0000-0000895F0000}"/>
    <cellStyle name="40 % - Markeringsfarve3 16 4" xfId="21396" xr:uid="{00000000-0005-0000-0000-00008A5F0000}"/>
    <cellStyle name="40 % - Markeringsfarve3 16 5" xfId="36384" xr:uid="{00000000-0005-0000-0000-00008B5F0000}"/>
    <cellStyle name="40 % - Markeringsfarve3 17" xfId="5332" xr:uid="{00000000-0005-0000-0000-00008C5F0000}"/>
    <cellStyle name="40 % - Markeringsfarve3 17 2" xfId="13257" xr:uid="{00000000-0005-0000-0000-00008D5F0000}"/>
    <cellStyle name="40 % - Markeringsfarve3 17 2 2" xfId="29572" xr:uid="{00000000-0005-0000-0000-00008E5F0000}"/>
    <cellStyle name="40 % - Markeringsfarve3 17 2 3" xfId="44536" xr:uid="{00000000-0005-0000-0000-00008F5F0000}"/>
    <cellStyle name="40 % - Markeringsfarve3 17 3" xfId="22550" xr:uid="{00000000-0005-0000-0000-0000905F0000}"/>
    <cellStyle name="40 % - Markeringsfarve3 17 4" xfId="37537" xr:uid="{00000000-0005-0000-0000-0000915F0000}"/>
    <cellStyle name="40 % - Markeringsfarve3 18" xfId="3526" xr:uid="{00000000-0005-0000-0000-0000925F0000}"/>
    <cellStyle name="40 % - Markeringsfarve3 18 2" xfId="12086" xr:uid="{00000000-0005-0000-0000-0000935F0000}"/>
    <cellStyle name="40 % - Markeringsfarve3 18 2 2" xfId="28406" xr:uid="{00000000-0005-0000-0000-0000945F0000}"/>
    <cellStyle name="40 % - Markeringsfarve3 18 2 3" xfId="43371" xr:uid="{00000000-0005-0000-0000-0000955F0000}"/>
    <cellStyle name="40 % - Markeringsfarve3 18 3" xfId="21384" xr:uid="{00000000-0005-0000-0000-0000965F0000}"/>
    <cellStyle name="40 % - Markeringsfarve3 18 4" xfId="36372" xr:uid="{00000000-0005-0000-0000-0000975F0000}"/>
    <cellStyle name="40 % - Markeringsfarve3 2" xfId="3539" xr:uid="{00000000-0005-0000-0000-0000985F0000}"/>
    <cellStyle name="40 % - Markeringsfarve3 2 10" xfId="3540" xr:uid="{00000000-0005-0000-0000-0000995F0000}"/>
    <cellStyle name="40 % - Markeringsfarve3 2 10 2" xfId="6686" xr:uid="{00000000-0005-0000-0000-00009A5F0000}"/>
    <cellStyle name="40 % - Markeringsfarve3 2 10 2 2" xfId="14598" xr:uid="{00000000-0005-0000-0000-00009B5F0000}"/>
    <cellStyle name="40 % - Markeringsfarve3 2 10 2 2 2" xfId="30913" xr:uid="{00000000-0005-0000-0000-00009C5F0000}"/>
    <cellStyle name="40 % - Markeringsfarve3 2 10 2 2 3" xfId="45877" xr:uid="{00000000-0005-0000-0000-00009D5F0000}"/>
    <cellStyle name="40 % - Markeringsfarve3 2 10 2 3" xfId="23891" xr:uid="{00000000-0005-0000-0000-00009E5F0000}"/>
    <cellStyle name="40 % - Markeringsfarve3 2 10 2 4" xfId="38878" xr:uid="{00000000-0005-0000-0000-00009F5F0000}"/>
    <cellStyle name="40 % - Markeringsfarve3 2 10 3" xfId="12100" xr:uid="{00000000-0005-0000-0000-0000A05F0000}"/>
    <cellStyle name="40 % - Markeringsfarve3 2 10 3 2" xfId="28420" xr:uid="{00000000-0005-0000-0000-0000A15F0000}"/>
    <cellStyle name="40 % - Markeringsfarve3 2 10 3 3" xfId="43385" xr:uid="{00000000-0005-0000-0000-0000A25F0000}"/>
    <cellStyle name="40 % - Markeringsfarve3 2 10 4" xfId="21398" xr:uid="{00000000-0005-0000-0000-0000A35F0000}"/>
    <cellStyle name="40 % - Markeringsfarve3 2 10 5" xfId="36386" xr:uid="{00000000-0005-0000-0000-0000A45F0000}"/>
    <cellStyle name="40 % - Markeringsfarve3 2 11" xfId="3541" xr:uid="{00000000-0005-0000-0000-0000A55F0000}"/>
    <cellStyle name="40 % - Markeringsfarve3 2 11 2" xfId="8532" xr:uid="{00000000-0005-0000-0000-0000A65F0000}"/>
    <cellStyle name="40 % - Markeringsfarve3 2 11 2 2" xfId="16420" xr:uid="{00000000-0005-0000-0000-0000A75F0000}"/>
    <cellStyle name="40 % - Markeringsfarve3 2 11 2 2 2" xfId="32735" xr:uid="{00000000-0005-0000-0000-0000A85F0000}"/>
    <cellStyle name="40 % - Markeringsfarve3 2 11 2 2 3" xfId="47699" xr:uid="{00000000-0005-0000-0000-0000A95F0000}"/>
    <cellStyle name="40 % - Markeringsfarve3 2 11 2 3" xfId="25713" xr:uid="{00000000-0005-0000-0000-0000AA5F0000}"/>
    <cellStyle name="40 % - Markeringsfarve3 2 11 2 4" xfId="40700" xr:uid="{00000000-0005-0000-0000-0000AB5F0000}"/>
    <cellStyle name="40 % - Markeringsfarve3 2 11 3" xfId="12101" xr:uid="{00000000-0005-0000-0000-0000AC5F0000}"/>
    <cellStyle name="40 % - Markeringsfarve3 2 11 3 2" xfId="28421" xr:uid="{00000000-0005-0000-0000-0000AD5F0000}"/>
    <cellStyle name="40 % - Markeringsfarve3 2 11 3 3" xfId="43386" xr:uid="{00000000-0005-0000-0000-0000AE5F0000}"/>
    <cellStyle name="40 % - Markeringsfarve3 2 11 4" xfId="21399" xr:uid="{00000000-0005-0000-0000-0000AF5F0000}"/>
    <cellStyle name="40 % - Markeringsfarve3 2 11 5" xfId="36387" xr:uid="{00000000-0005-0000-0000-0000B05F0000}"/>
    <cellStyle name="40 % - Markeringsfarve3 2 12" xfId="5799" xr:uid="{00000000-0005-0000-0000-0000B15F0000}"/>
    <cellStyle name="40 % - Markeringsfarve3 2 12 2" xfId="13718" xr:uid="{00000000-0005-0000-0000-0000B25F0000}"/>
    <cellStyle name="40 % - Markeringsfarve3 2 12 2 2" xfId="30033" xr:uid="{00000000-0005-0000-0000-0000B35F0000}"/>
    <cellStyle name="40 % - Markeringsfarve3 2 12 2 3" xfId="44997" xr:uid="{00000000-0005-0000-0000-0000B45F0000}"/>
    <cellStyle name="40 % - Markeringsfarve3 2 12 3" xfId="23011" xr:uid="{00000000-0005-0000-0000-0000B55F0000}"/>
    <cellStyle name="40 % - Markeringsfarve3 2 12 4" xfId="37998" xr:uid="{00000000-0005-0000-0000-0000B65F0000}"/>
    <cellStyle name="40 % - Markeringsfarve3 2 13" xfId="12099" xr:uid="{00000000-0005-0000-0000-0000B75F0000}"/>
    <cellStyle name="40 % - Markeringsfarve3 2 13 2" xfId="28419" xr:uid="{00000000-0005-0000-0000-0000B85F0000}"/>
    <cellStyle name="40 % - Markeringsfarve3 2 13 3" xfId="43384" xr:uid="{00000000-0005-0000-0000-0000B95F0000}"/>
    <cellStyle name="40 % - Markeringsfarve3 2 14" xfId="21397" xr:uid="{00000000-0005-0000-0000-0000BA5F0000}"/>
    <cellStyle name="40 % - Markeringsfarve3 2 15" xfId="36385" xr:uid="{00000000-0005-0000-0000-0000BB5F0000}"/>
    <cellStyle name="40 % - Markeringsfarve3 2 16" xfId="53268" xr:uid="{00000000-0005-0000-0000-0000BC5F0000}"/>
    <cellStyle name="40 % - Markeringsfarve3 2 2" xfId="3542" xr:uid="{00000000-0005-0000-0000-0000BD5F0000}"/>
    <cellStyle name="40 % - Markeringsfarve3 2 2 10" xfId="5800" xr:uid="{00000000-0005-0000-0000-0000BE5F0000}"/>
    <cellStyle name="40 % - Markeringsfarve3 2 2 10 2" xfId="13719" xr:uid="{00000000-0005-0000-0000-0000BF5F0000}"/>
    <cellStyle name="40 % - Markeringsfarve3 2 2 10 2 2" xfId="30034" xr:uid="{00000000-0005-0000-0000-0000C05F0000}"/>
    <cellStyle name="40 % - Markeringsfarve3 2 2 10 2 3" xfId="44998" xr:uid="{00000000-0005-0000-0000-0000C15F0000}"/>
    <cellStyle name="40 % - Markeringsfarve3 2 2 10 3" xfId="23012" xr:uid="{00000000-0005-0000-0000-0000C25F0000}"/>
    <cellStyle name="40 % - Markeringsfarve3 2 2 10 4" xfId="37999" xr:uid="{00000000-0005-0000-0000-0000C35F0000}"/>
    <cellStyle name="40 % - Markeringsfarve3 2 2 11" xfId="12102" xr:uid="{00000000-0005-0000-0000-0000C45F0000}"/>
    <cellStyle name="40 % - Markeringsfarve3 2 2 11 2" xfId="28422" xr:uid="{00000000-0005-0000-0000-0000C55F0000}"/>
    <cellStyle name="40 % - Markeringsfarve3 2 2 11 3" xfId="43387" xr:uid="{00000000-0005-0000-0000-0000C65F0000}"/>
    <cellStyle name="40 % - Markeringsfarve3 2 2 12" xfId="21400" xr:uid="{00000000-0005-0000-0000-0000C75F0000}"/>
    <cellStyle name="40 % - Markeringsfarve3 2 2 13" xfId="36388" xr:uid="{00000000-0005-0000-0000-0000C85F0000}"/>
    <cellStyle name="40 % - Markeringsfarve3 2 2 14" xfId="53267" xr:uid="{00000000-0005-0000-0000-0000C95F0000}"/>
    <cellStyle name="40 % - Markeringsfarve3 2 2 2" xfId="3543" xr:uid="{00000000-0005-0000-0000-0000CA5F0000}"/>
    <cellStyle name="40 % - Markeringsfarve3 2 2 2 2" xfId="3544" xr:uid="{00000000-0005-0000-0000-0000CB5F0000}"/>
    <cellStyle name="40 % - Markeringsfarve3 2 2 2 2 2" xfId="3545" xr:uid="{00000000-0005-0000-0000-0000CC5F0000}"/>
    <cellStyle name="40 % - Markeringsfarve3 2 2 2 2 2 2" xfId="7617" xr:uid="{00000000-0005-0000-0000-0000CD5F0000}"/>
    <cellStyle name="40 % - Markeringsfarve3 2 2 2 2 2 2 2" xfId="15519" xr:uid="{00000000-0005-0000-0000-0000CE5F0000}"/>
    <cellStyle name="40 % - Markeringsfarve3 2 2 2 2 2 2 2 2" xfId="31834" xr:uid="{00000000-0005-0000-0000-0000CF5F0000}"/>
    <cellStyle name="40 % - Markeringsfarve3 2 2 2 2 2 2 2 3" xfId="46798" xr:uid="{00000000-0005-0000-0000-0000D05F0000}"/>
    <cellStyle name="40 % - Markeringsfarve3 2 2 2 2 2 2 3" xfId="24812" xr:uid="{00000000-0005-0000-0000-0000D15F0000}"/>
    <cellStyle name="40 % - Markeringsfarve3 2 2 2 2 2 2 4" xfId="39799" xr:uid="{00000000-0005-0000-0000-0000D25F0000}"/>
    <cellStyle name="40 % - Markeringsfarve3 2 2 2 2 2 3" xfId="12105" xr:uid="{00000000-0005-0000-0000-0000D35F0000}"/>
    <cellStyle name="40 % - Markeringsfarve3 2 2 2 2 2 3 2" xfId="28425" xr:uid="{00000000-0005-0000-0000-0000D45F0000}"/>
    <cellStyle name="40 % - Markeringsfarve3 2 2 2 2 2 3 3" xfId="43390" xr:uid="{00000000-0005-0000-0000-0000D55F0000}"/>
    <cellStyle name="40 % - Markeringsfarve3 2 2 2 2 2 4" xfId="21403" xr:uid="{00000000-0005-0000-0000-0000D65F0000}"/>
    <cellStyle name="40 % - Markeringsfarve3 2 2 2 2 2 5" xfId="36391" xr:uid="{00000000-0005-0000-0000-0000D75F0000}"/>
    <cellStyle name="40 % - Markeringsfarve3 2 2 2 2 3" xfId="6189" xr:uid="{00000000-0005-0000-0000-0000D85F0000}"/>
    <cellStyle name="40 % - Markeringsfarve3 2 2 2 2 3 2" xfId="14107" xr:uid="{00000000-0005-0000-0000-0000D95F0000}"/>
    <cellStyle name="40 % - Markeringsfarve3 2 2 2 2 3 2 2" xfId="30422" xr:uid="{00000000-0005-0000-0000-0000DA5F0000}"/>
    <cellStyle name="40 % - Markeringsfarve3 2 2 2 2 3 2 3" xfId="45386" xr:uid="{00000000-0005-0000-0000-0000DB5F0000}"/>
    <cellStyle name="40 % - Markeringsfarve3 2 2 2 2 3 3" xfId="23400" xr:uid="{00000000-0005-0000-0000-0000DC5F0000}"/>
    <cellStyle name="40 % - Markeringsfarve3 2 2 2 2 3 4" xfId="38387" xr:uid="{00000000-0005-0000-0000-0000DD5F0000}"/>
    <cellStyle name="40 % - Markeringsfarve3 2 2 2 2 4" xfId="12104" xr:uid="{00000000-0005-0000-0000-0000DE5F0000}"/>
    <cellStyle name="40 % - Markeringsfarve3 2 2 2 2 4 2" xfId="28424" xr:uid="{00000000-0005-0000-0000-0000DF5F0000}"/>
    <cellStyle name="40 % - Markeringsfarve3 2 2 2 2 4 3" xfId="43389" xr:uid="{00000000-0005-0000-0000-0000E05F0000}"/>
    <cellStyle name="40 % - Markeringsfarve3 2 2 2 2 5" xfId="21402" xr:uid="{00000000-0005-0000-0000-0000E15F0000}"/>
    <cellStyle name="40 % - Markeringsfarve3 2 2 2 2 6" xfId="36390" xr:uid="{00000000-0005-0000-0000-0000E25F0000}"/>
    <cellStyle name="40 % - Markeringsfarve3 2 2 2 2 7" xfId="57071" xr:uid="{00000000-0005-0000-0000-0000E35F0000}"/>
    <cellStyle name="40 % - Markeringsfarve3 2 2 2 3" xfId="3546" xr:uid="{00000000-0005-0000-0000-0000E45F0000}"/>
    <cellStyle name="40 % - Markeringsfarve3 2 2 2 3 2" xfId="6847" xr:uid="{00000000-0005-0000-0000-0000E55F0000}"/>
    <cellStyle name="40 % - Markeringsfarve3 2 2 2 3 2 2" xfId="14759" xr:uid="{00000000-0005-0000-0000-0000E65F0000}"/>
    <cellStyle name="40 % - Markeringsfarve3 2 2 2 3 2 2 2" xfId="31074" xr:uid="{00000000-0005-0000-0000-0000E75F0000}"/>
    <cellStyle name="40 % - Markeringsfarve3 2 2 2 3 2 2 3" xfId="46038" xr:uid="{00000000-0005-0000-0000-0000E85F0000}"/>
    <cellStyle name="40 % - Markeringsfarve3 2 2 2 3 2 3" xfId="24052" xr:uid="{00000000-0005-0000-0000-0000E95F0000}"/>
    <cellStyle name="40 % - Markeringsfarve3 2 2 2 3 2 4" xfId="39039" xr:uid="{00000000-0005-0000-0000-0000EA5F0000}"/>
    <cellStyle name="40 % - Markeringsfarve3 2 2 2 3 3" xfId="12106" xr:uid="{00000000-0005-0000-0000-0000EB5F0000}"/>
    <cellStyle name="40 % - Markeringsfarve3 2 2 2 3 3 2" xfId="28426" xr:uid="{00000000-0005-0000-0000-0000EC5F0000}"/>
    <cellStyle name="40 % - Markeringsfarve3 2 2 2 3 3 3" xfId="43391" xr:uid="{00000000-0005-0000-0000-0000ED5F0000}"/>
    <cellStyle name="40 % - Markeringsfarve3 2 2 2 3 4" xfId="21404" xr:uid="{00000000-0005-0000-0000-0000EE5F0000}"/>
    <cellStyle name="40 % - Markeringsfarve3 2 2 2 3 5" xfId="36392" xr:uid="{00000000-0005-0000-0000-0000EF5F0000}"/>
    <cellStyle name="40 % - Markeringsfarve3 2 2 2 4" xfId="3547" xr:uid="{00000000-0005-0000-0000-0000F05F0000}"/>
    <cellStyle name="40 % - Markeringsfarve3 2 2 2 4 2" xfId="6640" xr:uid="{00000000-0005-0000-0000-0000F15F0000}"/>
    <cellStyle name="40 % - Markeringsfarve3 2 2 2 4 2 2" xfId="14554" xr:uid="{00000000-0005-0000-0000-0000F25F0000}"/>
    <cellStyle name="40 % - Markeringsfarve3 2 2 2 4 2 2 2" xfId="30869" xr:uid="{00000000-0005-0000-0000-0000F35F0000}"/>
    <cellStyle name="40 % - Markeringsfarve3 2 2 2 4 2 2 3" xfId="45833" xr:uid="{00000000-0005-0000-0000-0000F45F0000}"/>
    <cellStyle name="40 % - Markeringsfarve3 2 2 2 4 2 3" xfId="23847" xr:uid="{00000000-0005-0000-0000-0000F55F0000}"/>
    <cellStyle name="40 % - Markeringsfarve3 2 2 2 4 2 4" xfId="38834" xr:uid="{00000000-0005-0000-0000-0000F65F0000}"/>
    <cellStyle name="40 % - Markeringsfarve3 2 2 2 4 3" xfId="12107" xr:uid="{00000000-0005-0000-0000-0000F75F0000}"/>
    <cellStyle name="40 % - Markeringsfarve3 2 2 2 4 3 2" xfId="28427" xr:uid="{00000000-0005-0000-0000-0000F85F0000}"/>
    <cellStyle name="40 % - Markeringsfarve3 2 2 2 4 3 3" xfId="43392" xr:uid="{00000000-0005-0000-0000-0000F95F0000}"/>
    <cellStyle name="40 % - Markeringsfarve3 2 2 2 4 4" xfId="21405" xr:uid="{00000000-0005-0000-0000-0000FA5F0000}"/>
    <cellStyle name="40 % - Markeringsfarve3 2 2 2 4 5" xfId="36393" xr:uid="{00000000-0005-0000-0000-0000FB5F0000}"/>
    <cellStyle name="40 % - Markeringsfarve3 2 2 2 5" xfId="5801" xr:uid="{00000000-0005-0000-0000-0000FC5F0000}"/>
    <cellStyle name="40 % - Markeringsfarve3 2 2 2 5 2" xfId="13720" xr:uid="{00000000-0005-0000-0000-0000FD5F0000}"/>
    <cellStyle name="40 % - Markeringsfarve3 2 2 2 5 2 2" xfId="30035" xr:uid="{00000000-0005-0000-0000-0000FE5F0000}"/>
    <cellStyle name="40 % - Markeringsfarve3 2 2 2 5 2 3" xfId="44999" xr:uid="{00000000-0005-0000-0000-0000FF5F0000}"/>
    <cellStyle name="40 % - Markeringsfarve3 2 2 2 5 3" xfId="23013" xr:uid="{00000000-0005-0000-0000-000000600000}"/>
    <cellStyle name="40 % - Markeringsfarve3 2 2 2 5 4" xfId="38000" xr:uid="{00000000-0005-0000-0000-000001600000}"/>
    <cellStyle name="40 % - Markeringsfarve3 2 2 2 6" xfId="12103" xr:uid="{00000000-0005-0000-0000-000002600000}"/>
    <cellStyle name="40 % - Markeringsfarve3 2 2 2 6 2" xfId="28423" xr:uid="{00000000-0005-0000-0000-000003600000}"/>
    <cellStyle name="40 % - Markeringsfarve3 2 2 2 6 3" xfId="43388" xr:uid="{00000000-0005-0000-0000-000004600000}"/>
    <cellStyle name="40 % - Markeringsfarve3 2 2 2 7" xfId="21401" xr:uid="{00000000-0005-0000-0000-000005600000}"/>
    <cellStyle name="40 % - Markeringsfarve3 2 2 2 8" xfId="36389" xr:uid="{00000000-0005-0000-0000-000006600000}"/>
    <cellStyle name="40 % - Markeringsfarve3 2 2 2 9" xfId="53904" xr:uid="{00000000-0005-0000-0000-000007600000}"/>
    <cellStyle name="40 % - Markeringsfarve3 2 2 3" xfId="3548" xr:uid="{00000000-0005-0000-0000-000008600000}"/>
    <cellStyle name="40 % - Markeringsfarve3 2 2 3 2" xfId="3549" xr:uid="{00000000-0005-0000-0000-000009600000}"/>
    <cellStyle name="40 % - Markeringsfarve3 2 2 3 2 2" xfId="3550" xr:uid="{00000000-0005-0000-0000-00000A600000}"/>
    <cellStyle name="40 % - Markeringsfarve3 2 2 3 2 2 2" xfId="7738" xr:uid="{00000000-0005-0000-0000-00000B600000}"/>
    <cellStyle name="40 % - Markeringsfarve3 2 2 3 2 2 2 2" xfId="15640" xr:uid="{00000000-0005-0000-0000-00000C600000}"/>
    <cellStyle name="40 % - Markeringsfarve3 2 2 3 2 2 2 2 2" xfId="31955" xr:uid="{00000000-0005-0000-0000-00000D600000}"/>
    <cellStyle name="40 % - Markeringsfarve3 2 2 3 2 2 2 2 3" xfId="46919" xr:uid="{00000000-0005-0000-0000-00000E600000}"/>
    <cellStyle name="40 % - Markeringsfarve3 2 2 3 2 2 2 3" xfId="24933" xr:uid="{00000000-0005-0000-0000-00000F600000}"/>
    <cellStyle name="40 % - Markeringsfarve3 2 2 3 2 2 2 4" xfId="39920" xr:uid="{00000000-0005-0000-0000-000010600000}"/>
    <cellStyle name="40 % - Markeringsfarve3 2 2 3 2 2 3" xfId="12110" xr:uid="{00000000-0005-0000-0000-000011600000}"/>
    <cellStyle name="40 % - Markeringsfarve3 2 2 3 2 2 3 2" xfId="28430" xr:uid="{00000000-0005-0000-0000-000012600000}"/>
    <cellStyle name="40 % - Markeringsfarve3 2 2 3 2 2 3 3" xfId="43395" xr:uid="{00000000-0005-0000-0000-000013600000}"/>
    <cellStyle name="40 % - Markeringsfarve3 2 2 3 2 2 4" xfId="21408" xr:uid="{00000000-0005-0000-0000-000014600000}"/>
    <cellStyle name="40 % - Markeringsfarve3 2 2 3 2 2 5" xfId="36396" xr:uid="{00000000-0005-0000-0000-000015600000}"/>
    <cellStyle name="40 % - Markeringsfarve3 2 2 3 2 3" xfId="6284" xr:uid="{00000000-0005-0000-0000-000016600000}"/>
    <cellStyle name="40 % - Markeringsfarve3 2 2 3 2 3 2" xfId="14202" xr:uid="{00000000-0005-0000-0000-000017600000}"/>
    <cellStyle name="40 % - Markeringsfarve3 2 2 3 2 3 2 2" xfId="30517" xr:uid="{00000000-0005-0000-0000-000018600000}"/>
    <cellStyle name="40 % - Markeringsfarve3 2 2 3 2 3 2 3" xfId="45481" xr:uid="{00000000-0005-0000-0000-000019600000}"/>
    <cellStyle name="40 % - Markeringsfarve3 2 2 3 2 3 3" xfId="23495" xr:uid="{00000000-0005-0000-0000-00001A600000}"/>
    <cellStyle name="40 % - Markeringsfarve3 2 2 3 2 3 4" xfId="38482" xr:uid="{00000000-0005-0000-0000-00001B600000}"/>
    <cellStyle name="40 % - Markeringsfarve3 2 2 3 2 4" xfId="12109" xr:uid="{00000000-0005-0000-0000-00001C600000}"/>
    <cellStyle name="40 % - Markeringsfarve3 2 2 3 2 4 2" xfId="28429" xr:uid="{00000000-0005-0000-0000-00001D600000}"/>
    <cellStyle name="40 % - Markeringsfarve3 2 2 3 2 4 3" xfId="43394" xr:uid="{00000000-0005-0000-0000-00001E600000}"/>
    <cellStyle name="40 % - Markeringsfarve3 2 2 3 2 5" xfId="21407" xr:uid="{00000000-0005-0000-0000-00001F600000}"/>
    <cellStyle name="40 % - Markeringsfarve3 2 2 3 2 6" xfId="36395" xr:uid="{00000000-0005-0000-0000-000020600000}"/>
    <cellStyle name="40 % - Markeringsfarve3 2 2 3 3" xfId="3551" xr:uid="{00000000-0005-0000-0000-000021600000}"/>
    <cellStyle name="40 % - Markeringsfarve3 2 2 3 3 2" xfId="6968" xr:uid="{00000000-0005-0000-0000-000022600000}"/>
    <cellStyle name="40 % - Markeringsfarve3 2 2 3 3 2 2" xfId="14880" xr:uid="{00000000-0005-0000-0000-000023600000}"/>
    <cellStyle name="40 % - Markeringsfarve3 2 2 3 3 2 2 2" xfId="31195" xr:uid="{00000000-0005-0000-0000-000024600000}"/>
    <cellStyle name="40 % - Markeringsfarve3 2 2 3 3 2 2 3" xfId="46159" xr:uid="{00000000-0005-0000-0000-000025600000}"/>
    <cellStyle name="40 % - Markeringsfarve3 2 2 3 3 2 3" xfId="24173" xr:uid="{00000000-0005-0000-0000-000026600000}"/>
    <cellStyle name="40 % - Markeringsfarve3 2 2 3 3 2 4" xfId="39160" xr:uid="{00000000-0005-0000-0000-000027600000}"/>
    <cellStyle name="40 % - Markeringsfarve3 2 2 3 3 3" xfId="12111" xr:uid="{00000000-0005-0000-0000-000028600000}"/>
    <cellStyle name="40 % - Markeringsfarve3 2 2 3 3 3 2" xfId="28431" xr:uid="{00000000-0005-0000-0000-000029600000}"/>
    <cellStyle name="40 % - Markeringsfarve3 2 2 3 3 3 3" xfId="43396" xr:uid="{00000000-0005-0000-0000-00002A600000}"/>
    <cellStyle name="40 % - Markeringsfarve3 2 2 3 3 4" xfId="21409" xr:uid="{00000000-0005-0000-0000-00002B600000}"/>
    <cellStyle name="40 % - Markeringsfarve3 2 2 3 3 5" xfId="36397" xr:uid="{00000000-0005-0000-0000-00002C600000}"/>
    <cellStyle name="40 % - Markeringsfarve3 2 2 3 4" xfId="3552" xr:uid="{00000000-0005-0000-0000-00002D600000}"/>
    <cellStyle name="40 % - Markeringsfarve3 2 2 3 4 2" xfId="6641" xr:uid="{00000000-0005-0000-0000-00002E600000}"/>
    <cellStyle name="40 % - Markeringsfarve3 2 2 3 4 2 2" xfId="14555" xr:uid="{00000000-0005-0000-0000-00002F600000}"/>
    <cellStyle name="40 % - Markeringsfarve3 2 2 3 4 2 2 2" xfId="30870" xr:uid="{00000000-0005-0000-0000-000030600000}"/>
    <cellStyle name="40 % - Markeringsfarve3 2 2 3 4 2 2 3" xfId="45834" xr:uid="{00000000-0005-0000-0000-000031600000}"/>
    <cellStyle name="40 % - Markeringsfarve3 2 2 3 4 2 3" xfId="23848" xr:uid="{00000000-0005-0000-0000-000032600000}"/>
    <cellStyle name="40 % - Markeringsfarve3 2 2 3 4 2 4" xfId="38835" xr:uid="{00000000-0005-0000-0000-000033600000}"/>
    <cellStyle name="40 % - Markeringsfarve3 2 2 3 4 3" xfId="12112" xr:uid="{00000000-0005-0000-0000-000034600000}"/>
    <cellStyle name="40 % - Markeringsfarve3 2 2 3 4 3 2" xfId="28432" xr:uid="{00000000-0005-0000-0000-000035600000}"/>
    <cellStyle name="40 % - Markeringsfarve3 2 2 3 4 3 3" xfId="43397" xr:uid="{00000000-0005-0000-0000-000036600000}"/>
    <cellStyle name="40 % - Markeringsfarve3 2 2 3 4 4" xfId="21410" xr:uid="{00000000-0005-0000-0000-000037600000}"/>
    <cellStyle name="40 % - Markeringsfarve3 2 2 3 4 5" xfId="36398" xr:uid="{00000000-0005-0000-0000-000038600000}"/>
    <cellStyle name="40 % - Markeringsfarve3 2 2 3 5" xfId="5802" xr:uid="{00000000-0005-0000-0000-000039600000}"/>
    <cellStyle name="40 % - Markeringsfarve3 2 2 3 5 2" xfId="13721" xr:uid="{00000000-0005-0000-0000-00003A600000}"/>
    <cellStyle name="40 % - Markeringsfarve3 2 2 3 5 2 2" xfId="30036" xr:uid="{00000000-0005-0000-0000-00003B600000}"/>
    <cellStyle name="40 % - Markeringsfarve3 2 2 3 5 2 3" xfId="45000" xr:uid="{00000000-0005-0000-0000-00003C600000}"/>
    <cellStyle name="40 % - Markeringsfarve3 2 2 3 5 3" xfId="23014" xr:uid="{00000000-0005-0000-0000-00003D600000}"/>
    <cellStyle name="40 % - Markeringsfarve3 2 2 3 5 4" xfId="38001" xr:uid="{00000000-0005-0000-0000-00003E600000}"/>
    <cellStyle name="40 % - Markeringsfarve3 2 2 3 6" xfId="12108" xr:uid="{00000000-0005-0000-0000-00003F600000}"/>
    <cellStyle name="40 % - Markeringsfarve3 2 2 3 6 2" xfId="28428" xr:uid="{00000000-0005-0000-0000-000040600000}"/>
    <cellStyle name="40 % - Markeringsfarve3 2 2 3 6 3" xfId="43393" xr:uid="{00000000-0005-0000-0000-000041600000}"/>
    <cellStyle name="40 % - Markeringsfarve3 2 2 3 7" xfId="21406" xr:uid="{00000000-0005-0000-0000-000042600000}"/>
    <cellStyle name="40 % - Markeringsfarve3 2 2 3 8" xfId="36394" xr:uid="{00000000-0005-0000-0000-000043600000}"/>
    <cellStyle name="40 % - Markeringsfarve3 2 2 3 9" xfId="56448" xr:uid="{00000000-0005-0000-0000-000044600000}"/>
    <cellStyle name="40 % - Markeringsfarve3 2 2 4" xfId="3553" xr:uid="{00000000-0005-0000-0000-000045600000}"/>
    <cellStyle name="40 % - Markeringsfarve3 2 2 4 2" xfId="3554" xr:uid="{00000000-0005-0000-0000-000046600000}"/>
    <cellStyle name="40 % - Markeringsfarve3 2 2 4 2 2" xfId="3555" xr:uid="{00000000-0005-0000-0000-000047600000}"/>
    <cellStyle name="40 % - Markeringsfarve3 2 2 4 2 2 2" xfId="7855" xr:uid="{00000000-0005-0000-0000-000048600000}"/>
    <cellStyle name="40 % - Markeringsfarve3 2 2 4 2 2 2 2" xfId="15757" xr:uid="{00000000-0005-0000-0000-000049600000}"/>
    <cellStyle name="40 % - Markeringsfarve3 2 2 4 2 2 2 2 2" xfId="32072" xr:uid="{00000000-0005-0000-0000-00004A600000}"/>
    <cellStyle name="40 % - Markeringsfarve3 2 2 4 2 2 2 2 3" xfId="47036" xr:uid="{00000000-0005-0000-0000-00004B600000}"/>
    <cellStyle name="40 % - Markeringsfarve3 2 2 4 2 2 2 3" xfId="25050" xr:uid="{00000000-0005-0000-0000-00004C600000}"/>
    <cellStyle name="40 % - Markeringsfarve3 2 2 4 2 2 2 4" xfId="40037" xr:uid="{00000000-0005-0000-0000-00004D600000}"/>
    <cellStyle name="40 % - Markeringsfarve3 2 2 4 2 2 3" xfId="12115" xr:uid="{00000000-0005-0000-0000-00004E600000}"/>
    <cellStyle name="40 % - Markeringsfarve3 2 2 4 2 2 3 2" xfId="28435" xr:uid="{00000000-0005-0000-0000-00004F600000}"/>
    <cellStyle name="40 % - Markeringsfarve3 2 2 4 2 2 3 3" xfId="43400" xr:uid="{00000000-0005-0000-0000-000050600000}"/>
    <cellStyle name="40 % - Markeringsfarve3 2 2 4 2 2 4" xfId="21413" xr:uid="{00000000-0005-0000-0000-000051600000}"/>
    <cellStyle name="40 % - Markeringsfarve3 2 2 4 2 2 5" xfId="36401" xr:uid="{00000000-0005-0000-0000-000052600000}"/>
    <cellStyle name="40 % - Markeringsfarve3 2 2 4 2 3" xfId="6391" xr:uid="{00000000-0005-0000-0000-000053600000}"/>
    <cellStyle name="40 % - Markeringsfarve3 2 2 4 2 3 2" xfId="14306" xr:uid="{00000000-0005-0000-0000-000054600000}"/>
    <cellStyle name="40 % - Markeringsfarve3 2 2 4 2 3 2 2" xfId="30621" xr:uid="{00000000-0005-0000-0000-000055600000}"/>
    <cellStyle name="40 % - Markeringsfarve3 2 2 4 2 3 2 3" xfId="45585" xr:uid="{00000000-0005-0000-0000-000056600000}"/>
    <cellStyle name="40 % - Markeringsfarve3 2 2 4 2 3 3" xfId="23599" xr:uid="{00000000-0005-0000-0000-000057600000}"/>
    <cellStyle name="40 % - Markeringsfarve3 2 2 4 2 3 4" xfId="38586" xr:uid="{00000000-0005-0000-0000-000058600000}"/>
    <cellStyle name="40 % - Markeringsfarve3 2 2 4 2 4" xfId="12114" xr:uid="{00000000-0005-0000-0000-000059600000}"/>
    <cellStyle name="40 % - Markeringsfarve3 2 2 4 2 4 2" xfId="28434" xr:uid="{00000000-0005-0000-0000-00005A600000}"/>
    <cellStyle name="40 % - Markeringsfarve3 2 2 4 2 4 3" xfId="43399" xr:uid="{00000000-0005-0000-0000-00005B600000}"/>
    <cellStyle name="40 % - Markeringsfarve3 2 2 4 2 5" xfId="21412" xr:uid="{00000000-0005-0000-0000-00005C600000}"/>
    <cellStyle name="40 % - Markeringsfarve3 2 2 4 2 6" xfId="36400" xr:uid="{00000000-0005-0000-0000-00005D600000}"/>
    <cellStyle name="40 % - Markeringsfarve3 2 2 4 3" xfId="3556" xr:uid="{00000000-0005-0000-0000-00005E600000}"/>
    <cellStyle name="40 % - Markeringsfarve3 2 2 4 3 2" xfId="7131" xr:uid="{00000000-0005-0000-0000-00005F600000}"/>
    <cellStyle name="40 % - Markeringsfarve3 2 2 4 3 2 2" xfId="15042" xr:uid="{00000000-0005-0000-0000-000060600000}"/>
    <cellStyle name="40 % - Markeringsfarve3 2 2 4 3 2 2 2" xfId="31357" xr:uid="{00000000-0005-0000-0000-000061600000}"/>
    <cellStyle name="40 % - Markeringsfarve3 2 2 4 3 2 2 3" xfId="46321" xr:uid="{00000000-0005-0000-0000-000062600000}"/>
    <cellStyle name="40 % - Markeringsfarve3 2 2 4 3 2 3" xfId="24335" xr:uid="{00000000-0005-0000-0000-000063600000}"/>
    <cellStyle name="40 % - Markeringsfarve3 2 2 4 3 2 4" xfId="39322" xr:uid="{00000000-0005-0000-0000-000064600000}"/>
    <cellStyle name="40 % - Markeringsfarve3 2 2 4 3 3" xfId="12116" xr:uid="{00000000-0005-0000-0000-000065600000}"/>
    <cellStyle name="40 % - Markeringsfarve3 2 2 4 3 3 2" xfId="28436" xr:uid="{00000000-0005-0000-0000-000066600000}"/>
    <cellStyle name="40 % - Markeringsfarve3 2 2 4 3 3 3" xfId="43401" xr:uid="{00000000-0005-0000-0000-000067600000}"/>
    <cellStyle name="40 % - Markeringsfarve3 2 2 4 3 4" xfId="21414" xr:uid="{00000000-0005-0000-0000-000068600000}"/>
    <cellStyle name="40 % - Markeringsfarve3 2 2 4 3 5" xfId="36402" xr:uid="{00000000-0005-0000-0000-000069600000}"/>
    <cellStyle name="40 % - Markeringsfarve3 2 2 4 4" xfId="3557" xr:uid="{00000000-0005-0000-0000-00006A600000}"/>
    <cellStyle name="40 % - Markeringsfarve3 2 2 4 4 2" xfId="8482" xr:uid="{00000000-0005-0000-0000-00006B600000}"/>
    <cellStyle name="40 % - Markeringsfarve3 2 2 4 4 2 2" xfId="16371" xr:uid="{00000000-0005-0000-0000-00006C600000}"/>
    <cellStyle name="40 % - Markeringsfarve3 2 2 4 4 2 2 2" xfId="32686" xr:uid="{00000000-0005-0000-0000-00006D600000}"/>
    <cellStyle name="40 % - Markeringsfarve3 2 2 4 4 2 2 3" xfId="47650" xr:uid="{00000000-0005-0000-0000-00006E600000}"/>
    <cellStyle name="40 % - Markeringsfarve3 2 2 4 4 2 3" xfId="25664" xr:uid="{00000000-0005-0000-0000-00006F600000}"/>
    <cellStyle name="40 % - Markeringsfarve3 2 2 4 4 2 4" xfId="40651" xr:uid="{00000000-0005-0000-0000-000070600000}"/>
    <cellStyle name="40 % - Markeringsfarve3 2 2 4 4 3" xfId="12117" xr:uid="{00000000-0005-0000-0000-000071600000}"/>
    <cellStyle name="40 % - Markeringsfarve3 2 2 4 4 3 2" xfId="28437" xr:uid="{00000000-0005-0000-0000-000072600000}"/>
    <cellStyle name="40 % - Markeringsfarve3 2 2 4 4 3 3" xfId="43402" xr:uid="{00000000-0005-0000-0000-000073600000}"/>
    <cellStyle name="40 % - Markeringsfarve3 2 2 4 4 4" xfId="21415" xr:uid="{00000000-0005-0000-0000-000074600000}"/>
    <cellStyle name="40 % - Markeringsfarve3 2 2 4 4 5" xfId="36403" xr:uid="{00000000-0005-0000-0000-000075600000}"/>
    <cellStyle name="40 % - Markeringsfarve3 2 2 4 5" xfId="5803" xr:uid="{00000000-0005-0000-0000-000076600000}"/>
    <cellStyle name="40 % - Markeringsfarve3 2 2 4 5 2" xfId="13722" xr:uid="{00000000-0005-0000-0000-000077600000}"/>
    <cellStyle name="40 % - Markeringsfarve3 2 2 4 5 2 2" xfId="30037" xr:uid="{00000000-0005-0000-0000-000078600000}"/>
    <cellStyle name="40 % - Markeringsfarve3 2 2 4 5 2 3" xfId="45001" xr:uid="{00000000-0005-0000-0000-000079600000}"/>
    <cellStyle name="40 % - Markeringsfarve3 2 2 4 5 3" xfId="23015" xr:uid="{00000000-0005-0000-0000-00007A600000}"/>
    <cellStyle name="40 % - Markeringsfarve3 2 2 4 5 4" xfId="38002" xr:uid="{00000000-0005-0000-0000-00007B600000}"/>
    <cellStyle name="40 % - Markeringsfarve3 2 2 4 6" xfId="12113" xr:uid="{00000000-0005-0000-0000-00007C600000}"/>
    <cellStyle name="40 % - Markeringsfarve3 2 2 4 6 2" xfId="28433" xr:uid="{00000000-0005-0000-0000-00007D600000}"/>
    <cellStyle name="40 % - Markeringsfarve3 2 2 4 6 3" xfId="43398" xr:uid="{00000000-0005-0000-0000-00007E600000}"/>
    <cellStyle name="40 % - Markeringsfarve3 2 2 4 7" xfId="21411" xr:uid="{00000000-0005-0000-0000-00007F600000}"/>
    <cellStyle name="40 % - Markeringsfarve3 2 2 4 8" xfId="36399" xr:uid="{00000000-0005-0000-0000-000080600000}"/>
    <cellStyle name="40 % - Markeringsfarve3 2 2 5" xfId="3558" xr:uid="{00000000-0005-0000-0000-000081600000}"/>
    <cellStyle name="40 % - Markeringsfarve3 2 2 5 2" xfId="3559" xr:uid="{00000000-0005-0000-0000-000082600000}"/>
    <cellStyle name="40 % - Markeringsfarve3 2 2 5 2 2" xfId="3560" xr:uid="{00000000-0005-0000-0000-000083600000}"/>
    <cellStyle name="40 % - Markeringsfarve3 2 2 5 2 2 2" xfId="7972" xr:uid="{00000000-0005-0000-0000-000084600000}"/>
    <cellStyle name="40 % - Markeringsfarve3 2 2 5 2 2 2 2" xfId="15874" xr:uid="{00000000-0005-0000-0000-000085600000}"/>
    <cellStyle name="40 % - Markeringsfarve3 2 2 5 2 2 2 2 2" xfId="32189" xr:uid="{00000000-0005-0000-0000-000086600000}"/>
    <cellStyle name="40 % - Markeringsfarve3 2 2 5 2 2 2 2 3" xfId="47153" xr:uid="{00000000-0005-0000-0000-000087600000}"/>
    <cellStyle name="40 % - Markeringsfarve3 2 2 5 2 2 2 3" xfId="25167" xr:uid="{00000000-0005-0000-0000-000088600000}"/>
    <cellStyle name="40 % - Markeringsfarve3 2 2 5 2 2 2 4" xfId="40154" xr:uid="{00000000-0005-0000-0000-000089600000}"/>
    <cellStyle name="40 % - Markeringsfarve3 2 2 5 2 2 3" xfId="12120" xr:uid="{00000000-0005-0000-0000-00008A600000}"/>
    <cellStyle name="40 % - Markeringsfarve3 2 2 5 2 2 3 2" xfId="28440" xr:uid="{00000000-0005-0000-0000-00008B600000}"/>
    <cellStyle name="40 % - Markeringsfarve3 2 2 5 2 2 3 3" xfId="43405" xr:uid="{00000000-0005-0000-0000-00008C600000}"/>
    <cellStyle name="40 % - Markeringsfarve3 2 2 5 2 2 4" xfId="21418" xr:uid="{00000000-0005-0000-0000-00008D600000}"/>
    <cellStyle name="40 % - Markeringsfarve3 2 2 5 2 2 5" xfId="36406" xr:uid="{00000000-0005-0000-0000-00008E600000}"/>
    <cellStyle name="40 % - Markeringsfarve3 2 2 5 2 3" xfId="6490" xr:uid="{00000000-0005-0000-0000-00008F600000}"/>
    <cellStyle name="40 % - Markeringsfarve3 2 2 5 2 3 2" xfId="14405" xr:uid="{00000000-0005-0000-0000-000090600000}"/>
    <cellStyle name="40 % - Markeringsfarve3 2 2 5 2 3 2 2" xfId="30720" xr:uid="{00000000-0005-0000-0000-000091600000}"/>
    <cellStyle name="40 % - Markeringsfarve3 2 2 5 2 3 2 3" xfId="45684" xr:uid="{00000000-0005-0000-0000-000092600000}"/>
    <cellStyle name="40 % - Markeringsfarve3 2 2 5 2 3 3" xfId="23698" xr:uid="{00000000-0005-0000-0000-000093600000}"/>
    <cellStyle name="40 % - Markeringsfarve3 2 2 5 2 3 4" xfId="38685" xr:uid="{00000000-0005-0000-0000-000094600000}"/>
    <cellStyle name="40 % - Markeringsfarve3 2 2 5 2 4" xfId="12119" xr:uid="{00000000-0005-0000-0000-000095600000}"/>
    <cellStyle name="40 % - Markeringsfarve3 2 2 5 2 4 2" xfId="28439" xr:uid="{00000000-0005-0000-0000-000096600000}"/>
    <cellStyle name="40 % - Markeringsfarve3 2 2 5 2 4 3" xfId="43404" xr:uid="{00000000-0005-0000-0000-000097600000}"/>
    <cellStyle name="40 % - Markeringsfarve3 2 2 5 2 5" xfId="21417" xr:uid="{00000000-0005-0000-0000-000098600000}"/>
    <cellStyle name="40 % - Markeringsfarve3 2 2 5 2 6" xfId="36405" xr:uid="{00000000-0005-0000-0000-000099600000}"/>
    <cellStyle name="40 % - Markeringsfarve3 2 2 5 3" xfId="3561" xr:uid="{00000000-0005-0000-0000-00009A600000}"/>
    <cellStyle name="40 % - Markeringsfarve3 2 2 5 3 2" xfId="7248" xr:uid="{00000000-0005-0000-0000-00009B600000}"/>
    <cellStyle name="40 % - Markeringsfarve3 2 2 5 3 2 2" xfId="15159" xr:uid="{00000000-0005-0000-0000-00009C600000}"/>
    <cellStyle name="40 % - Markeringsfarve3 2 2 5 3 2 2 2" xfId="31474" xr:uid="{00000000-0005-0000-0000-00009D600000}"/>
    <cellStyle name="40 % - Markeringsfarve3 2 2 5 3 2 2 3" xfId="46438" xr:uid="{00000000-0005-0000-0000-00009E600000}"/>
    <cellStyle name="40 % - Markeringsfarve3 2 2 5 3 2 3" xfId="24452" xr:uid="{00000000-0005-0000-0000-00009F600000}"/>
    <cellStyle name="40 % - Markeringsfarve3 2 2 5 3 2 4" xfId="39439" xr:uid="{00000000-0005-0000-0000-0000A0600000}"/>
    <cellStyle name="40 % - Markeringsfarve3 2 2 5 3 3" xfId="12121" xr:uid="{00000000-0005-0000-0000-0000A1600000}"/>
    <cellStyle name="40 % - Markeringsfarve3 2 2 5 3 3 2" xfId="28441" xr:uid="{00000000-0005-0000-0000-0000A2600000}"/>
    <cellStyle name="40 % - Markeringsfarve3 2 2 5 3 3 3" xfId="43406" xr:uid="{00000000-0005-0000-0000-0000A3600000}"/>
    <cellStyle name="40 % - Markeringsfarve3 2 2 5 3 4" xfId="21419" xr:uid="{00000000-0005-0000-0000-0000A4600000}"/>
    <cellStyle name="40 % - Markeringsfarve3 2 2 5 3 5" xfId="36407" xr:uid="{00000000-0005-0000-0000-0000A5600000}"/>
    <cellStyle name="40 % - Markeringsfarve3 2 2 5 4" xfId="3562" xr:uid="{00000000-0005-0000-0000-0000A6600000}"/>
    <cellStyle name="40 % - Markeringsfarve3 2 2 5 4 2" xfId="8711" xr:uid="{00000000-0005-0000-0000-0000A7600000}"/>
    <cellStyle name="40 % - Markeringsfarve3 2 2 5 4 2 2" xfId="16588" xr:uid="{00000000-0005-0000-0000-0000A8600000}"/>
    <cellStyle name="40 % - Markeringsfarve3 2 2 5 4 2 2 2" xfId="32903" xr:uid="{00000000-0005-0000-0000-0000A9600000}"/>
    <cellStyle name="40 % - Markeringsfarve3 2 2 5 4 2 2 3" xfId="47867" xr:uid="{00000000-0005-0000-0000-0000AA600000}"/>
    <cellStyle name="40 % - Markeringsfarve3 2 2 5 4 2 3" xfId="25881" xr:uid="{00000000-0005-0000-0000-0000AB600000}"/>
    <cellStyle name="40 % - Markeringsfarve3 2 2 5 4 2 4" xfId="40868" xr:uid="{00000000-0005-0000-0000-0000AC600000}"/>
    <cellStyle name="40 % - Markeringsfarve3 2 2 5 4 3" xfId="12122" xr:uid="{00000000-0005-0000-0000-0000AD600000}"/>
    <cellStyle name="40 % - Markeringsfarve3 2 2 5 4 3 2" xfId="28442" xr:uid="{00000000-0005-0000-0000-0000AE600000}"/>
    <cellStyle name="40 % - Markeringsfarve3 2 2 5 4 3 3" xfId="43407" xr:uid="{00000000-0005-0000-0000-0000AF600000}"/>
    <cellStyle name="40 % - Markeringsfarve3 2 2 5 4 4" xfId="21420" xr:uid="{00000000-0005-0000-0000-0000B0600000}"/>
    <cellStyle name="40 % - Markeringsfarve3 2 2 5 4 5" xfId="36408" xr:uid="{00000000-0005-0000-0000-0000B1600000}"/>
    <cellStyle name="40 % - Markeringsfarve3 2 2 5 5" xfId="5804" xr:uid="{00000000-0005-0000-0000-0000B2600000}"/>
    <cellStyle name="40 % - Markeringsfarve3 2 2 5 5 2" xfId="13723" xr:uid="{00000000-0005-0000-0000-0000B3600000}"/>
    <cellStyle name="40 % - Markeringsfarve3 2 2 5 5 2 2" xfId="30038" xr:uid="{00000000-0005-0000-0000-0000B4600000}"/>
    <cellStyle name="40 % - Markeringsfarve3 2 2 5 5 2 3" xfId="45002" xr:uid="{00000000-0005-0000-0000-0000B5600000}"/>
    <cellStyle name="40 % - Markeringsfarve3 2 2 5 5 3" xfId="23016" xr:uid="{00000000-0005-0000-0000-0000B6600000}"/>
    <cellStyle name="40 % - Markeringsfarve3 2 2 5 5 4" xfId="38003" xr:uid="{00000000-0005-0000-0000-0000B7600000}"/>
    <cellStyle name="40 % - Markeringsfarve3 2 2 5 6" xfId="12118" xr:uid="{00000000-0005-0000-0000-0000B8600000}"/>
    <cellStyle name="40 % - Markeringsfarve3 2 2 5 6 2" xfId="28438" xr:uid="{00000000-0005-0000-0000-0000B9600000}"/>
    <cellStyle name="40 % - Markeringsfarve3 2 2 5 6 3" xfId="43403" xr:uid="{00000000-0005-0000-0000-0000BA600000}"/>
    <cellStyle name="40 % - Markeringsfarve3 2 2 5 7" xfId="21416" xr:uid="{00000000-0005-0000-0000-0000BB600000}"/>
    <cellStyle name="40 % - Markeringsfarve3 2 2 5 8" xfId="36404" xr:uid="{00000000-0005-0000-0000-0000BC600000}"/>
    <cellStyle name="40 % - Markeringsfarve3 2 2 6" xfId="3563" xr:uid="{00000000-0005-0000-0000-0000BD600000}"/>
    <cellStyle name="40 % - Markeringsfarve3 2 2 6 2" xfId="3564" xr:uid="{00000000-0005-0000-0000-0000BE600000}"/>
    <cellStyle name="40 % - Markeringsfarve3 2 2 6 2 2" xfId="3565" xr:uid="{00000000-0005-0000-0000-0000BF600000}"/>
    <cellStyle name="40 % - Markeringsfarve3 2 2 6 2 2 2" xfId="8093" xr:uid="{00000000-0005-0000-0000-0000C0600000}"/>
    <cellStyle name="40 % - Markeringsfarve3 2 2 6 2 2 2 2" xfId="15995" xr:uid="{00000000-0005-0000-0000-0000C1600000}"/>
    <cellStyle name="40 % - Markeringsfarve3 2 2 6 2 2 2 2 2" xfId="32310" xr:uid="{00000000-0005-0000-0000-0000C2600000}"/>
    <cellStyle name="40 % - Markeringsfarve3 2 2 6 2 2 2 2 3" xfId="47274" xr:uid="{00000000-0005-0000-0000-0000C3600000}"/>
    <cellStyle name="40 % - Markeringsfarve3 2 2 6 2 2 2 3" xfId="25288" xr:uid="{00000000-0005-0000-0000-0000C4600000}"/>
    <cellStyle name="40 % - Markeringsfarve3 2 2 6 2 2 2 4" xfId="40275" xr:uid="{00000000-0005-0000-0000-0000C5600000}"/>
    <cellStyle name="40 % - Markeringsfarve3 2 2 6 2 2 3" xfId="12125" xr:uid="{00000000-0005-0000-0000-0000C6600000}"/>
    <cellStyle name="40 % - Markeringsfarve3 2 2 6 2 2 3 2" xfId="28445" xr:uid="{00000000-0005-0000-0000-0000C7600000}"/>
    <cellStyle name="40 % - Markeringsfarve3 2 2 6 2 2 3 3" xfId="43410" xr:uid="{00000000-0005-0000-0000-0000C8600000}"/>
    <cellStyle name="40 % - Markeringsfarve3 2 2 6 2 2 4" xfId="21423" xr:uid="{00000000-0005-0000-0000-0000C9600000}"/>
    <cellStyle name="40 % - Markeringsfarve3 2 2 6 2 2 5" xfId="36411" xr:uid="{00000000-0005-0000-0000-0000CA600000}"/>
    <cellStyle name="40 % - Markeringsfarve3 2 2 6 2 3" xfId="6586" xr:uid="{00000000-0005-0000-0000-0000CB600000}"/>
    <cellStyle name="40 % - Markeringsfarve3 2 2 6 2 3 2" xfId="14501" xr:uid="{00000000-0005-0000-0000-0000CC600000}"/>
    <cellStyle name="40 % - Markeringsfarve3 2 2 6 2 3 2 2" xfId="30816" xr:uid="{00000000-0005-0000-0000-0000CD600000}"/>
    <cellStyle name="40 % - Markeringsfarve3 2 2 6 2 3 2 3" xfId="45780" xr:uid="{00000000-0005-0000-0000-0000CE600000}"/>
    <cellStyle name="40 % - Markeringsfarve3 2 2 6 2 3 3" xfId="23794" xr:uid="{00000000-0005-0000-0000-0000CF600000}"/>
    <cellStyle name="40 % - Markeringsfarve3 2 2 6 2 3 4" xfId="38781" xr:uid="{00000000-0005-0000-0000-0000D0600000}"/>
    <cellStyle name="40 % - Markeringsfarve3 2 2 6 2 4" xfId="12124" xr:uid="{00000000-0005-0000-0000-0000D1600000}"/>
    <cellStyle name="40 % - Markeringsfarve3 2 2 6 2 4 2" xfId="28444" xr:uid="{00000000-0005-0000-0000-0000D2600000}"/>
    <cellStyle name="40 % - Markeringsfarve3 2 2 6 2 4 3" xfId="43409" xr:uid="{00000000-0005-0000-0000-0000D3600000}"/>
    <cellStyle name="40 % - Markeringsfarve3 2 2 6 2 5" xfId="21422" xr:uid="{00000000-0005-0000-0000-0000D4600000}"/>
    <cellStyle name="40 % - Markeringsfarve3 2 2 6 2 6" xfId="36410" xr:uid="{00000000-0005-0000-0000-0000D5600000}"/>
    <cellStyle name="40 % - Markeringsfarve3 2 2 6 3" xfId="3566" xr:uid="{00000000-0005-0000-0000-0000D6600000}"/>
    <cellStyle name="40 % - Markeringsfarve3 2 2 6 3 2" xfId="7370" xr:uid="{00000000-0005-0000-0000-0000D7600000}"/>
    <cellStyle name="40 % - Markeringsfarve3 2 2 6 3 2 2" xfId="15281" xr:uid="{00000000-0005-0000-0000-0000D8600000}"/>
    <cellStyle name="40 % - Markeringsfarve3 2 2 6 3 2 2 2" xfId="31596" xr:uid="{00000000-0005-0000-0000-0000D9600000}"/>
    <cellStyle name="40 % - Markeringsfarve3 2 2 6 3 2 2 3" xfId="46560" xr:uid="{00000000-0005-0000-0000-0000DA600000}"/>
    <cellStyle name="40 % - Markeringsfarve3 2 2 6 3 2 3" xfId="24574" xr:uid="{00000000-0005-0000-0000-0000DB600000}"/>
    <cellStyle name="40 % - Markeringsfarve3 2 2 6 3 2 4" xfId="39561" xr:uid="{00000000-0005-0000-0000-0000DC600000}"/>
    <cellStyle name="40 % - Markeringsfarve3 2 2 6 3 3" xfId="12126" xr:uid="{00000000-0005-0000-0000-0000DD600000}"/>
    <cellStyle name="40 % - Markeringsfarve3 2 2 6 3 3 2" xfId="28446" xr:uid="{00000000-0005-0000-0000-0000DE600000}"/>
    <cellStyle name="40 % - Markeringsfarve3 2 2 6 3 3 3" xfId="43411" xr:uid="{00000000-0005-0000-0000-0000DF600000}"/>
    <cellStyle name="40 % - Markeringsfarve3 2 2 6 3 4" xfId="21424" xr:uid="{00000000-0005-0000-0000-0000E0600000}"/>
    <cellStyle name="40 % - Markeringsfarve3 2 2 6 3 5" xfId="36412" xr:uid="{00000000-0005-0000-0000-0000E1600000}"/>
    <cellStyle name="40 % - Markeringsfarve3 2 2 6 4" xfId="3567" xr:uid="{00000000-0005-0000-0000-0000E2600000}"/>
    <cellStyle name="40 % - Markeringsfarve3 2 2 6 4 2" xfId="8431" xr:uid="{00000000-0005-0000-0000-0000E3600000}"/>
    <cellStyle name="40 % - Markeringsfarve3 2 2 6 4 2 2" xfId="16321" xr:uid="{00000000-0005-0000-0000-0000E4600000}"/>
    <cellStyle name="40 % - Markeringsfarve3 2 2 6 4 2 2 2" xfId="32636" xr:uid="{00000000-0005-0000-0000-0000E5600000}"/>
    <cellStyle name="40 % - Markeringsfarve3 2 2 6 4 2 2 3" xfId="47600" xr:uid="{00000000-0005-0000-0000-0000E6600000}"/>
    <cellStyle name="40 % - Markeringsfarve3 2 2 6 4 2 3" xfId="25614" xr:uid="{00000000-0005-0000-0000-0000E7600000}"/>
    <cellStyle name="40 % - Markeringsfarve3 2 2 6 4 2 4" xfId="40601" xr:uid="{00000000-0005-0000-0000-0000E8600000}"/>
    <cellStyle name="40 % - Markeringsfarve3 2 2 6 4 3" xfId="12127" xr:uid="{00000000-0005-0000-0000-0000E9600000}"/>
    <cellStyle name="40 % - Markeringsfarve3 2 2 6 4 3 2" xfId="28447" xr:uid="{00000000-0005-0000-0000-0000EA600000}"/>
    <cellStyle name="40 % - Markeringsfarve3 2 2 6 4 3 3" xfId="43412" xr:uid="{00000000-0005-0000-0000-0000EB600000}"/>
    <cellStyle name="40 % - Markeringsfarve3 2 2 6 4 4" xfId="21425" xr:uid="{00000000-0005-0000-0000-0000EC600000}"/>
    <cellStyle name="40 % - Markeringsfarve3 2 2 6 4 5" xfId="36413" xr:uid="{00000000-0005-0000-0000-0000ED600000}"/>
    <cellStyle name="40 % - Markeringsfarve3 2 2 6 5" xfId="5805" xr:uid="{00000000-0005-0000-0000-0000EE600000}"/>
    <cellStyle name="40 % - Markeringsfarve3 2 2 6 5 2" xfId="13724" xr:uid="{00000000-0005-0000-0000-0000EF600000}"/>
    <cellStyle name="40 % - Markeringsfarve3 2 2 6 5 2 2" xfId="30039" xr:uid="{00000000-0005-0000-0000-0000F0600000}"/>
    <cellStyle name="40 % - Markeringsfarve3 2 2 6 5 2 3" xfId="45003" xr:uid="{00000000-0005-0000-0000-0000F1600000}"/>
    <cellStyle name="40 % - Markeringsfarve3 2 2 6 5 3" xfId="23017" xr:uid="{00000000-0005-0000-0000-0000F2600000}"/>
    <cellStyle name="40 % - Markeringsfarve3 2 2 6 5 4" xfId="38004" xr:uid="{00000000-0005-0000-0000-0000F3600000}"/>
    <cellStyle name="40 % - Markeringsfarve3 2 2 6 6" xfId="12123" xr:uid="{00000000-0005-0000-0000-0000F4600000}"/>
    <cellStyle name="40 % - Markeringsfarve3 2 2 6 6 2" xfId="28443" xr:uid="{00000000-0005-0000-0000-0000F5600000}"/>
    <cellStyle name="40 % - Markeringsfarve3 2 2 6 6 3" xfId="43408" xr:uid="{00000000-0005-0000-0000-0000F6600000}"/>
    <cellStyle name="40 % - Markeringsfarve3 2 2 6 7" xfId="21421" xr:uid="{00000000-0005-0000-0000-0000F7600000}"/>
    <cellStyle name="40 % - Markeringsfarve3 2 2 6 8" xfId="36409" xr:uid="{00000000-0005-0000-0000-0000F8600000}"/>
    <cellStyle name="40 % - Markeringsfarve3 2 2 7" xfId="3568" xr:uid="{00000000-0005-0000-0000-0000F9600000}"/>
    <cellStyle name="40 % - Markeringsfarve3 2 2 7 2" xfId="3569" xr:uid="{00000000-0005-0000-0000-0000FA600000}"/>
    <cellStyle name="40 % - Markeringsfarve3 2 2 7 2 2" xfId="7498" xr:uid="{00000000-0005-0000-0000-0000FB600000}"/>
    <cellStyle name="40 % - Markeringsfarve3 2 2 7 2 2 2" xfId="15400" xr:uid="{00000000-0005-0000-0000-0000FC600000}"/>
    <cellStyle name="40 % - Markeringsfarve3 2 2 7 2 2 2 2" xfId="31715" xr:uid="{00000000-0005-0000-0000-0000FD600000}"/>
    <cellStyle name="40 % - Markeringsfarve3 2 2 7 2 2 2 3" xfId="46679" xr:uid="{00000000-0005-0000-0000-0000FE600000}"/>
    <cellStyle name="40 % - Markeringsfarve3 2 2 7 2 2 3" xfId="24693" xr:uid="{00000000-0005-0000-0000-0000FF600000}"/>
    <cellStyle name="40 % - Markeringsfarve3 2 2 7 2 2 4" xfId="39680" xr:uid="{00000000-0005-0000-0000-000000610000}"/>
    <cellStyle name="40 % - Markeringsfarve3 2 2 7 2 3" xfId="12129" xr:uid="{00000000-0005-0000-0000-000001610000}"/>
    <cellStyle name="40 % - Markeringsfarve3 2 2 7 2 3 2" xfId="28449" xr:uid="{00000000-0005-0000-0000-000002610000}"/>
    <cellStyle name="40 % - Markeringsfarve3 2 2 7 2 3 3" xfId="43414" xr:uid="{00000000-0005-0000-0000-000003610000}"/>
    <cellStyle name="40 % - Markeringsfarve3 2 2 7 2 4" xfId="21427" xr:uid="{00000000-0005-0000-0000-000004610000}"/>
    <cellStyle name="40 % - Markeringsfarve3 2 2 7 2 5" xfId="36415" xr:uid="{00000000-0005-0000-0000-000005610000}"/>
    <cellStyle name="40 % - Markeringsfarve3 2 2 7 3" xfId="6090" xr:uid="{00000000-0005-0000-0000-000006610000}"/>
    <cellStyle name="40 % - Markeringsfarve3 2 2 7 3 2" xfId="14008" xr:uid="{00000000-0005-0000-0000-000007610000}"/>
    <cellStyle name="40 % - Markeringsfarve3 2 2 7 3 2 2" xfId="30323" xr:uid="{00000000-0005-0000-0000-000008610000}"/>
    <cellStyle name="40 % - Markeringsfarve3 2 2 7 3 2 3" xfId="45287" xr:uid="{00000000-0005-0000-0000-000009610000}"/>
    <cellStyle name="40 % - Markeringsfarve3 2 2 7 3 3" xfId="23301" xr:uid="{00000000-0005-0000-0000-00000A610000}"/>
    <cellStyle name="40 % - Markeringsfarve3 2 2 7 3 4" xfId="38288" xr:uid="{00000000-0005-0000-0000-00000B610000}"/>
    <cellStyle name="40 % - Markeringsfarve3 2 2 7 4" xfId="12128" xr:uid="{00000000-0005-0000-0000-00000C610000}"/>
    <cellStyle name="40 % - Markeringsfarve3 2 2 7 4 2" xfId="28448" xr:uid="{00000000-0005-0000-0000-00000D610000}"/>
    <cellStyle name="40 % - Markeringsfarve3 2 2 7 4 3" xfId="43413" xr:uid="{00000000-0005-0000-0000-00000E610000}"/>
    <cellStyle name="40 % - Markeringsfarve3 2 2 7 5" xfId="21426" xr:uid="{00000000-0005-0000-0000-00000F610000}"/>
    <cellStyle name="40 % - Markeringsfarve3 2 2 7 6" xfId="36414" xr:uid="{00000000-0005-0000-0000-000010610000}"/>
    <cellStyle name="40 % - Markeringsfarve3 2 2 8" xfId="3570" xr:uid="{00000000-0005-0000-0000-000011610000}"/>
    <cellStyle name="40 % - Markeringsfarve3 2 2 8 2" xfId="6726" xr:uid="{00000000-0005-0000-0000-000012610000}"/>
    <cellStyle name="40 % - Markeringsfarve3 2 2 8 2 2" xfId="14638" xr:uid="{00000000-0005-0000-0000-000013610000}"/>
    <cellStyle name="40 % - Markeringsfarve3 2 2 8 2 2 2" xfId="30953" xr:uid="{00000000-0005-0000-0000-000014610000}"/>
    <cellStyle name="40 % - Markeringsfarve3 2 2 8 2 2 3" xfId="45917" xr:uid="{00000000-0005-0000-0000-000015610000}"/>
    <cellStyle name="40 % - Markeringsfarve3 2 2 8 2 3" xfId="23931" xr:uid="{00000000-0005-0000-0000-000016610000}"/>
    <cellStyle name="40 % - Markeringsfarve3 2 2 8 2 4" xfId="38918" xr:uid="{00000000-0005-0000-0000-000017610000}"/>
    <cellStyle name="40 % - Markeringsfarve3 2 2 8 3" xfId="12130" xr:uid="{00000000-0005-0000-0000-000018610000}"/>
    <cellStyle name="40 % - Markeringsfarve3 2 2 8 3 2" xfId="28450" xr:uid="{00000000-0005-0000-0000-000019610000}"/>
    <cellStyle name="40 % - Markeringsfarve3 2 2 8 3 3" xfId="43415" xr:uid="{00000000-0005-0000-0000-00001A610000}"/>
    <cellStyle name="40 % - Markeringsfarve3 2 2 8 4" xfId="21428" xr:uid="{00000000-0005-0000-0000-00001B610000}"/>
    <cellStyle name="40 % - Markeringsfarve3 2 2 8 5" xfId="36416" xr:uid="{00000000-0005-0000-0000-00001C610000}"/>
    <cellStyle name="40 % - Markeringsfarve3 2 2 9" xfId="3571" xr:uid="{00000000-0005-0000-0000-00001D610000}"/>
    <cellStyle name="40 % - Markeringsfarve3 2 2 9 2" xfId="8183" xr:uid="{00000000-0005-0000-0000-00001E610000}"/>
    <cellStyle name="40 % - Markeringsfarve3 2 2 9 2 2" xfId="16081" xr:uid="{00000000-0005-0000-0000-00001F610000}"/>
    <cellStyle name="40 % - Markeringsfarve3 2 2 9 2 2 2" xfId="32396" xr:uid="{00000000-0005-0000-0000-000020610000}"/>
    <cellStyle name="40 % - Markeringsfarve3 2 2 9 2 2 3" xfId="47360" xr:uid="{00000000-0005-0000-0000-000021610000}"/>
    <cellStyle name="40 % - Markeringsfarve3 2 2 9 2 3" xfId="25374" xr:uid="{00000000-0005-0000-0000-000022610000}"/>
    <cellStyle name="40 % - Markeringsfarve3 2 2 9 2 4" xfId="40361" xr:uid="{00000000-0005-0000-0000-000023610000}"/>
    <cellStyle name="40 % - Markeringsfarve3 2 2 9 3" xfId="12131" xr:uid="{00000000-0005-0000-0000-000024610000}"/>
    <cellStyle name="40 % - Markeringsfarve3 2 2 9 3 2" xfId="28451" xr:uid="{00000000-0005-0000-0000-000025610000}"/>
    <cellStyle name="40 % - Markeringsfarve3 2 2 9 3 3" xfId="43416" xr:uid="{00000000-0005-0000-0000-000026610000}"/>
    <cellStyle name="40 % - Markeringsfarve3 2 2 9 4" xfId="21429" xr:uid="{00000000-0005-0000-0000-000027610000}"/>
    <cellStyle name="40 % - Markeringsfarve3 2 2 9 5" xfId="36417" xr:uid="{00000000-0005-0000-0000-000028610000}"/>
    <cellStyle name="40 % - Markeringsfarve3 2 3" xfId="3572" xr:uid="{00000000-0005-0000-0000-000029610000}"/>
    <cellStyle name="40 % - Markeringsfarve3 2 3 10" xfId="5806" xr:uid="{00000000-0005-0000-0000-00002A610000}"/>
    <cellStyle name="40 % - Markeringsfarve3 2 3 10 2" xfId="13725" xr:uid="{00000000-0005-0000-0000-00002B610000}"/>
    <cellStyle name="40 % - Markeringsfarve3 2 3 10 2 2" xfId="30040" xr:uid="{00000000-0005-0000-0000-00002C610000}"/>
    <cellStyle name="40 % - Markeringsfarve3 2 3 10 2 3" xfId="45004" xr:uid="{00000000-0005-0000-0000-00002D610000}"/>
    <cellStyle name="40 % - Markeringsfarve3 2 3 10 3" xfId="23018" xr:uid="{00000000-0005-0000-0000-00002E610000}"/>
    <cellStyle name="40 % - Markeringsfarve3 2 3 10 4" xfId="38005" xr:uid="{00000000-0005-0000-0000-00002F610000}"/>
    <cellStyle name="40 % - Markeringsfarve3 2 3 11" xfId="12132" xr:uid="{00000000-0005-0000-0000-000030610000}"/>
    <cellStyle name="40 % - Markeringsfarve3 2 3 11 2" xfId="28452" xr:uid="{00000000-0005-0000-0000-000031610000}"/>
    <cellStyle name="40 % - Markeringsfarve3 2 3 11 3" xfId="43417" xr:uid="{00000000-0005-0000-0000-000032610000}"/>
    <cellStyle name="40 % - Markeringsfarve3 2 3 12" xfId="21430" xr:uid="{00000000-0005-0000-0000-000033610000}"/>
    <cellStyle name="40 % - Markeringsfarve3 2 3 13" xfId="36418" xr:uid="{00000000-0005-0000-0000-000034610000}"/>
    <cellStyle name="40 % - Markeringsfarve3 2 3 14" xfId="53322" xr:uid="{00000000-0005-0000-0000-000035610000}"/>
    <cellStyle name="40 % - Markeringsfarve3 2 3 2" xfId="3573" xr:uid="{00000000-0005-0000-0000-000036610000}"/>
    <cellStyle name="40 % - Markeringsfarve3 2 3 2 2" xfId="3574" xr:uid="{00000000-0005-0000-0000-000037610000}"/>
    <cellStyle name="40 % - Markeringsfarve3 2 3 2 2 2" xfId="3575" xr:uid="{00000000-0005-0000-0000-000038610000}"/>
    <cellStyle name="40 % - Markeringsfarve3 2 3 2 2 2 2" xfId="7656" xr:uid="{00000000-0005-0000-0000-000039610000}"/>
    <cellStyle name="40 % - Markeringsfarve3 2 3 2 2 2 2 2" xfId="15558" xr:uid="{00000000-0005-0000-0000-00003A610000}"/>
    <cellStyle name="40 % - Markeringsfarve3 2 3 2 2 2 2 2 2" xfId="31873" xr:uid="{00000000-0005-0000-0000-00003B610000}"/>
    <cellStyle name="40 % - Markeringsfarve3 2 3 2 2 2 2 2 3" xfId="46837" xr:uid="{00000000-0005-0000-0000-00003C610000}"/>
    <cellStyle name="40 % - Markeringsfarve3 2 3 2 2 2 2 3" xfId="24851" xr:uid="{00000000-0005-0000-0000-00003D610000}"/>
    <cellStyle name="40 % - Markeringsfarve3 2 3 2 2 2 2 4" xfId="39838" xr:uid="{00000000-0005-0000-0000-00003E610000}"/>
    <cellStyle name="40 % - Markeringsfarve3 2 3 2 2 2 3" xfId="12135" xr:uid="{00000000-0005-0000-0000-00003F610000}"/>
    <cellStyle name="40 % - Markeringsfarve3 2 3 2 2 2 3 2" xfId="28455" xr:uid="{00000000-0005-0000-0000-000040610000}"/>
    <cellStyle name="40 % - Markeringsfarve3 2 3 2 2 2 3 3" xfId="43420" xr:uid="{00000000-0005-0000-0000-000041610000}"/>
    <cellStyle name="40 % - Markeringsfarve3 2 3 2 2 2 4" xfId="21433" xr:uid="{00000000-0005-0000-0000-000042610000}"/>
    <cellStyle name="40 % - Markeringsfarve3 2 3 2 2 2 5" xfId="36421" xr:uid="{00000000-0005-0000-0000-000043610000}"/>
    <cellStyle name="40 % - Markeringsfarve3 2 3 2 2 3" xfId="6222" xr:uid="{00000000-0005-0000-0000-000044610000}"/>
    <cellStyle name="40 % - Markeringsfarve3 2 3 2 2 3 2" xfId="14140" xr:uid="{00000000-0005-0000-0000-000045610000}"/>
    <cellStyle name="40 % - Markeringsfarve3 2 3 2 2 3 2 2" xfId="30455" xr:uid="{00000000-0005-0000-0000-000046610000}"/>
    <cellStyle name="40 % - Markeringsfarve3 2 3 2 2 3 2 3" xfId="45419" xr:uid="{00000000-0005-0000-0000-000047610000}"/>
    <cellStyle name="40 % - Markeringsfarve3 2 3 2 2 3 3" xfId="23433" xr:uid="{00000000-0005-0000-0000-000048610000}"/>
    <cellStyle name="40 % - Markeringsfarve3 2 3 2 2 3 4" xfId="38420" xr:uid="{00000000-0005-0000-0000-000049610000}"/>
    <cellStyle name="40 % - Markeringsfarve3 2 3 2 2 4" xfId="12134" xr:uid="{00000000-0005-0000-0000-00004A610000}"/>
    <cellStyle name="40 % - Markeringsfarve3 2 3 2 2 4 2" xfId="28454" xr:uid="{00000000-0005-0000-0000-00004B610000}"/>
    <cellStyle name="40 % - Markeringsfarve3 2 3 2 2 4 3" xfId="43419" xr:uid="{00000000-0005-0000-0000-00004C610000}"/>
    <cellStyle name="40 % - Markeringsfarve3 2 3 2 2 5" xfId="21432" xr:uid="{00000000-0005-0000-0000-00004D610000}"/>
    <cellStyle name="40 % - Markeringsfarve3 2 3 2 2 6" xfId="36420" xr:uid="{00000000-0005-0000-0000-00004E610000}"/>
    <cellStyle name="40 % - Markeringsfarve3 2 3 2 2 7" xfId="57126" xr:uid="{00000000-0005-0000-0000-00004F610000}"/>
    <cellStyle name="40 % - Markeringsfarve3 2 3 2 3" xfId="3576" xr:uid="{00000000-0005-0000-0000-000050610000}"/>
    <cellStyle name="40 % - Markeringsfarve3 2 3 2 3 2" xfId="6886" xr:uid="{00000000-0005-0000-0000-000051610000}"/>
    <cellStyle name="40 % - Markeringsfarve3 2 3 2 3 2 2" xfId="14798" xr:uid="{00000000-0005-0000-0000-000052610000}"/>
    <cellStyle name="40 % - Markeringsfarve3 2 3 2 3 2 2 2" xfId="31113" xr:uid="{00000000-0005-0000-0000-000053610000}"/>
    <cellStyle name="40 % - Markeringsfarve3 2 3 2 3 2 2 3" xfId="46077" xr:uid="{00000000-0005-0000-0000-000054610000}"/>
    <cellStyle name="40 % - Markeringsfarve3 2 3 2 3 2 3" xfId="24091" xr:uid="{00000000-0005-0000-0000-000055610000}"/>
    <cellStyle name="40 % - Markeringsfarve3 2 3 2 3 2 4" xfId="39078" xr:uid="{00000000-0005-0000-0000-000056610000}"/>
    <cellStyle name="40 % - Markeringsfarve3 2 3 2 3 3" xfId="12136" xr:uid="{00000000-0005-0000-0000-000057610000}"/>
    <cellStyle name="40 % - Markeringsfarve3 2 3 2 3 3 2" xfId="28456" xr:uid="{00000000-0005-0000-0000-000058610000}"/>
    <cellStyle name="40 % - Markeringsfarve3 2 3 2 3 3 3" xfId="43421" xr:uid="{00000000-0005-0000-0000-000059610000}"/>
    <cellStyle name="40 % - Markeringsfarve3 2 3 2 3 4" xfId="21434" xr:uid="{00000000-0005-0000-0000-00005A610000}"/>
    <cellStyle name="40 % - Markeringsfarve3 2 3 2 3 5" xfId="36422" xr:uid="{00000000-0005-0000-0000-00005B610000}"/>
    <cellStyle name="40 % - Markeringsfarve3 2 3 2 4" xfId="3577" xr:uid="{00000000-0005-0000-0000-00005C610000}"/>
    <cellStyle name="40 % - Markeringsfarve3 2 3 2 4 2" xfId="8378" xr:uid="{00000000-0005-0000-0000-00005D610000}"/>
    <cellStyle name="40 % - Markeringsfarve3 2 3 2 4 2 2" xfId="16271" xr:uid="{00000000-0005-0000-0000-00005E610000}"/>
    <cellStyle name="40 % - Markeringsfarve3 2 3 2 4 2 2 2" xfId="32586" xr:uid="{00000000-0005-0000-0000-00005F610000}"/>
    <cellStyle name="40 % - Markeringsfarve3 2 3 2 4 2 2 3" xfId="47550" xr:uid="{00000000-0005-0000-0000-000060610000}"/>
    <cellStyle name="40 % - Markeringsfarve3 2 3 2 4 2 3" xfId="25564" xr:uid="{00000000-0005-0000-0000-000061610000}"/>
    <cellStyle name="40 % - Markeringsfarve3 2 3 2 4 2 4" xfId="40551" xr:uid="{00000000-0005-0000-0000-000062610000}"/>
    <cellStyle name="40 % - Markeringsfarve3 2 3 2 4 3" xfId="12137" xr:uid="{00000000-0005-0000-0000-000063610000}"/>
    <cellStyle name="40 % - Markeringsfarve3 2 3 2 4 3 2" xfId="28457" xr:uid="{00000000-0005-0000-0000-000064610000}"/>
    <cellStyle name="40 % - Markeringsfarve3 2 3 2 4 3 3" xfId="43422" xr:uid="{00000000-0005-0000-0000-000065610000}"/>
    <cellStyle name="40 % - Markeringsfarve3 2 3 2 4 4" xfId="21435" xr:uid="{00000000-0005-0000-0000-000066610000}"/>
    <cellStyle name="40 % - Markeringsfarve3 2 3 2 4 5" xfId="36423" xr:uid="{00000000-0005-0000-0000-000067610000}"/>
    <cellStyle name="40 % - Markeringsfarve3 2 3 2 5" xfId="5807" xr:uid="{00000000-0005-0000-0000-000068610000}"/>
    <cellStyle name="40 % - Markeringsfarve3 2 3 2 5 2" xfId="13726" xr:uid="{00000000-0005-0000-0000-000069610000}"/>
    <cellStyle name="40 % - Markeringsfarve3 2 3 2 5 2 2" xfId="30041" xr:uid="{00000000-0005-0000-0000-00006A610000}"/>
    <cellStyle name="40 % - Markeringsfarve3 2 3 2 5 2 3" xfId="45005" xr:uid="{00000000-0005-0000-0000-00006B610000}"/>
    <cellStyle name="40 % - Markeringsfarve3 2 3 2 5 3" xfId="23019" xr:uid="{00000000-0005-0000-0000-00006C610000}"/>
    <cellStyle name="40 % - Markeringsfarve3 2 3 2 5 4" xfId="38006" xr:uid="{00000000-0005-0000-0000-00006D610000}"/>
    <cellStyle name="40 % - Markeringsfarve3 2 3 2 6" xfId="12133" xr:uid="{00000000-0005-0000-0000-00006E610000}"/>
    <cellStyle name="40 % - Markeringsfarve3 2 3 2 6 2" xfId="28453" xr:uid="{00000000-0005-0000-0000-00006F610000}"/>
    <cellStyle name="40 % - Markeringsfarve3 2 3 2 6 3" xfId="43418" xr:uid="{00000000-0005-0000-0000-000070610000}"/>
    <cellStyle name="40 % - Markeringsfarve3 2 3 2 7" xfId="21431" xr:uid="{00000000-0005-0000-0000-000071610000}"/>
    <cellStyle name="40 % - Markeringsfarve3 2 3 2 8" xfId="36419" xr:uid="{00000000-0005-0000-0000-000072610000}"/>
    <cellStyle name="40 % - Markeringsfarve3 2 3 2 9" xfId="53959" xr:uid="{00000000-0005-0000-0000-000073610000}"/>
    <cellStyle name="40 % - Markeringsfarve3 2 3 3" xfId="3578" xr:uid="{00000000-0005-0000-0000-000074610000}"/>
    <cellStyle name="40 % - Markeringsfarve3 2 3 3 2" xfId="3579" xr:uid="{00000000-0005-0000-0000-000075610000}"/>
    <cellStyle name="40 % - Markeringsfarve3 2 3 3 2 2" xfId="3580" xr:uid="{00000000-0005-0000-0000-000076610000}"/>
    <cellStyle name="40 % - Markeringsfarve3 2 3 3 2 2 2" xfId="7739" xr:uid="{00000000-0005-0000-0000-000077610000}"/>
    <cellStyle name="40 % - Markeringsfarve3 2 3 3 2 2 2 2" xfId="15641" xr:uid="{00000000-0005-0000-0000-000078610000}"/>
    <cellStyle name="40 % - Markeringsfarve3 2 3 3 2 2 2 2 2" xfId="31956" xr:uid="{00000000-0005-0000-0000-000079610000}"/>
    <cellStyle name="40 % - Markeringsfarve3 2 3 3 2 2 2 2 3" xfId="46920" xr:uid="{00000000-0005-0000-0000-00007A610000}"/>
    <cellStyle name="40 % - Markeringsfarve3 2 3 3 2 2 2 3" xfId="24934" xr:uid="{00000000-0005-0000-0000-00007B610000}"/>
    <cellStyle name="40 % - Markeringsfarve3 2 3 3 2 2 2 4" xfId="39921" xr:uid="{00000000-0005-0000-0000-00007C610000}"/>
    <cellStyle name="40 % - Markeringsfarve3 2 3 3 2 2 3" xfId="12140" xr:uid="{00000000-0005-0000-0000-00007D610000}"/>
    <cellStyle name="40 % - Markeringsfarve3 2 3 3 2 2 3 2" xfId="28460" xr:uid="{00000000-0005-0000-0000-00007E610000}"/>
    <cellStyle name="40 % - Markeringsfarve3 2 3 3 2 2 3 3" xfId="43425" xr:uid="{00000000-0005-0000-0000-00007F610000}"/>
    <cellStyle name="40 % - Markeringsfarve3 2 3 3 2 2 4" xfId="21438" xr:uid="{00000000-0005-0000-0000-000080610000}"/>
    <cellStyle name="40 % - Markeringsfarve3 2 3 3 2 2 5" xfId="36426" xr:uid="{00000000-0005-0000-0000-000081610000}"/>
    <cellStyle name="40 % - Markeringsfarve3 2 3 3 2 3" xfId="6285" xr:uid="{00000000-0005-0000-0000-000082610000}"/>
    <cellStyle name="40 % - Markeringsfarve3 2 3 3 2 3 2" xfId="14203" xr:uid="{00000000-0005-0000-0000-000083610000}"/>
    <cellStyle name="40 % - Markeringsfarve3 2 3 3 2 3 2 2" xfId="30518" xr:uid="{00000000-0005-0000-0000-000084610000}"/>
    <cellStyle name="40 % - Markeringsfarve3 2 3 3 2 3 2 3" xfId="45482" xr:uid="{00000000-0005-0000-0000-000085610000}"/>
    <cellStyle name="40 % - Markeringsfarve3 2 3 3 2 3 3" xfId="23496" xr:uid="{00000000-0005-0000-0000-000086610000}"/>
    <cellStyle name="40 % - Markeringsfarve3 2 3 3 2 3 4" xfId="38483" xr:uid="{00000000-0005-0000-0000-000087610000}"/>
    <cellStyle name="40 % - Markeringsfarve3 2 3 3 2 4" xfId="12139" xr:uid="{00000000-0005-0000-0000-000088610000}"/>
    <cellStyle name="40 % - Markeringsfarve3 2 3 3 2 4 2" xfId="28459" xr:uid="{00000000-0005-0000-0000-000089610000}"/>
    <cellStyle name="40 % - Markeringsfarve3 2 3 3 2 4 3" xfId="43424" xr:uid="{00000000-0005-0000-0000-00008A610000}"/>
    <cellStyle name="40 % - Markeringsfarve3 2 3 3 2 5" xfId="21437" xr:uid="{00000000-0005-0000-0000-00008B610000}"/>
    <cellStyle name="40 % - Markeringsfarve3 2 3 3 2 6" xfId="36425" xr:uid="{00000000-0005-0000-0000-00008C610000}"/>
    <cellStyle name="40 % - Markeringsfarve3 2 3 3 3" xfId="3581" xr:uid="{00000000-0005-0000-0000-00008D610000}"/>
    <cellStyle name="40 % - Markeringsfarve3 2 3 3 3 2" xfId="6969" xr:uid="{00000000-0005-0000-0000-00008E610000}"/>
    <cellStyle name="40 % - Markeringsfarve3 2 3 3 3 2 2" xfId="14881" xr:uid="{00000000-0005-0000-0000-00008F610000}"/>
    <cellStyle name="40 % - Markeringsfarve3 2 3 3 3 2 2 2" xfId="31196" xr:uid="{00000000-0005-0000-0000-000090610000}"/>
    <cellStyle name="40 % - Markeringsfarve3 2 3 3 3 2 2 3" xfId="46160" xr:uid="{00000000-0005-0000-0000-000091610000}"/>
    <cellStyle name="40 % - Markeringsfarve3 2 3 3 3 2 3" xfId="24174" xr:uid="{00000000-0005-0000-0000-000092610000}"/>
    <cellStyle name="40 % - Markeringsfarve3 2 3 3 3 2 4" xfId="39161" xr:uid="{00000000-0005-0000-0000-000093610000}"/>
    <cellStyle name="40 % - Markeringsfarve3 2 3 3 3 3" xfId="12141" xr:uid="{00000000-0005-0000-0000-000094610000}"/>
    <cellStyle name="40 % - Markeringsfarve3 2 3 3 3 3 2" xfId="28461" xr:uid="{00000000-0005-0000-0000-000095610000}"/>
    <cellStyle name="40 % - Markeringsfarve3 2 3 3 3 3 3" xfId="43426" xr:uid="{00000000-0005-0000-0000-000096610000}"/>
    <cellStyle name="40 % - Markeringsfarve3 2 3 3 3 4" xfId="21439" xr:uid="{00000000-0005-0000-0000-000097610000}"/>
    <cellStyle name="40 % - Markeringsfarve3 2 3 3 3 5" xfId="36427" xr:uid="{00000000-0005-0000-0000-000098610000}"/>
    <cellStyle name="40 % - Markeringsfarve3 2 3 3 4" xfId="3582" xr:uid="{00000000-0005-0000-0000-000099610000}"/>
    <cellStyle name="40 % - Markeringsfarve3 2 3 3 4 2" xfId="8613" xr:uid="{00000000-0005-0000-0000-00009A610000}"/>
    <cellStyle name="40 % - Markeringsfarve3 2 3 3 4 2 2" xfId="16496" xr:uid="{00000000-0005-0000-0000-00009B610000}"/>
    <cellStyle name="40 % - Markeringsfarve3 2 3 3 4 2 2 2" xfId="32811" xr:uid="{00000000-0005-0000-0000-00009C610000}"/>
    <cellStyle name="40 % - Markeringsfarve3 2 3 3 4 2 2 3" xfId="47775" xr:uid="{00000000-0005-0000-0000-00009D610000}"/>
    <cellStyle name="40 % - Markeringsfarve3 2 3 3 4 2 3" xfId="25789" xr:uid="{00000000-0005-0000-0000-00009E610000}"/>
    <cellStyle name="40 % - Markeringsfarve3 2 3 3 4 2 4" xfId="40776" xr:uid="{00000000-0005-0000-0000-00009F610000}"/>
    <cellStyle name="40 % - Markeringsfarve3 2 3 3 4 3" xfId="12142" xr:uid="{00000000-0005-0000-0000-0000A0610000}"/>
    <cellStyle name="40 % - Markeringsfarve3 2 3 3 4 3 2" xfId="28462" xr:uid="{00000000-0005-0000-0000-0000A1610000}"/>
    <cellStyle name="40 % - Markeringsfarve3 2 3 3 4 3 3" xfId="43427" xr:uid="{00000000-0005-0000-0000-0000A2610000}"/>
    <cellStyle name="40 % - Markeringsfarve3 2 3 3 4 4" xfId="21440" xr:uid="{00000000-0005-0000-0000-0000A3610000}"/>
    <cellStyle name="40 % - Markeringsfarve3 2 3 3 4 5" xfId="36428" xr:uid="{00000000-0005-0000-0000-0000A4610000}"/>
    <cellStyle name="40 % - Markeringsfarve3 2 3 3 5" xfId="5808" xr:uid="{00000000-0005-0000-0000-0000A5610000}"/>
    <cellStyle name="40 % - Markeringsfarve3 2 3 3 5 2" xfId="13727" xr:uid="{00000000-0005-0000-0000-0000A6610000}"/>
    <cellStyle name="40 % - Markeringsfarve3 2 3 3 5 2 2" xfId="30042" xr:uid="{00000000-0005-0000-0000-0000A7610000}"/>
    <cellStyle name="40 % - Markeringsfarve3 2 3 3 5 2 3" xfId="45006" xr:uid="{00000000-0005-0000-0000-0000A8610000}"/>
    <cellStyle name="40 % - Markeringsfarve3 2 3 3 5 3" xfId="23020" xr:uid="{00000000-0005-0000-0000-0000A9610000}"/>
    <cellStyle name="40 % - Markeringsfarve3 2 3 3 5 4" xfId="38007" xr:uid="{00000000-0005-0000-0000-0000AA610000}"/>
    <cellStyle name="40 % - Markeringsfarve3 2 3 3 6" xfId="12138" xr:uid="{00000000-0005-0000-0000-0000AB610000}"/>
    <cellStyle name="40 % - Markeringsfarve3 2 3 3 6 2" xfId="28458" xr:uid="{00000000-0005-0000-0000-0000AC610000}"/>
    <cellStyle name="40 % - Markeringsfarve3 2 3 3 6 3" xfId="43423" xr:uid="{00000000-0005-0000-0000-0000AD610000}"/>
    <cellStyle name="40 % - Markeringsfarve3 2 3 3 7" xfId="21436" xr:uid="{00000000-0005-0000-0000-0000AE610000}"/>
    <cellStyle name="40 % - Markeringsfarve3 2 3 3 8" xfId="36424" xr:uid="{00000000-0005-0000-0000-0000AF610000}"/>
    <cellStyle name="40 % - Markeringsfarve3 2 3 3 9" xfId="56503" xr:uid="{00000000-0005-0000-0000-0000B0610000}"/>
    <cellStyle name="40 % - Markeringsfarve3 2 3 4" xfId="3583" xr:uid="{00000000-0005-0000-0000-0000B1610000}"/>
    <cellStyle name="40 % - Markeringsfarve3 2 3 4 2" xfId="3584" xr:uid="{00000000-0005-0000-0000-0000B2610000}"/>
    <cellStyle name="40 % - Markeringsfarve3 2 3 4 2 2" xfId="3585" xr:uid="{00000000-0005-0000-0000-0000B3610000}"/>
    <cellStyle name="40 % - Markeringsfarve3 2 3 4 2 2 2" xfId="7894" xr:uid="{00000000-0005-0000-0000-0000B4610000}"/>
    <cellStyle name="40 % - Markeringsfarve3 2 3 4 2 2 2 2" xfId="15796" xr:uid="{00000000-0005-0000-0000-0000B5610000}"/>
    <cellStyle name="40 % - Markeringsfarve3 2 3 4 2 2 2 2 2" xfId="32111" xr:uid="{00000000-0005-0000-0000-0000B6610000}"/>
    <cellStyle name="40 % - Markeringsfarve3 2 3 4 2 2 2 2 3" xfId="47075" xr:uid="{00000000-0005-0000-0000-0000B7610000}"/>
    <cellStyle name="40 % - Markeringsfarve3 2 3 4 2 2 2 3" xfId="25089" xr:uid="{00000000-0005-0000-0000-0000B8610000}"/>
    <cellStyle name="40 % - Markeringsfarve3 2 3 4 2 2 2 4" xfId="40076" xr:uid="{00000000-0005-0000-0000-0000B9610000}"/>
    <cellStyle name="40 % - Markeringsfarve3 2 3 4 2 2 3" xfId="12145" xr:uid="{00000000-0005-0000-0000-0000BA610000}"/>
    <cellStyle name="40 % - Markeringsfarve3 2 3 4 2 2 3 2" xfId="28465" xr:uid="{00000000-0005-0000-0000-0000BB610000}"/>
    <cellStyle name="40 % - Markeringsfarve3 2 3 4 2 2 3 3" xfId="43430" xr:uid="{00000000-0005-0000-0000-0000BC610000}"/>
    <cellStyle name="40 % - Markeringsfarve3 2 3 4 2 2 4" xfId="21443" xr:uid="{00000000-0005-0000-0000-0000BD610000}"/>
    <cellStyle name="40 % - Markeringsfarve3 2 3 4 2 2 5" xfId="36431" xr:uid="{00000000-0005-0000-0000-0000BE610000}"/>
    <cellStyle name="40 % - Markeringsfarve3 2 3 4 2 3" xfId="6424" xr:uid="{00000000-0005-0000-0000-0000BF610000}"/>
    <cellStyle name="40 % - Markeringsfarve3 2 3 4 2 3 2" xfId="14339" xr:uid="{00000000-0005-0000-0000-0000C0610000}"/>
    <cellStyle name="40 % - Markeringsfarve3 2 3 4 2 3 2 2" xfId="30654" xr:uid="{00000000-0005-0000-0000-0000C1610000}"/>
    <cellStyle name="40 % - Markeringsfarve3 2 3 4 2 3 2 3" xfId="45618" xr:uid="{00000000-0005-0000-0000-0000C2610000}"/>
    <cellStyle name="40 % - Markeringsfarve3 2 3 4 2 3 3" xfId="23632" xr:uid="{00000000-0005-0000-0000-0000C3610000}"/>
    <cellStyle name="40 % - Markeringsfarve3 2 3 4 2 3 4" xfId="38619" xr:uid="{00000000-0005-0000-0000-0000C4610000}"/>
    <cellStyle name="40 % - Markeringsfarve3 2 3 4 2 4" xfId="12144" xr:uid="{00000000-0005-0000-0000-0000C5610000}"/>
    <cellStyle name="40 % - Markeringsfarve3 2 3 4 2 4 2" xfId="28464" xr:uid="{00000000-0005-0000-0000-0000C6610000}"/>
    <cellStyle name="40 % - Markeringsfarve3 2 3 4 2 4 3" xfId="43429" xr:uid="{00000000-0005-0000-0000-0000C7610000}"/>
    <cellStyle name="40 % - Markeringsfarve3 2 3 4 2 5" xfId="21442" xr:uid="{00000000-0005-0000-0000-0000C8610000}"/>
    <cellStyle name="40 % - Markeringsfarve3 2 3 4 2 6" xfId="36430" xr:uid="{00000000-0005-0000-0000-0000C9610000}"/>
    <cellStyle name="40 % - Markeringsfarve3 2 3 4 3" xfId="3586" xr:uid="{00000000-0005-0000-0000-0000CA610000}"/>
    <cellStyle name="40 % - Markeringsfarve3 2 3 4 3 2" xfId="7170" xr:uid="{00000000-0005-0000-0000-0000CB610000}"/>
    <cellStyle name="40 % - Markeringsfarve3 2 3 4 3 2 2" xfId="15081" xr:uid="{00000000-0005-0000-0000-0000CC610000}"/>
    <cellStyle name="40 % - Markeringsfarve3 2 3 4 3 2 2 2" xfId="31396" xr:uid="{00000000-0005-0000-0000-0000CD610000}"/>
    <cellStyle name="40 % - Markeringsfarve3 2 3 4 3 2 2 3" xfId="46360" xr:uid="{00000000-0005-0000-0000-0000CE610000}"/>
    <cellStyle name="40 % - Markeringsfarve3 2 3 4 3 2 3" xfId="24374" xr:uid="{00000000-0005-0000-0000-0000CF610000}"/>
    <cellStyle name="40 % - Markeringsfarve3 2 3 4 3 2 4" xfId="39361" xr:uid="{00000000-0005-0000-0000-0000D0610000}"/>
    <cellStyle name="40 % - Markeringsfarve3 2 3 4 3 3" xfId="12146" xr:uid="{00000000-0005-0000-0000-0000D1610000}"/>
    <cellStyle name="40 % - Markeringsfarve3 2 3 4 3 3 2" xfId="28466" xr:uid="{00000000-0005-0000-0000-0000D2610000}"/>
    <cellStyle name="40 % - Markeringsfarve3 2 3 4 3 3 3" xfId="43431" xr:uid="{00000000-0005-0000-0000-0000D3610000}"/>
    <cellStyle name="40 % - Markeringsfarve3 2 3 4 3 4" xfId="21444" xr:uid="{00000000-0005-0000-0000-0000D4610000}"/>
    <cellStyle name="40 % - Markeringsfarve3 2 3 4 3 5" xfId="36432" xr:uid="{00000000-0005-0000-0000-0000D5610000}"/>
    <cellStyle name="40 % - Markeringsfarve3 2 3 4 4" xfId="3587" xr:uid="{00000000-0005-0000-0000-0000D6610000}"/>
    <cellStyle name="40 % - Markeringsfarve3 2 3 4 4 2" xfId="8337" xr:uid="{00000000-0005-0000-0000-0000D7610000}"/>
    <cellStyle name="40 % - Markeringsfarve3 2 3 4 4 2 2" xfId="16231" xr:uid="{00000000-0005-0000-0000-0000D8610000}"/>
    <cellStyle name="40 % - Markeringsfarve3 2 3 4 4 2 2 2" xfId="32546" xr:uid="{00000000-0005-0000-0000-0000D9610000}"/>
    <cellStyle name="40 % - Markeringsfarve3 2 3 4 4 2 2 3" xfId="47510" xr:uid="{00000000-0005-0000-0000-0000DA610000}"/>
    <cellStyle name="40 % - Markeringsfarve3 2 3 4 4 2 3" xfId="25524" xr:uid="{00000000-0005-0000-0000-0000DB610000}"/>
    <cellStyle name="40 % - Markeringsfarve3 2 3 4 4 2 4" xfId="40511" xr:uid="{00000000-0005-0000-0000-0000DC610000}"/>
    <cellStyle name="40 % - Markeringsfarve3 2 3 4 4 3" xfId="12147" xr:uid="{00000000-0005-0000-0000-0000DD610000}"/>
    <cellStyle name="40 % - Markeringsfarve3 2 3 4 4 3 2" xfId="28467" xr:uid="{00000000-0005-0000-0000-0000DE610000}"/>
    <cellStyle name="40 % - Markeringsfarve3 2 3 4 4 3 3" xfId="43432" xr:uid="{00000000-0005-0000-0000-0000DF610000}"/>
    <cellStyle name="40 % - Markeringsfarve3 2 3 4 4 4" xfId="21445" xr:uid="{00000000-0005-0000-0000-0000E0610000}"/>
    <cellStyle name="40 % - Markeringsfarve3 2 3 4 4 5" xfId="36433" xr:uid="{00000000-0005-0000-0000-0000E1610000}"/>
    <cellStyle name="40 % - Markeringsfarve3 2 3 4 5" xfId="5809" xr:uid="{00000000-0005-0000-0000-0000E2610000}"/>
    <cellStyle name="40 % - Markeringsfarve3 2 3 4 5 2" xfId="13728" xr:uid="{00000000-0005-0000-0000-0000E3610000}"/>
    <cellStyle name="40 % - Markeringsfarve3 2 3 4 5 2 2" xfId="30043" xr:uid="{00000000-0005-0000-0000-0000E4610000}"/>
    <cellStyle name="40 % - Markeringsfarve3 2 3 4 5 2 3" xfId="45007" xr:uid="{00000000-0005-0000-0000-0000E5610000}"/>
    <cellStyle name="40 % - Markeringsfarve3 2 3 4 5 3" xfId="23021" xr:uid="{00000000-0005-0000-0000-0000E6610000}"/>
    <cellStyle name="40 % - Markeringsfarve3 2 3 4 5 4" xfId="38008" xr:uid="{00000000-0005-0000-0000-0000E7610000}"/>
    <cellStyle name="40 % - Markeringsfarve3 2 3 4 6" xfId="12143" xr:uid="{00000000-0005-0000-0000-0000E8610000}"/>
    <cellStyle name="40 % - Markeringsfarve3 2 3 4 6 2" xfId="28463" xr:uid="{00000000-0005-0000-0000-0000E9610000}"/>
    <cellStyle name="40 % - Markeringsfarve3 2 3 4 6 3" xfId="43428" xr:uid="{00000000-0005-0000-0000-0000EA610000}"/>
    <cellStyle name="40 % - Markeringsfarve3 2 3 4 7" xfId="21441" xr:uid="{00000000-0005-0000-0000-0000EB610000}"/>
    <cellStyle name="40 % - Markeringsfarve3 2 3 4 8" xfId="36429" xr:uid="{00000000-0005-0000-0000-0000EC610000}"/>
    <cellStyle name="40 % - Markeringsfarve3 2 3 5" xfId="3588" xr:uid="{00000000-0005-0000-0000-0000ED610000}"/>
    <cellStyle name="40 % - Markeringsfarve3 2 3 5 2" xfId="3589" xr:uid="{00000000-0005-0000-0000-0000EE610000}"/>
    <cellStyle name="40 % - Markeringsfarve3 2 3 5 2 2" xfId="3590" xr:uid="{00000000-0005-0000-0000-0000EF610000}"/>
    <cellStyle name="40 % - Markeringsfarve3 2 3 5 2 2 2" xfId="8011" xr:uid="{00000000-0005-0000-0000-0000F0610000}"/>
    <cellStyle name="40 % - Markeringsfarve3 2 3 5 2 2 2 2" xfId="15913" xr:uid="{00000000-0005-0000-0000-0000F1610000}"/>
    <cellStyle name="40 % - Markeringsfarve3 2 3 5 2 2 2 2 2" xfId="32228" xr:uid="{00000000-0005-0000-0000-0000F2610000}"/>
    <cellStyle name="40 % - Markeringsfarve3 2 3 5 2 2 2 2 3" xfId="47192" xr:uid="{00000000-0005-0000-0000-0000F3610000}"/>
    <cellStyle name="40 % - Markeringsfarve3 2 3 5 2 2 2 3" xfId="25206" xr:uid="{00000000-0005-0000-0000-0000F4610000}"/>
    <cellStyle name="40 % - Markeringsfarve3 2 3 5 2 2 2 4" xfId="40193" xr:uid="{00000000-0005-0000-0000-0000F5610000}"/>
    <cellStyle name="40 % - Markeringsfarve3 2 3 5 2 2 3" xfId="12150" xr:uid="{00000000-0005-0000-0000-0000F6610000}"/>
    <cellStyle name="40 % - Markeringsfarve3 2 3 5 2 2 3 2" xfId="28470" xr:uid="{00000000-0005-0000-0000-0000F7610000}"/>
    <cellStyle name="40 % - Markeringsfarve3 2 3 5 2 2 3 3" xfId="43435" xr:uid="{00000000-0005-0000-0000-0000F8610000}"/>
    <cellStyle name="40 % - Markeringsfarve3 2 3 5 2 2 4" xfId="21448" xr:uid="{00000000-0005-0000-0000-0000F9610000}"/>
    <cellStyle name="40 % - Markeringsfarve3 2 3 5 2 2 5" xfId="36436" xr:uid="{00000000-0005-0000-0000-0000FA610000}"/>
    <cellStyle name="40 % - Markeringsfarve3 2 3 5 2 3" xfId="6523" xr:uid="{00000000-0005-0000-0000-0000FB610000}"/>
    <cellStyle name="40 % - Markeringsfarve3 2 3 5 2 3 2" xfId="14438" xr:uid="{00000000-0005-0000-0000-0000FC610000}"/>
    <cellStyle name="40 % - Markeringsfarve3 2 3 5 2 3 2 2" xfId="30753" xr:uid="{00000000-0005-0000-0000-0000FD610000}"/>
    <cellStyle name="40 % - Markeringsfarve3 2 3 5 2 3 2 3" xfId="45717" xr:uid="{00000000-0005-0000-0000-0000FE610000}"/>
    <cellStyle name="40 % - Markeringsfarve3 2 3 5 2 3 3" xfId="23731" xr:uid="{00000000-0005-0000-0000-0000FF610000}"/>
    <cellStyle name="40 % - Markeringsfarve3 2 3 5 2 3 4" xfId="38718" xr:uid="{00000000-0005-0000-0000-000000620000}"/>
    <cellStyle name="40 % - Markeringsfarve3 2 3 5 2 4" xfId="12149" xr:uid="{00000000-0005-0000-0000-000001620000}"/>
    <cellStyle name="40 % - Markeringsfarve3 2 3 5 2 4 2" xfId="28469" xr:uid="{00000000-0005-0000-0000-000002620000}"/>
    <cellStyle name="40 % - Markeringsfarve3 2 3 5 2 4 3" xfId="43434" xr:uid="{00000000-0005-0000-0000-000003620000}"/>
    <cellStyle name="40 % - Markeringsfarve3 2 3 5 2 5" xfId="21447" xr:uid="{00000000-0005-0000-0000-000004620000}"/>
    <cellStyle name="40 % - Markeringsfarve3 2 3 5 2 6" xfId="36435" xr:uid="{00000000-0005-0000-0000-000005620000}"/>
    <cellStyle name="40 % - Markeringsfarve3 2 3 5 3" xfId="3591" xr:uid="{00000000-0005-0000-0000-000006620000}"/>
    <cellStyle name="40 % - Markeringsfarve3 2 3 5 3 2" xfId="7287" xr:uid="{00000000-0005-0000-0000-000007620000}"/>
    <cellStyle name="40 % - Markeringsfarve3 2 3 5 3 2 2" xfId="15198" xr:uid="{00000000-0005-0000-0000-000008620000}"/>
    <cellStyle name="40 % - Markeringsfarve3 2 3 5 3 2 2 2" xfId="31513" xr:uid="{00000000-0005-0000-0000-000009620000}"/>
    <cellStyle name="40 % - Markeringsfarve3 2 3 5 3 2 2 3" xfId="46477" xr:uid="{00000000-0005-0000-0000-00000A620000}"/>
    <cellStyle name="40 % - Markeringsfarve3 2 3 5 3 2 3" xfId="24491" xr:uid="{00000000-0005-0000-0000-00000B620000}"/>
    <cellStyle name="40 % - Markeringsfarve3 2 3 5 3 2 4" xfId="39478" xr:uid="{00000000-0005-0000-0000-00000C620000}"/>
    <cellStyle name="40 % - Markeringsfarve3 2 3 5 3 3" xfId="12151" xr:uid="{00000000-0005-0000-0000-00000D620000}"/>
    <cellStyle name="40 % - Markeringsfarve3 2 3 5 3 3 2" xfId="28471" xr:uid="{00000000-0005-0000-0000-00000E620000}"/>
    <cellStyle name="40 % - Markeringsfarve3 2 3 5 3 3 3" xfId="43436" xr:uid="{00000000-0005-0000-0000-00000F620000}"/>
    <cellStyle name="40 % - Markeringsfarve3 2 3 5 3 4" xfId="21449" xr:uid="{00000000-0005-0000-0000-000010620000}"/>
    <cellStyle name="40 % - Markeringsfarve3 2 3 5 3 5" xfId="36437" xr:uid="{00000000-0005-0000-0000-000011620000}"/>
    <cellStyle name="40 % - Markeringsfarve3 2 3 5 4" xfId="3592" xr:uid="{00000000-0005-0000-0000-000012620000}"/>
    <cellStyle name="40 % - Markeringsfarve3 2 3 5 4 2" xfId="8577" xr:uid="{00000000-0005-0000-0000-000013620000}"/>
    <cellStyle name="40 % - Markeringsfarve3 2 3 5 4 2 2" xfId="16461" xr:uid="{00000000-0005-0000-0000-000014620000}"/>
    <cellStyle name="40 % - Markeringsfarve3 2 3 5 4 2 2 2" xfId="32776" xr:uid="{00000000-0005-0000-0000-000015620000}"/>
    <cellStyle name="40 % - Markeringsfarve3 2 3 5 4 2 2 3" xfId="47740" xr:uid="{00000000-0005-0000-0000-000016620000}"/>
    <cellStyle name="40 % - Markeringsfarve3 2 3 5 4 2 3" xfId="25754" xr:uid="{00000000-0005-0000-0000-000017620000}"/>
    <cellStyle name="40 % - Markeringsfarve3 2 3 5 4 2 4" xfId="40741" xr:uid="{00000000-0005-0000-0000-000018620000}"/>
    <cellStyle name="40 % - Markeringsfarve3 2 3 5 4 3" xfId="12152" xr:uid="{00000000-0005-0000-0000-000019620000}"/>
    <cellStyle name="40 % - Markeringsfarve3 2 3 5 4 3 2" xfId="28472" xr:uid="{00000000-0005-0000-0000-00001A620000}"/>
    <cellStyle name="40 % - Markeringsfarve3 2 3 5 4 3 3" xfId="43437" xr:uid="{00000000-0005-0000-0000-00001B620000}"/>
    <cellStyle name="40 % - Markeringsfarve3 2 3 5 4 4" xfId="21450" xr:uid="{00000000-0005-0000-0000-00001C620000}"/>
    <cellStyle name="40 % - Markeringsfarve3 2 3 5 4 5" xfId="36438" xr:uid="{00000000-0005-0000-0000-00001D620000}"/>
    <cellStyle name="40 % - Markeringsfarve3 2 3 5 5" xfId="5810" xr:uid="{00000000-0005-0000-0000-00001E620000}"/>
    <cellStyle name="40 % - Markeringsfarve3 2 3 5 5 2" xfId="13729" xr:uid="{00000000-0005-0000-0000-00001F620000}"/>
    <cellStyle name="40 % - Markeringsfarve3 2 3 5 5 2 2" xfId="30044" xr:uid="{00000000-0005-0000-0000-000020620000}"/>
    <cellStyle name="40 % - Markeringsfarve3 2 3 5 5 2 3" xfId="45008" xr:uid="{00000000-0005-0000-0000-000021620000}"/>
    <cellStyle name="40 % - Markeringsfarve3 2 3 5 5 3" xfId="23022" xr:uid="{00000000-0005-0000-0000-000022620000}"/>
    <cellStyle name="40 % - Markeringsfarve3 2 3 5 5 4" xfId="38009" xr:uid="{00000000-0005-0000-0000-000023620000}"/>
    <cellStyle name="40 % - Markeringsfarve3 2 3 5 6" xfId="12148" xr:uid="{00000000-0005-0000-0000-000024620000}"/>
    <cellStyle name="40 % - Markeringsfarve3 2 3 5 6 2" xfId="28468" xr:uid="{00000000-0005-0000-0000-000025620000}"/>
    <cellStyle name="40 % - Markeringsfarve3 2 3 5 6 3" xfId="43433" xr:uid="{00000000-0005-0000-0000-000026620000}"/>
    <cellStyle name="40 % - Markeringsfarve3 2 3 5 7" xfId="21446" xr:uid="{00000000-0005-0000-0000-000027620000}"/>
    <cellStyle name="40 % - Markeringsfarve3 2 3 5 8" xfId="36434" xr:uid="{00000000-0005-0000-0000-000028620000}"/>
    <cellStyle name="40 % - Markeringsfarve3 2 3 6" xfId="3593" xr:uid="{00000000-0005-0000-0000-000029620000}"/>
    <cellStyle name="40 % - Markeringsfarve3 2 3 6 2" xfId="3594" xr:uid="{00000000-0005-0000-0000-00002A620000}"/>
    <cellStyle name="40 % - Markeringsfarve3 2 3 6 2 2" xfId="3595" xr:uid="{00000000-0005-0000-0000-00002B620000}"/>
    <cellStyle name="40 % - Markeringsfarve3 2 3 6 2 2 2" xfId="8094" xr:uid="{00000000-0005-0000-0000-00002C620000}"/>
    <cellStyle name="40 % - Markeringsfarve3 2 3 6 2 2 2 2" xfId="15996" xr:uid="{00000000-0005-0000-0000-00002D620000}"/>
    <cellStyle name="40 % - Markeringsfarve3 2 3 6 2 2 2 2 2" xfId="32311" xr:uid="{00000000-0005-0000-0000-00002E620000}"/>
    <cellStyle name="40 % - Markeringsfarve3 2 3 6 2 2 2 2 3" xfId="47275" xr:uid="{00000000-0005-0000-0000-00002F620000}"/>
    <cellStyle name="40 % - Markeringsfarve3 2 3 6 2 2 2 3" xfId="25289" xr:uid="{00000000-0005-0000-0000-000030620000}"/>
    <cellStyle name="40 % - Markeringsfarve3 2 3 6 2 2 2 4" xfId="40276" xr:uid="{00000000-0005-0000-0000-000031620000}"/>
    <cellStyle name="40 % - Markeringsfarve3 2 3 6 2 2 3" xfId="12155" xr:uid="{00000000-0005-0000-0000-000032620000}"/>
    <cellStyle name="40 % - Markeringsfarve3 2 3 6 2 2 3 2" xfId="28475" xr:uid="{00000000-0005-0000-0000-000033620000}"/>
    <cellStyle name="40 % - Markeringsfarve3 2 3 6 2 2 3 3" xfId="43440" xr:uid="{00000000-0005-0000-0000-000034620000}"/>
    <cellStyle name="40 % - Markeringsfarve3 2 3 6 2 2 4" xfId="21453" xr:uid="{00000000-0005-0000-0000-000035620000}"/>
    <cellStyle name="40 % - Markeringsfarve3 2 3 6 2 2 5" xfId="36441" xr:uid="{00000000-0005-0000-0000-000036620000}"/>
    <cellStyle name="40 % - Markeringsfarve3 2 3 6 2 3" xfId="6587" xr:uid="{00000000-0005-0000-0000-000037620000}"/>
    <cellStyle name="40 % - Markeringsfarve3 2 3 6 2 3 2" xfId="14502" xr:uid="{00000000-0005-0000-0000-000038620000}"/>
    <cellStyle name="40 % - Markeringsfarve3 2 3 6 2 3 2 2" xfId="30817" xr:uid="{00000000-0005-0000-0000-000039620000}"/>
    <cellStyle name="40 % - Markeringsfarve3 2 3 6 2 3 2 3" xfId="45781" xr:uid="{00000000-0005-0000-0000-00003A620000}"/>
    <cellStyle name="40 % - Markeringsfarve3 2 3 6 2 3 3" xfId="23795" xr:uid="{00000000-0005-0000-0000-00003B620000}"/>
    <cellStyle name="40 % - Markeringsfarve3 2 3 6 2 3 4" xfId="38782" xr:uid="{00000000-0005-0000-0000-00003C620000}"/>
    <cellStyle name="40 % - Markeringsfarve3 2 3 6 2 4" xfId="12154" xr:uid="{00000000-0005-0000-0000-00003D620000}"/>
    <cellStyle name="40 % - Markeringsfarve3 2 3 6 2 4 2" xfId="28474" xr:uid="{00000000-0005-0000-0000-00003E620000}"/>
    <cellStyle name="40 % - Markeringsfarve3 2 3 6 2 4 3" xfId="43439" xr:uid="{00000000-0005-0000-0000-00003F620000}"/>
    <cellStyle name="40 % - Markeringsfarve3 2 3 6 2 5" xfId="21452" xr:uid="{00000000-0005-0000-0000-000040620000}"/>
    <cellStyle name="40 % - Markeringsfarve3 2 3 6 2 6" xfId="36440" xr:uid="{00000000-0005-0000-0000-000041620000}"/>
    <cellStyle name="40 % - Markeringsfarve3 2 3 6 3" xfId="3596" xr:uid="{00000000-0005-0000-0000-000042620000}"/>
    <cellStyle name="40 % - Markeringsfarve3 2 3 6 3 2" xfId="7371" xr:uid="{00000000-0005-0000-0000-000043620000}"/>
    <cellStyle name="40 % - Markeringsfarve3 2 3 6 3 2 2" xfId="15282" xr:uid="{00000000-0005-0000-0000-000044620000}"/>
    <cellStyle name="40 % - Markeringsfarve3 2 3 6 3 2 2 2" xfId="31597" xr:uid="{00000000-0005-0000-0000-000045620000}"/>
    <cellStyle name="40 % - Markeringsfarve3 2 3 6 3 2 2 3" xfId="46561" xr:uid="{00000000-0005-0000-0000-000046620000}"/>
    <cellStyle name="40 % - Markeringsfarve3 2 3 6 3 2 3" xfId="24575" xr:uid="{00000000-0005-0000-0000-000047620000}"/>
    <cellStyle name="40 % - Markeringsfarve3 2 3 6 3 2 4" xfId="39562" xr:uid="{00000000-0005-0000-0000-000048620000}"/>
    <cellStyle name="40 % - Markeringsfarve3 2 3 6 3 3" xfId="12156" xr:uid="{00000000-0005-0000-0000-000049620000}"/>
    <cellStyle name="40 % - Markeringsfarve3 2 3 6 3 3 2" xfId="28476" xr:uid="{00000000-0005-0000-0000-00004A620000}"/>
    <cellStyle name="40 % - Markeringsfarve3 2 3 6 3 3 3" xfId="43441" xr:uid="{00000000-0005-0000-0000-00004B620000}"/>
    <cellStyle name="40 % - Markeringsfarve3 2 3 6 3 4" xfId="21454" xr:uid="{00000000-0005-0000-0000-00004C620000}"/>
    <cellStyle name="40 % - Markeringsfarve3 2 3 6 3 5" xfId="36442" xr:uid="{00000000-0005-0000-0000-00004D620000}"/>
    <cellStyle name="40 % - Markeringsfarve3 2 3 6 4" xfId="3597" xr:uid="{00000000-0005-0000-0000-00004E620000}"/>
    <cellStyle name="40 % - Markeringsfarve3 2 3 6 4 2" xfId="8226" xr:uid="{00000000-0005-0000-0000-00004F620000}"/>
    <cellStyle name="40 % - Markeringsfarve3 2 3 6 4 2 2" xfId="16121" xr:uid="{00000000-0005-0000-0000-000050620000}"/>
    <cellStyle name="40 % - Markeringsfarve3 2 3 6 4 2 2 2" xfId="32436" xr:uid="{00000000-0005-0000-0000-000051620000}"/>
    <cellStyle name="40 % - Markeringsfarve3 2 3 6 4 2 2 3" xfId="47400" xr:uid="{00000000-0005-0000-0000-000052620000}"/>
    <cellStyle name="40 % - Markeringsfarve3 2 3 6 4 2 3" xfId="25414" xr:uid="{00000000-0005-0000-0000-000053620000}"/>
    <cellStyle name="40 % - Markeringsfarve3 2 3 6 4 2 4" xfId="40401" xr:uid="{00000000-0005-0000-0000-000054620000}"/>
    <cellStyle name="40 % - Markeringsfarve3 2 3 6 4 3" xfId="12157" xr:uid="{00000000-0005-0000-0000-000055620000}"/>
    <cellStyle name="40 % - Markeringsfarve3 2 3 6 4 3 2" xfId="28477" xr:uid="{00000000-0005-0000-0000-000056620000}"/>
    <cellStyle name="40 % - Markeringsfarve3 2 3 6 4 3 3" xfId="43442" xr:uid="{00000000-0005-0000-0000-000057620000}"/>
    <cellStyle name="40 % - Markeringsfarve3 2 3 6 4 4" xfId="21455" xr:uid="{00000000-0005-0000-0000-000058620000}"/>
    <cellStyle name="40 % - Markeringsfarve3 2 3 6 4 5" xfId="36443" xr:uid="{00000000-0005-0000-0000-000059620000}"/>
    <cellStyle name="40 % - Markeringsfarve3 2 3 6 5" xfId="5811" xr:uid="{00000000-0005-0000-0000-00005A620000}"/>
    <cellStyle name="40 % - Markeringsfarve3 2 3 6 5 2" xfId="13730" xr:uid="{00000000-0005-0000-0000-00005B620000}"/>
    <cellStyle name="40 % - Markeringsfarve3 2 3 6 5 2 2" xfId="30045" xr:uid="{00000000-0005-0000-0000-00005C620000}"/>
    <cellStyle name="40 % - Markeringsfarve3 2 3 6 5 2 3" xfId="45009" xr:uid="{00000000-0005-0000-0000-00005D620000}"/>
    <cellStyle name="40 % - Markeringsfarve3 2 3 6 5 3" xfId="23023" xr:uid="{00000000-0005-0000-0000-00005E620000}"/>
    <cellStyle name="40 % - Markeringsfarve3 2 3 6 5 4" xfId="38010" xr:uid="{00000000-0005-0000-0000-00005F620000}"/>
    <cellStyle name="40 % - Markeringsfarve3 2 3 6 6" xfId="12153" xr:uid="{00000000-0005-0000-0000-000060620000}"/>
    <cellStyle name="40 % - Markeringsfarve3 2 3 6 6 2" xfId="28473" xr:uid="{00000000-0005-0000-0000-000061620000}"/>
    <cellStyle name="40 % - Markeringsfarve3 2 3 6 6 3" xfId="43438" xr:uid="{00000000-0005-0000-0000-000062620000}"/>
    <cellStyle name="40 % - Markeringsfarve3 2 3 6 7" xfId="21451" xr:uid="{00000000-0005-0000-0000-000063620000}"/>
    <cellStyle name="40 % - Markeringsfarve3 2 3 6 8" xfId="36439" xr:uid="{00000000-0005-0000-0000-000064620000}"/>
    <cellStyle name="40 % - Markeringsfarve3 2 3 7" xfId="3598" xr:uid="{00000000-0005-0000-0000-000065620000}"/>
    <cellStyle name="40 % - Markeringsfarve3 2 3 7 2" xfId="3599" xr:uid="{00000000-0005-0000-0000-000066620000}"/>
    <cellStyle name="40 % - Markeringsfarve3 2 3 7 2 2" xfId="7537" xr:uid="{00000000-0005-0000-0000-000067620000}"/>
    <cellStyle name="40 % - Markeringsfarve3 2 3 7 2 2 2" xfId="15439" xr:uid="{00000000-0005-0000-0000-000068620000}"/>
    <cellStyle name="40 % - Markeringsfarve3 2 3 7 2 2 2 2" xfId="31754" xr:uid="{00000000-0005-0000-0000-000069620000}"/>
    <cellStyle name="40 % - Markeringsfarve3 2 3 7 2 2 2 3" xfId="46718" xr:uid="{00000000-0005-0000-0000-00006A620000}"/>
    <cellStyle name="40 % - Markeringsfarve3 2 3 7 2 2 3" xfId="24732" xr:uid="{00000000-0005-0000-0000-00006B620000}"/>
    <cellStyle name="40 % - Markeringsfarve3 2 3 7 2 2 4" xfId="39719" xr:uid="{00000000-0005-0000-0000-00006C620000}"/>
    <cellStyle name="40 % - Markeringsfarve3 2 3 7 2 3" xfId="12159" xr:uid="{00000000-0005-0000-0000-00006D620000}"/>
    <cellStyle name="40 % - Markeringsfarve3 2 3 7 2 3 2" xfId="28479" xr:uid="{00000000-0005-0000-0000-00006E620000}"/>
    <cellStyle name="40 % - Markeringsfarve3 2 3 7 2 3 3" xfId="43444" xr:uid="{00000000-0005-0000-0000-00006F620000}"/>
    <cellStyle name="40 % - Markeringsfarve3 2 3 7 2 4" xfId="21457" xr:uid="{00000000-0005-0000-0000-000070620000}"/>
    <cellStyle name="40 % - Markeringsfarve3 2 3 7 2 5" xfId="36445" xr:uid="{00000000-0005-0000-0000-000071620000}"/>
    <cellStyle name="40 % - Markeringsfarve3 2 3 7 3" xfId="6123" xr:uid="{00000000-0005-0000-0000-000072620000}"/>
    <cellStyle name="40 % - Markeringsfarve3 2 3 7 3 2" xfId="14041" xr:uid="{00000000-0005-0000-0000-000073620000}"/>
    <cellStyle name="40 % - Markeringsfarve3 2 3 7 3 2 2" xfId="30356" xr:uid="{00000000-0005-0000-0000-000074620000}"/>
    <cellStyle name="40 % - Markeringsfarve3 2 3 7 3 2 3" xfId="45320" xr:uid="{00000000-0005-0000-0000-000075620000}"/>
    <cellStyle name="40 % - Markeringsfarve3 2 3 7 3 3" xfId="23334" xr:uid="{00000000-0005-0000-0000-000076620000}"/>
    <cellStyle name="40 % - Markeringsfarve3 2 3 7 3 4" xfId="38321" xr:uid="{00000000-0005-0000-0000-000077620000}"/>
    <cellStyle name="40 % - Markeringsfarve3 2 3 7 4" xfId="12158" xr:uid="{00000000-0005-0000-0000-000078620000}"/>
    <cellStyle name="40 % - Markeringsfarve3 2 3 7 4 2" xfId="28478" xr:uid="{00000000-0005-0000-0000-000079620000}"/>
    <cellStyle name="40 % - Markeringsfarve3 2 3 7 4 3" xfId="43443" xr:uid="{00000000-0005-0000-0000-00007A620000}"/>
    <cellStyle name="40 % - Markeringsfarve3 2 3 7 5" xfId="21456" xr:uid="{00000000-0005-0000-0000-00007B620000}"/>
    <cellStyle name="40 % - Markeringsfarve3 2 3 7 6" xfId="36444" xr:uid="{00000000-0005-0000-0000-00007C620000}"/>
    <cellStyle name="40 % - Markeringsfarve3 2 3 8" xfId="3600" xr:uid="{00000000-0005-0000-0000-00007D620000}"/>
    <cellStyle name="40 % - Markeringsfarve3 2 3 8 2" xfId="6765" xr:uid="{00000000-0005-0000-0000-00007E620000}"/>
    <cellStyle name="40 % - Markeringsfarve3 2 3 8 2 2" xfId="14677" xr:uid="{00000000-0005-0000-0000-00007F620000}"/>
    <cellStyle name="40 % - Markeringsfarve3 2 3 8 2 2 2" xfId="30992" xr:uid="{00000000-0005-0000-0000-000080620000}"/>
    <cellStyle name="40 % - Markeringsfarve3 2 3 8 2 2 3" xfId="45956" xr:uid="{00000000-0005-0000-0000-000081620000}"/>
    <cellStyle name="40 % - Markeringsfarve3 2 3 8 2 3" xfId="23970" xr:uid="{00000000-0005-0000-0000-000082620000}"/>
    <cellStyle name="40 % - Markeringsfarve3 2 3 8 2 4" xfId="38957" xr:uid="{00000000-0005-0000-0000-000083620000}"/>
    <cellStyle name="40 % - Markeringsfarve3 2 3 8 3" xfId="12160" xr:uid="{00000000-0005-0000-0000-000084620000}"/>
    <cellStyle name="40 % - Markeringsfarve3 2 3 8 3 2" xfId="28480" xr:uid="{00000000-0005-0000-0000-000085620000}"/>
    <cellStyle name="40 % - Markeringsfarve3 2 3 8 3 3" xfId="43445" xr:uid="{00000000-0005-0000-0000-000086620000}"/>
    <cellStyle name="40 % - Markeringsfarve3 2 3 8 4" xfId="21458" xr:uid="{00000000-0005-0000-0000-000087620000}"/>
    <cellStyle name="40 % - Markeringsfarve3 2 3 8 5" xfId="36446" xr:uid="{00000000-0005-0000-0000-000088620000}"/>
    <cellStyle name="40 % - Markeringsfarve3 2 3 9" xfId="3601" xr:uid="{00000000-0005-0000-0000-000089620000}"/>
    <cellStyle name="40 % - Markeringsfarve3 2 3 9 2" xfId="8655" xr:uid="{00000000-0005-0000-0000-00008A620000}"/>
    <cellStyle name="40 % - Markeringsfarve3 2 3 9 2 2" xfId="16536" xr:uid="{00000000-0005-0000-0000-00008B620000}"/>
    <cellStyle name="40 % - Markeringsfarve3 2 3 9 2 2 2" xfId="32851" xr:uid="{00000000-0005-0000-0000-00008C620000}"/>
    <cellStyle name="40 % - Markeringsfarve3 2 3 9 2 2 3" xfId="47815" xr:uid="{00000000-0005-0000-0000-00008D620000}"/>
    <cellStyle name="40 % - Markeringsfarve3 2 3 9 2 3" xfId="25829" xr:uid="{00000000-0005-0000-0000-00008E620000}"/>
    <cellStyle name="40 % - Markeringsfarve3 2 3 9 2 4" xfId="40816" xr:uid="{00000000-0005-0000-0000-00008F620000}"/>
    <cellStyle name="40 % - Markeringsfarve3 2 3 9 3" xfId="12161" xr:uid="{00000000-0005-0000-0000-000090620000}"/>
    <cellStyle name="40 % - Markeringsfarve3 2 3 9 3 2" xfId="28481" xr:uid="{00000000-0005-0000-0000-000091620000}"/>
    <cellStyle name="40 % - Markeringsfarve3 2 3 9 3 3" xfId="43446" xr:uid="{00000000-0005-0000-0000-000092620000}"/>
    <cellStyle name="40 % - Markeringsfarve3 2 3 9 4" xfId="21459" xr:uid="{00000000-0005-0000-0000-000093620000}"/>
    <cellStyle name="40 % - Markeringsfarve3 2 3 9 5" xfId="36447" xr:uid="{00000000-0005-0000-0000-000094620000}"/>
    <cellStyle name="40 % - Markeringsfarve3 2 4" xfId="3602" xr:uid="{00000000-0005-0000-0000-000095620000}"/>
    <cellStyle name="40 % - Markeringsfarve3 2 4 2" xfId="3603" xr:uid="{00000000-0005-0000-0000-000096620000}"/>
    <cellStyle name="40 % - Markeringsfarve3 2 4 2 2" xfId="3604" xr:uid="{00000000-0005-0000-0000-000097620000}"/>
    <cellStyle name="40 % - Markeringsfarve3 2 4 2 2 2" xfId="7578" xr:uid="{00000000-0005-0000-0000-000098620000}"/>
    <cellStyle name="40 % - Markeringsfarve3 2 4 2 2 2 2" xfId="15480" xr:uid="{00000000-0005-0000-0000-000099620000}"/>
    <cellStyle name="40 % - Markeringsfarve3 2 4 2 2 2 2 2" xfId="31795" xr:uid="{00000000-0005-0000-0000-00009A620000}"/>
    <cellStyle name="40 % - Markeringsfarve3 2 4 2 2 2 2 3" xfId="46759" xr:uid="{00000000-0005-0000-0000-00009B620000}"/>
    <cellStyle name="40 % - Markeringsfarve3 2 4 2 2 2 3" xfId="24773" xr:uid="{00000000-0005-0000-0000-00009C620000}"/>
    <cellStyle name="40 % - Markeringsfarve3 2 4 2 2 2 4" xfId="39760" xr:uid="{00000000-0005-0000-0000-00009D620000}"/>
    <cellStyle name="40 % - Markeringsfarve3 2 4 2 2 3" xfId="12164" xr:uid="{00000000-0005-0000-0000-00009E620000}"/>
    <cellStyle name="40 % - Markeringsfarve3 2 4 2 2 3 2" xfId="28484" xr:uid="{00000000-0005-0000-0000-00009F620000}"/>
    <cellStyle name="40 % - Markeringsfarve3 2 4 2 2 3 3" xfId="43449" xr:uid="{00000000-0005-0000-0000-0000A0620000}"/>
    <cellStyle name="40 % - Markeringsfarve3 2 4 2 2 4" xfId="21462" xr:uid="{00000000-0005-0000-0000-0000A1620000}"/>
    <cellStyle name="40 % - Markeringsfarve3 2 4 2 2 5" xfId="36450" xr:uid="{00000000-0005-0000-0000-0000A2620000}"/>
    <cellStyle name="40 % - Markeringsfarve3 2 4 2 3" xfId="6156" xr:uid="{00000000-0005-0000-0000-0000A3620000}"/>
    <cellStyle name="40 % - Markeringsfarve3 2 4 2 3 2" xfId="14074" xr:uid="{00000000-0005-0000-0000-0000A4620000}"/>
    <cellStyle name="40 % - Markeringsfarve3 2 4 2 3 2 2" xfId="30389" xr:uid="{00000000-0005-0000-0000-0000A5620000}"/>
    <cellStyle name="40 % - Markeringsfarve3 2 4 2 3 2 3" xfId="45353" xr:uid="{00000000-0005-0000-0000-0000A6620000}"/>
    <cellStyle name="40 % - Markeringsfarve3 2 4 2 3 3" xfId="23367" xr:uid="{00000000-0005-0000-0000-0000A7620000}"/>
    <cellStyle name="40 % - Markeringsfarve3 2 4 2 3 4" xfId="38354" xr:uid="{00000000-0005-0000-0000-0000A8620000}"/>
    <cellStyle name="40 % - Markeringsfarve3 2 4 2 4" xfId="12163" xr:uid="{00000000-0005-0000-0000-0000A9620000}"/>
    <cellStyle name="40 % - Markeringsfarve3 2 4 2 4 2" xfId="28483" xr:uid="{00000000-0005-0000-0000-0000AA620000}"/>
    <cellStyle name="40 % - Markeringsfarve3 2 4 2 4 3" xfId="43448" xr:uid="{00000000-0005-0000-0000-0000AB620000}"/>
    <cellStyle name="40 % - Markeringsfarve3 2 4 2 5" xfId="21461" xr:uid="{00000000-0005-0000-0000-0000AC620000}"/>
    <cellStyle name="40 % - Markeringsfarve3 2 4 2 6" xfId="36449" xr:uid="{00000000-0005-0000-0000-0000AD620000}"/>
    <cellStyle name="40 % - Markeringsfarve3 2 4 2 7" xfId="57072" xr:uid="{00000000-0005-0000-0000-0000AE620000}"/>
    <cellStyle name="40 % - Markeringsfarve3 2 4 3" xfId="3605" xr:uid="{00000000-0005-0000-0000-0000AF620000}"/>
    <cellStyle name="40 % - Markeringsfarve3 2 4 3 2" xfId="6808" xr:uid="{00000000-0005-0000-0000-0000B0620000}"/>
    <cellStyle name="40 % - Markeringsfarve3 2 4 3 2 2" xfId="14720" xr:uid="{00000000-0005-0000-0000-0000B1620000}"/>
    <cellStyle name="40 % - Markeringsfarve3 2 4 3 2 2 2" xfId="31035" xr:uid="{00000000-0005-0000-0000-0000B2620000}"/>
    <cellStyle name="40 % - Markeringsfarve3 2 4 3 2 2 3" xfId="45999" xr:uid="{00000000-0005-0000-0000-0000B3620000}"/>
    <cellStyle name="40 % - Markeringsfarve3 2 4 3 2 3" xfId="24013" xr:uid="{00000000-0005-0000-0000-0000B4620000}"/>
    <cellStyle name="40 % - Markeringsfarve3 2 4 3 2 4" xfId="39000" xr:uid="{00000000-0005-0000-0000-0000B5620000}"/>
    <cellStyle name="40 % - Markeringsfarve3 2 4 3 3" xfId="12165" xr:uid="{00000000-0005-0000-0000-0000B6620000}"/>
    <cellStyle name="40 % - Markeringsfarve3 2 4 3 3 2" xfId="28485" xr:uid="{00000000-0005-0000-0000-0000B7620000}"/>
    <cellStyle name="40 % - Markeringsfarve3 2 4 3 3 3" xfId="43450" xr:uid="{00000000-0005-0000-0000-0000B8620000}"/>
    <cellStyle name="40 % - Markeringsfarve3 2 4 3 4" xfId="21463" xr:uid="{00000000-0005-0000-0000-0000B9620000}"/>
    <cellStyle name="40 % - Markeringsfarve3 2 4 3 5" xfId="36451" xr:uid="{00000000-0005-0000-0000-0000BA620000}"/>
    <cellStyle name="40 % - Markeringsfarve3 2 4 4" xfId="3606" xr:uid="{00000000-0005-0000-0000-0000BB620000}"/>
    <cellStyle name="40 % - Markeringsfarve3 2 4 4 2" xfId="8522" xr:uid="{00000000-0005-0000-0000-0000BC620000}"/>
    <cellStyle name="40 % - Markeringsfarve3 2 4 4 2 2" xfId="16410" xr:uid="{00000000-0005-0000-0000-0000BD620000}"/>
    <cellStyle name="40 % - Markeringsfarve3 2 4 4 2 2 2" xfId="32725" xr:uid="{00000000-0005-0000-0000-0000BE620000}"/>
    <cellStyle name="40 % - Markeringsfarve3 2 4 4 2 2 3" xfId="47689" xr:uid="{00000000-0005-0000-0000-0000BF620000}"/>
    <cellStyle name="40 % - Markeringsfarve3 2 4 4 2 3" xfId="25703" xr:uid="{00000000-0005-0000-0000-0000C0620000}"/>
    <cellStyle name="40 % - Markeringsfarve3 2 4 4 2 4" xfId="40690" xr:uid="{00000000-0005-0000-0000-0000C1620000}"/>
    <cellStyle name="40 % - Markeringsfarve3 2 4 4 3" xfId="12166" xr:uid="{00000000-0005-0000-0000-0000C2620000}"/>
    <cellStyle name="40 % - Markeringsfarve3 2 4 4 3 2" xfId="28486" xr:uid="{00000000-0005-0000-0000-0000C3620000}"/>
    <cellStyle name="40 % - Markeringsfarve3 2 4 4 3 3" xfId="43451" xr:uid="{00000000-0005-0000-0000-0000C4620000}"/>
    <cellStyle name="40 % - Markeringsfarve3 2 4 4 4" xfId="21464" xr:uid="{00000000-0005-0000-0000-0000C5620000}"/>
    <cellStyle name="40 % - Markeringsfarve3 2 4 4 5" xfId="36452" xr:uid="{00000000-0005-0000-0000-0000C6620000}"/>
    <cellStyle name="40 % - Markeringsfarve3 2 4 5" xfId="5812" xr:uid="{00000000-0005-0000-0000-0000C7620000}"/>
    <cellStyle name="40 % - Markeringsfarve3 2 4 5 2" xfId="13731" xr:uid="{00000000-0005-0000-0000-0000C8620000}"/>
    <cellStyle name="40 % - Markeringsfarve3 2 4 5 2 2" xfId="30046" xr:uid="{00000000-0005-0000-0000-0000C9620000}"/>
    <cellStyle name="40 % - Markeringsfarve3 2 4 5 2 3" xfId="45010" xr:uid="{00000000-0005-0000-0000-0000CA620000}"/>
    <cellStyle name="40 % - Markeringsfarve3 2 4 5 3" xfId="23024" xr:uid="{00000000-0005-0000-0000-0000CB620000}"/>
    <cellStyle name="40 % - Markeringsfarve3 2 4 5 4" xfId="38011" xr:uid="{00000000-0005-0000-0000-0000CC620000}"/>
    <cellStyle name="40 % - Markeringsfarve3 2 4 6" xfId="12162" xr:uid="{00000000-0005-0000-0000-0000CD620000}"/>
    <cellStyle name="40 % - Markeringsfarve3 2 4 6 2" xfId="28482" xr:uid="{00000000-0005-0000-0000-0000CE620000}"/>
    <cellStyle name="40 % - Markeringsfarve3 2 4 6 3" xfId="43447" xr:uid="{00000000-0005-0000-0000-0000CF620000}"/>
    <cellStyle name="40 % - Markeringsfarve3 2 4 7" xfId="21460" xr:uid="{00000000-0005-0000-0000-0000D0620000}"/>
    <cellStyle name="40 % - Markeringsfarve3 2 4 8" xfId="36448" xr:uid="{00000000-0005-0000-0000-0000D1620000}"/>
    <cellStyle name="40 % - Markeringsfarve3 2 4 9" xfId="53905" xr:uid="{00000000-0005-0000-0000-0000D2620000}"/>
    <cellStyle name="40 % - Markeringsfarve3 2 5" xfId="3607" xr:uid="{00000000-0005-0000-0000-0000D3620000}"/>
    <cellStyle name="40 % - Markeringsfarve3 2 5 2" xfId="3608" xr:uid="{00000000-0005-0000-0000-0000D4620000}"/>
    <cellStyle name="40 % - Markeringsfarve3 2 5 2 2" xfId="3609" xr:uid="{00000000-0005-0000-0000-0000D5620000}"/>
    <cellStyle name="40 % - Markeringsfarve3 2 5 2 2 2" xfId="7737" xr:uid="{00000000-0005-0000-0000-0000D6620000}"/>
    <cellStyle name="40 % - Markeringsfarve3 2 5 2 2 2 2" xfId="15639" xr:uid="{00000000-0005-0000-0000-0000D7620000}"/>
    <cellStyle name="40 % - Markeringsfarve3 2 5 2 2 2 2 2" xfId="31954" xr:uid="{00000000-0005-0000-0000-0000D8620000}"/>
    <cellStyle name="40 % - Markeringsfarve3 2 5 2 2 2 2 3" xfId="46918" xr:uid="{00000000-0005-0000-0000-0000D9620000}"/>
    <cellStyle name="40 % - Markeringsfarve3 2 5 2 2 2 3" xfId="24932" xr:uid="{00000000-0005-0000-0000-0000DA620000}"/>
    <cellStyle name="40 % - Markeringsfarve3 2 5 2 2 2 4" xfId="39919" xr:uid="{00000000-0005-0000-0000-0000DB620000}"/>
    <cellStyle name="40 % - Markeringsfarve3 2 5 2 2 3" xfId="12169" xr:uid="{00000000-0005-0000-0000-0000DC620000}"/>
    <cellStyle name="40 % - Markeringsfarve3 2 5 2 2 3 2" xfId="28489" xr:uid="{00000000-0005-0000-0000-0000DD620000}"/>
    <cellStyle name="40 % - Markeringsfarve3 2 5 2 2 3 3" xfId="43454" xr:uid="{00000000-0005-0000-0000-0000DE620000}"/>
    <cellStyle name="40 % - Markeringsfarve3 2 5 2 2 4" xfId="21467" xr:uid="{00000000-0005-0000-0000-0000DF620000}"/>
    <cellStyle name="40 % - Markeringsfarve3 2 5 2 2 5" xfId="36455" xr:uid="{00000000-0005-0000-0000-0000E0620000}"/>
    <cellStyle name="40 % - Markeringsfarve3 2 5 2 3" xfId="6283" xr:uid="{00000000-0005-0000-0000-0000E1620000}"/>
    <cellStyle name="40 % - Markeringsfarve3 2 5 2 3 2" xfId="14201" xr:uid="{00000000-0005-0000-0000-0000E2620000}"/>
    <cellStyle name="40 % - Markeringsfarve3 2 5 2 3 2 2" xfId="30516" xr:uid="{00000000-0005-0000-0000-0000E3620000}"/>
    <cellStyle name="40 % - Markeringsfarve3 2 5 2 3 2 3" xfId="45480" xr:uid="{00000000-0005-0000-0000-0000E4620000}"/>
    <cellStyle name="40 % - Markeringsfarve3 2 5 2 3 3" xfId="23494" xr:uid="{00000000-0005-0000-0000-0000E5620000}"/>
    <cellStyle name="40 % - Markeringsfarve3 2 5 2 3 4" xfId="38481" xr:uid="{00000000-0005-0000-0000-0000E6620000}"/>
    <cellStyle name="40 % - Markeringsfarve3 2 5 2 4" xfId="12168" xr:uid="{00000000-0005-0000-0000-0000E7620000}"/>
    <cellStyle name="40 % - Markeringsfarve3 2 5 2 4 2" xfId="28488" xr:uid="{00000000-0005-0000-0000-0000E8620000}"/>
    <cellStyle name="40 % - Markeringsfarve3 2 5 2 4 3" xfId="43453" xr:uid="{00000000-0005-0000-0000-0000E9620000}"/>
    <cellStyle name="40 % - Markeringsfarve3 2 5 2 5" xfId="21466" xr:uid="{00000000-0005-0000-0000-0000EA620000}"/>
    <cellStyle name="40 % - Markeringsfarve3 2 5 2 6" xfId="36454" xr:uid="{00000000-0005-0000-0000-0000EB620000}"/>
    <cellStyle name="40 % - Markeringsfarve3 2 5 3" xfId="3610" xr:uid="{00000000-0005-0000-0000-0000EC620000}"/>
    <cellStyle name="40 % - Markeringsfarve3 2 5 3 2" xfId="6967" xr:uid="{00000000-0005-0000-0000-0000ED620000}"/>
    <cellStyle name="40 % - Markeringsfarve3 2 5 3 2 2" xfId="14879" xr:uid="{00000000-0005-0000-0000-0000EE620000}"/>
    <cellStyle name="40 % - Markeringsfarve3 2 5 3 2 2 2" xfId="31194" xr:uid="{00000000-0005-0000-0000-0000EF620000}"/>
    <cellStyle name="40 % - Markeringsfarve3 2 5 3 2 2 3" xfId="46158" xr:uid="{00000000-0005-0000-0000-0000F0620000}"/>
    <cellStyle name="40 % - Markeringsfarve3 2 5 3 2 3" xfId="24172" xr:uid="{00000000-0005-0000-0000-0000F1620000}"/>
    <cellStyle name="40 % - Markeringsfarve3 2 5 3 2 4" xfId="39159" xr:uid="{00000000-0005-0000-0000-0000F2620000}"/>
    <cellStyle name="40 % - Markeringsfarve3 2 5 3 3" xfId="12170" xr:uid="{00000000-0005-0000-0000-0000F3620000}"/>
    <cellStyle name="40 % - Markeringsfarve3 2 5 3 3 2" xfId="28490" xr:uid="{00000000-0005-0000-0000-0000F4620000}"/>
    <cellStyle name="40 % - Markeringsfarve3 2 5 3 3 3" xfId="43455" xr:uid="{00000000-0005-0000-0000-0000F5620000}"/>
    <cellStyle name="40 % - Markeringsfarve3 2 5 3 4" xfId="21468" xr:uid="{00000000-0005-0000-0000-0000F6620000}"/>
    <cellStyle name="40 % - Markeringsfarve3 2 5 3 5" xfId="36456" xr:uid="{00000000-0005-0000-0000-0000F7620000}"/>
    <cellStyle name="40 % - Markeringsfarve3 2 5 4" xfId="3611" xr:uid="{00000000-0005-0000-0000-0000F8620000}"/>
    <cellStyle name="40 % - Markeringsfarve3 2 5 4 2" xfId="8172" xr:uid="{00000000-0005-0000-0000-0000F9620000}"/>
    <cellStyle name="40 % - Markeringsfarve3 2 5 4 2 2" xfId="16070" xr:uid="{00000000-0005-0000-0000-0000FA620000}"/>
    <cellStyle name="40 % - Markeringsfarve3 2 5 4 2 2 2" xfId="32385" xr:uid="{00000000-0005-0000-0000-0000FB620000}"/>
    <cellStyle name="40 % - Markeringsfarve3 2 5 4 2 2 3" xfId="47349" xr:uid="{00000000-0005-0000-0000-0000FC620000}"/>
    <cellStyle name="40 % - Markeringsfarve3 2 5 4 2 3" xfId="25363" xr:uid="{00000000-0005-0000-0000-0000FD620000}"/>
    <cellStyle name="40 % - Markeringsfarve3 2 5 4 2 4" xfId="40350" xr:uid="{00000000-0005-0000-0000-0000FE620000}"/>
    <cellStyle name="40 % - Markeringsfarve3 2 5 4 3" xfId="12171" xr:uid="{00000000-0005-0000-0000-0000FF620000}"/>
    <cellStyle name="40 % - Markeringsfarve3 2 5 4 3 2" xfId="28491" xr:uid="{00000000-0005-0000-0000-000000630000}"/>
    <cellStyle name="40 % - Markeringsfarve3 2 5 4 3 3" xfId="43456" xr:uid="{00000000-0005-0000-0000-000001630000}"/>
    <cellStyle name="40 % - Markeringsfarve3 2 5 4 4" xfId="21469" xr:uid="{00000000-0005-0000-0000-000002630000}"/>
    <cellStyle name="40 % - Markeringsfarve3 2 5 4 5" xfId="36457" xr:uid="{00000000-0005-0000-0000-000003630000}"/>
    <cellStyle name="40 % - Markeringsfarve3 2 5 5" xfId="5813" xr:uid="{00000000-0005-0000-0000-000004630000}"/>
    <cellStyle name="40 % - Markeringsfarve3 2 5 5 2" xfId="13732" xr:uid="{00000000-0005-0000-0000-000005630000}"/>
    <cellStyle name="40 % - Markeringsfarve3 2 5 5 2 2" xfId="30047" xr:uid="{00000000-0005-0000-0000-000006630000}"/>
    <cellStyle name="40 % - Markeringsfarve3 2 5 5 2 3" xfId="45011" xr:uid="{00000000-0005-0000-0000-000007630000}"/>
    <cellStyle name="40 % - Markeringsfarve3 2 5 5 3" xfId="23025" xr:uid="{00000000-0005-0000-0000-000008630000}"/>
    <cellStyle name="40 % - Markeringsfarve3 2 5 5 4" xfId="38012" xr:uid="{00000000-0005-0000-0000-000009630000}"/>
    <cellStyle name="40 % - Markeringsfarve3 2 5 6" xfId="12167" xr:uid="{00000000-0005-0000-0000-00000A630000}"/>
    <cellStyle name="40 % - Markeringsfarve3 2 5 6 2" xfId="28487" xr:uid="{00000000-0005-0000-0000-00000B630000}"/>
    <cellStyle name="40 % - Markeringsfarve3 2 5 6 3" xfId="43452" xr:uid="{00000000-0005-0000-0000-00000C630000}"/>
    <cellStyle name="40 % - Markeringsfarve3 2 5 7" xfId="21465" xr:uid="{00000000-0005-0000-0000-00000D630000}"/>
    <cellStyle name="40 % - Markeringsfarve3 2 5 8" xfId="36453" xr:uid="{00000000-0005-0000-0000-00000E630000}"/>
    <cellStyle name="40 % - Markeringsfarve3 2 5 9" xfId="56449" xr:uid="{00000000-0005-0000-0000-00000F630000}"/>
    <cellStyle name="40 % - Markeringsfarve3 2 6" xfId="3612" xr:uid="{00000000-0005-0000-0000-000010630000}"/>
    <cellStyle name="40 % - Markeringsfarve3 2 6 2" xfId="3613" xr:uid="{00000000-0005-0000-0000-000011630000}"/>
    <cellStyle name="40 % - Markeringsfarve3 2 6 2 2" xfId="3614" xr:uid="{00000000-0005-0000-0000-000012630000}"/>
    <cellStyle name="40 % - Markeringsfarve3 2 6 2 2 2" xfId="7816" xr:uid="{00000000-0005-0000-0000-000013630000}"/>
    <cellStyle name="40 % - Markeringsfarve3 2 6 2 2 2 2" xfId="15718" xr:uid="{00000000-0005-0000-0000-000014630000}"/>
    <cellStyle name="40 % - Markeringsfarve3 2 6 2 2 2 2 2" xfId="32033" xr:uid="{00000000-0005-0000-0000-000015630000}"/>
    <cellStyle name="40 % - Markeringsfarve3 2 6 2 2 2 2 3" xfId="46997" xr:uid="{00000000-0005-0000-0000-000016630000}"/>
    <cellStyle name="40 % - Markeringsfarve3 2 6 2 2 2 3" xfId="25011" xr:uid="{00000000-0005-0000-0000-000017630000}"/>
    <cellStyle name="40 % - Markeringsfarve3 2 6 2 2 2 4" xfId="39998" xr:uid="{00000000-0005-0000-0000-000018630000}"/>
    <cellStyle name="40 % - Markeringsfarve3 2 6 2 2 3" xfId="12174" xr:uid="{00000000-0005-0000-0000-000019630000}"/>
    <cellStyle name="40 % - Markeringsfarve3 2 6 2 2 3 2" xfId="28494" xr:uid="{00000000-0005-0000-0000-00001A630000}"/>
    <cellStyle name="40 % - Markeringsfarve3 2 6 2 2 3 3" xfId="43459" xr:uid="{00000000-0005-0000-0000-00001B630000}"/>
    <cellStyle name="40 % - Markeringsfarve3 2 6 2 2 4" xfId="21472" xr:uid="{00000000-0005-0000-0000-00001C630000}"/>
    <cellStyle name="40 % - Markeringsfarve3 2 6 2 2 5" xfId="36460" xr:uid="{00000000-0005-0000-0000-00001D630000}"/>
    <cellStyle name="40 % - Markeringsfarve3 2 6 2 3" xfId="6358" xr:uid="{00000000-0005-0000-0000-00001E630000}"/>
    <cellStyle name="40 % - Markeringsfarve3 2 6 2 3 2" xfId="14273" xr:uid="{00000000-0005-0000-0000-00001F630000}"/>
    <cellStyle name="40 % - Markeringsfarve3 2 6 2 3 2 2" xfId="30588" xr:uid="{00000000-0005-0000-0000-000020630000}"/>
    <cellStyle name="40 % - Markeringsfarve3 2 6 2 3 2 3" xfId="45552" xr:uid="{00000000-0005-0000-0000-000021630000}"/>
    <cellStyle name="40 % - Markeringsfarve3 2 6 2 3 3" xfId="23566" xr:uid="{00000000-0005-0000-0000-000022630000}"/>
    <cellStyle name="40 % - Markeringsfarve3 2 6 2 3 4" xfId="38553" xr:uid="{00000000-0005-0000-0000-000023630000}"/>
    <cellStyle name="40 % - Markeringsfarve3 2 6 2 4" xfId="12173" xr:uid="{00000000-0005-0000-0000-000024630000}"/>
    <cellStyle name="40 % - Markeringsfarve3 2 6 2 4 2" xfId="28493" xr:uid="{00000000-0005-0000-0000-000025630000}"/>
    <cellStyle name="40 % - Markeringsfarve3 2 6 2 4 3" xfId="43458" xr:uid="{00000000-0005-0000-0000-000026630000}"/>
    <cellStyle name="40 % - Markeringsfarve3 2 6 2 5" xfId="21471" xr:uid="{00000000-0005-0000-0000-000027630000}"/>
    <cellStyle name="40 % - Markeringsfarve3 2 6 2 6" xfId="36459" xr:uid="{00000000-0005-0000-0000-000028630000}"/>
    <cellStyle name="40 % - Markeringsfarve3 2 6 3" xfId="3615" xr:uid="{00000000-0005-0000-0000-000029630000}"/>
    <cellStyle name="40 % - Markeringsfarve3 2 6 3 2" xfId="7092" xr:uid="{00000000-0005-0000-0000-00002A630000}"/>
    <cellStyle name="40 % - Markeringsfarve3 2 6 3 2 2" xfId="15003" xr:uid="{00000000-0005-0000-0000-00002B630000}"/>
    <cellStyle name="40 % - Markeringsfarve3 2 6 3 2 2 2" xfId="31318" xr:uid="{00000000-0005-0000-0000-00002C630000}"/>
    <cellStyle name="40 % - Markeringsfarve3 2 6 3 2 2 3" xfId="46282" xr:uid="{00000000-0005-0000-0000-00002D630000}"/>
    <cellStyle name="40 % - Markeringsfarve3 2 6 3 2 3" xfId="24296" xr:uid="{00000000-0005-0000-0000-00002E630000}"/>
    <cellStyle name="40 % - Markeringsfarve3 2 6 3 2 4" xfId="39283" xr:uid="{00000000-0005-0000-0000-00002F630000}"/>
    <cellStyle name="40 % - Markeringsfarve3 2 6 3 3" xfId="12175" xr:uid="{00000000-0005-0000-0000-000030630000}"/>
    <cellStyle name="40 % - Markeringsfarve3 2 6 3 3 2" xfId="28495" xr:uid="{00000000-0005-0000-0000-000031630000}"/>
    <cellStyle name="40 % - Markeringsfarve3 2 6 3 3 3" xfId="43460" xr:uid="{00000000-0005-0000-0000-000032630000}"/>
    <cellStyle name="40 % - Markeringsfarve3 2 6 3 4" xfId="21473" xr:uid="{00000000-0005-0000-0000-000033630000}"/>
    <cellStyle name="40 % - Markeringsfarve3 2 6 3 5" xfId="36461" xr:uid="{00000000-0005-0000-0000-000034630000}"/>
    <cellStyle name="40 % - Markeringsfarve3 2 6 4" xfId="3616" xr:uid="{00000000-0005-0000-0000-000035630000}"/>
    <cellStyle name="40 % - Markeringsfarve3 2 6 4 2" xfId="8507" xr:uid="{00000000-0005-0000-0000-000036630000}"/>
    <cellStyle name="40 % - Markeringsfarve3 2 6 4 2 2" xfId="16395" xr:uid="{00000000-0005-0000-0000-000037630000}"/>
    <cellStyle name="40 % - Markeringsfarve3 2 6 4 2 2 2" xfId="32710" xr:uid="{00000000-0005-0000-0000-000038630000}"/>
    <cellStyle name="40 % - Markeringsfarve3 2 6 4 2 2 3" xfId="47674" xr:uid="{00000000-0005-0000-0000-000039630000}"/>
    <cellStyle name="40 % - Markeringsfarve3 2 6 4 2 3" xfId="25688" xr:uid="{00000000-0005-0000-0000-00003A630000}"/>
    <cellStyle name="40 % - Markeringsfarve3 2 6 4 2 4" xfId="40675" xr:uid="{00000000-0005-0000-0000-00003B630000}"/>
    <cellStyle name="40 % - Markeringsfarve3 2 6 4 3" xfId="12176" xr:uid="{00000000-0005-0000-0000-00003C630000}"/>
    <cellStyle name="40 % - Markeringsfarve3 2 6 4 3 2" xfId="28496" xr:uid="{00000000-0005-0000-0000-00003D630000}"/>
    <cellStyle name="40 % - Markeringsfarve3 2 6 4 3 3" xfId="43461" xr:uid="{00000000-0005-0000-0000-00003E630000}"/>
    <cellStyle name="40 % - Markeringsfarve3 2 6 4 4" xfId="21474" xr:uid="{00000000-0005-0000-0000-00003F630000}"/>
    <cellStyle name="40 % - Markeringsfarve3 2 6 4 5" xfId="36462" xr:uid="{00000000-0005-0000-0000-000040630000}"/>
    <cellStyle name="40 % - Markeringsfarve3 2 6 5" xfId="5814" xr:uid="{00000000-0005-0000-0000-000041630000}"/>
    <cellStyle name="40 % - Markeringsfarve3 2 6 5 2" xfId="13733" xr:uid="{00000000-0005-0000-0000-000042630000}"/>
    <cellStyle name="40 % - Markeringsfarve3 2 6 5 2 2" xfId="30048" xr:uid="{00000000-0005-0000-0000-000043630000}"/>
    <cellStyle name="40 % - Markeringsfarve3 2 6 5 2 3" xfId="45012" xr:uid="{00000000-0005-0000-0000-000044630000}"/>
    <cellStyle name="40 % - Markeringsfarve3 2 6 5 3" xfId="23026" xr:uid="{00000000-0005-0000-0000-000045630000}"/>
    <cellStyle name="40 % - Markeringsfarve3 2 6 5 4" xfId="38013" xr:uid="{00000000-0005-0000-0000-000046630000}"/>
    <cellStyle name="40 % - Markeringsfarve3 2 6 6" xfId="12172" xr:uid="{00000000-0005-0000-0000-000047630000}"/>
    <cellStyle name="40 % - Markeringsfarve3 2 6 6 2" xfId="28492" xr:uid="{00000000-0005-0000-0000-000048630000}"/>
    <cellStyle name="40 % - Markeringsfarve3 2 6 6 3" xfId="43457" xr:uid="{00000000-0005-0000-0000-000049630000}"/>
    <cellStyle name="40 % - Markeringsfarve3 2 6 7" xfId="21470" xr:uid="{00000000-0005-0000-0000-00004A630000}"/>
    <cellStyle name="40 % - Markeringsfarve3 2 6 8" xfId="36458" xr:uid="{00000000-0005-0000-0000-00004B630000}"/>
    <cellStyle name="40 % - Markeringsfarve3 2 7" xfId="3617" xr:uid="{00000000-0005-0000-0000-00004C630000}"/>
    <cellStyle name="40 % - Markeringsfarve3 2 7 2" xfId="3618" xr:uid="{00000000-0005-0000-0000-00004D630000}"/>
    <cellStyle name="40 % - Markeringsfarve3 2 7 2 2" xfId="3619" xr:uid="{00000000-0005-0000-0000-00004E630000}"/>
    <cellStyle name="40 % - Markeringsfarve3 2 7 2 2 2" xfId="7933" xr:uid="{00000000-0005-0000-0000-00004F630000}"/>
    <cellStyle name="40 % - Markeringsfarve3 2 7 2 2 2 2" xfId="15835" xr:uid="{00000000-0005-0000-0000-000050630000}"/>
    <cellStyle name="40 % - Markeringsfarve3 2 7 2 2 2 2 2" xfId="32150" xr:uid="{00000000-0005-0000-0000-000051630000}"/>
    <cellStyle name="40 % - Markeringsfarve3 2 7 2 2 2 2 3" xfId="47114" xr:uid="{00000000-0005-0000-0000-000052630000}"/>
    <cellStyle name="40 % - Markeringsfarve3 2 7 2 2 2 3" xfId="25128" xr:uid="{00000000-0005-0000-0000-000053630000}"/>
    <cellStyle name="40 % - Markeringsfarve3 2 7 2 2 2 4" xfId="40115" xr:uid="{00000000-0005-0000-0000-000054630000}"/>
    <cellStyle name="40 % - Markeringsfarve3 2 7 2 2 3" xfId="12179" xr:uid="{00000000-0005-0000-0000-000055630000}"/>
    <cellStyle name="40 % - Markeringsfarve3 2 7 2 2 3 2" xfId="28499" xr:uid="{00000000-0005-0000-0000-000056630000}"/>
    <cellStyle name="40 % - Markeringsfarve3 2 7 2 2 3 3" xfId="43464" xr:uid="{00000000-0005-0000-0000-000057630000}"/>
    <cellStyle name="40 % - Markeringsfarve3 2 7 2 2 4" xfId="21477" xr:uid="{00000000-0005-0000-0000-000058630000}"/>
    <cellStyle name="40 % - Markeringsfarve3 2 7 2 2 5" xfId="36465" xr:uid="{00000000-0005-0000-0000-000059630000}"/>
    <cellStyle name="40 % - Markeringsfarve3 2 7 2 3" xfId="6457" xr:uid="{00000000-0005-0000-0000-00005A630000}"/>
    <cellStyle name="40 % - Markeringsfarve3 2 7 2 3 2" xfId="14372" xr:uid="{00000000-0005-0000-0000-00005B630000}"/>
    <cellStyle name="40 % - Markeringsfarve3 2 7 2 3 2 2" xfId="30687" xr:uid="{00000000-0005-0000-0000-00005C630000}"/>
    <cellStyle name="40 % - Markeringsfarve3 2 7 2 3 2 3" xfId="45651" xr:uid="{00000000-0005-0000-0000-00005D630000}"/>
    <cellStyle name="40 % - Markeringsfarve3 2 7 2 3 3" xfId="23665" xr:uid="{00000000-0005-0000-0000-00005E630000}"/>
    <cellStyle name="40 % - Markeringsfarve3 2 7 2 3 4" xfId="38652" xr:uid="{00000000-0005-0000-0000-00005F630000}"/>
    <cellStyle name="40 % - Markeringsfarve3 2 7 2 4" xfId="12178" xr:uid="{00000000-0005-0000-0000-000060630000}"/>
    <cellStyle name="40 % - Markeringsfarve3 2 7 2 4 2" xfId="28498" xr:uid="{00000000-0005-0000-0000-000061630000}"/>
    <cellStyle name="40 % - Markeringsfarve3 2 7 2 4 3" xfId="43463" xr:uid="{00000000-0005-0000-0000-000062630000}"/>
    <cellStyle name="40 % - Markeringsfarve3 2 7 2 5" xfId="21476" xr:uid="{00000000-0005-0000-0000-000063630000}"/>
    <cellStyle name="40 % - Markeringsfarve3 2 7 2 6" xfId="36464" xr:uid="{00000000-0005-0000-0000-000064630000}"/>
    <cellStyle name="40 % - Markeringsfarve3 2 7 3" xfId="3620" xr:uid="{00000000-0005-0000-0000-000065630000}"/>
    <cellStyle name="40 % - Markeringsfarve3 2 7 3 2" xfId="7209" xr:uid="{00000000-0005-0000-0000-000066630000}"/>
    <cellStyle name="40 % - Markeringsfarve3 2 7 3 2 2" xfId="15120" xr:uid="{00000000-0005-0000-0000-000067630000}"/>
    <cellStyle name="40 % - Markeringsfarve3 2 7 3 2 2 2" xfId="31435" xr:uid="{00000000-0005-0000-0000-000068630000}"/>
    <cellStyle name="40 % - Markeringsfarve3 2 7 3 2 2 3" xfId="46399" xr:uid="{00000000-0005-0000-0000-000069630000}"/>
    <cellStyle name="40 % - Markeringsfarve3 2 7 3 2 3" xfId="24413" xr:uid="{00000000-0005-0000-0000-00006A630000}"/>
    <cellStyle name="40 % - Markeringsfarve3 2 7 3 2 4" xfId="39400" xr:uid="{00000000-0005-0000-0000-00006B630000}"/>
    <cellStyle name="40 % - Markeringsfarve3 2 7 3 3" xfId="12180" xr:uid="{00000000-0005-0000-0000-00006C630000}"/>
    <cellStyle name="40 % - Markeringsfarve3 2 7 3 3 2" xfId="28500" xr:uid="{00000000-0005-0000-0000-00006D630000}"/>
    <cellStyle name="40 % - Markeringsfarve3 2 7 3 3 3" xfId="43465" xr:uid="{00000000-0005-0000-0000-00006E630000}"/>
    <cellStyle name="40 % - Markeringsfarve3 2 7 3 4" xfId="21478" xr:uid="{00000000-0005-0000-0000-00006F630000}"/>
    <cellStyle name="40 % - Markeringsfarve3 2 7 3 5" xfId="36466" xr:uid="{00000000-0005-0000-0000-000070630000}"/>
    <cellStyle name="40 % - Markeringsfarve3 2 7 4" xfId="3621" xr:uid="{00000000-0005-0000-0000-000071630000}"/>
    <cellStyle name="40 % - Markeringsfarve3 2 7 4 2" xfId="8713" xr:uid="{00000000-0005-0000-0000-000072630000}"/>
    <cellStyle name="40 % - Markeringsfarve3 2 7 4 2 2" xfId="16590" xr:uid="{00000000-0005-0000-0000-000073630000}"/>
    <cellStyle name="40 % - Markeringsfarve3 2 7 4 2 2 2" xfId="32905" xr:uid="{00000000-0005-0000-0000-000074630000}"/>
    <cellStyle name="40 % - Markeringsfarve3 2 7 4 2 2 3" xfId="47869" xr:uid="{00000000-0005-0000-0000-000075630000}"/>
    <cellStyle name="40 % - Markeringsfarve3 2 7 4 2 3" xfId="25883" xr:uid="{00000000-0005-0000-0000-000076630000}"/>
    <cellStyle name="40 % - Markeringsfarve3 2 7 4 2 4" xfId="40870" xr:uid="{00000000-0005-0000-0000-000077630000}"/>
    <cellStyle name="40 % - Markeringsfarve3 2 7 4 3" xfId="12181" xr:uid="{00000000-0005-0000-0000-000078630000}"/>
    <cellStyle name="40 % - Markeringsfarve3 2 7 4 3 2" xfId="28501" xr:uid="{00000000-0005-0000-0000-000079630000}"/>
    <cellStyle name="40 % - Markeringsfarve3 2 7 4 3 3" xfId="43466" xr:uid="{00000000-0005-0000-0000-00007A630000}"/>
    <cellStyle name="40 % - Markeringsfarve3 2 7 4 4" xfId="21479" xr:uid="{00000000-0005-0000-0000-00007B630000}"/>
    <cellStyle name="40 % - Markeringsfarve3 2 7 4 5" xfId="36467" xr:uid="{00000000-0005-0000-0000-00007C630000}"/>
    <cellStyle name="40 % - Markeringsfarve3 2 7 5" xfId="5815" xr:uid="{00000000-0005-0000-0000-00007D630000}"/>
    <cellStyle name="40 % - Markeringsfarve3 2 7 5 2" xfId="13734" xr:uid="{00000000-0005-0000-0000-00007E630000}"/>
    <cellStyle name="40 % - Markeringsfarve3 2 7 5 2 2" xfId="30049" xr:uid="{00000000-0005-0000-0000-00007F630000}"/>
    <cellStyle name="40 % - Markeringsfarve3 2 7 5 2 3" xfId="45013" xr:uid="{00000000-0005-0000-0000-000080630000}"/>
    <cellStyle name="40 % - Markeringsfarve3 2 7 5 3" xfId="23027" xr:uid="{00000000-0005-0000-0000-000081630000}"/>
    <cellStyle name="40 % - Markeringsfarve3 2 7 5 4" xfId="38014" xr:uid="{00000000-0005-0000-0000-000082630000}"/>
    <cellStyle name="40 % - Markeringsfarve3 2 7 6" xfId="12177" xr:uid="{00000000-0005-0000-0000-000083630000}"/>
    <cellStyle name="40 % - Markeringsfarve3 2 7 6 2" xfId="28497" xr:uid="{00000000-0005-0000-0000-000084630000}"/>
    <cellStyle name="40 % - Markeringsfarve3 2 7 6 3" xfId="43462" xr:uid="{00000000-0005-0000-0000-000085630000}"/>
    <cellStyle name="40 % - Markeringsfarve3 2 7 7" xfId="21475" xr:uid="{00000000-0005-0000-0000-000086630000}"/>
    <cellStyle name="40 % - Markeringsfarve3 2 7 8" xfId="36463" xr:uid="{00000000-0005-0000-0000-000087630000}"/>
    <cellStyle name="40 % - Markeringsfarve3 2 8" xfId="3622" xr:uid="{00000000-0005-0000-0000-000088630000}"/>
    <cellStyle name="40 % - Markeringsfarve3 2 8 2" xfId="3623" xr:uid="{00000000-0005-0000-0000-000089630000}"/>
    <cellStyle name="40 % - Markeringsfarve3 2 8 2 2" xfId="3624" xr:uid="{00000000-0005-0000-0000-00008A630000}"/>
    <cellStyle name="40 % - Markeringsfarve3 2 8 2 2 2" xfId="8092" xr:uid="{00000000-0005-0000-0000-00008B630000}"/>
    <cellStyle name="40 % - Markeringsfarve3 2 8 2 2 2 2" xfId="15994" xr:uid="{00000000-0005-0000-0000-00008C630000}"/>
    <cellStyle name="40 % - Markeringsfarve3 2 8 2 2 2 2 2" xfId="32309" xr:uid="{00000000-0005-0000-0000-00008D630000}"/>
    <cellStyle name="40 % - Markeringsfarve3 2 8 2 2 2 2 3" xfId="47273" xr:uid="{00000000-0005-0000-0000-00008E630000}"/>
    <cellStyle name="40 % - Markeringsfarve3 2 8 2 2 2 3" xfId="25287" xr:uid="{00000000-0005-0000-0000-00008F630000}"/>
    <cellStyle name="40 % - Markeringsfarve3 2 8 2 2 2 4" xfId="40274" xr:uid="{00000000-0005-0000-0000-000090630000}"/>
    <cellStyle name="40 % - Markeringsfarve3 2 8 2 2 3" xfId="12184" xr:uid="{00000000-0005-0000-0000-000091630000}"/>
    <cellStyle name="40 % - Markeringsfarve3 2 8 2 2 3 2" xfId="28504" xr:uid="{00000000-0005-0000-0000-000092630000}"/>
    <cellStyle name="40 % - Markeringsfarve3 2 8 2 2 3 3" xfId="43469" xr:uid="{00000000-0005-0000-0000-000093630000}"/>
    <cellStyle name="40 % - Markeringsfarve3 2 8 2 2 4" xfId="21482" xr:uid="{00000000-0005-0000-0000-000094630000}"/>
    <cellStyle name="40 % - Markeringsfarve3 2 8 2 2 5" xfId="36470" xr:uid="{00000000-0005-0000-0000-000095630000}"/>
    <cellStyle name="40 % - Markeringsfarve3 2 8 2 3" xfId="6585" xr:uid="{00000000-0005-0000-0000-000096630000}"/>
    <cellStyle name="40 % - Markeringsfarve3 2 8 2 3 2" xfId="14500" xr:uid="{00000000-0005-0000-0000-000097630000}"/>
    <cellStyle name="40 % - Markeringsfarve3 2 8 2 3 2 2" xfId="30815" xr:uid="{00000000-0005-0000-0000-000098630000}"/>
    <cellStyle name="40 % - Markeringsfarve3 2 8 2 3 2 3" xfId="45779" xr:uid="{00000000-0005-0000-0000-000099630000}"/>
    <cellStyle name="40 % - Markeringsfarve3 2 8 2 3 3" xfId="23793" xr:uid="{00000000-0005-0000-0000-00009A630000}"/>
    <cellStyle name="40 % - Markeringsfarve3 2 8 2 3 4" xfId="38780" xr:uid="{00000000-0005-0000-0000-00009B630000}"/>
    <cellStyle name="40 % - Markeringsfarve3 2 8 2 4" xfId="12183" xr:uid="{00000000-0005-0000-0000-00009C630000}"/>
    <cellStyle name="40 % - Markeringsfarve3 2 8 2 4 2" xfId="28503" xr:uid="{00000000-0005-0000-0000-00009D630000}"/>
    <cellStyle name="40 % - Markeringsfarve3 2 8 2 4 3" xfId="43468" xr:uid="{00000000-0005-0000-0000-00009E630000}"/>
    <cellStyle name="40 % - Markeringsfarve3 2 8 2 5" xfId="21481" xr:uid="{00000000-0005-0000-0000-00009F630000}"/>
    <cellStyle name="40 % - Markeringsfarve3 2 8 2 6" xfId="36469" xr:uid="{00000000-0005-0000-0000-0000A0630000}"/>
    <cellStyle name="40 % - Markeringsfarve3 2 8 3" xfId="3625" xr:uid="{00000000-0005-0000-0000-0000A1630000}"/>
    <cellStyle name="40 % - Markeringsfarve3 2 8 3 2" xfId="7369" xr:uid="{00000000-0005-0000-0000-0000A2630000}"/>
    <cellStyle name="40 % - Markeringsfarve3 2 8 3 2 2" xfId="15280" xr:uid="{00000000-0005-0000-0000-0000A3630000}"/>
    <cellStyle name="40 % - Markeringsfarve3 2 8 3 2 2 2" xfId="31595" xr:uid="{00000000-0005-0000-0000-0000A4630000}"/>
    <cellStyle name="40 % - Markeringsfarve3 2 8 3 2 2 3" xfId="46559" xr:uid="{00000000-0005-0000-0000-0000A5630000}"/>
    <cellStyle name="40 % - Markeringsfarve3 2 8 3 2 3" xfId="24573" xr:uid="{00000000-0005-0000-0000-0000A6630000}"/>
    <cellStyle name="40 % - Markeringsfarve3 2 8 3 2 4" xfId="39560" xr:uid="{00000000-0005-0000-0000-0000A7630000}"/>
    <cellStyle name="40 % - Markeringsfarve3 2 8 3 3" xfId="12185" xr:uid="{00000000-0005-0000-0000-0000A8630000}"/>
    <cellStyle name="40 % - Markeringsfarve3 2 8 3 3 2" xfId="28505" xr:uid="{00000000-0005-0000-0000-0000A9630000}"/>
    <cellStyle name="40 % - Markeringsfarve3 2 8 3 3 3" xfId="43470" xr:uid="{00000000-0005-0000-0000-0000AA630000}"/>
    <cellStyle name="40 % - Markeringsfarve3 2 8 3 4" xfId="21483" xr:uid="{00000000-0005-0000-0000-0000AB630000}"/>
    <cellStyle name="40 % - Markeringsfarve3 2 8 3 5" xfId="36471" xr:uid="{00000000-0005-0000-0000-0000AC630000}"/>
    <cellStyle name="40 % - Markeringsfarve3 2 8 4" xfId="3626" xr:uid="{00000000-0005-0000-0000-0000AD630000}"/>
    <cellStyle name="40 % - Markeringsfarve3 2 8 4 2" xfId="8433" xr:uid="{00000000-0005-0000-0000-0000AE630000}"/>
    <cellStyle name="40 % - Markeringsfarve3 2 8 4 2 2" xfId="16323" xr:uid="{00000000-0005-0000-0000-0000AF630000}"/>
    <cellStyle name="40 % - Markeringsfarve3 2 8 4 2 2 2" xfId="32638" xr:uid="{00000000-0005-0000-0000-0000B0630000}"/>
    <cellStyle name="40 % - Markeringsfarve3 2 8 4 2 2 3" xfId="47602" xr:uid="{00000000-0005-0000-0000-0000B1630000}"/>
    <cellStyle name="40 % - Markeringsfarve3 2 8 4 2 3" xfId="25616" xr:uid="{00000000-0005-0000-0000-0000B2630000}"/>
    <cellStyle name="40 % - Markeringsfarve3 2 8 4 2 4" xfId="40603" xr:uid="{00000000-0005-0000-0000-0000B3630000}"/>
    <cellStyle name="40 % - Markeringsfarve3 2 8 4 3" xfId="12186" xr:uid="{00000000-0005-0000-0000-0000B4630000}"/>
    <cellStyle name="40 % - Markeringsfarve3 2 8 4 3 2" xfId="28506" xr:uid="{00000000-0005-0000-0000-0000B5630000}"/>
    <cellStyle name="40 % - Markeringsfarve3 2 8 4 3 3" xfId="43471" xr:uid="{00000000-0005-0000-0000-0000B6630000}"/>
    <cellStyle name="40 % - Markeringsfarve3 2 8 4 4" xfId="21484" xr:uid="{00000000-0005-0000-0000-0000B7630000}"/>
    <cellStyle name="40 % - Markeringsfarve3 2 8 4 5" xfId="36472" xr:uid="{00000000-0005-0000-0000-0000B8630000}"/>
    <cellStyle name="40 % - Markeringsfarve3 2 8 5" xfId="5816" xr:uid="{00000000-0005-0000-0000-0000B9630000}"/>
    <cellStyle name="40 % - Markeringsfarve3 2 8 5 2" xfId="13735" xr:uid="{00000000-0005-0000-0000-0000BA630000}"/>
    <cellStyle name="40 % - Markeringsfarve3 2 8 5 2 2" xfId="30050" xr:uid="{00000000-0005-0000-0000-0000BB630000}"/>
    <cellStyle name="40 % - Markeringsfarve3 2 8 5 2 3" xfId="45014" xr:uid="{00000000-0005-0000-0000-0000BC630000}"/>
    <cellStyle name="40 % - Markeringsfarve3 2 8 5 3" xfId="23028" xr:uid="{00000000-0005-0000-0000-0000BD630000}"/>
    <cellStyle name="40 % - Markeringsfarve3 2 8 5 4" xfId="38015" xr:uid="{00000000-0005-0000-0000-0000BE630000}"/>
    <cellStyle name="40 % - Markeringsfarve3 2 8 6" xfId="12182" xr:uid="{00000000-0005-0000-0000-0000BF630000}"/>
    <cellStyle name="40 % - Markeringsfarve3 2 8 6 2" xfId="28502" xr:uid="{00000000-0005-0000-0000-0000C0630000}"/>
    <cellStyle name="40 % - Markeringsfarve3 2 8 6 3" xfId="43467" xr:uid="{00000000-0005-0000-0000-0000C1630000}"/>
    <cellStyle name="40 % - Markeringsfarve3 2 8 7" xfId="21480" xr:uid="{00000000-0005-0000-0000-0000C2630000}"/>
    <cellStyle name="40 % - Markeringsfarve3 2 8 8" xfId="36468" xr:uid="{00000000-0005-0000-0000-0000C3630000}"/>
    <cellStyle name="40 % - Markeringsfarve3 2 9" xfId="3627" xr:uid="{00000000-0005-0000-0000-0000C4630000}"/>
    <cellStyle name="40 % - Markeringsfarve3 2 9 2" xfId="3628" xr:uid="{00000000-0005-0000-0000-0000C5630000}"/>
    <cellStyle name="40 % - Markeringsfarve3 2 9 2 2" xfId="7459" xr:uid="{00000000-0005-0000-0000-0000C6630000}"/>
    <cellStyle name="40 % - Markeringsfarve3 2 9 2 2 2" xfId="15361" xr:uid="{00000000-0005-0000-0000-0000C7630000}"/>
    <cellStyle name="40 % - Markeringsfarve3 2 9 2 2 2 2" xfId="31676" xr:uid="{00000000-0005-0000-0000-0000C8630000}"/>
    <cellStyle name="40 % - Markeringsfarve3 2 9 2 2 2 3" xfId="46640" xr:uid="{00000000-0005-0000-0000-0000C9630000}"/>
    <cellStyle name="40 % - Markeringsfarve3 2 9 2 2 3" xfId="24654" xr:uid="{00000000-0005-0000-0000-0000CA630000}"/>
    <cellStyle name="40 % - Markeringsfarve3 2 9 2 2 4" xfId="39641" xr:uid="{00000000-0005-0000-0000-0000CB630000}"/>
    <cellStyle name="40 % - Markeringsfarve3 2 9 2 3" xfId="12188" xr:uid="{00000000-0005-0000-0000-0000CC630000}"/>
    <cellStyle name="40 % - Markeringsfarve3 2 9 2 3 2" xfId="28508" xr:uid="{00000000-0005-0000-0000-0000CD630000}"/>
    <cellStyle name="40 % - Markeringsfarve3 2 9 2 3 3" xfId="43473" xr:uid="{00000000-0005-0000-0000-0000CE630000}"/>
    <cellStyle name="40 % - Markeringsfarve3 2 9 2 4" xfId="21486" xr:uid="{00000000-0005-0000-0000-0000CF630000}"/>
    <cellStyle name="40 % - Markeringsfarve3 2 9 2 5" xfId="36474" xr:uid="{00000000-0005-0000-0000-0000D0630000}"/>
    <cellStyle name="40 % - Markeringsfarve3 2 9 3" xfId="6057" xr:uid="{00000000-0005-0000-0000-0000D1630000}"/>
    <cellStyle name="40 % - Markeringsfarve3 2 9 3 2" xfId="13975" xr:uid="{00000000-0005-0000-0000-0000D2630000}"/>
    <cellStyle name="40 % - Markeringsfarve3 2 9 3 2 2" xfId="30290" xr:uid="{00000000-0005-0000-0000-0000D3630000}"/>
    <cellStyle name="40 % - Markeringsfarve3 2 9 3 2 3" xfId="45254" xr:uid="{00000000-0005-0000-0000-0000D4630000}"/>
    <cellStyle name="40 % - Markeringsfarve3 2 9 3 3" xfId="23268" xr:uid="{00000000-0005-0000-0000-0000D5630000}"/>
    <cellStyle name="40 % - Markeringsfarve3 2 9 3 4" xfId="38255" xr:uid="{00000000-0005-0000-0000-0000D6630000}"/>
    <cellStyle name="40 % - Markeringsfarve3 2 9 4" xfId="12187" xr:uid="{00000000-0005-0000-0000-0000D7630000}"/>
    <cellStyle name="40 % - Markeringsfarve3 2 9 4 2" xfId="28507" xr:uid="{00000000-0005-0000-0000-0000D8630000}"/>
    <cellStyle name="40 % - Markeringsfarve3 2 9 4 3" xfId="43472" xr:uid="{00000000-0005-0000-0000-0000D9630000}"/>
    <cellStyle name="40 % - Markeringsfarve3 2 9 5" xfId="21485" xr:uid="{00000000-0005-0000-0000-0000DA630000}"/>
    <cellStyle name="40 % - Markeringsfarve3 2 9 6" xfId="36473" xr:uid="{00000000-0005-0000-0000-0000DB630000}"/>
    <cellStyle name="40 % - Markeringsfarve3 3" xfId="3629" xr:uid="{00000000-0005-0000-0000-0000DC630000}"/>
    <cellStyle name="40 % - Markeringsfarve3 3 10" xfId="3630" xr:uid="{00000000-0005-0000-0000-0000DD630000}"/>
    <cellStyle name="40 % - Markeringsfarve3 3 10 2" xfId="6672" xr:uid="{00000000-0005-0000-0000-0000DE630000}"/>
    <cellStyle name="40 % - Markeringsfarve3 3 10 2 2" xfId="14585" xr:uid="{00000000-0005-0000-0000-0000DF630000}"/>
    <cellStyle name="40 % - Markeringsfarve3 3 10 2 2 2" xfId="30900" xr:uid="{00000000-0005-0000-0000-0000E0630000}"/>
    <cellStyle name="40 % - Markeringsfarve3 3 10 2 2 3" xfId="45864" xr:uid="{00000000-0005-0000-0000-0000E1630000}"/>
    <cellStyle name="40 % - Markeringsfarve3 3 10 2 3" xfId="23878" xr:uid="{00000000-0005-0000-0000-0000E2630000}"/>
    <cellStyle name="40 % - Markeringsfarve3 3 10 2 4" xfId="38865" xr:uid="{00000000-0005-0000-0000-0000E3630000}"/>
    <cellStyle name="40 % - Markeringsfarve3 3 10 3" xfId="12190" xr:uid="{00000000-0005-0000-0000-0000E4630000}"/>
    <cellStyle name="40 % - Markeringsfarve3 3 10 3 2" xfId="28510" xr:uid="{00000000-0005-0000-0000-0000E5630000}"/>
    <cellStyle name="40 % - Markeringsfarve3 3 10 3 3" xfId="43475" xr:uid="{00000000-0005-0000-0000-0000E6630000}"/>
    <cellStyle name="40 % - Markeringsfarve3 3 10 4" xfId="21488" xr:uid="{00000000-0005-0000-0000-0000E7630000}"/>
    <cellStyle name="40 % - Markeringsfarve3 3 10 5" xfId="36476" xr:uid="{00000000-0005-0000-0000-0000E8630000}"/>
    <cellStyle name="40 % - Markeringsfarve3 3 11" xfId="3631" xr:uid="{00000000-0005-0000-0000-0000E9630000}"/>
    <cellStyle name="40 % - Markeringsfarve3 3 11 2" xfId="8681" xr:uid="{00000000-0005-0000-0000-0000EA630000}"/>
    <cellStyle name="40 % - Markeringsfarve3 3 11 2 2" xfId="16561" xr:uid="{00000000-0005-0000-0000-0000EB630000}"/>
    <cellStyle name="40 % - Markeringsfarve3 3 11 2 2 2" xfId="32876" xr:uid="{00000000-0005-0000-0000-0000EC630000}"/>
    <cellStyle name="40 % - Markeringsfarve3 3 11 2 2 3" xfId="47840" xr:uid="{00000000-0005-0000-0000-0000ED630000}"/>
    <cellStyle name="40 % - Markeringsfarve3 3 11 2 3" xfId="25854" xr:uid="{00000000-0005-0000-0000-0000EE630000}"/>
    <cellStyle name="40 % - Markeringsfarve3 3 11 2 4" xfId="40841" xr:uid="{00000000-0005-0000-0000-0000EF630000}"/>
    <cellStyle name="40 % - Markeringsfarve3 3 11 3" xfId="12191" xr:uid="{00000000-0005-0000-0000-0000F0630000}"/>
    <cellStyle name="40 % - Markeringsfarve3 3 11 3 2" xfId="28511" xr:uid="{00000000-0005-0000-0000-0000F1630000}"/>
    <cellStyle name="40 % - Markeringsfarve3 3 11 3 3" xfId="43476" xr:uid="{00000000-0005-0000-0000-0000F2630000}"/>
    <cellStyle name="40 % - Markeringsfarve3 3 11 4" xfId="21489" xr:uid="{00000000-0005-0000-0000-0000F3630000}"/>
    <cellStyle name="40 % - Markeringsfarve3 3 11 5" xfId="36477" xr:uid="{00000000-0005-0000-0000-0000F4630000}"/>
    <cellStyle name="40 % - Markeringsfarve3 3 12" xfId="5817" xr:uid="{00000000-0005-0000-0000-0000F5630000}"/>
    <cellStyle name="40 % - Markeringsfarve3 3 12 2" xfId="13736" xr:uid="{00000000-0005-0000-0000-0000F6630000}"/>
    <cellStyle name="40 % - Markeringsfarve3 3 12 2 2" xfId="30051" xr:uid="{00000000-0005-0000-0000-0000F7630000}"/>
    <cellStyle name="40 % - Markeringsfarve3 3 12 2 3" xfId="45015" xr:uid="{00000000-0005-0000-0000-0000F8630000}"/>
    <cellStyle name="40 % - Markeringsfarve3 3 12 3" xfId="23029" xr:uid="{00000000-0005-0000-0000-0000F9630000}"/>
    <cellStyle name="40 % - Markeringsfarve3 3 12 4" xfId="38016" xr:uid="{00000000-0005-0000-0000-0000FA630000}"/>
    <cellStyle name="40 % - Markeringsfarve3 3 13" xfId="12189" xr:uid="{00000000-0005-0000-0000-0000FB630000}"/>
    <cellStyle name="40 % - Markeringsfarve3 3 13 2" xfId="28509" xr:uid="{00000000-0005-0000-0000-0000FC630000}"/>
    <cellStyle name="40 % - Markeringsfarve3 3 13 3" xfId="43474" xr:uid="{00000000-0005-0000-0000-0000FD630000}"/>
    <cellStyle name="40 % - Markeringsfarve3 3 14" xfId="21487" xr:uid="{00000000-0005-0000-0000-0000FE630000}"/>
    <cellStyle name="40 % - Markeringsfarve3 3 15" xfId="36475" xr:uid="{00000000-0005-0000-0000-0000FF630000}"/>
    <cellStyle name="40 % - Markeringsfarve3 3 16" xfId="53323" xr:uid="{00000000-0005-0000-0000-000000640000}"/>
    <cellStyle name="40 % - Markeringsfarve3 3 2" xfId="3632" xr:uid="{00000000-0005-0000-0000-000001640000}"/>
    <cellStyle name="40 % - Markeringsfarve3 3 2 10" xfId="5818" xr:uid="{00000000-0005-0000-0000-000002640000}"/>
    <cellStyle name="40 % - Markeringsfarve3 3 2 10 2" xfId="13737" xr:uid="{00000000-0005-0000-0000-000003640000}"/>
    <cellStyle name="40 % - Markeringsfarve3 3 2 10 2 2" xfId="30052" xr:uid="{00000000-0005-0000-0000-000004640000}"/>
    <cellStyle name="40 % - Markeringsfarve3 3 2 10 2 3" xfId="45016" xr:uid="{00000000-0005-0000-0000-000005640000}"/>
    <cellStyle name="40 % - Markeringsfarve3 3 2 10 3" xfId="23030" xr:uid="{00000000-0005-0000-0000-000006640000}"/>
    <cellStyle name="40 % - Markeringsfarve3 3 2 10 4" xfId="38017" xr:uid="{00000000-0005-0000-0000-000007640000}"/>
    <cellStyle name="40 % - Markeringsfarve3 3 2 11" xfId="12192" xr:uid="{00000000-0005-0000-0000-000008640000}"/>
    <cellStyle name="40 % - Markeringsfarve3 3 2 11 2" xfId="28512" xr:uid="{00000000-0005-0000-0000-000009640000}"/>
    <cellStyle name="40 % - Markeringsfarve3 3 2 11 3" xfId="43477" xr:uid="{00000000-0005-0000-0000-00000A640000}"/>
    <cellStyle name="40 % - Markeringsfarve3 3 2 12" xfId="21490" xr:uid="{00000000-0005-0000-0000-00000B640000}"/>
    <cellStyle name="40 % - Markeringsfarve3 3 2 13" xfId="36478" xr:uid="{00000000-0005-0000-0000-00000C640000}"/>
    <cellStyle name="40 % - Markeringsfarve3 3 2 14" xfId="53960" xr:uid="{00000000-0005-0000-0000-00000D640000}"/>
    <cellStyle name="40 % - Markeringsfarve3 3 2 2" xfId="3633" xr:uid="{00000000-0005-0000-0000-00000E640000}"/>
    <cellStyle name="40 % - Markeringsfarve3 3 2 2 2" xfId="3634" xr:uid="{00000000-0005-0000-0000-00000F640000}"/>
    <cellStyle name="40 % - Markeringsfarve3 3 2 2 2 2" xfId="3635" xr:uid="{00000000-0005-0000-0000-000010640000}"/>
    <cellStyle name="40 % - Markeringsfarve3 3 2 2 2 2 2" xfId="7605" xr:uid="{00000000-0005-0000-0000-000011640000}"/>
    <cellStyle name="40 % - Markeringsfarve3 3 2 2 2 2 2 2" xfId="15507" xr:uid="{00000000-0005-0000-0000-000012640000}"/>
    <cellStyle name="40 % - Markeringsfarve3 3 2 2 2 2 2 2 2" xfId="31822" xr:uid="{00000000-0005-0000-0000-000013640000}"/>
    <cellStyle name="40 % - Markeringsfarve3 3 2 2 2 2 2 2 3" xfId="46786" xr:uid="{00000000-0005-0000-0000-000014640000}"/>
    <cellStyle name="40 % - Markeringsfarve3 3 2 2 2 2 2 3" xfId="24800" xr:uid="{00000000-0005-0000-0000-000015640000}"/>
    <cellStyle name="40 % - Markeringsfarve3 3 2 2 2 2 2 4" xfId="39787" xr:uid="{00000000-0005-0000-0000-000016640000}"/>
    <cellStyle name="40 % - Markeringsfarve3 3 2 2 2 2 3" xfId="12195" xr:uid="{00000000-0005-0000-0000-000017640000}"/>
    <cellStyle name="40 % - Markeringsfarve3 3 2 2 2 2 3 2" xfId="28515" xr:uid="{00000000-0005-0000-0000-000018640000}"/>
    <cellStyle name="40 % - Markeringsfarve3 3 2 2 2 2 3 3" xfId="43480" xr:uid="{00000000-0005-0000-0000-000019640000}"/>
    <cellStyle name="40 % - Markeringsfarve3 3 2 2 2 2 4" xfId="21493" xr:uid="{00000000-0005-0000-0000-00001A640000}"/>
    <cellStyle name="40 % - Markeringsfarve3 3 2 2 2 2 5" xfId="36481" xr:uid="{00000000-0005-0000-0000-00001B640000}"/>
    <cellStyle name="40 % - Markeringsfarve3 3 2 2 2 3" xfId="6179" xr:uid="{00000000-0005-0000-0000-00001C640000}"/>
    <cellStyle name="40 % - Markeringsfarve3 3 2 2 2 3 2" xfId="14097" xr:uid="{00000000-0005-0000-0000-00001D640000}"/>
    <cellStyle name="40 % - Markeringsfarve3 3 2 2 2 3 2 2" xfId="30412" xr:uid="{00000000-0005-0000-0000-00001E640000}"/>
    <cellStyle name="40 % - Markeringsfarve3 3 2 2 2 3 2 3" xfId="45376" xr:uid="{00000000-0005-0000-0000-00001F640000}"/>
    <cellStyle name="40 % - Markeringsfarve3 3 2 2 2 3 3" xfId="23390" xr:uid="{00000000-0005-0000-0000-000020640000}"/>
    <cellStyle name="40 % - Markeringsfarve3 3 2 2 2 3 4" xfId="38377" xr:uid="{00000000-0005-0000-0000-000021640000}"/>
    <cellStyle name="40 % - Markeringsfarve3 3 2 2 2 4" xfId="12194" xr:uid="{00000000-0005-0000-0000-000022640000}"/>
    <cellStyle name="40 % - Markeringsfarve3 3 2 2 2 4 2" xfId="28514" xr:uid="{00000000-0005-0000-0000-000023640000}"/>
    <cellStyle name="40 % - Markeringsfarve3 3 2 2 2 4 3" xfId="43479" xr:uid="{00000000-0005-0000-0000-000024640000}"/>
    <cellStyle name="40 % - Markeringsfarve3 3 2 2 2 5" xfId="21492" xr:uid="{00000000-0005-0000-0000-000025640000}"/>
    <cellStyle name="40 % - Markeringsfarve3 3 2 2 2 6" xfId="36480" xr:uid="{00000000-0005-0000-0000-000026640000}"/>
    <cellStyle name="40 % - Markeringsfarve3 3 2 2 3" xfId="3636" xr:uid="{00000000-0005-0000-0000-000027640000}"/>
    <cellStyle name="40 % - Markeringsfarve3 3 2 2 3 2" xfId="6835" xr:uid="{00000000-0005-0000-0000-000028640000}"/>
    <cellStyle name="40 % - Markeringsfarve3 3 2 2 3 2 2" xfId="14747" xr:uid="{00000000-0005-0000-0000-000029640000}"/>
    <cellStyle name="40 % - Markeringsfarve3 3 2 2 3 2 2 2" xfId="31062" xr:uid="{00000000-0005-0000-0000-00002A640000}"/>
    <cellStyle name="40 % - Markeringsfarve3 3 2 2 3 2 2 3" xfId="46026" xr:uid="{00000000-0005-0000-0000-00002B640000}"/>
    <cellStyle name="40 % - Markeringsfarve3 3 2 2 3 2 3" xfId="24040" xr:uid="{00000000-0005-0000-0000-00002C640000}"/>
    <cellStyle name="40 % - Markeringsfarve3 3 2 2 3 2 4" xfId="39027" xr:uid="{00000000-0005-0000-0000-00002D640000}"/>
    <cellStyle name="40 % - Markeringsfarve3 3 2 2 3 3" xfId="12196" xr:uid="{00000000-0005-0000-0000-00002E640000}"/>
    <cellStyle name="40 % - Markeringsfarve3 3 2 2 3 3 2" xfId="28516" xr:uid="{00000000-0005-0000-0000-00002F640000}"/>
    <cellStyle name="40 % - Markeringsfarve3 3 2 2 3 3 3" xfId="43481" xr:uid="{00000000-0005-0000-0000-000030640000}"/>
    <cellStyle name="40 % - Markeringsfarve3 3 2 2 3 4" xfId="21494" xr:uid="{00000000-0005-0000-0000-000031640000}"/>
    <cellStyle name="40 % - Markeringsfarve3 3 2 2 3 5" xfId="36482" xr:uid="{00000000-0005-0000-0000-000032640000}"/>
    <cellStyle name="40 % - Markeringsfarve3 3 2 2 4" xfId="3637" xr:uid="{00000000-0005-0000-0000-000033640000}"/>
    <cellStyle name="40 % - Markeringsfarve3 3 2 2 4 2" xfId="8639" xr:uid="{00000000-0005-0000-0000-000034640000}"/>
    <cellStyle name="40 % - Markeringsfarve3 3 2 2 4 2 2" xfId="16521" xr:uid="{00000000-0005-0000-0000-000035640000}"/>
    <cellStyle name="40 % - Markeringsfarve3 3 2 2 4 2 2 2" xfId="32836" xr:uid="{00000000-0005-0000-0000-000036640000}"/>
    <cellStyle name="40 % - Markeringsfarve3 3 2 2 4 2 2 3" xfId="47800" xr:uid="{00000000-0005-0000-0000-000037640000}"/>
    <cellStyle name="40 % - Markeringsfarve3 3 2 2 4 2 3" xfId="25814" xr:uid="{00000000-0005-0000-0000-000038640000}"/>
    <cellStyle name="40 % - Markeringsfarve3 3 2 2 4 2 4" xfId="40801" xr:uid="{00000000-0005-0000-0000-000039640000}"/>
    <cellStyle name="40 % - Markeringsfarve3 3 2 2 4 3" xfId="12197" xr:uid="{00000000-0005-0000-0000-00003A640000}"/>
    <cellStyle name="40 % - Markeringsfarve3 3 2 2 4 3 2" xfId="28517" xr:uid="{00000000-0005-0000-0000-00003B640000}"/>
    <cellStyle name="40 % - Markeringsfarve3 3 2 2 4 3 3" xfId="43482" xr:uid="{00000000-0005-0000-0000-00003C640000}"/>
    <cellStyle name="40 % - Markeringsfarve3 3 2 2 4 4" xfId="21495" xr:uid="{00000000-0005-0000-0000-00003D640000}"/>
    <cellStyle name="40 % - Markeringsfarve3 3 2 2 4 5" xfId="36483" xr:uid="{00000000-0005-0000-0000-00003E640000}"/>
    <cellStyle name="40 % - Markeringsfarve3 3 2 2 5" xfId="5819" xr:uid="{00000000-0005-0000-0000-00003F640000}"/>
    <cellStyle name="40 % - Markeringsfarve3 3 2 2 5 2" xfId="13738" xr:uid="{00000000-0005-0000-0000-000040640000}"/>
    <cellStyle name="40 % - Markeringsfarve3 3 2 2 5 2 2" xfId="30053" xr:uid="{00000000-0005-0000-0000-000041640000}"/>
    <cellStyle name="40 % - Markeringsfarve3 3 2 2 5 2 3" xfId="45017" xr:uid="{00000000-0005-0000-0000-000042640000}"/>
    <cellStyle name="40 % - Markeringsfarve3 3 2 2 5 3" xfId="23031" xr:uid="{00000000-0005-0000-0000-000043640000}"/>
    <cellStyle name="40 % - Markeringsfarve3 3 2 2 5 4" xfId="38018" xr:uid="{00000000-0005-0000-0000-000044640000}"/>
    <cellStyle name="40 % - Markeringsfarve3 3 2 2 6" xfId="12193" xr:uid="{00000000-0005-0000-0000-000045640000}"/>
    <cellStyle name="40 % - Markeringsfarve3 3 2 2 6 2" xfId="28513" xr:uid="{00000000-0005-0000-0000-000046640000}"/>
    <cellStyle name="40 % - Markeringsfarve3 3 2 2 6 3" xfId="43478" xr:uid="{00000000-0005-0000-0000-000047640000}"/>
    <cellStyle name="40 % - Markeringsfarve3 3 2 2 7" xfId="21491" xr:uid="{00000000-0005-0000-0000-000048640000}"/>
    <cellStyle name="40 % - Markeringsfarve3 3 2 2 8" xfId="36479" xr:uid="{00000000-0005-0000-0000-000049640000}"/>
    <cellStyle name="40 % - Markeringsfarve3 3 2 2 9" xfId="57127" xr:uid="{00000000-0005-0000-0000-00004A640000}"/>
    <cellStyle name="40 % - Markeringsfarve3 3 2 3" xfId="3638" xr:uid="{00000000-0005-0000-0000-00004B640000}"/>
    <cellStyle name="40 % - Markeringsfarve3 3 2 3 2" xfId="3639" xr:uid="{00000000-0005-0000-0000-00004C640000}"/>
    <cellStyle name="40 % - Markeringsfarve3 3 2 3 2 2" xfId="3640" xr:uid="{00000000-0005-0000-0000-00004D640000}"/>
    <cellStyle name="40 % - Markeringsfarve3 3 2 3 2 2 2" xfId="7741" xr:uid="{00000000-0005-0000-0000-00004E640000}"/>
    <cellStyle name="40 % - Markeringsfarve3 3 2 3 2 2 2 2" xfId="15643" xr:uid="{00000000-0005-0000-0000-00004F640000}"/>
    <cellStyle name="40 % - Markeringsfarve3 3 2 3 2 2 2 2 2" xfId="31958" xr:uid="{00000000-0005-0000-0000-000050640000}"/>
    <cellStyle name="40 % - Markeringsfarve3 3 2 3 2 2 2 2 3" xfId="46922" xr:uid="{00000000-0005-0000-0000-000051640000}"/>
    <cellStyle name="40 % - Markeringsfarve3 3 2 3 2 2 2 3" xfId="24936" xr:uid="{00000000-0005-0000-0000-000052640000}"/>
    <cellStyle name="40 % - Markeringsfarve3 3 2 3 2 2 2 4" xfId="39923" xr:uid="{00000000-0005-0000-0000-000053640000}"/>
    <cellStyle name="40 % - Markeringsfarve3 3 2 3 2 2 3" xfId="12200" xr:uid="{00000000-0005-0000-0000-000054640000}"/>
    <cellStyle name="40 % - Markeringsfarve3 3 2 3 2 2 3 2" xfId="28520" xr:uid="{00000000-0005-0000-0000-000055640000}"/>
    <cellStyle name="40 % - Markeringsfarve3 3 2 3 2 2 3 3" xfId="43485" xr:uid="{00000000-0005-0000-0000-000056640000}"/>
    <cellStyle name="40 % - Markeringsfarve3 3 2 3 2 2 4" xfId="21498" xr:uid="{00000000-0005-0000-0000-000057640000}"/>
    <cellStyle name="40 % - Markeringsfarve3 3 2 3 2 2 5" xfId="36486" xr:uid="{00000000-0005-0000-0000-000058640000}"/>
    <cellStyle name="40 % - Markeringsfarve3 3 2 3 2 3" xfId="6287" xr:uid="{00000000-0005-0000-0000-000059640000}"/>
    <cellStyle name="40 % - Markeringsfarve3 3 2 3 2 3 2" xfId="14205" xr:uid="{00000000-0005-0000-0000-00005A640000}"/>
    <cellStyle name="40 % - Markeringsfarve3 3 2 3 2 3 2 2" xfId="30520" xr:uid="{00000000-0005-0000-0000-00005B640000}"/>
    <cellStyle name="40 % - Markeringsfarve3 3 2 3 2 3 2 3" xfId="45484" xr:uid="{00000000-0005-0000-0000-00005C640000}"/>
    <cellStyle name="40 % - Markeringsfarve3 3 2 3 2 3 3" xfId="23498" xr:uid="{00000000-0005-0000-0000-00005D640000}"/>
    <cellStyle name="40 % - Markeringsfarve3 3 2 3 2 3 4" xfId="38485" xr:uid="{00000000-0005-0000-0000-00005E640000}"/>
    <cellStyle name="40 % - Markeringsfarve3 3 2 3 2 4" xfId="12199" xr:uid="{00000000-0005-0000-0000-00005F640000}"/>
    <cellStyle name="40 % - Markeringsfarve3 3 2 3 2 4 2" xfId="28519" xr:uid="{00000000-0005-0000-0000-000060640000}"/>
    <cellStyle name="40 % - Markeringsfarve3 3 2 3 2 4 3" xfId="43484" xr:uid="{00000000-0005-0000-0000-000061640000}"/>
    <cellStyle name="40 % - Markeringsfarve3 3 2 3 2 5" xfId="21497" xr:uid="{00000000-0005-0000-0000-000062640000}"/>
    <cellStyle name="40 % - Markeringsfarve3 3 2 3 2 6" xfId="36485" xr:uid="{00000000-0005-0000-0000-000063640000}"/>
    <cellStyle name="40 % - Markeringsfarve3 3 2 3 3" xfId="3641" xr:uid="{00000000-0005-0000-0000-000064640000}"/>
    <cellStyle name="40 % - Markeringsfarve3 3 2 3 3 2" xfId="6971" xr:uid="{00000000-0005-0000-0000-000065640000}"/>
    <cellStyle name="40 % - Markeringsfarve3 3 2 3 3 2 2" xfId="14883" xr:uid="{00000000-0005-0000-0000-000066640000}"/>
    <cellStyle name="40 % - Markeringsfarve3 3 2 3 3 2 2 2" xfId="31198" xr:uid="{00000000-0005-0000-0000-000067640000}"/>
    <cellStyle name="40 % - Markeringsfarve3 3 2 3 3 2 2 3" xfId="46162" xr:uid="{00000000-0005-0000-0000-000068640000}"/>
    <cellStyle name="40 % - Markeringsfarve3 3 2 3 3 2 3" xfId="24176" xr:uid="{00000000-0005-0000-0000-000069640000}"/>
    <cellStyle name="40 % - Markeringsfarve3 3 2 3 3 2 4" xfId="39163" xr:uid="{00000000-0005-0000-0000-00006A640000}"/>
    <cellStyle name="40 % - Markeringsfarve3 3 2 3 3 3" xfId="12201" xr:uid="{00000000-0005-0000-0000-00006B640000}"/>
    <cellStyle name="40 % - Markeringsfarve3 3 2 3 3 3 2" xfId="28521" xr:uid="{00000000-0005-0000-0000-00006C640000}"/>
    <cellStyle name="40 % - Markeringsfarve3 3 2 3 3 3 3" xfId="43486" xr:uid="{00000000-0005-0000-0000-00006D640000}"/>
    <cellStyle name="40 % - Markeringsfarve3 3 2 3 3 4" xfId="21499" xr:uid="{00000000-0005-0000-0000-00006E640000}"/>
    <cellStyle name="40 % - Markeringsfarve3 3 2 3 3 5" xfId="36487" xr:uid="{00000000-0005-0000-0000-00006F640000}"/>
    <cellStyle name="40 % - Markeringsfarve3 3 2 3 4" xfId="3642" xr:uid="{00000000-0005-0000-0000-000070640000}"/>
    <cellStyle name="40 % - Markeringsfarve3 3 2 3 4 2" xfId="8364" xr:uid="{00000000-0005-0000-0000-000071640000}"/>
    <cellStyle name="40 % - Markeringsfarve3 3 2 3 4 2 2" xfId="16258" xr:uid="{00000000-0005-0000-0000-000072640000}"/>
    <cellStyle name="40 % - Markeringsfarve3 3 2 3 4 2 2 2" xfId="32573" xr:uid="{00000000-0005-0000-0000-000073640000}"/>
    <cellStyle name="40 % - Markeringsfarve3 3 2 3 4 2 2 3" xfId="47537" xr:uid="{00000000-0005-0000-0000-000074640000}"/>
    <cellStyle name="40 % - Markeringsfarve3 3 2 3 4 2 3" xfId="25551" xr:uid="{00000000-0005-0000-0000-000075640000}"/>
    <cellStyle name="40 % - Markeringsfarve3 3 2 3 4 2 4" xfId="40538" xr:uid="{00000000-0005-0000-0000-000076640000}"/>
    <cellStyle name="40 % - Markeringsfarve3 3 2 3 4 3" xfId="12202" xr:uid="{00000000-0005-0000-0000-000077640000}"/>
    <cellStyle name="40 % - Markeringsfarve3 3 2 3 4 3 2" xfId="28522" xr:uid="{00000000-0005-0000-0000-000078640000}"/>
    <cellStyle name="40 % - Markeringsfarve3 3 2 3 4 3 3" xfId="43487" xr:uid="{00000000-0005-0000-0000-000079640000}"/>
    <cellStyle name="40 % - Markeringsfarve3 3 2 3 4 4" xfId="21500" xr:uid="{00000000-0005-0000-0000-00007A640000}"/>
    <cellStyle name="40 % - Markeringsfarve3 3 2 3 4 5" xfId="36488" xr:uid="{00000000-0005-0000-0000-00007B640000}"/>
    <cellStyle name="40 % - Markeringsfarve3 3 2 3 5" xfId="5820" xr:uid="{00000000-0005-0000-0000-00007C640000}"/>
    <cellStyle name="40 % - Markeringsfarve3 3 2 3 5 2" xfId="13739" xr:uid="{00000000-0005-0000-0000-00007D640000}"/>
    <cellStyle name="40 % - Markeringsfarve3 3 2 3 5 2 2" xfId="30054" xr:uid="{00000000-0005-0000-0000-00007E640000}"/>
    <cellStyle name="40 % - Markeringsfarve3 3 2 3 5 2 3" xfId="45018" xr:uid="{00000000-0005-0000-0000-00007F640000}"/>
    <cellStyle name="40 % - Markeringsfarve3 3 2 3 5 3" xfId="23032" xr:uid="{00000000-0005-0000-0000-000080640000}"/>
    <cellStyle name="40 % - Markeringsfarve3 3 2 3 5 4" xfId="38019" xr:uid="{00000000-0005-0000-0000-000081640000}"/>
    <cellStyle name="40 % - Markeringsfarve3 3 2 3 6" xfId="12198" xr:uid="{00000000-0005-0000-0000-000082640000}"/>
    <cellStyle name="40 % - Markeringsfarve3 3 2 3 6 2" xfId="28518" xr:uid="{00000000-0005-0000-0000-000083640000}"/>
    <cellStyle name="40 % - Markeringsfarve3 3 2 3 6 3" xfId="43483" xr:uid="{00000000-0005-0000-0000-000084640000}"/>
    <cellStyle name="40 % - Markeringsfarve3 3 2 3 7" xfId="21496" xr:uid="{00000000-0005-0000-0000-000085640000}"/>
    <cellStyle name="40 % - Markeringsfarve3 3 2 3 8" xfId="36484" xr:uid="{00000000-0005-0000-0000-000086640000}"/>
    <cellStyle name="40 % - Markeringsfarve3 3 2 4" xfId="3643" xr:uid="{00000000-0005-0000-0000-000087640000}"/>
    <cellStyle name="40 % - Markeringsfarve3 3 2 4 2" xfId="3644" xr:uid="{00000000-0005-0000-0000-000088640000}"/>
    <cellStyle name="40 % - Markeringsfarve3 3 2 4 2 2" xfId="3645" xr:uid="{00000000-0005-0000-0000-000089640000}"/>
    <cellStyle name="40 % - Markeringsfarve3 3 2 4 2 2 2" xfId="7843" xr:uid="{00000000-0005-0000-0000-00008A640000}"/>
    <cellStyle name="40 % - Markeringsfarve3 3 2 4 2 2 2 2" xfId="15745" xr:uid="{00000000-0005-0000-0000-00008B640000}"/>
    <cellStyle name="40 % - Markeringsfarve3 3 2 4 2 2 2 2 2" xfId="32060" xr:uid="{00000000-0005-0000-0000-00008C640000}"/>
    <cellStyle name="40 % - Markeringsfarve3 3 2 4 2 2 2 2 3" xfId="47024" xr:uid="{00000000-0005-0000-0000-00008D640000}"/>
    <cellStyle name="40 % - Markeringsfarve3 3 2 4 2 2 2 3" xfId="25038" xr:uid="{00000000-0005-0000-0000-00008E640000}"/>
    <cellStyle name="40 % - Markeringsfarve3 3 2 4 2 2 2 4" xfId="40025" xr:uid="{00000000-0005-0000-0000-00008F640000}"/>
    <cellStyle name="40 % - Markeringsfarve3 3 2 4 2 2 3" xfId="12205" xr:uid="{00000000-0005-0000-0000-000090640000}"/>
    <cellStyle name="40 % - Markeringsfarve3 3 2 4 2 2 3 2" xfId="28525" xr:uid="{00000000-0005-0000-0000-000091640000}"/>
    <cellStyle name="40 % - Markeringsfarve3 3 2 4 2 2 3 3" xfId="43490" xr:uid="{00000000-0005-0000-0000-000092640000}"/>
    <cellStyle name="40 % - Markeringsfarve3 3 2 4 2 2 4" xfId="21503" xr:uid="{00000000-0005-0000-0000-000093640000}"/>
    <cellStyle name="40 % - Markeringsfarve3 3 2 4 2 2 5" xfId="36491" xr:uid="{00000000-0005-0000-0000-000094640000}"/>
    <cellStyle name="40 % - Markeringsfarve3 3 2 4 2 3" xfId="6381" xr:uid="{00000000-0005-0000-0000-000095640000}"/>
    <cellStyle name="40 % - Markeringsfarve3 3 2 4 2 3 2" xfId="14296" xr:uid="{00000000-0005-0000-0000-000096640000}"/>
    <cellStyle name="40 % - Markeringsfarve3 3 2 4 2 3 2 2" xfId="30611" xr:uid="{00000000-0005-0000-0000-000097640000}"/>
    <cellStyle name="40 % - Markeringsfarve3 3 2 4 2 3 2 3" xfId="45575" xr:uid="{00000000-0005-0000-0000-000098640000}"/>
    <cellStyle name="40 % - Markeringsfarve3 3 2 4 2 3 3" xfId="23589" xr:uid="{00000000-0005-0000-0000-000099640000}"/>
    <cellStyle name="40 % - Markeringsfarve3 3 2 4 2 3 4" xfId="38576" xr:uid="{00000000-0005-0000-0000-00009A640000}"/>
    <cellStyle name="40 % - Markeringsfarve3 3 2 4 2 4" xfId="12204" xr:uid="{00000000-0005-0000-0000-00009B640000}"/>
    <cellStyle name="40 % - Markeringsfarve3 3 2 4 2 4 2" xfId="28524" xr:uid="{00000000-0005-0000-0000-00009C640000}"/>
    <cellStyle name="40 % - Markeringsfarve3 3 2 4 2 4 3" xfId="43489" xr:uid="{00000000-0005-0000-0000-00009D640000}"/>
    <cellStyle name="40 % - Markeringsfarve3 3 2 4 2 5" xfId="21502" xr:uid="{00000000-0005-0000-0000-00009E640000}"/>
    <cellStyle name="40 % - Markeringsfarve3 3 2 4 2 6" xfId="36490" xr:uid="{00000000-0005-0000-0000-00009F640000}"/>
    <cellStyle name="40 % - Markeringsfarve3 3 2 4 3" xfId="3646" xr:uid="{00000000-0005-0000-0000-0000A0640000}"/>
    <cellStyle name="40 % - Markeringsfarve3 3 2 4 3 2" xfId="7119" xr:uid="{00000000-0005-0000-0000-0000A1640000}"/>
    <cellStyle name="40 % - Markeringsfarve3 3 2 4 3 2 2" xfId="15030" xr:uid="{00000000-0005-0000-0000-0000A2640000}"/>
    <cellStyle name="40 % - Markeringsfarve3 3 2 4 3 2 2 2" xfId="31345" xr:uid="{00000000-0005-0000-0000-0000A3640000}"/>
    <cellStyle name="40 % - Markeringsfarve3 3 2 4 3 2 2 3" xfId="46309" xr:uid="{00000000-0005-0000-0000-0000A4640000}"/>
    <cellStyle name="40 % - Markeringsfarve3 3 2 4 3 2 3" xfId="24323" xr:uid="{00000000-0005-0000-0000-0000A5640000}"/>
    <cellStyle name="40 % - Markeringsfarve3 3 2 4 3 2 4" xfId="39310" xr:uid="{00000000-0005-0000-0000-0000A6640000}"/>
    <cellStyle name="40 % - Markeringsfarve3 3 2 4 3 3" xfId="12206" xr:uid="{00000000-0005-0000-0000-0000A7640000}"/>
    <cellStyle name="40 % - Markeringsfarve3 3 2 4 3 3 2" xfId="28526" xr:uid="{00000000-0005-0000-0000-0000A8640000}"/>
    <cellStyle name="40 % - Markeringsfarve3 3 2 4 3 3 3" xfId="43491" xr:uid="{00000000-0005-0000-0000-0000A9640000}"/>
    <cellStyle name="40 % - Markeringsfarve3 3 2 4 3 4" xfId="21504" xr:uid="{00000000-0005-0000-0000-0000AA640000}"/>
    <cellStyle name="40 % - Markeringsfarve3 3 2 4 3 5" xfId="36492" xr:uid="{00000000-0005-0000-0000-0000AB640000}"/>
    <cellStyle name="40 % - Markeringsfarve3 3 2 4 4" xfId="3647" xr:uid="{00000000-0005-0000-0000-0000AC640000}"/>
    <cellStyle name="40 % - Markeringsfarve3 3 2 4 4 2" xfId="8579" xr:uid="{00000000-0005-0000-0000-0000AD640000}"/>
    <cellStyle name="40 % - Markeringsfarve3 3 2 4 4 2 2" xfId="16463" xr:uid="{00000000-0005-0000-0000-0000AE640000}"/>
    <cellStyle name="40 % - Markeringsfarve3 3 2 4 4 2 2 2" xfId="32778" xr:uid="{00000000-0005-0000-0000-0000AF640000}"/>
    <cellStyle name="40 % - Markeringsfarve3 3 2 4 4 2 2 3" xfId="47742" xr:uid="{00000000-0005-0000-0000-0000B0640000}"/>
    <cellStyle name="40 % - Markeringsfarve3 3 2 4 4 2 3" xfId="25756" xr:uid="{00000000-0005-0000-0000-0000B1640000}"/>
    <cellStyle name="40 % - Markeringsfarve3 3 2 4 4 2 4" xfId="40743" xr:uid="{00000000-0005-0000-0000-0000B2640000}"/>
    <cellStyle name="40 % - Markeringsfarve3 3 2 4 4 3" xfId="12207" xr:uid="{00000000-0005-0000-0000-0000B3640000}"/>
    <cellStyle name="40 % - Markeringsfarve3 3 2 4 4 3 2" xfId="28527" xr:uid="{00000000-0005-0000-0000-0000B4640000}"/>
    <cellStyle name="40 % - Markeringsfarve3 3 2 4 4 3 3" xfId="43492" xr:uid="{00000000-0005-0000-0000-0000B5640000}"/>
    <cellStyle name="40 % - Markeringsfarve3 3 2 4 4 4" xfId="21505" xr:uid="{00000000-0005-0000-0000-0000B6640000}"/>
    <cellStyle name="40 % - Markeringsfarve3 3 2 4 4 5" xfId="36493" xr:uid="{00000000-0005-0000-0000-0000B7640000}"/>
    <cellStyle name="40 % - Markeringsfarve3 3 2 4 5" xfId="5821" xr:uid="{00000000-0005-0000-0000-0000B8640000}"/>
    <cellStyle name="40 % - Markeringsfarve3 3 2 4 5 2" xfId="13740" xr:uid="{00000000-0005-0000-0000-0000B9640000}"/>
    <cellStyle name="40 % - Markeringsfarve3 3 2 4 5 2 2" xfId="30055" xr:uid="{00000000-0005-0000-0000-0000BA640000}"/>
    <cellStyle name="40 % - Markeringsfarve3 3 2 4 5 2 3" xfId="45019" xr:uid="{00000000-0005-0000-0000-0000BB640000}"/>
    <cellStyle name="40 % - Markeringsfarve3 3 2 4 5 3" xfId="23033" xr:uid="{00000000-0005-0000-0000-0000BC640000}"/>
    <cellStyle name="40 % - Markeringsfarve3 3 2 4 5 4" xfId="38020" xr:uid="{00000000-0005-0000-0000-0000BD640000}"/>
    <cellStyle name="40 % - Markeringsfarve3 3 2 4 6" xfId="12203" xr:uid="{00000000-0005-0000-0000-0000BE640000}"/>
    <cellStyle name="40 % - Markeringsfarve3 3 2 4 6 2" xfId="28523" xr:uid="{00000000-0005-0000-0000-0000BF640000}"/>
    <cellStyle name="40 % - Markeringsfarve3 3 2 4 6 3" xfId="43488" xr:uid="{00000000-0005-0000-0000-0000C0640000}"/>
    <cellStyle name="40 % - Markeringsfarve3 3 2 4 7" xfId="21501" xr:uid="{00000000-0005-0000-0000-0000C1640000}"/>
    <cellStyle name="40 % - Markeringsfarve3 3 2 4 8" xfId="36489" xr:uid="{00000000-0005-0000-0000-0000C2640000}"/>
    <cellStyle name="40 % - Markeringsfarve3 3 2 5" xfId="3648" xr:uid="{00000000-0005-0000-0000-0000C3640000}"/>
    <cellStyle name="40 % - Markeringsfarve3 3 2 5 2" xfId="3649" xr:uid="{00000000-0005-0000-0000-0000C4640000}"/>
    <cellStyle name="40 % - Markeringsfarve3 3 2 5 2 2" xfId="3650" xr:uid="{00000000-0005-0000-0000-0000C5640000}"/>
    <cellStyle name="40 % - Markeringsfarve3 3 2 5 2 2 2" xfId="7960" xr:uid="{00000000-0005-0000-0000-0000C6640000}"/>
    <cellStyle name="40 % - Markeringsfarve3 3 2 5 2 2 2 2" xfId="15862" xr:uid="{00000000-0005-0000-0000-0000C7640000}"/>
    <cellStyle name="40 % - Markeringsfarve3 3 2 5 2 2 2 2 2" xfId="32177" xr:uid="{00000000-0005-0000-0000-0000C8640000}"/>
    <cellStyle name="40 % - Markeringsfarve3 3 2 5 2 2 2 2 3" xfId="47141" xr:uid="{00000000-0005-0000-0000-0000C9640000}"/>
    <cellStyle name="40 % - Markeringsfarve3 3 2 5 2 2 2 3" xfId="25155" xr:uid="{00000000-0005-0000-0000-0000CA640000}"/>
    <cellStyle name="40 % - Markeringsfarve3 3 2 5 2 2 2 4" xfId="40142" xr:uid="{00000000-0005-0000-0000-0000CB640000}"/>
    <cellStyle name="40 % - Markeringsfarve3 3 2 5 2 2 3" xfId="12210" xr:uid="{00000000-0005-0000-0000-0000CC640000}"/>
    <cellStyle name="40 % - Markeringsfarve3 3 2 5 2 2 3 2" xfId="28530" xr:uid="{00000000-0005-0000-0000-0000CD640000}"/>
    <cellStyle name="40 % - Markeringsfarve3 3 2 5 2 2 3 3" xfId="43495" xr:uid="{00000000-0005-0000-0000-0000CE640000}"/>
    <cellStyle name="40 % - Markeringsfarve3 3 2 5 2 2 4" xfId="21508" xr:uid="{00000000-0005-0000-0000-0000CF640000}"/>
    <cellStyle name="40 % - Markeringsfarve3 3 2 5 2 2 5" xfId="36496" xr:uid="{00000000-0005-0000-0000-0000D0640000}"/>
    <cellStyle name="40 % - Markeringsfarve3 3 2 5 2 3" xfId="6480" xr:uid="{00000000-0005-0000-0000-0000D1640000}"/>
    <cellStyle name="40 % - Markeringsfarve3 3 2 5 2 3 2" xfId="14395" xr:uid="{00000000-0005-0000-0000-0000D2640000}"/>
    <cellStyle name="40 % - Markeringsfarve3 3 2 5 2 3 2 2" xfId="30710" xr:uid="{00000000-0005-0000-0000-0000D3640000}"/>
    <cellStyle name="40 % - Markeringsfarve3 3 2 5 2 3 2 3" xfId="45674" xr:uid="{00000000-0005-0000-0000-0000D4640000}"/>
    <cellStyle name="40 % - Markeringsfarve3 3 2 5 2 3 3" xfId="23688" xr:uid="{00000000-0005-0000-0000-0000D5640000}"/>
    <cellStyle name="40 % - Markeringsfarve3 3 2 5 2 3 4" xfId="38675" xr:uid="{00000000-0005-0000-0000-0000D6640000}"/>
    <cellStyle name="40 % - Markeringsfarve3 3 2 5 2 4" xfId="12209" xr:uid="{00000000-0005-0000-0000-0000D7640000}"/>
    <cellStyle name="40 % - Markeringsfarve3 3 2 5 2 4 2" xfId="28529" xr:uid="{00000000-0005-0000-0000-0000D8640000}"/>
    <cellStyle name="40 % - Markeringsfarve3 3 2 5 2 4 3" xfId="43494" xr:uid="{00000000-0005-0000-0000-0000D9640000}"/>
    <cellStyle name="40 % - Markeringsfarve3 3 2 5 2 5" xfId="21507" xr:uid="{00000000-0005-0000-0000-0000DA640000}"/>
    <cellStyle name="40 % - Markeringsfarve3 3 2 5 2 6" xfId="36495" xr:uid="{00000000-0005-0000-0000-0000DB640000}"/>
    <cellStyle name="40 % - Markeringsfarve3 3 2 5 3" xfId="3651" xr:uid="{00000000-0005-0000-0000-0000DC640000}"/>
    <cellStyle name="40 % - Markeringsfarve3 3 2 5 3 2" xfId="7236" xr:uid="{00000000-0005-0000-0000-0000DD640000}"/>
    <cellStyle name="40 % - Markeringsfarve3 3 2 5 3 2 2" xfId="15147" xr:uid="{00000000-0005-0000-0000-0000DE640000}"/>
    <cellStyle name="40 % - Markeringsfarve3 3 2 5 3 2 2 2" xfId="31462" xr:uid="{00000000-0005-0000-0000-0000DF640000}"/>
    <cellStyle name="40 % - Markeringsfarve3 3 2 5 3 2 2 3" xfId="46426" xr:uid="{00000000-0005-0000-0000-0000E0640000}"/>
    <cellStyle name="40 % - Markeringsfarve3 3 2 5 3 2 3" xfId="24440" xr:uid="{00000000-0005-0000-0000-0000E1640000}"/>
    <cellStyle name="40 % - Markeringsfarve3 3 2 5 3 2 4" xfId="39427" xr:uid="{00000000-0005-0000-0000-0000E2640000}"/>
    <cellStyle name="40 % - Markeringsfarve3 3 2 5 3 3" xfId="12211" xr:uid="{00000000-0005-0000-0000-0000E3640000}"/>
    <cellStyle name="40 % - Markeringsfarve3 3 2 5 3 3 2" xfId="28531" xr:uid="{00000000-0005-0000-0000-0000E4640000}"/>
    <cellStyle name="40 % - Markeringsfarve3 3 2 5 3 3 3" xfId="43496" xr:uid="{00000000-0005-0000-0000-0000E5640000}"/>
    <cellStyle name="40 % - Markeringsfarve3 3 2 5 3 4" xfId="21509" xr:uid="{00000000-0005-0000-0000-0000E6640000}"/>
    <cellStyle name="40 % - Markeringsfarve3 3 2 5 3 5" xfId="36497" xr:uid="{00000000-0005-0000-0000-0000E7640000}"/>
    <cellStyle name="40 % - Markeringsfarve3 3 2 5 4" xfId="3652" xr:uid="{00000000-0005-0000-0000-0000E8640000}"/>
    <cellStyle name="40 % - Markeringsfarve3 3 2 5 4 2" xfId="8228" xr:uid="{00000000-0005-0000-0000-0000E9640000}"/>
    <cellStyle name="40 % - Markeringsfarve3 3 2 5 4 2 2" xfId="16123" xr:uid="{00000000-0005-0000-0000-0000EA640000}"/>
    <cellStyle name="40 % - Markeringsfarve3 3 2 5 4 2 2 2" xfId="32438" xr:uid="{00000000-0005-0000-0000-0000EB640000}"/>
    <cellStyle name="40 % - Markeringsfarve3 3 2 5 4 2 2 3" xfId="47402" xr:uid="{00000000-0005-0000-0000-0000EC640000}"/>
    <cellStyle name="40 % - Markeringsfarve3 3 2 5 4 2 3" xfId="25416" xr:uid="{00000000-0005-0000-0000-0000ED640000}"/>
    <cellStyle name="40 % - Markeringsfarve3 3 2 5 4 2 4" xfId="40403" xr:uid="{00000000-0005-0000-0000-0000EE640000}"/>
    <cellStyle name="40 % - Markeringsfarve3 3 2 5 4 3" xfId="12212" xr:uid="{00000000-0005-0000-0000-0000EF640000}"/>
    <cellStyle name="40 % - Markeringsfarve3 3 2 5 4 3 2" xfId="28532" xr:uid="{00000000-0005-0000-0000-0000F0640000}"/>
    <cellStyle name="40 % - Markeringsfarve3 3 2 5 4 3 3" xfId="43497" xr:uid="{00000000-0005-0000-0000-0000F1640000}"/>
    <cellStyle name="40 % - Markeringsfarve3 3 2 5 4 4" xfId="21510" xr:uid="{00000000-0005-0000-0000-0000F2640000}"/>
    <cellStyle name="40 % - Markeringsfarve3 3 2 5 4 5" xfId="36498" xr:uid="{00000000-0005-0000-0000-0000F3640000}"/>
    <cellStyle name="40 % - Markeringsfarve3 3 2 5 5" xfId="5822" xr:uid="{00000000-0005-0000-0000-0000F4640000}"/>
    <cellStyle name="40 % - Markeringsfarve3 3 2 5 5 2" xfId="13741" xr:uid="{00000000-0005-0000-0000-0000F5640000}"/>
    <cellStyle name="40 % - Markeringsfarve3 3 2 5 5 2 2" xfId="30056" xr:uid="{00000000-0005-0000-0000-0000F6640000}"/>
    <cellStyle name="40 % - Markeringsfarve3 3 2 5 5 2 3" xfId="45020" xr:uid="{00000000-0005-0000-0000-0000F7640000}"/>
    <cellStyle name="40 % - Markeringsfarve3 3 2 5 5 3" xfId="23034" xr:uid="{00000000-0005-0000-0000-0000F8640000}"/>
    <cellStyle name="40 % - Markeringsfarve3 3 2 5 5 4" xfId="38021" xr:uid="{00000000-0005-0000-0000-0000F9640000}"/>
    <cellStyle name="40 % - Markeringsfarve3 3 2 5 6" xfId="12208" xr:uid="{00000000-0005-0000-0000-0000FA640000}"/>
    <cellStyle name="40 % - Markeringsfarve3 3 2 5 6 2" xfId="28528" xr:uid="{00000000-0005-0000-0000-0000FB640000}"/>
    <cellStyle name="40 % - Markeringsfarve3 3 2 5 6 3" xfId="43493" xr:uid="{00000000-0005-0000-0000-0000FC640000}"/>
    <cellStyle name="40 % - Markeringsfarve3 3 2 5 7" xfId="21506" xr:uid="{00000000-0005-0000-0000-0000FD640000}"/>
    <cellStyle name="40 % - Markeringsfarve3 3 2 5 8" xfId="36494" xr:uid="{00000000-0005-0000-0000-0000FE640000}"/>
    <cellStyle name="40 % - Markeringsfarve3 3 2 6" xfId="3653" xr:uid="{00000000-0005-0000-0000-0000FF640000}"/>
    <cellStyle name="40 % - Markeringsfarve3 3 2 6 2" xfId="3654" xr:uid="{00000000-0005-0000-0000-000000650000}"/>
    <cellStyle name="40 % - Markeringsfarve3 3 2 6 2 2" xfId="3655" xr:uid="{00000000-0005-0000-0000-000001650000}"/>
    <cellStyle name="40 % - Markeringsfarve3 3 2 6 2 2 2" xfId="8096" xr:uid="{00000000-0005-0000-0000-000002650000}"/>
    <cellStyle name="40 % - Markeringsfarve3 3 2 6 2 2 2 2" xfId="15998" xr:uid="{00000000-0005-0000-0000-000003650000}"/>
    <cellStyle name="40 % - Markeringsfarve3 3 2 6 2 2 2 2 2" xfId="32313" xr:uid="{00000000-0005-0000-0000-000004650000}"/>
    <cellStyle name="40 % - Markeringsfarve3 3 2 6 2 2 2 2 3" xfId="47277" xr:uid="{00000000-0005-0000-0000-000005650000}"/>
    <cellStyle name="40 % - Markeringsfarve3 3 2 6 2 2 2 3" xfId="25291" xr:uid="{00000000-0005-0000-0000-000006650000}"/>
    <cellStyle name="40 % - Markeringsfarve3 3 2 6 2 2 2 4" xfId="40278" xr:uid="{00000000-0005-0000-0000-000007650000}"/>
    <cellStyle name="40 % - Markeringsfarve3 3 2 6 2 2 3" xfId="12215" xr:uid="{00000000-0005-0000-0000-000008650000}"/>
    <cellStyle name="40 % - Markeringsfarve3 3 2 6 2 2 3 2" xfId="28535" xr:uid="{00000000-0005-0000-0000-000009650000}"/>
    <cellStyle name="40 % - Markeringsfarve3 3 2 6 2 2 3 3" xfId="43500" xr:uid="{00000000-0005-0000-0000-00000A650000}"/>
    <cellStyle name="40 % - Markeringsfarve3 3 2 6 2 2 4" xfId="21513" xr:uid="{00000000-0005-0000-0000-00000B650000}"/>
    <cellStyle name="40 % - Markeringsfarve3 3 2 6 2 2 5" xfId="36501" xr:uid="{00000000-0005-0000-0000-00000C650000}"/>
    <cellStyle name="40 % - Markeringsfarve3 3 2 6 2 3" xfId="6589" xr:uid="{00000000-0005-0000-0000-00000D650000}"/>
    <cellStyle name="40 % - Markeringsfarve3 3 2 6 2 3 2" xfId="14504" xr:uid="{00000000-0005-0000-0000-00000E650000}"/>
    <cellStyle name="40 % - Markeringsfarve3 3 2 6 2 3 2 2" xfId="30819" xr:uid="{00000000-0005-0000-0000-00000F650000}"/>
    <cellStyle name="40 % - Markeringsfarve3 3 2 6 2 3 2 3" xfId="45783" xr:uid="{00000000-0005-0000-0000-000010650000}"/>
    <cellStyle name="40 % - Markeringsfarve3 3 2 6 2 3 3" xfId="23797" xr:uid="{00000000-0005-0000-0000-000011650000}"/>
    <cellStyle name="40 % - Markeringsfarve3 3 2 6 2 3 4" xfId="38784" xr:uid="{00000000-0005-0000-0000-000012650000}"/>
    <cellStyle name="40 % - Markeringsfarve3 3 2 6 2 4" xfId="12214" xr:uid="{00000000-0005-0000-0000-000013650000}"/>
    <cellStyle name="40 % - Markeringsfarve3 3 2 6 2 4 2" xfId="28534" xr:uid="{00000000-0005-0000-0000-000014650000}"/>
    <cellStyle name="40 % - Markeringsfarve3 3 2 6 2 4 3" xfId="43499" xr:uid="{00000000-0005-0000-0000-000015650000}"/>
    <cellStyle name="40 % - Markeringsfarve3 3 2 6 2 5" xfId="21512" xr:uid="{00000000-0005-0000-0000-000016650000}"/>
    <cellStyle name="40 % - Markeringsfarve3 3 2 6 2 6" xfId="36500" xr:uid="{00000000-0005-0000-0000-000017650000}"/>
    <cellStyle name="40 % - Markeringsfarve3 3 2 6 3" xfId="3656" xr:uid="{00000000-0005-0000-0000-000018650000}"/>
    <cellStyle name="40 % - Markeringsfarve3 3 2 6 3 2" xfId="7373" xr:uid="{00000000-0005-0000-0000-000019650000}"/>
    <cellStyle name="40 % - Markeringsfarve3 3 2 6 3 2 2" xfId="15284" xr:uid="{00000000-0005-0000-0000-00001A650000}"/>
    <cellStyle name="40 % - Markeringsfarve3 3 2 6 3 2 2 2" xfId="31599" xr:uid="{00000000-0005-0000-0000-00001B650000}"/>
    <cellStyle name="40 % - Markeringsfarve3 3 2 6 3 2 2 3" xfId="46563" xr:uid="{00000000-0005-0000-0000-00001C650000}"/>
    <cellStyle name="40 % - Markeringsfarve3 3 2 6 3 2 3" xfId="24577" xr:uid="{00000000-0005-0000-0000-00001D650000}"/>
    <cellStyle name="40 % - Markeringsfarve3 3 2 6 3 2 4" xfId="39564" xr:uid="{00000000-0005-0000-0000-00001E650000}"/>
    <cellStyle name="40 % - Markeringsfarve3 3 2 6 3 3" xfId="12216" xr:uid="{00000000-0005-0000-0000-00001F650000}"/>
    <cellStyle name="40 % - Markeringsfarve3 3 2 6 3 3 2" xfId="28536" xr:uid="{00000000-0005-0000-0000-000020650000}"/>
    <cellStyle name="40 % - Markeringsfarve3 3 2 6 3 3 3" xfId="43501" xr:uid="{00000000-0005-0000-0000-000021650000}"/>
    <cellStyle name="40 % - Markeringsfarve3 3 2 6 3 4" xfId="21514" xr:uid="{00000000-0005-0000-0000-000022650000}"/>
    <cellStyle name="40 % - Markeringsfarve3 3 2 6 3 5" xfId="36502" xr:uid="{00000000-0005-0000-0000-000023650000}"/>
    <cellStyle name="40 % - Markeringsfarve3 3 2 6 4" xfId="3657" xr:uid="{00000000-0005-0000-0000-000024650000}"/>
    <cellStyle name="40 % - Markeringsfarve3 3 2 6 4 2" xfId="8550" xr:uid="{00000000-0005-0000-0000-000025650000}"/>
    <cellStyle name="40 % - Markeringsfarve3 3 2 6 4 2 2" xfId="16437" xr:uid="{00000000-0005-0000-0000-000026650000}"/>
    <cellStyle name="40 % - Markeringsfarve3 3 2 6 4 2 2 2" xfId="32752" xr:uid="{00000000-0005-0000-0000-000027650000}"/>
    <cellStyle name="40 % - Markeringsfarve3 3 2 6 4 2 2 3" xfId="47716" xr:uid="{00000000-0005-0000-0000-000028650000}"/>
    <cellStyle name="40 % - Markeringsfarve3 3 2 6 4 2 3" xfId="25730" xr:uid="{00000000-0005-0000-0000-000029650000}"/>
    <cellStyle name="40 % - Markeringsfarve3 3 2 6 4 2 4" xfId="40717" xr:uid="{00000000-0005-0000-0000-00002A650000}"/>
    <cellStyle name="40 % - Markeringsfarve3 3 2 6 4 3" xfId="12217" xr:uid="{00000000-0005-0000-0000-00002B650000}"/>
    <cellStyle name="40 % - Markeringsfarve3 3 2 6 4 3 2" xfId="28537" xr:uid="{00000000-0005-0000-0000-00002C650000}"/>
    <cellStyle name="40 % - Markeringsfarve3 3 2 6 4 3 3" xfId="43502" xr:uid="{00000000-0005-0000-0000-00002D650000}"/>
    <cellStyle name="40 % - Markeringsfarve3 3 2 6 4 4" xfId="21515" xr:uid="{00000000-0005-0000-0000-00002E650000}"/>
    <cellStyle name="40 % - Markeringsfarve3 3 2 6 4 5" xfId="36503" xr:uid="{00000000-0005-0000-0000-00002F650000}"/>
    <cellStyle name="40 % - Markeringsfarve3 3 2 6 5" xfId="5823" xr:uid="{00000000-0005-0000-0000-000030650000}"/>
    <cellStyle name="40 % - Markeringsfarve3 3 2 6 5 2" xfId="13742" xr:uid="{00000000-0005-0000-0000-000031650000}"/>
    <cellStyle name="40 % - Markeringsfarve3 3 2 6 5 2 2" xfId="30057" xr:uid="{00000000-0005-0000-0000-000032650000}"/>
    <cellStyle name="40 % - Markeringsfarve3 3 2 6 5 2 3" xfId="45021" xr:uid="{00000000-0005-0000-0000-000033650000}"/>
    <cellStyle name="40 % - Markeringsfarve3 3 2 6 5 3" xfId="23035" xr:uid="{00000000-0005-0000-0000-000034650000}"/>
    <cellStyle name="40 % - Markeringsfarve3 3 2 6 5 4" xfId="38022" xr:uid="{00000000-0005-0000-0000-000035650000}"/>
    <cellStyle name="40 % - Markeringsfarve3 3 2 6 6" xfId="12213" xr:uid="{00000000-0005-0000-0000-000036650000}"/>
    <cellStyle name="40 % - Markeringsfarve3 3 2 6 6 2" xfId="28533" xr:uid="{00000000-0005-0000-0000-000037650000}"/>
    <cellStyle name="40 % - Markeringsfarve3 3 2 6 6 3" xfId="43498" xr:uid="{00000000-0005-0000-0000-000038650000}"/>
    <cellStyle name="40 % - Markeringsfarve3 3 2 6 7" xfId="21511" xr:uid="{00000000-0005-0000-0000-000039650000}"/>
    <cellStyle name="40 % - Markeringsfarve3 3 2 6 8" xfId="36499" xr:uid="{00000000-0005-0000-0000-00003A650000}"/>
    <cellStyle name="40 % - Markeringsfarve3 3 2 7" xfId="3658" xr:uid="{00000000-0005-0000-0000-00003B650000}"/>
    <cellStyle name="40 % - Markeringsfarve3 3 2 7 2" xfId="3659" xr:uid="{00000000-0005-0000-0000-00003C650000}"/>
    <cellStyle name="40 % - Markeringsfarve3 3 2 7 2 2" xfId="7486" xr:uid="{00000000-0005-0000-0000-00003D650000}"/>
    <cellStyle name="40 % - Markeringsfarve3 3 2 7 2 2 2" xfId="15388" xr:uid="{00000000-0005-0000-0000-00003E650000}"/>
    <cellStyle name="40 % - Markeringsfarve3 3 2 7 2 2 2 2" xfId="31703" xr:uid="{00000000-0005-0000-0000-00003F650000}"/>
    <cellStyle name="40 % - Markeringsfarve3 3 2 7 2 2 2 3" xfId="46667" xr:uid="{00000000-0005-0000-0000-000040650000}"/>
    <cellStyle name="40 % - Markeringsfarve3 3 2 7 2 2 3" xfId="24681" xr:uid="{00000000-0005-0000-0000-000041650000}"/>
    <cellStyle name="40 % - Markeringsfarve3 3 2 7 2 2 4" xfId="39668" xr:uid="{00000000-0005-0000-0000-000042650000}"/>
    <cellStyle name="40 % - Markeringsfarve3 3 2 7 2 3" xfId="12219" xr:uid="{00000000-0005-0000-0000-000043650000}"/>
    <cellStyle name="40 % - Markeringsfarve3 3 2 7 2 3 2" xfId="28539" xr:uid="{00000000-0005-0000-0000-000044650000}"/>
    <cellStyle name="40 % - Markeringsfarve3 3 2 7 2 3 3" xfId="43504" xr:uid="{00000000-0005-0000-0000-000045650000}"/>
    <cellStyle name="40 % - Markeringsfarve3 3 2 7 2 4" xfId="21517" xr:uid="{00000000-0005-0000-0000-000046650000}"/>
    <cellStyle name="40 % - Markeringsfarve3 3 2 7 2 5" xfId="36505" xr:uid="{00000000-0005-0000-0000-000047650000}"/>
    <cellStyle name="40 % - Markeringsfarve3 3 2 7 3" xfId="6080" xr:uid="{00000000-0005-0000-0000-000048650000}"/>
    <cellStyle name="40 % - Markeringsfarve3 3 2 7 3 2" xfId="13998" xr:uid="{00000000-0005-0000-0000-000049650000}"/>
    <cellStyle name="40 % - Markeringsfarve3 3 2 7 3 2 2" xfId="30313" xr:uid="{00000000-0005-0000-0000-00004A650000}"/>
    <cellStyle name="40 % - Markeringsfarve3 3 2 7 3 2 3" xfId="45277" xr:uid="{00000000-0005-0000-0000-00004B650000}"/>
    <cellStyle name="40 % - Markeringsfarve3 3 2 7 3 3" xfId="23291" xr:uid="{00000000-0005-0000-0000-00004C650000}"/>
    <cellStyle name="40 % - Markeringsfarve3 3 2 7 3 4" xfId="38278" xr:uid="{00000000-0005-0000-0000-00004D650000}"/>
    <cellStyle name="40 % - Markeringsfarve3 3 2 7 4" xfId="12218" xr:uid="{00000000-0005-0000-0000-00004E650000}"/>
    <cellStyle name="40 % - Markeringsfarve3 3 2 7 4 2" xfId="28538" xr:uid="{00000000-0005-0000-0000-00004F650000}"/>
    <cellStyle name="40 % - Markeringsfarve3 3 2 7 4 3" xfId="43503" xr:uid="{00000000-0005-0000-0000-000050650000}"/>
    <cellStyle name="40 % - Markeringsfarve3 3 2 7 5" xfId="21516" xr:uid="{00000000-0005-0000-0000-000051650000}"/>
    <cellStyle name="40 % - Markeringsfarve3 3 2 7 6" xfId="36504" xr:uid="{00000000-0005-0000-0000-000052650000}"/>
    <cellStyle name="40 % - Markeringsfarve3 3 2 8" xfId="3660" xr:uid="{00000000-0005-0000-0000-000053650000}"/>
    <cellStyle name="40 % - Markeringsfarve3 3 2 8 2" xfId="6714" xr:uid="{00000000-0005-0000-0000-000054650000}"/>
    <cellStyle name="40 % - Markeringsfarve3 3 2 8 2 2" xfId="14626" xr:uid="{00000000-0005-0000-0000-000055650000}"/>
    <cellStyle name="40 % - Markeringsfarve3 3 2 8 2 2 2" xfId="30941" xr:uid="{00000000-0005-0000-0000-000056650000}"/>
    <cellStyle name="40 % - Markeringsfarve3 3 2 8 2 2 3" xfId="45905" xr:uid="{00000000-0005-0000-0000-000057650000}"/>
    <cellStyle name="40 % - Markeringsfarve3 3 2 8 2 3" xfId="23919" xr:uid="{00000000-0005-0000-0000-000058650000}"/>
    <cellStyle name="40 % - Markeringsfarve3 3 2 8 2 4" xfId="38906" xr:uid="{00000000-0005-0000-0000-000059650000}"/>
    <cellStyle name="40 % - Markeringsfarve3 3 2 8 3" xfId="12220" xr:uid="{00000000-0005-0000-0000-00005A650000}"/>
    <cellStyle name="40 % - Markeringsfarve3 3 2 8 3 2" xfId="28540" xr:uid="{00000000-0005-0000-0000-00005B650000}"/>
    <cellStyle name="40 % - Markeringsfarve3 3 2 8 3 3" xfId="43505" xr:uid="{00000000-0005-0000-0000-00005C650000}"/>
    <cellStyle name="40 % - Markeringsfarve3 3 2 8 4" xfId="21518" xr:uid="{00000000-0005-0000-0000-00005D650000}"/>
    <cellStyle name="40 % - Markeringsfarve3 3 2 8 5" xfId="36506" xr:uid="{00000000-0005-0000-0000-00005E650000}"/>
    <cellStyle name="40 % - Markeringsfarve3 3 2 9" xfId="3661" xr:uid="{00000000-0005-0000-0000-00005F650000}"/>
    <cellStyle name="40 % - Markeringsfarve3 3 2 9 2" xfId="8405" xr:uid="{00000000-0005-0000-0000-000060650000}"/>
    <cellStyle name="40 % - Markeringsfarve3 3 2 9 2 2" xfId="16297" xr:uid="{00000000-0005-0000-0000-000061650000}"/>
    <cellStyle name="40 % - Markeringsfarve3 3 2 9 2 2 2" xfId="32612" xr:uid="{00000000-0005-0000-0000-000062650000}"/>
    <cellStyle name="40 % - Markeringsfarve3 3 2 9 2 2 3" xfId="47576" xr:uid="{00000000-0005-0000-0000-000063650000}"/>
    <cellStyle name="40 % - Markeringsfarve3 3 2 9 2 3" xfId="25590" xr:uid="{00000000-0005-0000-0000-000064650000}"/>
    <cellStyle name="40 % - Markeringsfarve3 3 2 9 2 4" xfId="40577" xr:uid="{00000000-0005-0000-0000-000065650000}"/>
    <cellStyle name="40 % - Markeringsfarve3 3 2 9 3" xfId="12221" xr:uid="{00000000-0005-0000-0000-000066650000}"/>
    <cellStyle name="40 % - Markeringsfarve3 3 2 9 3 2" xfId="28541" xr:uid="{00000000-0005-0000-0000-000067650000}"/>
    <cellStyle name="40 % - Markeringsfarve3 3 2 9 3 3" xfId="43506" xr:uid="{00000000-0005-0000-0000-000068650000}"/>
    <cellStyle name="40 % - Markeringsfarve3 3 2 9 4" xfId="21519" xr:uid="{00000000-0005-0000-0000-000069650000}"/>
    <cellStyle name="40 % - Markeringsfarve3 3 2 9 5" xfId="36507" xr:uid="{00000000-0005-0000-0000-00006A650000}"/>
    <cellStyle name="40 % - Markeringsfarve3 3 3" xfId="3662" xr:uid="{00000000-0005-0000-0000-00006B650000}"/>
    <cellStyle name="40 % - Markeringsfarve3 3 3 10" xfId="5824" xr:uid="{00000000-0005-0000-0000-00006C650000}"/>
    <cellStyle name="40 % - Markeringsfarve3 3 3 10 2" xfId="13743" xr:uid="{00000000-0005-0000-0000-00006D650000}"/>
    <cellStyle name="40 % - Markeringsfarve3 3 3 10 2 2" xfId="30058" xr:uid="{00000000-0005-0000-0000-00006E650000}"/>
    <cellStyle name="40 % - Markeringsfarve3 3 3 10 2 3" xfId="45022" xr:uid="{00000000-0005-0000-0000-00006F650000}"/>
    <cellStyle name="40 % - Markeringsfarve3 3 3 10 3" xfId="23036" xr:uid="{00000000-0005-0000-0000-000070650000}"/>
    <cellStyle name="40 % - Markeringsfarve3 3 3 10 4" xfId="38023" xr:uid="{00000000-0005-0000-0000-000071650000}"/>
    <cellStyle name="40 % - Markeringsfarve3 3 3 11" xfId="12222" xr:uid="{00000000-0005-0000-0000-000072650000}"/>
    <cellStyle name="40 % - Markeringsfarve3 3 3 11 2" xfId="28542" xr:uid="{00000000-0005-0000-0000-000073650000}"/>
    <cellStyle name="40 % - Markeringsfarve3 3 3 11 3" xfId="43507" xr:uid="{00000000-0005-0000-0000-000074650000}"/>
    <cellStyle name="40 % - Markeringsfarve3 3 3 12" xfId="21520" xr:uid="{00000000-0005-0000-0000-000075650000}"/>
    <cellStyle name="40 % - Markeringsfarve3 3 3 13" xfId="36508" xr:uid="{00000000-0005-0000-0000-000076650000}"/>
    <cellStyle name="40 % - Markeringsfarve3 3 3 14" xfId="56504" xr:uid="{00000000-0005-0000-0000-000077650000}"/>
    <cellStyle name="40 % - Markeringsfarve3 3 3 2" xfId="3663" xr:uid="{00000000-0005-0000-0000-000078650000}"/>
    <cellStyle name="40 % - Markeringsfarve3 3 3 2 2" xfId="3664" xr:uid="{00000000-0005-0000-0000-000079650000}"/>
    <cellStyle name="40 % - Markeringsfarve3 3 3 2 2 2" xfId="3665" xr:uid="{00000000-0005-0000-0000-00007A650000}"/>
    <cellStyle name="40 % - Markeringsfarve3 3 3 2 2 2 2" xfId="7644" xr:uid="{00000000-0005-0000-0000-00007B650000}"/>
    <cellStyle name="40 % - Markeringsfarve3 3 3 2 2 2 2 2" xfId="15546" xr:uid="{00000000-0005-0000-0000-00007C650000}"/>
    <cellStyle name="40 % - Markeringsfarve3 3 3 2 2 2 2 2 2" xfId="31861" xr:uid="{00000000-0005-0000-0000-00007D650000}"/>
    <cellStyle name="40 % - Markeringsfarve3 3 3 2 2 2 2 2 3" xfId="46825" xr:uid="{00000000-0005-0000-0000-00007E650000}"/>
    <cellStyle name="40 % - Markeringsfarve3 3 3 2 2 2 2 3" xfId="24839" xr:uid="{00000000-0005-0000-0000-00007F650000}"/>
    <cellStyle name="40 % - Markeringsfarve3 3 3 2 2 2 2 4" xfId="39826" xr:uid="{00000000-0005-0000-0000-000080650000}"/>
    <cellStyle name="40 % - Markeringsfarve3 3 3 2 2 2 3" xfId="12225" xr:uid="{00000000-0005-0000-0000-000081650000}"/>
    <cellStyle name="40 % - Markeringsfarve3 3 3 2 2 2 3 2" xfId="28545" xr:uid="{00000000-0005-0000-0000-000082650000}"/>
    <cellStyle name="40 % - Markeringsfarve3 3 3 2 2 2 3 3" xfId="43510" xr:uid="{00000000-0005-0000-0000-000083650000}"/>
    <cellStyle name="40 % - Markeringsfarve3 3 3 2 2 2 4" xfId="21523" xr:uid="{00000000-0005-0000-0000-000084650000}"/>
    <cellStyle name="40 % - Markeringsfarve3 3 3 2 2 2 5" xfId="36511" xr:uid="{00000000-0005-0000-0000-000085650000}"/>
    <cellStyle name="40 % - Markeringsfarve3 3 3 2 2 3" xfId="6212" xr:uid="{00000000-0005-0000-0000-000086650000}"/>
    <cellStyle name="40 % - Markeringsfarve3 3 3 2 2 3 2" xfId="14130" xr:uid="{00000000-0005-0000-0000-000087650000}"/>
    <cellStyle name="40 % - Markeringsfarve3 3 3 2 2 3 2 2" xfId="30445" xr:uid="{00000000-0005-0000-0000-000088650000}"/>
    <cellStyle name="40 % - Markeringsfarve3 3 3 2 2 3 2 3" xfId="45409" xr:uid="{00000000-0005-0000-0000-000089650000}"/>
    <cellStyle name="40 % - Markeringsfarve3 3 3 2 2 3 3" xfId="23423" xr:uid="{00000000-0005-0000-0000-00008A650000}"/>
    <cellStyle name="40 % - Markeringsfarve3 3 3 2 2 3 4" xfId="38410" xr:uid="{00000000-0005-0000-0000-00008B650000}"/>
    <cellStyle name="40 % - Markeringsfarve3 3 3 2 2 4" xfId="12224" xr:uid="{00000000-0005-0000-0000-00008C650000}"/>
    <cellStyle name="40 % - Markeringsfarve3 3 3 2 2 4 2" xfId="28544" xr:uid="{00000000-0005-0000-0000-00008D650000}"/>
    <cellStyle name="40 % - Markeringsfarve3 3 3 2 2 4 3" xfId="43509" xr:uid="{00000000-0005-0000-0000-00008E650000}"/>
    <cellStyle name="40 % - Markeringsfarve3 3 3 2 2 5" xfId="21522" xr:uid="{00000000-0005-0000-0000-00008F650000}"/>
    <cellStyle name="40 % - Markeringsfarve3 3 3 2 2 6" xfId="36510" xr:uid="{00000000-0005-0000-0000-000090650000}"/>
    <cellStyle name="40 % - Markeringsfarve3 3 3 2 3" xfId="3666" xr:uid="{00000000-0005-0000-0000-000091650000}"/>
    <cellStyle name="40 % - Markeringsfarve3 3 3 2 3 2" xfId="6874" xr:uid="{00000000-0005-0000-0000-000092650000}"/>
    <cellStyle name="40 % - Markeringsfarve3 3 3 2 3 2 2" xfId="14786" xr:uid="{00000000-0005-0000-0000-000093650000}"/>
    <cellStyle name="40 % - Markeringsfarve3 3 3 2 3 2 2 2" xfId="31101" xr:uid="{00000000-0005-0000-0000-000094650000}"/>
    <cellStyle name="40 % - Markeringsfarve3 3 3 2 3 2 2 3" xfId="46065" xr:uid="{00000000-0005-0000-0000-000095650000}"/>
    <cellStyle name="40 % - Markeringsfarve3 3 3 2 3 2 3" xfId="24079" xr:uid="{00000000-0005-0000-0000-000096650000}"/>
    <cellStyle name="40 % - Markeringsfarve3 3 3 2 3 2 4" xfId="39066" xr:uid="{00000000-0005-0000-0000-000097650000}"/>
    <cellStyle name="40 % - Markeringsfarve3 3 3 2 3 3" xfId="12226" xr:uid="{00000000-0005-0000-0000-000098650000}"/>
    <cellStyle name="40 % - Markeringsfarve3 3 3 2 3 3 2" xfId="28546" xr:uid="{00000000-0005-0000-0000-000099650000}"/>
    <cellStyle name="40 % - Markeringsfarve3 3 3 2 3 3 3" xfId="43511" xr:uid="{00000000-0005-0000-0000-00009A650000}"/>
    <cellStyle name="40 % - Markeringsfarve3 3 3 2 3 4" xfId="21524" xr:uid="{00000000-0005-0000-0000-00009B650000}"/>
    <cellStyle name="40 % - Markeringsfarve3 3 3 2 3 5" xfId="36512" xr:uid="{00000000-0005-0000-0000-00009C650000}"/>
    <cellStyle name="40 % - Markeringsfarve3 3 3 2 4" xfId="3667" xr:uid="{00000000-0005-0000-0000-00009D650000}"/>
    <cellStyle name="40 % - Markeringsfarve3 3 3 2 4 2" xfId="8154" xr:uid="{00000000-0005-0000-0000-00009E650000}"/>
    <cellStyle name="40 % - Markeringsfarve3 3 3 2 4 2 2" xfId="16052" xr:uid="{00000000-0005-0000-0000-00009F650000}"/>
    <cellStyle name="40 % - Markeringsfarve3 3 3 2 4 2 2 2" xfId="32367" xr:uid="{00000000-0005-0000-0000-0000A0650000}"/>
    <cellStyle name="40 % - Markeringsfarve3 3 3 2 4 2 2 3" xfId="47331" xr:uid="{00000000-0005-0000-0000-0000A1650000}"/>
    <cellStyle name="40 % - Markeringsfarve3 3 3 2 4 2 3" xfId="25345" xr:uid="{00000000-0005-0000-0000-0000A2650000}"/>
    <cellStyle name="40 % - Markeringsfarve3 3 3 2 4 2 4" xfId="40332" xr:uid="{00000000-0005-0000-0000-0000A3650000}"/>
    <cellStyle name="40 % - Markeringsfarve3 3 3 2 4 3" xfId="12227" xr:uid="{00000000-0005-0000-0000-0000A4650000}"/>
    <cellStyle name="40 % - Markeringsfarve3 3 3 2 4 3 2" xfId="28547" xr:uid="{00000000-0005-0000-0000-0000A5650000}"/>
    <cellStyle name="40 % - Markeringsfarve3 3 3 2 4 3 3" xfId="43512" xr:uid="{00000000-0005-0000-0000-0000A6650000}"/>
    <cellStyle name="40 % - Markeringsfarve3 3 3 2 4 4" xfId="21525" xr:uid="{00000000-0005-0000-0000-0000A7650000}"/>
    <cellStyle name="40 % - Markeringsfarve3 3 3 2 4 5" xfId="36513" xr:uid="{00000000-0005-0000-0000-0000A8650000}"/>
    <cellStyle name="40 % - Markeringsfarve3 3 3 2 5" xfId="5825" xr:uid="{00000000-0005-0000-0000-0000A9650000}"/>
    <cellStyle name="40 % - Markeringsfarve3 3 3 2 5 2" xfId="13744" xr:uid="{00000000-0005-0000-0000-0000AA650000}"/>
    <cellStyle name="40 % - Markeringsfarve3 3 3 2 5 2 2" xfId="30059" xr:uid="{00000000-0005-0000-0000-0000AB650000}"/>
    <cellStyle name="40 % - Markeringsfarve3 3 3 2 5 2 3" xfId="45023" xr:uid="{00000000-0005-0000-0000-0000AC650000}"/>
    <cellStyle name="40 % - Markeringsfarve3 3 3 2 5 3" xfId="23037" xr:uid="{00000000-0005-0000-0000-0000AD650000}"/>
    <cellStyle name="40 % - Markeringsfarve3 3 3 2 5 4" xfId="38024" xr:uid="{00000000-0005-0000-0000-0000AE650000}"/>
    <cellStyle name="40 % - Markeringsfarve3 3 3 2 6" xfId="12223" xr:uid="{00000000-0005-0000-0000-0000AF650000}"/>
    <cellStyle name="40 % - Markeringsfarve3 3 3 2 6 2" xfId="28543" xr:uid="{00000000-0005-0000-0000-0000B0650000}"/>
    <cellStyle name="40 % - Markeringsfarve3 3 3 2 6 3" xfId="43508" xr:uid="{00000000-0005-0000-0000-0000B1650000}"/>
    <cellStyle name="40 % - Markeringsfarve3 3 3 2 7" xfId="21521" xr:uid="{00000000-0005-0000-0000-0000B2650000}"/>
    <cellStyle name="40 % - Markeringsfarve3 3 3 2 8" xfId="36509" xr:uid="{00000000-0005-0000-0000-0000B3650000}"/>
    <cellStyle name="40 % - Markeringsfarve3 3 3 3" xfId="3668" xr:uid="{00000000-0005-0000-0000-0000B4650000}"/>
    <cellStyle name="40 % - Markeringsfarve3 3 3 3 2" xfId="3669" xr:uid="{00000000-0005-0000-0000-0000B5650000}"/>
    <cellStyle name="40 % - Markeringsfarve3 3 3 3 2 2" xfId="3670" xr:uid="{00000000-0005-0000-0000-0000B6650000}"/>
    <cellStyle name="40 % - Markeringsfarve3 3 3 3 2 2 2" xfId="7742" xr:uid="{00000000-0005-0000-0000-0000B7650000}"/>
    <cellStyle name="40 % - Markeringsfarve3 3 3 3 2 2 2 2" xfId="15644" xr:uid="{00000000-0005-0000-0000-0000B8650000}"/>
    <cellStyle name="40 % - Markeringsfarve3 3 3 3 2 2 2 2 2" xfId="31959" xr:uid="{00000000-0005-0000-0000-0000B9650000}"/>
    <cellStyle name="40 % - Markeringsfarve3 3 3 3 2 2 2 2 3" xfId="46923" xr:uid="{00000000-0005-0000-0000-0000BA650000}"/>
    <cellStyle name="40 % - Markeringsfarve3 3 3 3 2 2 2 3" xfId="24937" xr:uid="{00000000-0005-0000-0000-0000BB650000}"/>
    <cellStyle name="40 % - Markeringsfarve3 3 3 3 2 2 2 4" xfId="39924" xr:uid="{00000000-0005-0000-0000-0000BC650000}"/>
    <cellStyle name="40 % - Markeringsfarve3 3 3 3 2 2 3" xfId="12230" xr:uid="{00000000-0005-0000-0000-0000BD650000}"/>
    <cellStyle name="40 % - Markeringsfarve3 3 3 3 2 2 3 2" xfId="28550" xr:uid="{00000000-0005-0000-0000-0000BE650000}"/>
    <cellStyle name="40 % - Markeringsfarve3 3 3 3 2 2 3 3" xfId="43515" xr:uid="{00000000-0005-0000-0000-0000BF650000}"/>
    <cellStyle name="40 % - Markeringsfarve3 3 3 3 2 2 4" xfId="21528" xr:uid="{00000000-0005-0000-0000-0000C0650000}"/>
    <cellStyle name="40 % - Markeringsfarve3 3 3 3 2 2 5" xfId="36516" xr:uid="{00000000-0005-0000-0000-0000C1650000}"/>
    <cellStyle name="40 % - Markeringsfarve3 3 3 3 2 3" xfId="6288" xr:uid="{00000000-0005-0000-0000-0000C2650000}"/>
    <cellStyle name="40 % - Markeringsfarve3 3 3 3 2 3 2" xfId="14206" xr:uid="{00000000-0005-0000-0000-0000C3650000}"/>
    <cellStyle name="40 % - Markeringsfarve3 3 3 3 2 3 2 2" xfId="30521" xr:uid="{00000000-0005-0000-0000-0000C4650000}"/>
    <cellStyle name="40 % - Markeringsfarve3 3 3 3 2 3 2 3" xfId="45485" xr:uid="{00000000-0005-0000-0000-0000C5650000}"/>
    <cellStyle name="40 % - Markeringsfarve3 3 3 3 2 3 3" xfId="23499" xr:uid="{00000000-0005-0000-0000-0000C6650000}"/>
    <cellStyle name="40 % - Markeringsfarve3 3 3 3 2 3 4" xfId="38486" xr:uid="{00000000-0005-0000-0000-0000C7650000}"/>
    <cellStyle name="40 % - Markeringsfarve3 3 3 3 2 4" xfId="12229" xr:uid="{00000000-0005-0000-0000-0000C8650000}"/>
    <cellStyle name="40 % - Markeringsfarve3 3 3 3 2 4 2" xfId="28549" xr:uid="{00000000-0005-0000-0000-0000C9650000}"/>
    <cellStyle name="40 % - Markeringsfarve3 3 3 3 2 4 3" xfId="43514" xr:uid="{00000000-0005-0000-0000-0000CA650000}"/>
    <cellStyle name="40 % - Markeringsfarve3 3 3 3 2 5" xfId="21527" xr:uid="{00000000-0005-0000-0000-0000CB650000}"/>
    <cellStyle name="40 % - Markeringsfarve3 3 3 3 2 6" xfId="36515" xr:uid="{00000000-0005-0000-0000-0000CC650000}"/>
    <cellStyle name="40 % - Markeringsfarve3 3 3 3 3" xfId="3671" xr:uid="{00000000-0005-0000-0000-0000CD650000}"/>
    <cellStyle name="40 % - Markeringsfarve3 3 3 3 3 2" xfId="6972" xr:uid="{00000000-0005-0000-0000-0000CE650000}"/>
    <cellStyle name="40 % - Markeringsfarve3 3 3 3 3 2 2" xfId="14884" xr:uid="{00000000-0005-0000-0000-0000CF650000}"/>
    <cellStyle name="40 % - Markeringsfarve3 3 3 3 3 2 2 2" xfId="31199" xr:uid="{00000000-0005-0000-0000-0000D0650000}"/>
    <cellStyle name="40 % - Markeringsfarve3 3 3 3 3 2 2 3" xfId="46163" xr:uid="{00000000-0005-0000-0000-0000D1650000}"/>
    <cellStyle name="40 % - Markeringsfarve3 3 3 3 3 2 3" xfId="24177" xr:uid="{00000000-0005-0000-0000-0000D2650000}"/>
    <cellStyle name="40 % - Markeringsfarve3 3 3 3 3 2 4" xfId="39164" xr:uid="{00000000-0005-0000-0000-0000D3650000}"/>
    <cellStyle name="40 % - Markeringsfarve3 3 3 3 3 3" xfId="12231" xr:uid="{00000000-0005-0000-0000-0000D4650000}"/>
    <cellStyle name="40 % - Markeringsfarve3 3 3 3 3 3 2" xfId="28551" xr:uid="{00000000-0005-0000-0000-0000D5650000}"/>
    <cellStyle name="40 % - Markeringsfarve3 3 3 3 3 3 3" xfId="43516" xr:uid="{00000000-0005-0000-0000-0000D6650000}"/>
    <cellStyle name="40 % - Markeringsfarve3 3 3 3 3 4" xfId="21529" xr:uid="{00000000-0005-0000-0000-0000D7650000}"/>
    <cellStyle name="40 % - Markeringsfarve3 3 3 3 3 5" xfId="36517" xr:uid="{00000000-0005-0000-0000-0000D8650000}"/>
    <cellStyle name="40 % - Markeringsfarve3 3 3 3 4" xfId="3672" xr:uid="{00000000-0005-0000-0000-0000D9650000}"/>
    <cellStyle name="40 % - Markeringsfarve3 3 3 3 4 2" xfId="8495" xr:uid="{00000000-0005-0000-0000-0000DA650000}"/>
    <cellStyle name="40 % - Markeringsfarve3 3 3 3 4 2 2" xfId="16384" xr:uid="{00000000-0005-0000-0000-0000DB650000}"/>
    <cellStyle name="40 % - Markeringsfarve3 3 3 3 4 2 2 2" xfId="32699" xr:uid="{00000000-0005-0000-0000-0000DC650000}"/>
    <cellStyle name="40 % - Markeringsfarve3 3 3 3 4 2 2 3" xfId="47663" xr:uid="{00000000-0005-0000-0000-0000DD650000}"/>
    <cellStyle name="40 % - Markeringsfarve3 3 3 3 4 2 3" xfId="25677" xr:uid="{00000000-0005-0000-0000-0000DE650000}"/>
    <cellStyle name="40 % - Markeringsfarve3 3 3 3 4 2 4" xfId="40664" xr:uid="{00000000-0005-0000-0000-0000DF650000}"/>
    <cellStyle name="40 % - Markeringsfarve3 3 3 3 4 3" xfId="12232" xr:uid="{00000000-0005-0000-0000-0000E0650000}"/>
    <cellStyle name="40 % - Markeringsfarve3 3 3 3 4 3 2" xfId="28552" xr:uid="{00000000-0005-0000-0000-0000E1650000}"/>
    <cellStyle name="40 % - Markeringsfarve3 3 3 3 4 3 3" xfId="43517" xr:uid="{00000000-0005-0000-0000-0000E2650000}"/>
    <cellStyle name="40 % - Markeringsfarve3 3 3 3 4 4" xfId="21530" xr:uid="{00000000-0005-0000-0000-0000E3650000}"/>
    <cellStyle name="40 % - Markeringsfarve3 3 3 3 4 5" xfId="36518" xr:uid="{00000000-0005-0000-0000-0000E4650000}"/>
    <cellStyle name="40 % - Markeringsfarve3 3 3 3 5" xfId="5826" xr:uid="{00000000-0005-0000-0000-0000E5650000}"/>
    <cellStyle name="40 % - Markeringsfarve3 3 3 3 5 2" xfId="13745" xr:uid="{00000000-0005-0000-0000-0000E6650000}"/>
    <cellStyle name="40 % - Markeringsfarve3 3 3 3 5 2 2" xfId="30060" xr:uid="{00000000-0005-0000-0000-0000E7650000}"/>
    <cellStyle name="40 % - Markeringsfarve3 3 3 3 5 2 3" xfId="45024" xr:uid="{00000000-0005-0000-0000-0000E8650000}"/>
    <cellStyle name="40 % - Markeringsfarve3 3 3 3 5 3" xfId="23038" xr:uid="{00000000-0005-0000-0000-0000E9650000}"/>
    <cellStyle name="40 % - Markeringsfarve3 3 3 3 5 4" xfId="38025" xr:uid="{00000000-0005-0000-0000-0000EA650000}"/>
    <cellStyle name="40 % - Markeringsfarve3 3 3 3 6" xfId="12228" xr:uid="{00000000-0005-0000-0000-0000EB650000}"/>
    <cellStyle name="40 % - Markeringsfarve3 3 3 3 6 2" xfId="28548" xr:uid="{00000000-0005-0000-0000-0000EC650000}"/>
    <cellStyle name="40 % - Markeringsfarve3 3 3 3 6 3" xfId="43513" xr:uid="{00000000-0005-0000-0000-0000ED650000}"/>
    <cellStyle name="40 % - Markeringsfarve3 3 3 3 7" xfId="21526" xr:uid="{00000000-0005-0000-0000-0000EE650000}"/>
    <cellStyle name="40 % - Markeringsfarve3 3 3 3 8" xfId="36514" xr:uid="{00000000-0005-0000-0000-0000EF650000}"/>
    <cellStyle name="40 % - Markeringsfarve3 3 3 4" xfId="3673" xr:uid="{00000000-0005-0000-0000-0000F0650000}"/>
    <cellStyle name="40 % - Markeringsfarve3 3 3 4 2" xfId="3674" xr:uid="{00000000-0005-0000-0000-0000F1650000}"/>
    <cellStyle name="40 % - Markeringsfarve3 3 3 4 2 2" xfId="3675" xr:uid="{00000000-0005-0000-0000-0000F2650000}"/>
    <cellStyle name="40 % - Markeringsfarve3 3 3 4 2 2 2" xfId="7882" xr:uid="{00000000-0005-0000-0000-0000F3650000}"/>
    <cellStyle name="40 % - Markeringsfarve3 3 3 4 2 2 2 2" xfId="15784" xr:uid="{00000000-0005-0000-0000-0000F4650000}"/>
    <cellStyle name="40 % - Markeringsfarve3 3 3 4 2 2 2 2 2" xfId="32099" xr:uid="{00000000-0005-0000-0000-0000F5650000}"/>
    <cellStyle name="40 % - Markeringsfarve3 3 3 4 2 2 2 2 3" xfId="47063" xr:uid="{00000000-0005-0000-0000-0000F6650000}"/>
    <cellStyle name="40 % - Markeringsfarve3 3 3 4 2 2 2 3" xfId="25077" xr:uid="{00000000-0005-0000-0000-0000F7650000}"/>
    <cellStyle name="40 % - Markeringsfarve3 3 3 4 2 2 2 4" xfId="40064" xr:uid="{00000000-0005-0000-0000-0000F8650000}"/>
    <cellStyle name="40 % - Markeringsfarve3 3 3 4 2 2 3" xfId="12235" xr:uid="{00000000-0005-0000-0000-0000F9650000}"/>
    <cellStyle name="40 % - Markeringsfarve3 3 3 4 2 2 3 2" xfId="28555" xr:uid="{00000000-0005-0000-0000-0000FA650000}"/>
    <cellStyle name="40 % - Markeringsfarve3 3 3 4 2 2 3 3" xfId="43520" xr:uid="{00000000-0005-0000-0000-0000FB650000}"/>
    <cellStyle name="40 % - Markeringsfarve3 3 3 4 2 2 4" xfId="21533" xr:uid="{00000000-0005-0000-0000-0000FC650000}"/>
    <cellStyle name="40 % - Markeringsfarve3 3 3 4 2 2 5" xfId="36521" xr:uid="{00000000-0005-0000-0000-0000FD650000}"/>
    <cellStyle name="40 % - Markeringsfarve3 3 3 4 2 3" xfId="6414" xr:uid="{00000000-0005-0000-0000-0000FE650000}"/>
    <cellStyle name="40 % - Markeringsfarve3 3 3 4 2 3 2" xfId="14329" xr:uid="{00000000-0005-0000-0000-0000FF650000}"/>
    <cellStyle name="40 % - Markeringsfarve3 3 3 4 2 3 2 2" xfId="30644" xr:uid="{00000000-0005-0000-0000-000000660000}"/>
    <cellStyle name="40 % - Markeringsfarve3 3 3 4 2 3 2 3" xfId="45608" xr:uid="{00000000-0005-0000-0000-000001660000}"/>
    <cellStyle name="40 % - Markeringsfarve3 3 3 4 2 3 3" xfId="23622" xr:uid="{00000000-0005-0000-0000-000002660000}"/>
    <cellStyle name="40 % - Markeringsfarve3 3 3 4 2 3 4" xfId="38609" xr:uid="{00000000-0005-0000-0000-000003660000}"/>
    <cellStyle name="40 % - Markeringsfarve3 3 3 4 2 4" xfId="12234" xr:uid="{00000000-0005-0000-0000-000004660000}"/>
    <cellStyle name="40 % - Markeringsfarve3 3 3 4 2 4 2" xfId="28554" xr:uid="{00000000-0005-0000-0000-000005660000}"/>
    <cellStyle name="40 % - Markeringsfarve3 3 3 4 2 4 3" xfId="43519" xr:uid="{00000000-0005-0000-0000-000006660000}"/>
    <cellStyle name="40 % - Markeringsfarve3 3 3 4 2 5" xfId="21532" xr:uid="{00000000-0005-0000-0000-000007660000}"/>
    <cellStyle name="40 % - Markeringsfarve3 3 3 4 2 6" xfId="36520" xr:uid="{00000000-0005-0000-0000-000008660000}"/>
    <cellStyle name="40 % - Markeringsfarve3 3 3 4 3" xfId="3676" xr:uid="{00000000-0005-0000-0000-000009660000}"/>
    <cellStyle name="40 % - Markeringsfarve3 3 3 4 3 2" xfId="7158" xr:uid="{00000000-0005-0000-0000-00000A660000}"/>
    <cellStyle name="40 % - Markeringsfarve3 3 3 4 3 2 2" xfId="15069" xr:uid="{00000000-0005-0000-0000-00000B660000}"/>
    <cellStyle name="40 % - Markeringsfarve3 3 3 4 3 2 2 2" xfId="31384" xr:uid="{00000000-0005-0000-0000-00000C660000}"/>
    <cellStyle name="40 % - Markeringsfarve3 3 3 4 3 2 2 3" xfId="46348" xr:uid="{00000000-0005-0000-0000-00000D660000}"/>
    <cellStyle name="40 % - Markeringsfarve3 3 3 4 3 2 3" xfId="24362" xr:uid="{00000000-0005-0000-0000-00000E660000}"/>
    <cellStyle name="40 % - Markeringsfarve3 3 3 4 3 2 4" xfId="39349" xr:uid="{00000000-0005-0000-0000-00000F660000}"/>
    <cellStyle name="40 % - Markeringsfarve3 3 3 4 3 3" xfId="12236" xr:uid="{00000000-0005-0000-0000-000010660000}"/>
    <cellStyle name="40 % - Markeringsfarve3 3 3 4 3 3 2" xfId="28556" xr:uid="{00000000-0005-0000-0000-000011660000}"/>
    <cellStyle name="40 % - Markeringsfarve3 3 3 4 3 3 3" xfId="43521" xr:uid="{00000000-0005-0000-0000-000012660000}"/>
    <cellStyle name="40 % - Markeringsfarve3 3 3 4 3 4" xfId="21534" xr:uid="{00000000-0005-0000-0000-000013660000}"/>
    <cellStyle name="40 % - Markeringsfarve3 3 3 4 3 5" xfId="36522" xr:uid="{00000000-0005-0000-0000-000014660000}"/>
    <cellStyle name="40 % - Markeringsfarve3 3 3 4 4" xfId="3677" xr:uid="{00000000-0005-0000-0000-000015660000}"/>
    <cellStyle name="40 % - Markeringsfarve3 3 3 4 4 2" xfId="8712" xr:uid="{00000000-0005-0000-0000-000016660000}"/>
    <cellStyle name="40 % - Markeringsfarve3 3 3 4 4 2 2" xfId="16589" xr:uid="{00000000-0005-0000-0000-000017660000}"/>
    <cellStyle name="40 % - Markeringsfarve3 3 3 4 4 2 2 2" xfId="32904" xr:uid="{00000000-0005-0000-0000-000018660000}"/>
    <cellStyle name="40 % - Markeringsfarve3 3 3 4 4 2 2 3" xfId="47868" xr:uid="{00000000-0005-0000-0000-000019660000}"/>
    <cellStyle name="40 % - Markeringsfarve3 3 3 4 4 2 3" xfId="25882" xr:uid="{00000000-0005-0000-0000-00001A660000}"/>
    <cellStyle name="40 % - Markeringsfarve3 3 3 4 4 2 4" xfId="40869" xr:uid="{00000000-0005-0000-0000-00001B660000}"/>
    <cellStyle name="40 % - Markeringsfarve3 3 3 4 4 3" xfId="12237" xr:uid="{00000000-0005-0000-0000-00001C660000}"/>
    <cellStyle name="40 % - Markeringsfarve3 3 3 4 4 3 2" xfId="28557" xr:uid="{00000000-0005-0000-0000-00001D660000}"/>
    <cellStyle name="40 % - Markeringsfarve3 3 3 4 4 3 3" xfId="43522" xr:uid="{00000000-0005-0000-0000-00001E660000}"/>
    <cellStyle name="40 % - Markeringsfarve3 3 3 4 4 4" xfId="21535" xr:uid="{00000000-0005-0000-0000-00001F660000}"/>
    <cellStyle name="40 % - Markeringsfarve3 3 3 4 4 5" xfId="36523" xr:uid="{00000000-0005-0000-0000-000020660000}"/>
    <cellStyle name="40 % - Markeringsfarve3 3 3 4 5" xfId="5827" xr:uid="{00000000-0005-0000-0000-000021660000}"/>
    <cellStyle name="40 % - Markeringsfarve3 3 3 4 5 2" xfId="13746" xr:uid="{00000000-0005-0000-0000-000022660000}"/>
    <cellStyle name="40 % - Markeringsfarve3 3 3 4 5 2 2" xfId="30061" xr:uid="{00000000-0005-0000-0000-000023660000}"/>
    <cellStyle name="40 % - Markeringsfarve3 3 3 4 5 2 3" xfId="45025" xr:uid="{00000000-0005-0000-0000-000024660000}"/>
    <cellStyle name="40 % - Markeringsfarve3 3 3 4 5 3" xfId="23039" xr:uid="{00000000-0005-0000-0000-000025660000}"/>
    <cellStyle name="40 % - Markeringsfarve3 3 3 4 5 4" xfId="38026" xr:uid="{00000000-0005-0000-0000-000026660000}"/>
    <cellStyle name="40 % - Markeringsfarve3 3 3 4 6" xfId="12233" xr:uid="{00000000-0005-0000-0000-000027660000}"/>
    <cellStyle name="40 % - Markeringsfarve3 3 3 4 6 2" xfId="28553" xr:uid="{00000000-0005-0000-0000-000028660000}"/>
    <cellStyle name="40 % - Markeringsfarve3 3 3 4 6 3" xfId="43518" xr:uid="{00000000-0005-0000-0000-000029660000}"/>
    <cellStyle name="40 % - Markeringsfarve3 3 3 4 7" xfId="21531" xr:uid="{00000000-0005-0000-0000-00002A660000}"/>
    <cellStyle name="40 % - Markeringsfarve3 3 3 4 8" xfId="36519" xr:uid="{00000000-0005-0000-0000-00002B660000}"/>
    <cellStyle name="40 % - Markeringsfarve3 3 3 5" xfId="3678" xr:uid="{00000000-0005-0000-0000-00002C660000}"/>
    <cellStyle name="40 % - Markeringsfarve3 3 3 5 2" xfId="3679" xr:uid="{00000000-0005-0000-0000-00002D660000}"/>
    <cellStyle name="40 % - Markeringsfarve3 3 3 5 2 2" xfId="3680" xr:uid="{00000000-0005-0000-0000-00002E660000}"/>
    <cellStyle name="40 % - Markeringsfarve3 3 3 5 2 2 2" xfId="7999" xr:uid="{00000000-0005-0000-0000-00002F660000}"/>
    <cellStyle name="40 % - Markeringsfarve3 3 3 5 2 2 2 2" xfId="15901" xr:uid="{00000000-0005-0000-0000-000030660000}"/>
    <cellStyle name="40 % - Markeringsfarve3 3 3 5 2 2 2 2 2" xfId="32216" xr:uid="{00000000-0005-0000-0000-000031660000}"/>
    <cellStyle name="40 % - Markeringsfarve3 3 3 5 2 2 2 2 3" xfId="47180" xr:uid="{00000000-0005-0000-0000-000032660000}"/>
    <cellStyle name="40 % - Markeringsfarve3 3 3 5 2 2 2 3" xfId="25194" xr:uid="{00000000-0005-0000-0000-000033660000}"/>
    <cellStyle name="40 % - Markeringsfarve3 3 3 5 2 2 2 4" xfId="40181" xr:uid="{00000000-0005-0000-0000-000034660000}"/>
    <cellStyle name="40 % - Markeringsfarve3 3 3 5 2 2 3" xfId="12240" xr:uid="{00000000-0005-0000-0000-000035660000}"/>
    <cellStyle name="40 % - Markeringsfarve3 3 3 5 2 2 3 2" xfId="28560" xr:uid="{00000000-0005-0000-0000-000036660000}"/>
    <cellStyle name="40 % - Markeringsfarve3 3 3 5 2 2 3 3" xfId="43525" xr:uid="{00000000-0005-0000-0000-000037660000}"/>
    <cellStyle name="40 % - Markeringsfarve3 3 3 5 2 2 4" xfId="21538" xr:uid="{00000000-0005-0000-0000-000038660000}"/>
    <cellStyle name="40 % - Markeringsfarve3 3 3 5 2 2 5" xfId="36526" xr:uid="{00000000-0005-0000-0000-000039660000}"/>
    <cellStyle name="40 % - Markeringsfarve3 3 3 5 2 3" xfId="6513" xr:uid="{00000000-0005-0000-0000-00003A660000}"/>
    <cellStyle name="40 % - Markeringsfarve3 3 3 5 2 3 2" xfId="14428" xr:uid="{00000000-0005-0000-0000-00003B660000}"/>
    <cellStyle name="40 % - Markeringsfarve3 3 3 5 2 3 2 2" xfId="30743" xr:uid="{00000000-0005-0000-0000-00003C660000}"/>
    <cellStyle name="40 % - Markeringsfarve3 3 3 5 2 3 2 3" xfId="45707" xr:uid="{00000000-0005-0000-0000-00003D660000}"/>
    <cellStyle name="40 % - Markeringsfarve3 3 3 5 2 3 3" xfId="23721" xr:uid="{00000000-0005-0000-0000-00003E660000}"/>
    <cellStyle name="40 % - Markeringsfarve3 3 3 5 2 3 4" xfId="38708" xr:uid="{00000000-0005-0000-0000-00003F660000}"/>
    <cellStyle name="40 % - Markeringsfarve3 3 3 5 2 4" xfId="12239" xr:uid="{00000000-0005-0000-0000-000040660000}"/>
    <cellStyle name="40 % - Markeringsfarve3 3 3 5 2 4 2" xfId="28559" xr:uid="{00000000-0005-0000-0000-000041660000}"/>
    <cellStyle name="40 % - Markeringsfarve3 3 3 5 2 4 3" xfId="43524" xr:uid="{00000000-0005-0000-0000-000042660000}"/>
    <cellStyle name="40 % - Markeringsfarve3 3 3 5 2 5" xfId="21537" xr:uid="{00000000-0005-0000-0000-000043660000}"/>
    <cellStyle name="40 % - Markeringsfarve3 3 3 5 2 6" xfId="36525" xr:uid="{00000000-0005-0000-0000-000044660000}"/>
    <cellStyle name="40 % - Markeringsfarve3 3 3 5 3" xfId="3681" xr:uid="{00000000-0005-0000-0000-000045660000}"/>
    <cellStyle name="40 % - Markeringsfarve3 3 3 5 3 2" xfId="7275" xr:uid="{00000000-0005-0000-0000-000046660000}"/>
    <cellStyle name="40 % - Markeringsfarve3 3 3 5 3 2 2" xfId="15186" xr:uid="{00000000-0005-0000-0000-000047660000}"/>
    <cellStyle name="40 % - Markeringsfarve3 3 3 5 3 2 2 2" xfId="31501" xr:uid="{00000000-0005-0000-0000-000048660000}"/>
    <cellStyle name="40 % - Markeringsfarve3 3 3 5 3 2 2 3" xfId="46465" xr:uid="{00000000-0005-0000-0000-000049660000}"/>
    <cellStyle name="40 % - Markeringsfarve3 3 3 5 3 2 3" xfId="24479" xr:uid="{00000000-0005-0000-0000-00004A660000}"/>
    <cellStyle name="40 % - Markeringsfarve3 3 3 5 3 2 4" xfId="39466" xr:uid="{00000000-0005-0000-0000-00004B660000}"/>
    <cellStyle name="40 % - Markeringsfarve3 3 3 5 3 3" xfId="12241" xr:uid="{00000000-0005-0000-0000-00004C660000}"/>
    <cellStyle name="40 % - Markeringsfarve3 3 3 5 3 3 2" xfId="28561" xr:uid="{00000000-0005-0000-0000-00004D660000}"/>
    <cellStyle name="40 % - Markeringsfarve3 3 3 5 3 3 3" xfId="43526" xr:uid="{00000000-0005-0000-0000-00004E660000}"/>
    <cellStyle name="40 % - Markeringsfarve3 3 3 5 3 4" xfId="21539" xr:uid="{00000000-0005-0000-0000-00004F660000}"/>
    <cellStyle name="40 % - Markeringsfarve3 3 3 5 3 5" xfId="36527" xr:uid="{00000000-0005-0000-0000-000050660000}"/>
    <cellStyle name="40 % - Markeringsfarve3 3 3 5 4" xfId="3682" xr:uid="{00000000-0005-0000-0000-000051660000}"/>
    <cellStyle name="40 % - Markeringsfarve3 3 3 5 4 2" xfId="8432" xr:uid="{00000000-0005-0000-0000-000052660000}"/>
    <cellStyle name="40 % - Markeringsfarve3 3 3 5 4 2 2" xfId="16322" xr:uid="{00000000-0005-0000-0000-000053660000}"/>
    <cellStyle name="40 % - Markeringsfarve3 3 3 5 4 2 2 2" xfId="32637" xr:uid="{00000000-0005-0000-0000-000054660000}"/>
    <cellStyle name="40 % - Markeringsfarve3 3 3 5 4 2 2 3" xfId="47601" xr:uid="{00000000-0005-0000-0000-000055660000}"/>
    <cellStyle name="40 % - Markeringsfarve3 3 3 5 4 2 3" xfId="25615" xr:uid="{00000000-0005-0000-0000-000056660000}"/>
    <cellStyle name="40 % - Markeringsfarve3 3 3 5 4 2 4" xfId="40602" xr:uid="{00000000-0005-0000-0000-000057660000}"/>
    <cellStyle name="40 % - Markeringsfarve3 3 3 5 4 3" xfId="12242" xr:uid="{00000000-0005-0000-0000-000058660000}"/>
    <cellStyle name="40 % - Markeringsfarve3 3 3 5 4 3 2" xfId="28562" xr:uid="{00000000-0005-0000-0000-000059660000}"/>
    <cellStyle name="40 % - Markeringsfarve3 3 3 5 4 3 3" xfId="43527" xr:uid="{00000000-0005-0000-0000-00005A660000}"/>
    <cellStyle name="40 % - Markeringsfarve3 3 3 5 4 4" xfId="21540" xr:uid="{00000000-0005-0000-0000-00005B660000}"/>
    <cellStyle name="40 % - Markeringsfarve3 3 3 5 4 5" xfId="36528" xr:uid="{00000000-0005-0000-0000-00005C660000}"/>
    <cellStyle name="40 % - Markeringsfarve3 3 3 5 5" xfId="5828" xr:uid="{00000000-0005-0000-0000-00005D660000}"/>
    <cellStyle name="40 % - Markeringsfarve3 3 3 5 5 2" xfId="13747" xr:uid="{00000000-0005-0000-0000-00005E660000}"/>
    <cellStyle name="40 % - Markeringsfarve3 3 3 5 5 2 2" xfId="30062" xr:uid="{00000000-0005-0000-0000-00005F660000}"/>
    <cellStyle name="40 % - Markeringsfarve3 3 3 5 5 2 3" xfId="45026" xr:uid="{00000000-0005-0000-0000-000060660000}"/>
    <cellStyle name="40 % - Markeringsfarve3 3 3 5 5 3" xfId="23040" xr:uid="{00000000-0005-0000-0000-000061660000}"/>
    <cellStyle name="40 % - Markeringsfarve3 3 3 5 5 4" xfId="38027" xr:uid="{00000000-0005-0000-0000-000062660000}"/>
    <cellStyle name="40 % - Markeringsfarve3 3 3 5 6" xfId="12238" xr:uid="{00000000-0005-0000-0000-000063660000}"/>
    <cellStyle name="40 % - Markeringsfarve3 3 3 5 6 2" xfId="28558" xr:uid="{00000000-0005-0000-0000-000064660000}"/>
    <cellStyle name="40 % - Markeringsfarve3 3 3 5 6 3" xfId="43523" xr:uid="{00000000-0005-0000-0000-000065660000}"/>
    <cellStyle name="40 % - Markeringsfarve3 3 3 5 7" xfId="21536" xr:uid="{00000000-0005-0000-0000-000066660000}"/>
    <cellStyle name="40 % - Markeringsfarve3 3 3 5 8" xfId="36524" xr:uid="{00000000-0005-0000-0000-000067660000}"/>
    <cellStyle name="40 % - Markeringsfarve3 3 3 6" xfId="3683" xr:uid="{00000000-0005-0000-0000-000068660000}"/>
    <cellStyle name="40 % - Markeringsfarve3 3 3 6 2" xfId="3684" xr:uid="{00000000-0005-0000-0000-000069660000}"/>
    <cellStyle name="40 % - Markeringsfarve3 3 3 6 2 2" xfId="3685" xr:uid="{00000000-0005-0000-0000-00006A660000}"/>
    <cellStyle name="40 % - Markeringsfarve3 3 3 6 2 2 2" xfId="8097" xr:uid="{00000000-0005-0000-0000-00006B660000}"/>
    <cellStyle name="40 % - Markeringsfarve3 3 3 6 2 2 2 2" xfId="15999" xr:uid="{00000000-0005-0000-0000-00006C660000}"/>
    <cellStyle name="40 % - Markeringsfarve3 3 3 6 2 2 2 2 2" xfId="32314" xr:uid="{00000000-0005-0000-0000-00006D660000}"/>
    <cellStyle name="40 % - Markeringsfarve3 3 3 6 2 2 2 2 3" xfId="47278" xr:uid="{00000000-0005-0000-0000-00006E660000}"/>
    <cellStyle name="40 % - Markeringsfarve3 3 3 6 2 2 2 3" xfId="25292" xr:uid="{00000000-0005-0000-0000-00006F660000}"/>
    <cellStyle name="40 % - Markeringsfarve3 3 3 6 2 2 2 4" xfId="40279" xr:uid="{00000000-0005-0000-0000-000070660000}"/>
    <cellStyle name="40 % - Markeringsfarve3 3 3 6 2 2 3" xfId="12245" xr:uid="{00000000-0005-0000-0000-000071660000}"/>
    <cellStyle name="40 % - Markeringsfarve3 3 3 6 2 2 3 2" xfId="28565" xr:uid="{00000000-0005-0000-0000-000072660000}"/>
    <cellStyle name="40 % - Markeringsfarve3 3 3 6 2 2 3 3" xfId="43530" xr:uid="{00000000-0005-0000-0000-000073660000}"/>
    <cellStyle name="40 % - Markeringsfarve3 3 3 6 2 2 4" xfId="21543" xr:uid="{00000000-0005-0000-0000-000074660000}"/>
    <cellStyle name="40 % - Markeringsfarve3 3 3 6 2 2 5" xfId="36531" xr:uid="{00000000-0005-0000-0000-000075660000}"/>
    <cellStyle name="40 % - Markeringsfarve3 3 3 6 2 3" xfId="6590" xr:uid="{00000000-0005-0000-0000-000076660000}"/>
    <cellStyle name="40 % - Markeringsfarve3 3 3 6 2 3 2" xfId="14505" xr:uid="{00000000-0005-0000-0000-000077660000}"/>
    <cellStyle name="40 % - Markeringsfarve3 3 3 6 2 3 2 2" xfId="30820" xr:uid="{00000000-0005-0000-0000-000078660000}"/>
    <cellStyle name="40 % - Markeringsfarve3 3 3 6 2 3 2 3" xfId="45784" xr:uid="{00000000-0005-0000-0000-000079660000}"/>
    <cellStyle name="40 % - Markeringsfarve3 3 3 6 2 3 3" xfId="23798" xr:uid="{00000000-0005-0000-0000-00007A660000}"/>
    <cellStyle name="40 % - Markeringsfarve3 3 3 6 2 3 4" xfId="38785" xr:uid="{00000000-0005-0000-0000-00007B660000}"/>
    <cellStyle name="40 % - Markeringsfarve3 3 3 6 2 4" xfId="12244" xr:uid="{00000000-0005-0000-0000-00007C660000}"/>
    <cellStyle name="40 % - Markeringsfarve3 3 3 6 2 4 2" xfId="28564" xr:uid="{00000000-0005-0000-0000-00007D660000}"/>
    <cellStyle name="40 % - Markeringsfarve3 3 3 6 2 4 3" xfId="43529" xr:uid="{00000000-0005-0000-0000-00007E660000}"/>
    <cellStyle name="40 % - Markeringsfarve3 3 3 6 2 5" xfId="21542" xr:uid="{00000000-0005-0000-0000-00007F660000}"/>
    <cellStyle name="40 % - Markeringsfarve3 3 3 6 2 6" xfId="36530" xr:uid="{00000000-0005-0000-0000-000080660000}"/>
    <cellStyle name="40 % - Markeringsfarve3 3 3 6 3" xfId="3686" xr:uid="{00000000-0005-0000-0000-000081660000}"/>
    <cellStyle name="40 % - Markeringsfarve3 3 3 6 3 2" xfId="7374" xr:uid="{00000000-0005-0000-0000-000082660000}"/>
    <cellStyle name="40 % - Markeringsfarve3 3 3 6 3 2 2" xfId="15285" xr:uid="{00000000-0005-0000-0000-000083660000}"/>
    <cellStyle name="40 % - Markeringsfarve3 3 3 6 3 2 2 2" xfId="31600" xr:uid="{00000000-0005-0000-0000-000084660000}"/>
    <cellStyle name="40 % - Markeringsfarve3 3 3 6 3 2 2 3" xfId="46564" xr:uid="{00000000-0005-0000-0000-000085660000}"/>
    <cellStyle name="40 % - Markeringsfarve3 3 3 6 3 2 3" xfId="24578" xr:uid="{00000000-0005-0000-0000-000086660000}"/>
    <cellStyle name="40 % - Markeringsfarve3 3 3 6 3 2 4" xfId="39565" xr:uid="{00000000-0005-0000-0000-000087660000}"/>
    <cellStyle name="40 % - Markeringsfarve3 3 3 6 3 3" xfId="12246" xr:uid="{00000000-0005-0000-0000-000088660000}"/>
    <cellStyle name="40 % - Markeringsfarve3 3 3 6 3 3 2" xfId="28566" xr:uid="{00000000-0005-0000-0000-000089660000}"/>
    <cellStyle name="40 % - Markeringsfarve3 3 3 6 3 3 3" xfId="43531" xr:uid="{00000000-0005-0000-0000-00008A660000}"/>
    <cellStyle name="40 % - Markeringsfarve3 3 3 6 3 4" xfId="21544" xr:uid="{00000000-0005-0000-0000-00008B660000}"/>
    <cellStyle name="40 % - Markeringsfarve3 3 3 6 3 5" xfId="36532" xr:uid="{00000000-0005-0000-0000-00008C660000}"/>
    <cellStyle name="40 % - Markeringsfarve3 3 3 6 4" xfId="3687" xr:uid="{00000000-0005-0000-0000-00008D660000}"/>
    <cellStyle name="40 % - Markeringsfarve3 3 3 6 4 2" xfId="8668" xr:uid="{00000000-0005-0000-0000-00008E660000}"/>
    <cellStyle name="40 % - Markeringsfarve3 3 3 6 4 2 2" xfId="16549" xr:uid="{00000000-0005-0000-0000-00008F660000}"/>
    <cellStyle name="40 % - Markeringsfarve3 3 3 6 4 2 2 2" xfId="32864" xr:uid="{00000000-0005-0000-0000-000090660000}"/>
    <cellStyle name="40 % - Markeringsfarve3 3 3 6 4 2 2 3" xfId="47828" xr:uid="{00000000-0005-0000-0000-000091660000}"/>
    <cellStyle name="40 % - Markeringsfarve3 3 3 6 4 2 3" xfId="25842" xr:uid="{00000000-0005-0000-0000-000092660000}"/>
    <cellStyle name="40 % - Markeringsfarve3 3 3 6 4 2 4" xfId="40829" xr:uid="{00000000-0005-0000-0000-000093660000}"/>
    <cellStyle name="40 % - Markeringsfarve3 3 3 6 4 3" xfId="12247" xr:uid="{00000000-0005-0000-0000-000094660000}"/>
    <cellStyle name="40 % - Markeringsfarve3 3 3 6 4 3 2" xfId="28567" xr:uid="{00000000-0005-0000-0000-000095660000}"/>
    <cellStyle name="40 % - Markeringsfarve3 3 3 6 4 3 3" xfId="43532" xr:uid="{00000000-0005-0000-0000-000096660000}"/>
    <cellStyle name="40 % - Markeringsfarve3 3 3 6 4 4" xfId="21545" xr:uid="{00000000-0005-0000-0000-000097660000}"/>
    <cellStyle name="40 % - Markeringsfarve3 3 3 6 4 5" xfId="36533" xr:uid="{00000000-0005-0000-0000-000098660000}"/>
    <cellStyle name="40 % - Markeringsfarve3 3 3 6 5" xfId="5829" xr:uid="{00000000-0005-0000-0000-000099660000}"/>
    <cellStyle name="40 % - Markeringsfarve3 3 3 6 5 2" xfId="13748" xr:uid="{00000000-0005-0000-0000-00009A660000}"/>
    <cellStyle name="40 % - Markeringsfarve3 3 3 6 5 2 2" xfId="30063" xr:uid="{00000000-0005-0000-0000-00009B660000}"/>
    <cellStyle name="40 % - Markeringsfarve3 3 3 6 5 2 3" xfId="45027" xr:uid="{00000000-0005-0000-0000-00009C660000}"/>
    <cellStyle name="40 % - Markeringsfarve3 3 3 6 5 3" xfId="23041" xr:uid="{00000000-0005-0000-0000-00009D660000}"/>
    <cellStyle name="40 % - Markeringsfarve3 3 3 6 5 4" xfId="38028" xr:uid="{00000000-0005-0000-0000-00009E660000}"/>
    <cellStyle name="40 % - Markeringsfarve3 3 3 6 6" xfId="12243" xr:uid="{00000000-0005-0000-0000-00009F660000}"/>
    <cellStyle name="40 % - Markeringsfarve3 3 3 6 6 2" xfId="28563" xr:uid="{00000000-0005-0000-0000-0000A0660000}"/>
    <cellStyle name="40 % - Markeringsfarve3 3 3 6 6 3" xfId="43528" xr:uid="{00000000-0005-0000-0000-0000A1660000}"/>
    <cellStyle name="40 % - Markeringsfarve3 3 3 6 7" xfId="21541" xr:uid="{00000000-0005-0000-0000-0000A2660000}"/>
    <cellStyle name="40 % - Markeringsfarve3 3 3 6 8" xfId="36529" xr:uid="{00000000-0005-0000-0000-0000A3660000}"/>
    <cellStyle name="40 % - Markeringsfarve3 3 3 7" xfId="3688" xr:uid="{00000000-0005-0000-0000-0000A4660000}"/>
    <cellStyle name="40 % - Markeringsfarve3 3 3 7 2" xfId="3689" xr:uid="{00000000-0005-0000-0000-0000A5660000}"/>
    <cellStyle name="40 % - Markeringsfarve3 3 3 7 2 2" xfId="7525" xr:uid="{00000000-0005-0000-0000-0000A6660000}"/>
    <cellStyle name="40 % - Markeringsfarve3 3 3 7 2 2 2" xfId="15427" xr:uid="{00000000-0005-0000-0000-0000A7660000}"/>
    <cellStyle name="40 % - Markeringsfarve3 3 3 7 2 2 2 2" xfId="31742" xr:uid="{00000000-0005-0000-0000-0000A8660000}"/>
    <cellStyle name="40 % - Markeringsfarve3 3 3 7 2 2 2 3" xfId="46706" xr:uid="{00000000-0005-0000-0000-0000A9660000}"/>
    <cellStyle name="40 % - Markeringsfarve3 3 3 7 2 2 3" xfId="24720" xr:uid="{00000000-0005-0000-0000-0000AA660000}"/>
    <cellStyle name="40 % - Markeringsfarve3 3 3 7 2 2 4" xfId="39707" xr:uid="{00000000-0005-0000-0000-0000AB660000}"/>
    <cellStyle name="40 % - Markeringsfarve3 3 3 7 2 3" xfId="12249" xr:uid="{00000000-0005-0000-0000-0000AC660000}"/>
    <cellStyle name="40 % - Markeringsfarve3 3 3 7 2 3 2" xfId="28569" xr:uid="{00000000-0005-0000-0000-0000AD660000}"/>
    <cellStyle name="40 % - Markeringsfarve3 3 3 7 2 3 3" xfId="43534" xr:uid="{00000000-0005-0000-0000-0000AE660000}"/>
    <cellStyle name="40 % - Markeringsfarve3 3 3 7 2 4" xfId="21547" xr:uid="{00000000-0005-0000-0000-0000AF660000}"/>
    <cellStyle name="40 % - Markeringsfarve3 3 3 7 2 5" xfId="36535" xr:uid="{00000000-0005-0000-0000-0000B0660000}"/>
    <cellStyle name="40 % - Markeringsfarve3 3 3 7 3" xfId="6113" xr:uid="{00000000-0005-0000-0000-0000B1660000}"/>
    <cellStyle name="40 % - Markeringsfarve3 3 3 7 3 2" xfId="14031" xr:uid="{00000000-0005-0000-0000-0000B2660000}"/>
    <cellStyle name="40 % - Markeringsfarve3 3 3 7 3 2 2" xfId="30346" xr:uid="{00000000-0005-0000-0000-0000B3660000}"/>
    <cellStyle name="40 % - Markeringsfarve3 3 3 7 3 2 3" xfId="45310" xr:uid="{00000000-0005-0000-0000-0000B4660000}"/>
    <cellStyle name="40 % - Markeringsfarve3 3 3 7 3 3" xfId="23324" xr:uid="{00000000-0005-0000-0000-0000B5660000}"/>
    <cellStyle name="40 % - Markeringsfarve3 3 3 7 3 4" xfId="38311" xr:uid="{00000000-0005-0000-0000-0000B6660000}"/>
    <cellStyle name="40 % - Markeringsfarve3 3 3 7 4" xfId="12248" xr:uid="{00000000-0005-0000-0000-0000B7660000}"/>
    <cellStyle name="40 % - Markeringsfarve3 3 3 7 4 2" xfId="28568" xr:uid="{00000000-0005-0000-0000-0000B8660000}"/>
    <cellStyle name="40 % - Markeringsfarve3 3 3 7 4 3" xfId="43533" xr:uid="{00000000-0005-0000-0000-0000B9660000}"/>
    <cellStyle name="40 % - Markeringsfarve3 3 3 7 5" xfId="21546" xr:uid="{00000000-0005-0000-0000-0000BA660000}"/>
    <cellStyle name="40 % - Markeringsfarve3 3 3 7 6" xfId="36534" xr:uid="{00000000-0005-0000-0000-0000BB660000}"/>
    <cellStyle name="40 % - Markeringsfarve3 3 3 8" xfId="3690" xr:uid="{00000000-0005-0000-0000-0000BC660000}"/>
    <cellStyle name="40 % - Markeringsfarve3 3 3 8 2" xfId="6753" xr:uid="{00000000-0005-0000-0000-0000BD660000}"/>
    <cellStyle name="40 % - Markeringsfarve3 3 3 8 2 2" xfId="14665" xr:uid="{00000000-0005-0000-0000-0000BE660000}"/>
    <cellStyle name="40 % - Markeringsfarve3 3 3 8 2 2 2" xfId="30980" xr:uid="{00000000-0005-0000-0000-0000BF660000}"/>
    <cellStyle name="40 % - Markeringsfarve3 3 3 8 2 2 3" xfId="45944" xr:uid="{00000000-0005-0000-0000-0000C0660000}"/>
    <cellStyle name="40 % - Markeringsfarve3 3 3 8 2 3" xfId="23958" xr:uid="{00000000-0005-0000-0000-0000C1660000}"/>
    <cellStyle name="40 % - Markeringsfarve3 3 3 8 2 4" xfId="38945" xr:uid="{00000000-0005-0000-0000-0000C2660000}"/>
    <cellStyle name="40 % - Markeringsfarve3 3 3 8 3" xfId="12250" xr:uid="{00000000-0005-0000-0000-0000C3660000}"/>
    <cellStyle name="40 % - Markeringsfarve3 3 3 8 3 2" xfId="28570" xr:uid="{00000000-0005-0000-0000-0000C4660000}"/>
    <cellStyle name="40 % - Markeringsfarve3 3 3 8 3 3" xfId="43535" xr:uid="{00000000-0005-0000-0000-0000C5660000}"/>
    <cellStyle name="40 % - Markeringsfarve3 3 3 8 4" xfId="21548" xr:uid="{00000000-0005-0000-0000-0000C6660000}"/>
    <cellStyle name="40 % - Markeringsfarve3 3 3 8 5" xfId="36536" xr:uid="{00000000-0005-0000-0000-0000C7660000}"/>
    <cellStyle name="40 % - Markeringsfarve3 3 3 9" xfId="3691" xr:uid="{00000000-0005-0000-0000-0000C8660000}"/>
    <cellStyle name="40 % - Markeringsfarve3 3 3 9 2" xfId="8201" xr:uid="{00000000-0005-0000-0000-0000C9660000}"/>
    <cellStyle name="40 % - Markeringsfarve3 3 3 9 2 2" xfId="16098" xr:uid="{00000000-0005-0000-0000-0000CA660000}"/>
    <cellStyle name="40 % - Markeringsfarve3 3 3 9 2 2 2" xfId="32413" xr:uid="{00000000-0005-0000-0000-0000CB660000}"/>
    <cellStyle name="40 % - Markeringsfarve3 3 3 9 2 2 3" xfId="47377" xr:uid="{00000000-0005-0000-0000-0000CC660000}"/>
    <cellStyle name="40 % - Markeringsfarve3 3 3 9 2 3" xfId="25391" xr:uid="{00000000-0005-0000-0000-0000CD660000}"/>
    <cellStyle name="40 % - Markeringsfarve3 3 3 9 2 4" xfId="40378" xr:uid="{00000000-0005-0000-0000-0000CE660000}"/>
    <cellStyle name="40 % - Markeringsfarve3 3 3 9 3" xfId="12251" xr:uid="{00000000-0005-0000-0000-0000CF660000}"/>
    <cellStyle name="40 % - Markeringsfarve3 3 3 9 3 2" xfId="28571" xr:uid="{00000000-0005-0000-0000-0000D0660000}"/>
    <cellStyle name="40 % - Markeringsfarve3 3 3 9 3 3" xfId="43536" xr:uid="{00000000-0005-0000-0000-0000D1660000}"/>
    <cellStyle name="40 % - Markeringsfarve3 3 3 9 4" xfId="21549" xr:uid="{00000000-0005-0000-0000-0000D2660000}"/>
    <cellStyle name="40 % - Markeringsfarve3 3 3 9 5" xfId="36537" xr:uid="{00000000-0005-0000-0000-0000D3660000}"/>
    <cellStyle name="40 % - Markeringsfarve3 3 4" xfId="3692" xr:uid="{00000000-0005-0000-0000-0000D4660000}"/>
    <cellStyle name="40 % - Markeringsfarve3 3 4 2" xfId="3693" xr:uid="{00000000-0005-0000-0000-0000D5660000}"/>
    <cellStyle name="40 % - Markeringsfarve3 3 4 2 2" xfId="3694" xr:uid="{00000000-0005-0000-0000-0000D6660000}"/>
    <cellStyle name="40 % - Markeringsfarve3 3 4 2 2 2" xfId="7566" xr:uid="{00000000-0005-0000-0000-0000D7660000}"/>
    <cellStyle name="40 % - Markeringsfarve3 3 4 2 2 2 2" xfId="15468" xr:uid="{00000000-0005-0000-0000-0000D8660000}"/>
    <cellStyle name="40 % - Markeringsfarve3 3 4 2 2 2 2 2" xfId="31783" xr:uid="{00000000-0005-0000-0000-0000D9660000}"/>
    <cellStyle name="40 % - Markeringsfarve3 3 4 2 2 2 2 3" xfId="46747" xr:uid="{00000000-0005-0000-0000-0000DA660000}"/>
    <cellStyle name="40 % - Markeringsfarve3 3 4 2 2 2 3" xfId="24761" xr:uid="{00000000-0005-0000-0000-0000DB660000}"/>
    <cellStyle name="40 % - Markeringsfarve3 3 4 2 2 2 4" xfId="39748" xr:uid="{00000000-0005-0000-0000-0000DC660000}"/>
    <cellStyle name="40 % - Markeringsfarve3 3 4 2 2 3" xfId="12254" xr:uid="{00000000-0005-0000-0000-0000DD660000}"/>
    <cellStyle name="40 % - Markeringsfarve3 3 4 2 2 3 2" xfId="28574" xr:uid="{00000000-0005-0000-0000-0000DE660000}"/>
    <cellStyle name="40 % - Markeringsfarve3 3 4 2 2 3 3" xfId="43539" xr:uid="{00000000-0005-0000-0000-0000DF660000}"/>
    <cellStyle name="40 % - Markeringsfarve3 3 4 2 2 4" xfId="21552" xr:uid="{00000000-0005-0000-0000-0000E0660000}"/>
    <cellStyle name="40 % - Markeringsfarve3 3 4 2 2 5" xfId="36540" xr:uid="{00000000-0005-0000-0000-0000E1660000}"/>
    <cellStyle name="40 % - Markeringsfarve3 3 4 2 3" xfId="6146" xr:uid="{00000000-0005-0000-0000-0000E2660000}"/>
    <cellStyle name="40 % - Markeringsfarve3 3 4 2 3 2" xfId="14064" xr:uid="{00000000-0005-0000-0000-0000E3660000}"/>
    <cellStyle name="40 % - Markeringsfarve3 3 4 2 3 2 2" xfId="30379" xr:uid="{00000000-0005-0000-0000-0000E4660000}"/>
    <cellStyle name="40 % - Markeringsfarve3 3 4 2 3 2 3" xfId="45343" xr:uid="{00000000-0005-0000-0000-0000E5660000}"/>
    <cellStyle name="40 % - Markeringsfarve3 3 4 2 3 3" xfId="23357" xr:uid="{00000000-0005-0000-0000-0000E6660000}"/>
    <cellStyle name="40 % - Markeringsfarve3 3 4 2 3 4" xfId="38344" xr:uid="{00000000-0005-0000-0000-0000E7660000}"/>
    <cellStyle name="40 % - Markeringsfarve3 3 4 2 4" xfId="12253" xr:uid="{00000000-0005-0000-0000-0000E8660000}"/>
    <cellStyle name="40 % - Markeringsfarve3 3 4 2 4 2" xfId="28573" xr:uid="{00000000-0005-0000-0000-0000E9660000}"/>
    <cellStyle name="40 % - Markeringsfarve3 3 4 2 4 3" xfId="43538" xr:uid="{00000000-0005-0000-0000-0000EA660000}"/>
    <cellStyle name="40 % - Markeringsfarve3 3 4 2 5" xfId="21551" xr:uid="{00000000-0005-0000-0000-0000EB660000}"/>
    <cellStyle name="40 % - Markeringsfarve3 3 4 2 6" xfId="36539" xr:uid="{00000000-0005-0000-0000-0000EC660000}"/>
    <cellStyle name="40 % - Markeringsfarve3 3 4 3" xfId="3695" xr:uid="{00000000-0005-0000-0000-0000ED660000}"/>
    <cellStyle name="40 % - Markeringsfarve3 3 4 3 2" xfId="6796" xr:uid="{00000000-0005-0000-0000-0000EE660000}"/>
    <cellStyle name="40 % - Markeringsfarve3 3 4 3 2 2" xfId="14708" xr:uid="{00000000-0005-0000-0000-0000EF660000}"/>
    <cellStyle name="40 % - Markeringsfarve3 3 4 3 2 2 2" xfId="31023" xr:uid="{00000000-0005-0000-0000-0000F0660000}"/>
    <cellStyle name="40 % - Markeringsfarve3 3 4 3 2 2 3" xfId="45987" xr:uid="{00000000-0005-0000-0000-0000F1660000}"/>
    <cellStyle name="40 % - Markeringsfarve3 3 4 3 2 3" xfId="24001" xr:uid="{00000000-0005-0000-0000-0000F2660000}"/>
    <cellStyle name="40 % - Markeringsfarve3 3 4 3 2 4" xfId="38988" xr:uid="{00000000-0005-0000-0000-0000F3660000}"/>
    <cellStyle name="40 % - Markeringsfarve3 3 4 3 3" xfId="12255" xr:uid="{00000000-0005-0000-0000-0000F4660000}"/>
    <cellStyle name="40 % - Markeringsfarve3 3 4 3 3 2" xfId="28575" xr:uid="{00000000-0005-0000-0000-0000F5660000}"/>
    <cellStyle name="40 % - Markeringsfarve3 3 4 3 3 3" xfId="43540" xr:uid="{00000000-0005-0000-0000-0000F6660000}"/>
    <cellStyle name="40 % - Markeringsfarve3 3 4 3 4" xfId="21553" xr:uid="{00000000-0005-0000-0000-0000F7660000}"/>
    <cellStyle name="40 % - Markeringsfarve3 3 4 3 5" xfId="36541" xr:uid="{00000000-0005-0000-0000-0000F8660000}"/>
    <cellStyle name="40 % - Markeringsfarve3 3 4 4" xfId="3696" xr:uid="{00000000-0005-0000-0000-0000F9660000}"/>
    <cellStyle name="40 % - Markeringsfarve3 3 4 4 2" xfId="8392" xr:uid="{00000000-0005-0000-0000-0000FA660000}"/>
    <cellStyle name="40 % - Markeringsfarve3 3 4 4 2 2" xfId="16285" xr:uid="{00000000-0005-0000-0000-0000FB660000}"/>
    <cellStyle name="40 % - Markeringsfarve3 3 4 4 2 2 2" xfId="32600" xr:uid="{00000000-0005-0000-0000-0000FC660000}"/>
    <cellStyle name="40 % - Markeringsfarve3 3 4 4 2 2 3" xfId="47564" xr:uid="{00000000-0005-0000-0000-0000FD660000}"/>
    <cellStyle name="40 % - Markeringsfarve3 3 4 4 2 3" xfId="25578" xr:uid="{00000000-0005-0000-0000-0000FE660000}"/>
    <cellStyle name="40 % - Markeringsfarve3 3 4 4 2 4" xfId="40565" xr:uid="{00000000-0005-0000-0000-0000FF660000}"/>
    <cellStyle name="40 % - Markeringsfarve3 3 4 4 3" xfId="12256" xr:uid="{00000000-0005-0000-0000-000000670000}"/>
    <cellStyle name="40 % - Markeringsfarve3 3 4 4 3 2" xfId="28576" xr:uid="{00000000-0005-0000-0000-000001670000}"/>
    <cellStyle name="40 % - Markeringsfarve3 3 4 4 3 3" xfId="43541" xr:uid="{00000000-0005-0000-0000-000002670000}"/>
    <cellStyle name="40 % - Markeringsfarve3 3 4 4 4" xfId="21554" xr:uid="{00000000-0005-0000-0000-000003670000}"/>
    <cellStyle name="40 % - Markeringsfarve3 3 4 4 5" xfId="36542" xr:uid="{00000000-0005-0000-0000-000004670000}"/>
    <cellStyle name="40 % - Markeringsfarve3 3 4 5" xfId="5830" xr:uid="{00000000-0005-0000-0000-000005670000}"/>
    <cellStyle name="40 % - Markeringsfarve3 3 4 5 2" xfId="13749" xr:uid="{00000000-0005-0000-0000-000006670000}"/>
    <cellStyle name="40 % - Markeringsfarve3 3 4 5 2 2" xfId="30064" xr:uid="{00000000-0005-0000-0000-000007670000}"/>
    <cellStyle name="40 % - Markeringsfarve3 3 4 5 2 3" xfId="45028" xr:uid="{00000000-0005-0000-0000-000008670000}"/>
    <cellStyle name="40 % - Markeringsfarve3 3 4 5 3" xfId="23042" xr:uid="{00000000-0005-0000-0000-000009670000}"/>
    <cellStyle name="40 % - Markeringsfarve3 3 4 5 4" xfId="38029" xr:uid="{00000000-0005-0000-0000-00000A670000}"/>
    <cellStyle name="40 % - Markeringsfarve3 3 4 6" xfId="12252" xr:uid="{00000000-0005-0000-0000-00000B670000}"/>
    <cellStyle name="40 % - Markeringsfarve3 3 4 6 2" xfId="28572" xr:uid="{00000000-0005-0000-0000-00000C670000}"/>
    <cellStyle name="40 % - Markeringsfarve3 3 4 6 3" xfId="43537" xr:uid="{00000000-0005-0000-0000-00000D670000}"/>
    <cellStyle name="40 % - Markeringsfarve3 3 4 7" xfId="21550" xr:uid="{00000000-0005-0000-0000-00000E670000}"/>
    <cellStyle name="40 % - Markeringsfarve3 3 4 8" xfId="36538" xr:uid="{00000000-0005-0000-0000-00000F670000}"/>
    <cellStyle name="40 % - Markeringsfarve3 3 5" xfId="3697" xr:uid="{00000000-0005-0000-0000-000010670000}"/>
    <cellStyle name="40 % - Markeringsfarve3 3 5 2" xfId="3698" xr:uid="{00000000-0005-0000-0000-000011670000}"/>
    <cellStyle name="40 % - Markeringsfarve3 3 5 2 2" xfId="3699" xr:uid="{00000000-0005-0000-0000-000012670000}"/>
    <cellStyle name="40 % - Markeringsfarve3 3 5 2 2 2" xfId="7740" xr:uid="{00000000-0005-0000-0000-000013670000}"/>
    <cellStyle name="40 % - Markeringsfarve3 3 5 2 2 2 2" xfId="15642" xr:uid="{00000000-0005-0000-0000-000014670000}"/>
    <cellStyle name="40 % - Markeringsfarve3 3 5 2 2 2 2 2" xfId="31957" xr:uid="{00000000-0005-0000-0000-000015670000}"/>
    <cellStyle name="40 % - Markeringsfarve3 3 5 2 2 2 2 3" xfId="46921" xr:uid="{00000000-0005-0000-0000-000016670000}"/>
    <cellStyle name="40 % - Markeringsfarve3 3 5 2 2 2 3" xfId="24935" xr:uid="{00000000-0005-0000-0000-000017670000}"/>
    <cellStyle name="40 % - Markeringsfarve3 3 5 2 2 2 4" xfId="39922" xr:uid="{00000000-0005-0000-0000-000018670000}"/>
    <cellStyle name="40 % - Markeringsfarve3 3 5 2 2 3" xfId="12259" xr:uid="{00000000-0005-0000-0000-000019670000}"/>
    <cellStyle name="40 % - Markeringsfarve3 3 5 2 2 3 2" xfId="28579" xr:uid="{00000000-0005-0000-0000-00001A670000}"/>
    <cellStyle name="40 % - Markeringsfarve3 3 5 2 2 3 3" xfId="43544" xr:uid="{00000000-0005-0000-0000-00001B670000}"/>
    <cellStyle name="40 % - Markeringsfarve3 3 5 2 2 4" xfId="21557" xr:uid="{00000000-0005-0000-0000-00001C670000}"/>
    <cellStyle name="40 % - Markeringsfarve3 3 5 2 2 5" xfId="36545" xr:uid="{00000000-0005-0000-0000-00001D670000}"/>
    <cellStyle name="40 % - Markeringsfarve3 3 5 2 3" xfId="6286" xr:uid="{00000000-0005-0000-0000-00001E670000}"/>
    <cellStyle name="40 % - Markeringsfarve3 3 5 2 3 2" xfId="14204" xr:uid="{00000000-0005-0000-0000-00001F670000}"/>
    <cellStyle name="40 % - Markeringsfarve3 3 5 2 3 2 2" xfId="30519" xr:uid="{00000000-0005-0000-0000-000020670000}"/>
    <cellStyle name="40 % - Markeringsfarve3 3 5 2 3 2 3" xfId="45483" xr:uid="{00000000-0005-0000-0000-000021670000}"/>
    <cellStyle name="40 % - Markeringsfarve3 3 5 2 3 3" xfId="23497" xr:uid="{00000000-0005-0000-0000-000022670000}"/>
    <cellStyle name="40 % - Markeringsfarve3 3 5 2 3 4" xfId="38484" xr:uid="{00000000-0005-0000-0000-000023670000}"/>
    <cellStyle name="40 % - Markeringsfarve3 3 5 2 4" xfId="12258" xr:uid="{00000000-0005-0000-0000-000024670000}"/>
    <cellStyle name="40 % - Markeringsfarve3 3 5 2 4 2" xfId="28578" xr:uid="{00000000-0005-0000-0000-000025670000}"/>
    <cellStyle name="40 % - Markeringsfarve3 3 5 2 4 3" xfId="43543" xr:uid="{00000000-0005-0000-0000-000026670000}"/>
    <cellStyle name="40 % - Markeringsfarve3 3 5 2 5" xfId="21556" xr:uid="{00000000-0005-0000-0000-000027670000}"/>
    <cellStyle name="40 % - Markeringsfarve3 3 5 2 6" xfId="36544" xr:uid="{00000000-0005-0000-0000-000028670000}"/>
    <cellStyle name="40 % - Markeringsfarve3 3 5 3" xfId="3700" xr:uid="{00000000-0005-0000-0000-000029670000}"/>
    <cellStyle name="40 % - Markeringsfarve3 3 5 3 2" xfId="6970" xr:uid="{00000000-0005-0000-0000-00002A670000}"/>
    <cellStyle name="40 % - Markeringsfarve3 3 5 3 2 2" xfId="14882" xr:uid="{00000000-0005-0000-0000-00002B670000}"/>
    <cellStyle name="40 % - Markeringsfarve3 3 5 3 2 2 2" xfId="31197" xr:uid="{00000000-0005-0000-0000-00002C670000}"/>
    <cellStyle name="40 % - Markeringsfarve3 3 5 3 2 2 3" xfId="46161" xr:uid="{00000000-0005-0000-0000-00002D670000}"/>
    <cellStyle name="40 % - Markeringsfarve3 3 5 3 2 3" xfId="24175" xr:uid="{00000000-0005-0000-0000-00002E670000}"/>
    <cellStyle name="40 % - Markeringsfarve3 3 5 3 2 4" xfId="39162" xr:uid="{00000000-0005-0000-0000-00002F670000}"/>
    <cellStyle name="40 % - Markeringsfarve3 3 5 3 3" xfId="12260" xr:uid="{00000000-0005-0000-0000-000030670000}"/>
    <cellStyle name="40 % - Markeringsfarve3 3 5 3 3 2" xfId="28580" xr:uid="{00000000-0005-0000-0000-000031670000}"/>
    <cellStyle name="40 % - Markeringsfarve3 3 5 3 3 3" xfId="43545" xr:uid="{00000000-0005-0000-0000-000032670000}"/>
    <cellStyle name="40 % - Markeringsfarve3 3 5 3 4" xfId="21558" xr:uid="{00000000-0005-0000-0000-000033670000}"/>
    <cellStyle name="40 % - Markeringsfarve3 3 5 3 5" xfId="36546" xr:uid="{00000000-0005-0000-0000-000034670000}"/>
    <cellStyle name="40 % - Markeringsfarve3 3 5 4" xfId="3701" xr:uid="{00000000-0005-0000-0000-000035670000}"/>
    <cellStyle name="40 % - Markeringsfarve3 3 5 4 2" xfId="8627" xr:uid="{00000000-0005-0000-0000-000036670000}"/>
    <cellStyle name="40 % - Markeringsfarve3 3 5 4 2 2" xfId="16509" xr:uid="{00000000-0005-0000-0000-000037670000}"/>
    <cellStyle name="40 % - Markeringsfarve3 3 5 4 2 2 2" xfId="32824" xr:uid="{00000000-0005-0000-0000-000038670000}"/>
    <cellStyle name="40 % - Markeringsfarve3 3 5 4 2 2 3" xfId="47788" xr:uid="{00000000-0005-0000-0000-000039670000}"/>
    <cellStyle name="40 % - Markeringsfarve3 3 5 4 2 3" xfId="25802" xr:uid="{00000000-0005-0000-0000-00003A670000}"/>
    <cellStyle name="40 % - Markeringsfarve3 3 5 4 2 4" xfId="40789" xr:uid="{00000000-0005-0000-0000-00003B670000}"/>
    <cellStyle name="40 % - Markeringsfarve3 3 5 4 3" xfId="12261" xr:uid="{00000000-0005-0000-0000-00003C670000}"/>
    <cellStyle name="40 % - Markeringsfarve3 3 5 4 3 2" xfId="28581" xr:uid="{00000000-0005-0000-0000-00003D670000}"/>
    <cellStyle name="40 % - Markeringsfarve3 3 5 4 3 3" xfId="43546" xr:uid="{00000000-0005-0000-0000-00003E670000}"/>
    <cellStyle name="40 % - Markeringsfarve3 3 5 4 4" xfId="21559" xr:uid="{00000000-0005-0000-0000-00003F670000}"/>
    <cellStyle name="40 % - Markeringsfarve3 3 5 4 5" xfId="36547" xr:uid="{00000000-0005-0000-0000-000040670000}"/>
    <cellStyle name="40 % - Markeringsfarve3 3 5 5" xfId="5831" xr:uid="{00000000-0005-0000-0000-000041670000}"/>
    <cellStyle name="40 % - Markeringsfarve3 3 5 5 2" xfId="13750" xr:uid="{00000000-0005-0000-0000-000042670000}"/>
    <cellStyle name="40 % - Markeringsfarve3 3 5 5 2 2" xfId="30065" xr:uid="{00000000-0005-0000-0000-000043670000}"/>
    <cellStyle name="40 % - Markeringsfarve3 3 5 5 2 3" xfId="45029" xr:uid="{00000000-0005-0000-0000-000044670000}"/>
    <cellStyle name="40 % - Markeringsfarve3 3 5 5 3" xfId="23043" xr:uid="{00000000-0005-0000-0000-000045670000}"/>
    <cellStyle name="40 % - Markeringsfarve3 3 5 5 4" xfId="38030" xr:uid="{00000000-0005-0000-0000-000046670000}"/>
    <cellStyle name="40 % - Markeringsfarve3 3 5 6" xfId="12257" xr:uid="{00000000-0005-0000-0000-000047670000}"/>
    <cellStyle name="40 % - Markeringsfarve3 3 5 6 2" xfId="28577" xr:uid="{00000000-0005-0000-0000-000048670000}"/>
    <cellStyle name="40 % - Markeringsfarve3 3 5 6 3" xfId="43542" xr:uid="{00000000-0005-0000-0000-000049670000}"/>
    <cellStyle name="40 % - Markeringsfarve3 3 5 7" xfId="21555" xr:uid="{00000000-0005-0000-0000-00004A670000}"/>
    <cellStyle name="40 % - Markeringsfarve3 3 5 8" xfId="36543" xr:uid="{00000000-0005-0000-0000-00004B670000}"/>
    <cellStyle name="40 % - Markeringsfarve3 3 6" xfId="3702" xr:uid="{00000000-0005-0000-0000-00004C670000}"/>
    <cellStyle name="40 % - Markeringsfarve3 3 6 2" xfId="3703" xr:uid="{00000000-0005-0000-0000-00004D670000}"/>
    <cellStyle name="40 % - Markeringsfarve3 3 6 2 2" xfId="3704" xr:uid="{00000000-0005-0000-0000-00004E670000}"/>
    <cellStyle name="40 % - Markeringsfarve3 3 6 2 2 2" xfId="7804" xr:uid="{00000000-0005-0000-0000-00004F670000}"/>
    <cellStyle name="40 % - Markeringsfarve3 3 6 2 2 2 2" xfId="15706" xr:uid="{00000000-0005-0000-0000-000050670000}"/>
    <cellStyle name="40 % - Markeringsfarve3 3 6 2 2 2 2 2" xfId="32021" xr:uid="{00000000-0005-0000-0000-000051670000}"/>
    <cellStyle name="40 % - Markeringsfarve3 3 6 2 2 2 2 3" xfId="46985" xr:uid="{00000000-0005-0000-0000-000052670000}"/>
    <cellStyle name="40 % - Markeringsfarve3 3 6 2 2 2 3" xfId="24999" xr:uid="{00000000-0005-0000-0000-000053670000}"/>
    <cellStyle name="40 % - Markeringsfarve3 3 6 2 2 2 4" xfId="39986" xr:uid="{00000000-0005-0000-0000-000054670000}"/>
    <cellStyle name="40 % - Markeringsfarve3 3 6 2 2 3" xfId="12264" xr:uid="{00000000-0005-0000-0000-000055670000}"/>
    <cellStyle name="40 % - Markeringsfarve3 3 6 2 2 3 2" xfId="28584" xr:uid="{00000000-0005-0000-0000-000056670000}"/>
    <cellStyle name="40 % - Markeringsfarve3 3 6 2 2 3 3" xfId="43549" xr:uid="{00000000-0005-0000-0000-000057670000}"/>
    <cellStyle name="40 % - Markeringsfarve3 3 6 2 2 4" xfId="21562" xr:uid="{00000000-0005-0000-0000-000058670000}"/>
    <cellStyle name="40 % - Markeringsfarve3 3 6 2 2 5" xfId="36550" xr:uid="{00000000-0005-0000-0000-000059670000}"/>
    <cellStyle name="40 % - Markeringsfarve3 3 6 2 3" xfId="6348" xr:uid="{00000000-0005-0000-0000-00005A670000}"/>
    <cellStyle name="40 % - Markeringsfarve3 3 6 2 3 2" xfId="14263" xr:uid="{00000000-0005-0000-0000-00005B670000}"/>
    <cellStyle name="40 % - Markeringsfarve3 3 6 2 3 2 2" xfId="30578" xr:uid="{00000000-0005-0000-0000-00005C670000}"/>
    <cellStyle name="40 % - Markeringsfarve3 3 6 2 3 2 3" xfId="45542" xr:uid="{00000000-0005-0000-0000-00005D670000}"/>
    <cellStyle name="40 % - Markeringsfarve3 3 6 2 3 3" xfId="23556" xr:uid="{00000000-0005-0000-0000-00005E670000}"/>
    <cellStyle name="40 % - Markeringsfarve3 3 6 2 3 4" xfId="38543" xr:uid="{00000000-0005-0000-0000-00005F670000}"/>
    <cellStyle name="40 % - Markeringsfarve3 3 6 2 4" xfId="12263" xr:uid="{00000000-0005-0000-0000-000060670000}"/>
    <cellStyle name="40 % - Markeringsfarve3 3 6 2 4 2" xfId="28583" xr:uid="{00000000-0005-0000-0000-000061670000}"/>
    <cellStyle name="40 % - Markeringsfarve3 3 6 2 4 3" xfId="43548" xr:uid="{00000000-0005-0000-0000-000062670000}"/>
    <cellStyle name="40 % - Markeringsfarve3 3 6 2 5" xfId="21561" xr:uid="{00000000-0005-0000-0000-000063670000}"/>
    <cellStyle name="40 % - Markeringsfarve3 3 6 2 6" xfId="36549" xr:uid="{00000000-0005-0000-0000-000064670000}"/>
    <cellStyle name="40 % - Markeringsfarve3 3 6 3" xfId="3705" xr:uid="{00000000-0005-0000-0000-000065670000}"/>
    <cellStyle name="40 % - Markeringsfarve3 3 6 3 2" xfId="7080" xr:uid="{00000000-0005-0000-0000-000066670000}"/>
    <cellStyle name="40 % - Markeringsfarve3 3 6 3 2 2" xfId="14991" xr:uid="{00000000-0005-0000-0000-000067670000}"/>
    <cellStyle name="40 % - Markeringsfarve3 3 6 3 2 2 2" xfId="31306" xr:uid="{00000000-0005-0000-0000-000068670000}"/>
    <cellStyle name="40 % - Markeringsfarve3 3 6 3 2 2 3" xfId="46270" xr:uid="{00000000-0005-0000-0000-000069670000}"/>
    <cellStyle name="40 % - Markeringsfarve3 3 6 3 2 3" xfId="24284" xr:uid="{00000000-0005-0000-0000-00006A670000}"/>
    <cellStyle name="40 % - Markeringsfarve3 3 6 3 2 4" xfId="39271" xr:uid="{00000000-0005-0000-0000-00006B670000}"/>
    <cellStyle name="40 % - Markeringsfarve3 3 6 3 3" xfId="12265" xr:uid="{00000000-0005-0000-0000-00006C670000}"/>
    <cellStyle name="40 % - Markeringsfarve3 3 6 3 3 2" xfId="28585" xr:uid="{00000000-0005-0000-0000-00006D670000}"/>
    <cellStyle name="40 % - Markeringsfarve3 3 6 3 3 3" xfId="43550" xr:uid="{00000000-0005-0000-0000-00006E670000}"/>
    <cellStyle name="40 % - Markeringsfarve3 3 6 3 4" xfId="21563" xr:uid="{00000000-0005-0000-0000-00006F670000}"/>
    <cellStyle name="40 % - Markeringsfarve3 3 6 3 5" xfId="36551" xr:uid="{00000000-0005-0000-0000-000070670000}"/>
    <cellStyle name="40 % - Markeringsfarve3 3 6 4" xfId="3706" xr:uid="{00000000-0005-0000-0000-000071670000}"/>
    <cellStyle name="40 % - Markeringsfarve3 3 6 4 2" xfId="8351" xr:uid="{00000000-0005-0000-0000-000072670000}"/>
    <cellStyle name="40 % - Markeringsfarve3 3 6 4 2 2" xfId="16245" xr:uid="{00000000-0005-0000-0000-000073670000}"/>
    <cellStyle name="40 % - Markeringsfarve3 3 6 4 2 2 2" xfId="32560" xr:uid="{00000000-0005-0000-0000-000074670000}"/>
    <cellStyle name="40 % - Markeringsfarve3 3 6 4 2 2 3" xfId="47524" xr:uid="{00000000-0005-0000-0000-000075670000}"/>
    <cellStyle name="40 % - Markeringsfarve3 3 6 4 2 3" xfId="25538" xr:uid="{00000000-0005-0000-0000-000076670000}"/>
    <cellStyle name="40 % - Markeringsfarve3 3 6 4 2 4" xfId="40525" xr:uid="{00000000-0005-0000-0000-000077670000}"/>
    <cellStyle name="40 % - Markeringsfarve3 3 6 4 3" xfId="12266" xr:uid="{00000000-0005-0000-0000-000078670000}"/>
    <cellStyle name="40 % - Markeringsfarve3 3 6 4 3 2" xfId="28586" xr:uid="{00000000-0005-0000-0000-000079670000}"/>
    <cellStyle name="40 % - Markeringsfarve3 3 6 4 3 3" xfId="43551" xr:uid="{00000000-0005-0000-0000-00007A670000}"/>
    <cellStyle name="40 % - Markeringsfarve3 3 6 4 4" xfId="21564" xr:uid="{00000000-0005-0000-0000-00007B670000}"/>
    <cellStyle name="40 % - Markeringsfarve3 3 6 4 5" xfId="36552" xr:uid="{00000000-0005-0000-0000-00007C670000}"/>
    <cellStyle name="40 % - Markeringsfarve3 3 6 5" xfId="5832" xr:uid="{00000000-0005-0000-0000-00007D670000}"/>
    <cellStyle name="40 % - Markeringsfarve3 3 6 5 2" xfId="13751" xr:uid="{00000000-0005-0000-0000-00007E670000}"/>
    <cellStyle name="40 % - Markeringsfarve3 3 6 5 2 2" xfId="30066" xr:uid="{00000000-0005-0000-0000-00007F670000}"/>
    <cellStyle name="40 % - Markeringsfarve3 3 6 5 2 3" xfId="45030" xr:uid="{00000000-0005-0000-0000-000080670000}"/>
    <cellStyle name="40 % - Markeringsfarve3 3 6 5 3" xfId="23044" xr:uid="{00000000-0005-0000-0000-000081670000}"/>
    <cellStyle name="40 % - Markeringsfarve3 3 6 5 4" xfId="38031" xr:uid="{00000000-0005-0000-0000-000082670000}"/>
    <cellStyle name="40 % - Markeringsfarve3 3 6 6" xfId="12262" xr:uid="{00000000-0005-0000-0000-000083670000}"/>
    <cellStyle name="40 % - Markeringsfarve3 3 6 6 2" xfId="28582" xr:uid="{00000000-0005-0000-0000-000084670000}"/>
    <cellStyle name="40 % - Markeringsfarve3 3 6 6 3" xfId="43547" xr:uid="{00000000-0005-0000-0000-000085670000}"/>
    <cellStyle name="40 % - Markeringsfarve3 3 6 7" xfId="21560" xr:uid="{00000000-0005-0000-0000-000086670000}"/>
    <cellStyle name="40 % - Markeringsfarve3 3 6 8" xfId="36548" xr:uid="{00000000-0005-0000-0000-000087670000}"/>
    <cellStyle name="40 % - Markeringsfarve3 3 7" xfId="3707" xr:uid="{00000000-0005-0000-0000-000088670000}"/>
    <cellStyle name="40 % - Markeringsfarve3 3 7 2" xfId="3708" xr:uid="{00000000-0005-0000-0000-000089670000}"/>
    <cellStyle name="40 % - Markeringsfarve3 3 7 2 2" xfId="3709" xr:uid="{00000000-0005-0000-0000-00008A670000}"/>
    <cellStyle name="40 % - Markeringsfarve3 3 7 2 2 2" xfId="7921" xr:uid="{00000000-0005-0000-0000-00008B670000}"/>
    <cellStyle name="40 % - Markeringsfarve3 3 7 2 2 2 2" xfId="15823" xr:uid="{00000000-0005-0000-0000-00008C670000}"/>
    <cellStyle name="40 % - Markeringsfarve3 3 7 2 2 2 2 2" xfId="32138" xr:uid="{00000000-0005-0000-0000-00008D670000}"/>
    <cellStyle name="40 % - Markeringsfarve3 3 7 2 2 2 2 3" xfId="47102" xr:uid="{00000000-0005-0000-0000-00008E670000}"/>
    <cellStyle name="40 % - Markeringsfarve3 3 7 2 2 2 3" xfId="25116" xr:uid="{00000000-0005-0000-0000-00008F670000}"/>
    <cellStyle name="40 % - Markeringsfarve3 3 7 2 2 2 4" xfId="40103" xr:uid="{00000000-0005-0000-0000-000090670000}"/>
    <cellStyle name="40 % - Markeringsfarve3 3 7 2 2 3" xfId="12269" xr:uid="{00000000-0005-0000-0000-000091670000}"/>
    <cellStyle name="40 % - Markeringsfarve3 3 7 2 2 3 2" xfId="28589" xr:uid="{00000000-0005-0000-0000-000092670000}"/>
    <cellStyle name="40 % - Markeringsfarve3 3 7 2 2 3 3" xfId="43554" xr:uid="{00000000-0005-0000-0000-000093670000}"/>
    <cellStyle name="40 % - Markeringsfarve3 3 7 2 2 4" xfId="21567" xr:uid="{00000000-0005-0000-0000-000094670000}"/>
    <cellStyle name="40 % - Markeringsfarve3 3 7 2 2 5" xfId="36555" xr:uid="{00000000-0005-0000-0000-000095670000}"/>
    <cellStyle name="40 % - Markeringsfarve3 3 7 2 3" xfId="6447" xr:uid="{00000000-0005-0000-0000-000096670000}"/>
    <cellStyle name="40 % - Markeringsfarve3 3 7 2 3 2" xfId="14362" xr:uid="{00000000-0005-0000-0000-000097670000}"/>
    <cellStyle name="40 % - Markeringsfarve3 3 7 2 3 2 2" xfId="30677" xr:uid="{00000000-0005-0000-0000-000098670000}"/>
    <cellStyle name="40 % - Markeringsfarve3 3 7 2 3 2 3" xfId="45641" xr:uid="{00000000-0005-0000-0000-000099670000}"/>
    <cellStyle name="40 % - Markeringsfarve3 3 7 2 3 3" xfId="23655" xr:uid="{00000000-0005-0000-0000-00009A670000}"/>
    <cellStyle name="40 % - Markeringsfarve3 3 7 2 3 4" xfId="38642" xr:uid="{00000000-0005-0000-0000-00009B670000}"/>
    <cellStyle name="40 % - Markeringsfarve3 3 7 2 4" xfId="12268" xr:uid="{00000000-0005-0000-0000-00009C670000}"/>
    <cellStyle name="40 % - Markeringsfarve3 3 7 2 4 2" xfId="28588" xr:uid="{00000000-0005-0000-0000-00009D670000}"/>
    <cellStyle name="40 % - Markeringsfarve3 3 7 2 4 3" xfId="43553" xr:uid="{00000000-0005-0000-0000-00009E670000}"/>
    <cellStyle name="40 % - Markeringsfarve3 3 7 2 5" xfId="21566" xr:uid="{00000000-0005-0000-0000-00009F670000}"/>
    <cellStyle name="40 % - Markeringsfarve3 3 7 2 6" xfId="36554" xr:uid="{00000000-0005-0000-0000-0000A0670000}"/>
    <cellStyle name="40 % - Markeringsfarve3 3 7 3" xfId="3710" xr:uid="{00000000-0005-0000-0000-0000A1670000}"/>
    <cellStyle name="40 % - Markeringsfarve3 3 7 3 2" xfId="7197" xr:uid="{00000000-0005-0000-0000-0000A2670000}"/>
    <cellStyle name="40 % - Markeringsfarve3 3 7 3 2 2" xfId="15108" xr:uid="{00000000-0005-0000-0000-0000A3670000}"/>
    <cellStyle name="40 % - Markeringsfarve3 3 7 3 2 2 2" xfId="31423" xr:uid="{00000000-0005-0000-0000-0000A4670000}"/>
    <cellStyle name="40 % - Markeringsfarve3 3 7 3 2 2 3" xfId="46387" xr:uid="{00000000-0005-0000-0000-0000A5670000}"/>
    <cellStyle name="40 % - Markeringsfarve3 3 7 3 2 3" xfId="24401" xr:uid="{00000000-0005-0000-0000-0000A6670000}"/>
    <cellStyle name="40 % - Markeringsfarve3 3 7 3 2 4" xfId="39388" xr:uid="{00000000-0005-0000-0000-0000A7670000}"/>
    <cellStyle name="40 % - Markeringsfarve3 3 7 3 3" xfId="12270" xr:uid="{00000000-0005-0000-0000-0000A8670000}"/>
    <cellStyle name="40 % - Markeringsfarve3 3 7 3 3 2" xfId="28590" xr:uid="{00000000-0005-0000-0000-0000A9670000}"/>
    <cellStyle name="40 % - Markeringsfarve3 3 7 3 3 3" xfId="43555" xr:uid="{00000000-0005-0000-0000-0000AA670000}"/>
    <cellStyle name="40 % - Markeringsfarve3 3 7 3 4" xfId="21568" xr:uid="{00000000-0005-0000-0000-0000AB670000}"/>
    <cellStyle name="40 % - Markeringsfarve3 3 7 3 5" xfId="36556" xr:uid="{00000000-0005-0000-0000-0000AC670000}"/>
    <cellStyle name="40 % - Markeringsfarve3 3 7 4" xfId="3711" xr:uid="{00000000-0005-0000-0000-0000AD670000}"/>
    <cellStyle name="40 % - Markeringsfarve3 3 7 4 2" xfId="8578" xr:uid="{00000000-0005-0000-0000-0000AE670000}"/>
    <cellStyle name="40 % - Markeringsfarve3 3 7 4 2 2" xfId="16462" xr:uid="{00000000-0005-0000-0000-0000AF670000}"/>
    <cellStyle name="40 % - Markeringsfarve3 3 7 4 2 2 2" xfId="32777" xr:uid="{00000000-0005-0000-0000-0000B0670000}"/>
    <cellStyle name="40 % - Markeringsfarve3 3 7 4 2 2 3" xfId="47741" xr:uid="{00000000-0005-0000-0000-0000B1670000}"/>
    <cellStyle name="40 % - Markeringsfarve3 3 7 4 2 3" xfId="25755" xr:uid="{00000000-0005-0000-0000-0000B2670000}"/>
    <cellStyle name="40 % - Markeringsfarve3 3 7 4 2 4" xfId="40742" xr:uid="{00000000-0005-0000-0000-0000B3670000}"/>
    <cellStyle name="40 % - Markeringsfarve3 3 7 4 3" xfId="12271" xr:uid="{00000000-0005-0000-0000-0000B4670000}"/>
    <cellStyle name="40 % - Markeringsfarve3 3 7 4 3 2" xfId="28591" xr:uid="{00000000-0005-0000-0000-0000B5670000}"/>
    <cellStyle name="40 % - Markeringsfarve3 3 7 4 3 3" xfId="43556" xr:uid="{00000000-0005-0000-0000-0000B6670000}"/>
    <cellStyle name="40 % - Markeringsfarve3 3 7 4 4" xfId="21569" xr:uid="{00000000-0005-0000-0000-0000B7670000}"/>
    <cellStyle name="40 % - Markeringsfarve3 3 7 4 5" xfId="36557" xr:uid="{00000000-0005-0000-0000-0000B8670000}"/>
    <cellStyle name="40 % - Markeringsfarve3 3 7 5" xfId="5833" xr:uid="{00000000-0005-0000-0000-0000B9670000}"/>
    <cellStyle name="40 % - Markeringsfarve3 3 7 5 2" xfId="13752" xr:uid="{00000000-0005-0000-0000-0000BA670000}"/>
    <cellStyle name="40 % - Markeringsfarve3 3 7 5 2 2" xfId="30067" xr:uid="{00000000-0005-0000-0000-0000BB670000}"/>
    <cellStyle name="40 % - Markeringsfarve3 3 7 5 2 3" xfId="45031" xr:uid="{00000000-0005-0000-0000-0000BC670000}"/>
    <cellStyle name="40 % - Markeringsfarve3 3 7 5 3" xfId="23045" xr:uid="{00000000-0005-0000-0000-0000BD670000}"/>
    <cellStyle name="40 % - Markeringsfarve3 3 7 5 4" xfId="38032" xr:uid="{00000000-0005-0000-0000-0000BE670000}"/>
    <cellStyle name="40 % - Markeringsfarve3 3 7 6" xfId="12267" xr:uid="{00000000-0005-0000-0000-0000BF670000}"/>
    <cellStyle name="40 % - Markeringsfarve3 3 7 6 2" xfId="28587" xr:uid="{00000000-0005-0000-0000-0000C0670000}"/>
    <cellStyle name="40 % - Markeringsfarve3 3 7 6 3" xfId="43552" xr:uid="{00000000-0005-0000-0000-0000C1670000}"/>
    <cellStyle name="40 % - Markeringsfarve3 3 7 7" xfId="21565" xr:uid="{00000000-0005-0000-0000-0000C2670000}"/>
    <cellStyle name="40 % - Markeringsfarve3 3 7 8" xfId="36553" xr:uid="{00000000-0005-0000-0000-0000C3670000}"/>
    <cellStyle name="40 % - Markeringsfarve3 3 8" xfId="3712" xr:uid="{00000000-0005-0000-0000-0000C4670000}"/>
    <cellStyle name="40 % - Markeringsfarve3 3 8 2" xfId="3713" xr:uid="{00000000-0005-0000-0000-0000C5670000}"/>
    <cellStyle name="40 % - Markeringsfarve3 3 8 2 2" xfId="3714" xr:uid="{00000000-0005-0000-0000-0000C6670000}"/>
    <cellStyle name="40 % - Markeringsfarve3 3 8 2 2 2" xfId="8095" xr:uid="{00000000-0005-0000-0000-0000C7670000}"/>
    <cellStyle name="40 % - Markeringsfarve3 3 8 2 2 2 2" xfId="15997" xr:uid="{00000000-0005-0000-0000-0000C8670000}"/>
    <cellStyle name="40 % - Markeringsfarve3 3 8 2 2 2 2 2" xfId="32312" xr:uid="{00000000-0005-0000-0000-0000C9670000}"/>
    <cellStyle name="40 % - Markeringsfarve3 3 8 2 2 2 2 3" xfId="47276" xr:uid="{00000000-0005-0000-0000-0000CA670000}"/>
    <cellStyle name="40 % - Markeringsfarve3 3 8 2 2 2 3" xfId="25290" xr:uid="{00000000-0005-0000-0000-0000CB670000}"/>
    <cellStyle name="40 % - Markeringsfarve3 3 8 2 2 2 4" xfId="40277" xr:uid="{00000000-0005-0000-0000-0000CC670000}"/>
    <cellStyle name="40 % - Markeringsfarve3 3 8 2 2 3" xfId="12274" xr:uid="{00000000-0005-0000-0000-0000CD670000}"/>
    <cellStyle name="40 % - Markeringsfarve3 3 8 2 2 3 2" xfId="28594" xr:uid="{00000000-0005-0000-0000-0000CE670000}"/>
    <cellStyle name="40 % - Markeringsfarve3 3 8 2 2 3 3" xfId="43559" xr:uid="{00000000-0005-0000-0000-0000CF670000}"/>
    <cellStyle name="40 % - Markeringsfarve3 3 8 2 2 4" xfId="21572" xr:uid="{00000000-0005-0000-0000-0000D0670000}"/>
    <cellStyle name="40 % - Markeringsfarve3 3 8 2 2 5" xfId="36560" xr:uid="{00000000-0005-0000-0000-0000D1670000}"/>
    <cellStyle name="40 % - Markeringsfarve3 3 8 2 3" xfId="6588" xr:uid="{00000000-0005-0000-0000-0000D2670000}"/>
    <cellStyle name="40 % - Markeringsfarve3 3 8 2 3 2" xfId="14503" xr:uid="{00000000-0005-0000-0000-0000D3670000}"/>
    <cellStyle name="40 % - Markeringsfarve3 3 8 2 3 2 2" xfId="30818" xr:uid="{00000000-0005-0000-0000-0000D4670000}"/>
    <cellStyle name="40 % - Markeringsfarve3 3 8 2 3 2 3" xfId="45782" xr:uid="{00000000-0005-0000-0000-0000D5670000}"/>
    <cellStyle name="40 % - Markeringsfarve3 3 8 2 3 3" xfId="23796" xr:uid="{00000000-0005-0000-0000-0000D6670000}"/>
    <cellStyle name="40 % - Markeringsfarve3 3 8 2 3 4" xfId="38783" xr:uid="{00000000-0005-0000-0000-0000D7670000}"/>
    <cellStyle name="40 % - Markeringsfarve3 3 8 2 4" xfId="12273" xr:uid="{00000000-0005-0000-0000-0000D8670000}"/>
    <cellStyle name="40 % - Markeringsfarve3 3 8 2 4 2" xfId="28593" xr:uid="{00000000-0005-0000-0000-0000D9670000}"/>
    <cellStyle name="40 % - Markeringsfarve3 3 8 2 4 3" xfId="43558" xr:uid="{00000000-0005-0000-0000-0000DA670000}"/>
    <cellStyle name="40 % - Markeringsfarve3 3 8 2 5" xfId="21571" xr:uid="{00000000-0005-0000-0000-0000DB670000}"/>
    <cellStyle name="40 % - Markeringsfarve3 3 8 2 6" xfId="36559" xr:uid="{00000000-0005-0000-0000-0000DC670000}"/>
    <cellStyle name="40 % - Markeringsfarve3 3 8 3" xfId="3715" xr:uid="{00000000-0005-0000-0000-0000DD670000}"/>
    <cellStyle name="40 % - Markeringsfarve3 3 8 3 2" xfId="7372" xr:uid="{00000000-0005-0000-0000-0000DE670000}"/>
    <cellStyle name="40 % - Markeringsfarve3 3 8 3 2 2" xfId="15283" xr:uid="{00000000-0005-0000-0000-0000DF670000}"/>
    <cellStyle name="40 % - Markeringsfarve3 3 8 3 2 2 2" xfId="31598" xr:uid="{00000000-0005-0000-0000-0000E0670000}"/>
    <cellStyle name="40 % - Markeringsfarve3 3 8 3 2 2 3" xfId="46562" xr:uid="{00000000-0005-0000-0000-0000E1670000}"/>
    <cellStyle name="40 % - Markeringsfarve3 3 8 3 2 3" xfId="24576" xr:uid="{00000000-0005-0000-0000-0000E2670000}"/>
    <cellStyle name="40 % - Markeringsfarve3 3 8 3 2 4" xfId="39563" xr:uid="{00000000-0005-0000-0000-0000E3670000}"/>
    <cellStyle name="40 % - Markeringsfarve3 3 8 3 3" xfId="12275" xr:uid="{00000000-0005-0000-0000-0000E4670000}"/>
    <cellStyle name="40 % - Markeringsfarve3 3 8 3 3 2" xfId="28595" xr:uid="{00000000-0005-0000-0000-0000E5670000}"/>
    <cellStyle name="40 % - Markeringsfarve3 3 8 3 3 3" xfId="43560" xr:uid="{00000000-0005-0000-0000-0000E6670000}"/>
    <cellStyle name="40 % - Markeringsfarve3 3 8 3 4" xfId="21573" xr:uid="{00000000-0005-0000-0000-0000E7670000}"/>
    <cellStyle name="40 % - Markeringsfarve3 3 8 3 5" xfId="36561" xr:uid="{00000000-0005-0000-0000-0000E8670000}"/>
    <cellStyle name="40 % - Markeringsfarve3 3 8 4" xfId="3716" xr:uid="{00000000-0005-0000-0000-0000E9670000}"/>
    <cellStyle name="40 % - Markeringsfarve3 3 8 4 2" xfId="8227" xr:uid="{00000000-0005-0000-0000-0000EA670000}"/>
    <cellStyle name="40 % - Markeringsfarve3 3 8 4 2 2" xfId="16122" xr:uid="{00000000-0005-0000-0000-0000EB670000}"/>
    <cellStyle name="40 % - Markeringsfarve3 3 8 4 2 2 2" xfId="32437" xr:uid="{00000000-0005-0000-0000-0000EC670000}"/>
    <cellStyle name="40 % - Markeringsfarve3 3 8 4 2 2 3" xfId="47401" xr:uid="{00000000-0005-0000-0000-0000ED670000}"/>
    <cellStyle name="40 % - Markeringsfarve3 3 8 4 2 3" xfId="25415" xr:uid="{00000000-0005-0000-0000-0000EE670000}"/>
    <cellStyle name="40 % - Markeringsfarve3 3 8 4 2 4" xfId="40402" xr:uid="{00000000-0005-0000-0000-0000EF670000}"/>
    <cellStyle name="40 % - Markeringsfarve3 3 8 4 3" xfId="12276" xr:uid="{00000000-0005-0000-0000-0000F0670000}"/>
    <cellStyle name="40 % - Markeringsfarve3 3 8 4 3 2" xfId="28596" xr:uid="{00000000-0005-0000-0000-0000F1670000}"/>
    <cellStyle name="40 % - Markeringsfarve3 3 8 4 3 3" xfId="43561" xr:uid="{00000000-0005-0000-0000-0000F2670000}"/>
    <cellStyle name="40 % - Markeringsfarve3 3 8 4 4" xfId="21574" xr:uid="{00000000-0005-0000-0000-0000F3670000}"/>
    <cellStyle name="40 % - Markeringsfarve3 3 8 4 5" xfId="36562" xr:uid="{00000000-0005-0000-0000-0000F4670000}"/>
    <cellStyle name="40 % - Markeringsfarve3 3 8 5" xfId="5834" xr:uid="{00000000-0005-0000-0000-0000F5670000}"/>
    <cellStyle name="40 % - Markeringsfarve3 3 8 5 2" xfId="13753" xr:uid="{00000000-0005-0000-0000-0000F6670000}"/>
    <cellStyle name="40 % - Markeringsfarve3 3 8 5 2 2" xfId="30068" xr:uid="{00000000-0005-0000-0000-0000F7670000}"/>
    <cellStyle name="40 % - Markeringsfarve3 3 8 5 2 3" xfId="45032" xr:uid="{00000000-0005-0000-0000-0000F8670000}"/>
    <cellStyle name="40 % - Markeringsfarve3 3 8 5 3" xfId="23046" xr:uid="{00000000-0005-0000-0000-0000F9670000}"/>
    <cellStyle name="40 % - Markeringsfarve3 3 8 5 4" xfId="38033" xr:uid="{00000000-0005-0000-0000-0000FA670000}"/>
    <cellStyle name="40 % - Markeringsfarve3 3 8 6" xfId="12272" xr:uid="{00000000-0005-0000-0000-0000FB670000}"/>
    <cellStyle name="40 % - Markeringsfarve3 3 8 6 2" xfId="28592" xr:uid="{00000000-0005-0000-0000-0000FC670000}"/>
    <cellStyle name="40 % - Markeringsfarve3 3 8 6 3" xfId="43557" xr:uid="{00000000-0005-0000-0000-0000FD670000}"/>
    <cellStyle name="40 % - Markeringsfarve3 3 8 7" xfId="21570" xr:uid="{00000000-0005-0000-0000-0000FE670000}"/>
    <cellStyle name="40 % - Markeringsfarve3 3 8 8" xfId="36558" xr:uid="{00000000-0005-0000-0000-0000FF670000}"/>
    <cellStyle name="40 % - Markeringsfarve3 3 9" xfId="3717" xr:uid="{00000000-0005-0000-0000-000000680000}"/>
    <cellStyle name="40 % - Markeringsfarve3 3 9 2" xfId="3718" xr:uid="{00000000-0005-0000-0000-000001680000}"/>
    <cellStyle name="40 % - Markeringsfarve3 3 9 2 2" xfId="7447" xr:uid="{00000000-0005-0000-0000-000002680000}"/>
    <cellStyle name="40 % - Markeringsfarve3 3 9 2 2 2" xfId="15349" xr:uid="{00000000-0005-0000-0000-000003680000}"/>
    <cellStyle name="40 % - Markeringsfarve3 3 9 2 2 2 2" xfId="31664" xr:uid="{00000000-0005-0000-0000-000004680000}"/>
    <cellStyle name="40 % - Markeringsfarve3 3 9 2 2 2 3" xfId="46628" xr:uid="{00000000-0005-0000-0000-000005680000}"/>
    <cellStyle name="40 % - Markeringsfarve3 3 9 2 2 3" xfId="24642" xr:uid="{00000000-0005-0000-0000-000006680000}"/>
    <cellStyle name="40 % - Markeringsfarve3 3 9 2 2 4" xfId="39629" xr:uid="{00000000-0005-0000-0000-000007680000}"/>
    <cellStyle name="40 % - Markeringsfarve3 3 9 2 3" xfId="12278" xr:uid="{00000000-0005-0000-0000-000008680000}"/>
    <cellStyle name="40 % - Markeringsfarve3 3 9 2 3 2" xfId="28598" xr:uid="{00000000-0005-0000-0000-000009680000}"/>
    <cellStyle name="40 % - Markeringsfarve3 3 9 2 3 3" xfId="43563" xr:uid="{00000000-0005-0000-0000-00000A680000}"/>
    <cellStyle name="40 % - Markeringsfarve3 3 9 2 4" xfId="21576" xr:uid="{00000000-0005-0000-0000-00000B680000}"/>
    <cellStyle name="40 % - Markeringsfarve3 3 9 2 5" xfId="36564" xr:uid="{00000000-0005-0000-0000-00000C680000}"/>
    <cellStyle name="40 % - Markeringsfarve3 3 9 3" xfId="6047" xr:uid="{00000000-0005-0000-0000-00000D680000}"/>
    <cellStyle name="40 % - Markeringsfarve3 3 9 3 2" xfId="13965" xr:uid="{00000000-0005-0000-0000-00000E680000}"/>
    <cellStyle name="40 % - Markeringsfarve3 3 9 3 2 2" xfId="30280" xr:uid="{00000000-0005-0000-0000-00000F680000}"/>
    <cellStyle name="40 % - Markeringsfarve3 3 9 3 2 3" xfId="45244" xr:uid="{00000000-0005-0000-0000-000010680000}"/>
    <cellStyle name="40 % - Markeringsfarve3 3 9 3 3" xfId="23258" xr:uid="{00000000-0005-0000-0000-000011680000}"/>
    <cellStyle name="40 % - Markeringsfarve3 3 9 3 4" xfId="38245" xr:uid="{00000000-0005-0000-0000-000012680000}"/>
    <cellStyle name="40 % - Markeringsfarve3 3 9 4" xfId="12277" xr:uid="{00000000-0005-0000-0000-000013680000}"/>
    <cellStyle name="40 % - Markeringsfarve3 3 9 4 2" xfId="28597" xr:uid="{00000000-0005-0000-0000-000014680000}"/>
    <cellStyle name="40 % - Markeringsfarve3 3 9 4 3" xfId="43562" xr:uid="{00000000-0005-0000-0000-000015680000}"/>
    <cellStyle name="40 % - Markeringsfarve3 3 9 5" xfId="21575" xr:uid="{00000000-0005-0000-0000-000016680000}"/>
    <cellStyle name="40 % - Markeringsfarve3 3 9 6" xfId="36563" xr:uid="{00000000-0005-0000-0000-000017680000}"/>
    <cellStyle name="40 % - Markeringsfarve3 4" xfId="3719" xr:uid="{00000000-0005-0000-0000-000018680000}"/>
    <cellStyle name="40 % - Markeringsfarve3 4 10" xfId="5835" xr:uid="{00000000-0005-0000-0000-000019680000}"/>
    <cellStyle name="40 % - Markeringsfarve3 4 10 2" xfId="13754" xr:uid="{00000000-0005-0000-0000-00001A680000}"/>
    <cellStyle name="40 % - Markeringsfarve3 4 10 2 2" xfId="30069" xr:uid="{00000000-0005-0000-0000-00001B680000}"/>
    <cellStyle name="40 % - Markeringsfarve3 4 10 2 3" xfId="45033" xr:uid="{00000000-0005-0000-0000-00001C680000}"/>
    <cellStyle name="40 % - Markeringsfarve3 4 10 3" xfId="23047" xr:uid="{00000000-0005-0000-0000-00001D680000}"/>
    <cellStyle name="40 % - Markeringsfarve3 4 10 4" xfId="38034" xr:uid="{00000000-0005-0000-0000-00001E680000}"/>
    <cellStyle name="40 % - Markeringsfarve3 4 11" xfId="12279" xr:uid="{00000000-0005-0000-0000-00001F680000}"/>
    <cellStyle name="40 % - Markeringsfarve3 4 11 2" xfId="28599" xr:uid="{00000000-0005-0000-0000-000020680000}"/>
    <cellStyle name="40 % - Markeringsfarve3 4 11 3" xfId="43564" xr:uid="{00000000-0005-0000-0000-000021680000}"/>
    <cellStyle name="40 % - Markeringsfarve3 4 12" xfId="21577" xr:uid="{00000000-0005-0000-0000-000022680000}"/>
    <cellStyle name="40 % - Markeringsfarve3 4 13" xfId="36565" xr:uid="{00000000-0005-0000-0000-000023680000}"/>
    <cellStyle name="40 % - Markeringsfarve3 4 14" xfId="53324" xr:uid="{00000000-0005-0000-0000-000024680000}"/>
    <cellStyle name="40 % - Markeringsfarve3 4 2" xfId="3720" xr:uid="{00000000-0005-0000-0000-000025680000}"/>
    <cellStyle name="40 % - Markeringsfarve3 4 2 2" xfId="3721" xr:uid="{00000000-0005-0000-0000-000026680000}"/>
    <cellStyle name="40 % - Markeringsfarve3 4 2 2 2" xfId="3722" xr:uid="{00000000-0005-0000-0000-000027680000}"/>
    <cellStyle name="40 % - Markeringsfarve3 4 2 2 2 2" xfId="7591" xr:uid="{00000000-0005-0000-0000-000028680000}"/>
    <cellStyle name="40 % - Markeringsfarve3 4 2 2 2 2 2" xfId="15493" xr:uid="{00000000-0005-0000-0000-000029680000}"/>
    <cellStyle name="40 % - Markeringsfarve3 4 2 2 2 2 2 2" xfId="31808" xr:uid="{00000000-0005-0000-0000-00002A680000}"/>
    <cellStyle name="40 % - Markeringsfarve3 4 2 2 2 2 2 3" xfId="46772" xr:uid="{00000000-0005-0000-0000-00002B680000}"/>
    <cellStyle name="40 % - Markeringsfarve3 4 2 2 2 2 3" xfId="24786" xr:uid="{00000000-0005-0000-0000-00002C680000}"/>
    <cellStyle name="40 % - Markeringsfarve3 4 2 2 2 2 4" xfId="39773" xr:uid="{00000000-0005-0000-0000-00002D680000}"/>
    <cellStyle name="40 % - Markeringsfarve3 4 2 2 2 3" xfId="12282" xr:uid="{00000000-0005-0000-0000-00002E680000}"/>
    <cellStyle name="40 % - Markeringsfarve3 4 2 2 2 3 2" xfId="28602" xr:uid="{00000000-0005-0000-0000-00002F680000}"/>
    <cellStyle name="40 % - Markeringsfarve3 4 2 2 2 3 3" xfId="43567" xr:uid="{00000000-0005-0000-0000-000030680000}"/>
    <cellStyle name="40 % - Markeringsfarve3 4 2 2 2 4" xfId="21580" xr:uid="{00000000-0005-0000-0000-000031680000}"/>
    <cellStyle name="40 % - Markeringsfarve3 4 2 2 2 5" xfId="36568" xr:uid="{00000000-0005-0000-0000-000032680000}"/>
    <cellStyle name="40 % - Markeringsfarve3 4 2 2 3" xfId="6167" xr:uid="{00000000-0005-0000-0000-000033680000}"/>
    <cellStyle name="40 % - Markeringsfarve3 4 2 2 3 2" xfId="14085" xr:uid="{00000000-0005-0000-0000-000034680000}"/>
    <cellStyle name="40 % - Markeringsfarve3 4 2 2 3 2 2" xfId="30400" xr:uid="{00000000-0005-0000-0000-000035680000}"/>
    <cellStyle name="40 % - Markeringsfarve3 4 2 2 3 2 3" xfId="45364" xr:uid="{00000000-0005-0000-0000-000036680000}"/>
    <cellStyle name="40 % - Markeringsfarve3 4 2 2 3 3" xfId="23378" xr:uid="{00000000-0005-0000-0000-000037680000}"/>
    <cellStyle name="40 % - Markeringsfarve3 4 2 2 3 4" xfId="38365" xr:uid="{00000000-0005-0000-0000-000038680000}"/>
    <cellStyle name="40 % - Markeringsfarve3 4 2 2 4" xfId="12281" xr:uid="{00000000-0005-0000-0000-000039680000}"/>
    <cellStyle name="40 % - Markeringsfarve3 4 2 2 4 2" xfId="28601" xr:uid="{00000000-0005-0000-0000-00003A680000}"/>
    <cellStyle name="40 % - Markeringsfarve3 4 2 2 4 3" xfId="43566" xr:uid="{00000000-0005-0000-0000-00003B680000}"/>
    <cellStyle name="40 % - Markeringsfarve3 4 2 2 5" xfId="21579" xr:uid="{00000000-0005-0000-0000-00003C680000}"/>
    <cellStyle name="40 % - Markeringsfarve3 4 2 2 6" xfId="36567" xr:uid="{00000000-0005-0000-0000-00003D680000}"/>
    <cellStyle name="40 % - Markeringsfarve3 4 2 2 7" xfId="57128" xr:uid="{00000000-0005-0000-0000-00003E680000}"/>
    <cellStyle name="40 % - Markeringsfarve3 4 2 3" xfId="3723" xr:uid="{00000000-0005-0000-0000-00003F680000}"/>
    <cellStyle name="40 % - Markeringsfarve3 4 2 3 2" xfId="6821" xr:uid="{00000000-0005-0000-0000-000040680000}"/>
    <cellStyle name="40 % - Markeringsfarve3 4 2 3 2 2" xfId="14733" xr:uid="{00000000-0005-0000-0000-000041680000}"/>
    <cellStyle name="40 % - Markeringsfarve3 4 2 3 2 2 2" xfId="31048" xr:uid="{00000000-0005-0000-0000-000042680000}"/>
    <cellStyle name="40 % - Markeringsfarve3 4 2 3 2 2 3" xfId="46012" xr:uid="{00000000-0005-0000-0000-000043680000}"/>
    <cellStyle name="40 % - Markeringsfarve3 4 2 3 2 3" xfId="24026" xr:uid="{00000000-0005-0000-0000-000044680000}"/>
    <cellStyle name="40 % - Markeringsfarve3 4 2 3 2 4" xfId="39013" xr:uid="{00000000-0005-0000-0000-000045680000}"/>
    <cellStyle name="40 % - Markeringsfarve3 4 2 3 3" xfId="12283" xr:uid="{00000000-0005-0000-0000-000046680000}"/>
    <cellStyle name="40 % - Markeringsfarve3 4 2 3 3 2" xfId="28603" xr:uid="{00000000-0005-0000-0000-000047680000}"/>
    <cellStyle name="40 % - Markeringsfarve3 4 2 3 3 3" xfId="43568" xr:uid="{00000000-0005-0000-0000-000048680000}"/>
    <cellStyle name="40 % - Markeringsfarve3 4 2 3 4" xfId="21581" xr:uid="{00000000-0005-0000-0000-000049680000}"/>
    <cellStyle name="40 % - Markeringsfarve3 4 2 3 5" xfId="36569" xr:uid="{00000000-0005-0000-0000-00004A680000}"/>
    <cellStyle name="40 % - Markeringsfarve3 4 2 4" xfId="3724" xr:uid="{00000000-0005-0000-0000-00004B680000}"/>
    <cellStyle name="40 % - Markeringsfarve3 4 2 4 2" xfId="8187" xr:uid="{00000000-0005-0000-0000-00004C680000}"/>
    <cellStyle name="40 % - Markeringsfarve3 4 2 4 2 2" xfId="16085" xr:uid="{00000000-0005-0000-0000-00004D680000}"/>
    <cellStyle name="40 % - Markeringsfarve3 4 2 4 2 2 2" xfId="32400" xr:uid="{00000000-0005-0000-0000-00004E680000}"/>
    <cellStyle name="40 % - Markeringsfarve3 4 2 4 2 2 3" xfId="47364" xr:uid="{00000000-0005-0000-0000-00004F680000}"/>
    <cellStyle name="40 % - Markeringsfarve3 4 2 4 2 3" xfId="25378" xr:uid="{00000000-0005-0000-0000-000050680000}"/>
    <cellStyle name="40 % - Markeringsfarve3 4 2 4 2 4" xfId="40365" xr:uid="{00000000-0005-0000-0000-000051680000}"/>
    <cellStyle name="40 % - Markeringsfarve3 4 2 4 3" xfId="12284" xr:uid="{00000000-0005-0000-0000-000052680000}"/>
    <cellStyle name="40 % - Markeringsfarve3 4 2 4 3 2" xfId="28604" xr:uid="{00000000-0005-0000-0000-000053680000}"/>
    <cellStyle name="40 % - Markeringsfarve3 4 2 4 3 3" xfId="43569" xr:uid="{00000000-0005-0000-0000-000054680000}"/>
    <cellStyle name="40 % - Markeringsfarve3 4 2 4 4" xfId="21582" xr:uid="{00000000-0005-0000-0000-000055680000}"/>
    <cellStyle name="40 % - Markeringsfarve3 4 2 4 5" xfId="36570" xr:uid="{00000000-0005-0000-0000-000056680000}"/>
    <cellStyle name="40 % - Markeringsfarve3 4 2 5" xfId="5836" xr:uid="{00000000-0005-0000-0000-000057680000}"/>
    <cellStyle name="40 % - Markeringsfarve3 4 2 5 2" xfId="13755" xr:uid="{00000000-0005-0000-0000-000058680000}"/>
    <cellStyle name="40 % - Markeringsfarve3 4 2 5 2 2" xfId="30070" xr:uid="{00000000-0005-0000-0000-000059680000}"/>
    <cellStyle name="40 % - Markeringsfarve3 4 2 5 2 3" xfId="45034" xr:uid="{00000000-0005-0000-0000-00005A680000}"/>
    <cellStyle name="40 % - Markeringsfarve3 4 2 5 3" xfId="23048" xr:uid="{00000000-0005-0000-0000-00005B680000}"/>
    <cellStyle name="40 % - Markeringsfarve3 4 2 5 4" xfId="38035" xr:uid="{00000000-0005-0000-0000-00005C680000}"/>
    <cellStyle name="40 % - Markeringsfarve3 4 2 6" xfId="12280" xr:uid="{00000000-0005-0000-0000-00005D680000}"/>
    <cellStyle name="40 % - Markeringsfarve3 4 2 6 2" xfId="28600" xr:uid="{00000000-0005-0000-0000-00005E680000}"/>
    <cellStyle name="40 % - Markeringsfarve3 4 2 6 3" xfId="43565" xr:uid="{00000000-0005-0000-0000-00005F680000}"/>
    <cellStyle name="40 % - Markeringsfarve3 4 2 7" xfId="21578" xr:uid="{00000000-0005-0000-0000-000060680000}"/>
    <cellStyle name="40 % - Markeringsfarve3 4 2 8" xfId="36566" xr:uid="{00000000-0005-0000-0000-000061680000}"/>
    <cellStyle name="40 % - Markeringsfarve3 4 2 9" xfId="53961" xr:uid="{00000000-0005-0000-0000-000062680000}"/>
    <cellStyle name="40 % - Markeringsfarve3 4 3" xfId="3725" xr:uid="{00000000-0005-0000-0000-000063680000}"/>
    <cellStyle name="40 % - Markeringsfarve3 4 3 2" xfId="3726" xr:uid="{00000000-0005-0000-0000-000064680000}"/>
    <cellStyle name="40 % - Markeringsfarve3 4 3 2 2" xfId="3727" xr:uid="{00000000-0005-0000-0000-000065680000}"/>
    <cellStyle name="40 % - Markeringsfarve3 4 3 2 2 2" xfId="7743" xr:uid="{00000000-0005-0000-0000-000066680000}"/>
    <cellStyle name="40 % - Markeringsfarve3 4 3 2 2 2 2" xfId="15645" xr:uid="{00000000-0005-0000-0000-000067680000}"/>
    <cellStyle name="40 % - Markeringsfarve3 4 3 2 2 2 2 2" xfId="31960" xr:uid="{00000000-0005-0000-0000-000068680000}"/>
    <cellStyle name="40 % - Markeringsfarve3 4 3 2 2 2 2 3" xfId="46924" xr:uid="{00000000-0005-0000-0000-000069680000}"/>
    <cellStyle name="40 % - Markeringsfarve3 4 3 2 2 2 3" xfId="24938" xr:uid="{00000000-0005-0000-0000-00006A680000}"/>
    <cellStyle name="40 % - Markeringsfarve3 4 3 2 2 2 4" xfId="39925" xr:uid="{00000000-0005-0000-0000-00006B680000}"/>
    <cellStyle name="40 % - Markeringsfarve3 4 3 2 2 3" xfId="12287" xr:uid="{00000000-0005-0000-0000-00006C680000}"/>
    <cellStyle name="40 % - Markeringsfarve3 4 3 2 2 3 2" xfId="28607" xr:uid="{00000000-0005-0000-0000-00006D680000}"/>
    <cellStyle name="40 % - Markeringsfarve3 4 3 2 2 3 3" xfId="43572" xr:uid="{00000000-0005-0000-0000-00006E680000}"/>
    <cellStyle name="40 % - Markeringsfarve3 4 3 2 2 4" xfId="21585" xr:uid="{00000000-0005-0000-0000-00006F680000}"/>
    <cellStyle name="40 % - Markeringsfarve3 4 3 2 2 5" xfId="36573" xr:uid="{00000000-0005-0000-0000-000070680000}"/>
    <cellStyle name="40 % - Markeringsfarve3 4 3 2 3" xfId="6289" xr:uid="{00000000-0005-0000-0000-000071680000}"/>
    <cellStyle name="40 % - Markeringsfarve3 4 3 2 3 2" xfId="14207" xr:uid="{00000000-0005-0000-0000-000072680000}"/>
    <cellStyle name="40 % - Markeringsfarve3 4 3 2 3 2 2" xfId="30522" xr:uid="{00000000-0005-0000-0000-000073680000}"/>
    <cellStyle name="40 % - Markeringsfarve3 4 3 2 3 2 3" xfId="45486" xr:uid="{00000000-0005-0000-0000-000074680000}"/>
    <cellStyle name="40 % - Markeringsfarve3 4 3 2 3 3" xfId="23500" xr:uid="{00000000-0005-0000-0000-000075680000}"/>
    <cellStyle name="40 % - Markeringsfarve3 4 3 2 3 4" xfId="38487" xr:uid="{00000000-0005-0000-0000-000076680000}"/>
    <cellStyle name="40 % - Markeringsfarve3 4 3 2 4" xfId="12286" xr:uid="{00000000-0005-0000-0000-000077680000}"/>
    <cellStyle name="40 % - Markeringsfarve3 4 3 2 4 2" xfId="28606" xr:uid="{00000000-0005-0000-0000-000078680000}"/>
    <cellStyle name="40 % - Markeringsfarve3 4 3 2 4 3" xfId="43571" xr:uid="{00000000-0005-0000-0000-000079680000}"/>
    <cellStyle name="40 % - Markeringsfarve3 4 3 2 5" xfId="21584" xr:uid="{00000000-0005-0000-0000-00007A680000}"/>
    <cellStyle name="40 % - Markeringsfarve3 4 3 2 6" xfId="36572" xr:uid="{00000000-0005-0000-0000-00007B680000}"/>
    <cellStyle name="40 % - Markeringsfarve3 4 3 3" xfId="3728" xr:uid="{00000000-0005-0000-0000-00007C680000}"/>
    <cellStyle name="40 % - Markeringsfarve3 4 3 3 2" xfId="6973" xr:uid="{00000000-0005-0000-0000-00007D680000}"/>
    <cellStyle name="40 % - Markeringsfarve3 4 3 3 2 2" xfId="14885" xr:uid="{00000000-0005-0000-0000-00007E680000}"/>
    <cellStyle name="40 % - Markeringsfarve3 4 3 3 2 2 2" xfId="31200" xr:uid="{00000000-0005-0000-0000-00007F680000}"/>
    <cellStyle name="40 % - Markeringsfarve3 4 3 3 2 2 3" xfId="46164" xr:uid="{00000000-0005-0000-0000-000080680000}"/>
    <cellStyle name="40 % - Markeringsfarve3 4 3 3 2 3" xfId="24178" xr:uid="{00000000-0005-0000-0000-000081680000}"/>
    <cellStyle name="40 % - Markeringsfarve3 4 3 3 2 4" xfId="39165" xr:uid="{00000000-0005-0000-0000-000082680000}"/>
    <cellStyle name="40 % - Markeringsfarve3 4 3 3 3" xfId="12288" xr:uid="{00000000-0005-0000-0000-000083680000}"/>
    <cellStyle name="40 % - Markeringsfarve3 4 3 3 3 2" xfId="28608" xr:uid="{00000000-0005-0000-0000-000084680000}"/>
    <cellStyle name="40 % - Markeringsfarve3 4 3 3 3 3" xfId="43573" xr:uid="{00000000-0005-0000-0000-000085680000}"/>
    <cellStyle name="40 % - Markeringsfarve3 4 3 3 4" xfId="21586" xr:uid="{00000000-0005-0000-0000-000086680000}"/>
    <cellStyle name="40 % - Markeringsfarve3 4 3 3 5" xfId="36574" xr:uid="{00000000-0005-0000-0000-000087680000}"/>
    <cellStyle name="40 % - Markeringsfarve3 4 3 4" xfId="3729" xr:uid="{00000000-0005-0000-0000-000088680000}"/>
    <cellStyle name="40 % - Markeringsfarve3 4 3 4 2" xfId="7003" xr:uid="{00000000-0005-0000-0000-000089680000}"/>
    <cellStyle name="40 % - Markeringsfarve3 4 3 4 2 2" xfId="14915" xr:uid="{00000000-0005-0000-0000-00008A680000}"/>
    <cellStyle name="40 % - Markeringsfarve3 4 3 4 2 2 2" xfId="31230" xr:uid="{00000000-0005-0000-0000-00008B680000}"/>
    <cellStyle name="40 % - Markeringsfarve3 4 3 4 2 2 3" xfId="46194" xr:uid="{00000000-0005-0000-0000-00008C680000}"/>
    <cellStyle name="40 % - Markeringsfarve3 4 3 4 2 3" xfId="24208" xr:uid="{00000000-0005-0000-0000-00008D680000}"/>
    <cellStyle name="40 % - Markeringsfarve3 4 3 4 2 4" xfId="39195" xr:uid="{00000000-0005-0000-0000-00008E680000}"/>
    <cellStyle name="40 % - Markeringsfarve3 4 3 4 3" xfId="12289" xr:uid="{00000000-0005-0000-0000-00008F680000}"/>
    <cellStyle name="40 % - Markeringsfarve3 4 3 4 3 2" xfId="28609" xr:uid="{00000000-0005-0000-0000-000090680000}"/>
    <cellStyle name="40 % - Markeringsfarve3 4 3 4 3 3" xfId="43574" xr:uid="{00000000-0005-0000-0000-000091680000}"/>
    <cellStyle name="40 % - Markeringsfarve3 4 3 4 4" xfId="21587" xr:uid="{00000000-0005-0000-0000-000092680000}"/>
    <cellStyle name="40 % - Markeringsfarve3 4 3 4 5" xfId="36575" xr:uid="{00000000-0005-0000-0000-000093680000}"/>
    <cellStyle name="40 % - Markeringsfarve3 4 3 5" xfId="5837" xr:uid="{00000000-0005-0000-0000-000094680000}"/>
    <cellStyle name="40 % - Markeringsfarve3 4 3 5 2" xfId="13756" xr:uid="{00000000-0005-0000-0000-000095680000}"/>
    <cellStyle name="40 % - Markeringsfarve3 4 3 5 2 2" xfId="30071" xr:uid="{00000000-0005-0000-0000-000096680000}"/>
    <cellStyle name="40 % - Markeringsfarve3 4 3 5 2 3" xfId="45035" xr:uid="{00000000-0005-0000-0000-000097680000}"/>
    <cellStyle name="40 % - Markeringsfarve3 4 3 5 3" xfId="23049" xr:uid="{00000000-0005-0000-0000-000098680000}"/>
    <cellStyle name="40 % - Markeringsfarve3 4 3 5 4" xfId="38036" xr:uid="{00000000-0005-0000-0000-000099680000}"/>
    <cellStyle name="40 % - Markeringsfarve3 4 3 6" xfId="12285" xr:uid="{00000000-0005-0000-0000-00009A680000}"/>
    <cellStyle name="40 % - Markeringsfarve3 4 3 6 2" xfId="28605" xr:uid="{00000000-0005-0000-0000-00009B680000}"/>
    <cellStyle name="40 % - Markeringsfarve3 4 3 6 3" xfId="43570" xr:uid="{00000000-0005-0000-0000-00009C680000}"/>
    <cellStyle name="40 % - Markeringsfarve3 4 3 7" xfId="21583" xr:uid="{00000000-0005-0000-0000-00009D680000}"/>
    <cellStyle name="40 % - Markeringsfarve3 4 3 8" xfId="36571" xr:uid="{00000000-0005-0000-0000-00009E680000}"/>
    <cellStyle name="40 % - Markeringsfarve3 4 3 9" xfId="56505" xr:uid="{00000000-0005-0000-0000-00009F680000}"/>
    <cellStyle name="40 % - Markeringsfarve3 4 4" xfId="3730" xr:uid="{00000000-0005-0000-0000-0000A0680000}"/>
    <cellStyle name="40 % - Markeringsfarve3 4 4 2" xfId="3731" xr:uid="{00000000-0005-0000-0000-0000A1680000}"/>
    <cellStyle name="40 % - Markeringsfarve3 4 4 2 2" xfId="3732" xr:uid="{00000000-0005-0000-0000-0000A2680000}"/>
    <cellStyle name="40 % - Markeringsfarve3 4 4 2 2 2" xfId="7829" xr:uid="{00000000-0005-0000-0000-0000A3680000}"/>
    <cellStyle name="40 % - Markeringsfarve3 4 4 2 2 2 2" xfId="15731" xr:uid="{00000000-0005-0000-0000-0000A4680000}"/>
    <cellStyle name="40 % - Markeringsfarve3 4 4 2 2 2 2 2" xfId="32046" xr:uid="{00000000-0005-0000-0000-0000A5680000}"/>
    <cellStyle name="40 % - Markeringsfarve3 4 4 2 2 2 2 3" xfId="47010" xr:uid="{00000000-0005-0000-0000-0000A6680000}"/>
    <cellStyle name="40 % - Markeringsfarve3 4 4 2 2 2 3" xfId="25024" xr:uid="{00000000-0005-0000-0000-0000A7680000}"/>
    <cellStyle name="40 % - Markeringsfarve3 4 4 2 2 2 4" xfId="40011" xr:uid="{00000000-0005-0000-0000-0000A8680000}"/>
    <cellStyle name="40 % - Markeringsfarve3 4 4 2 2 3" xfId="12292" xr:uid="{00000000-0005-0000-0000-0000A9680000}"/>
    <cellStyle name="40 % - Markeringsfarve3 4 4 2 2 3 2" xfId="28612" xr:uid="{00000000-0005-0000-0000-0000AA680000}"/>
    <cellStyle name="40 % - Markeringsfarve3 4 4 2 2 3 3" xfId="43577" xr:uid="{00000000-0005-0000-0000-0000AB680000}"/>
    <cellStyle name="40 % - Markeringsfarve3 4 4 2 2 4" xfId="21590" xr:uid="{00000000-0005-0000-0000-0000AC680000}"/>
    <cellStyle name="40 % - Markeringsfarve3 4 4 2 2 5" xfId="36578" xr:uid="{00000000-0005-0000-0000-0000AD680000}"/>
    <cellStyle name="40 % - Markeringsfarve3 4 4 2 3" xfId="6369" xr:uid="{00000000-0005-0000-0000-0000AE680000}"/>
    <cellStyle name="40 % - Markeringsfarve3 4 4 2 3 2" xfId="14284" xr:uid="{00000000-0005-0000-0000-0000AF680000}"/>
    <cellStyle name="40 % - Markeringsfarve3 4 4 2 3 2 2" xfId="30599" xr:uid="{00000000-0005-0000-0000-0000B0680000}"/>
    <cellStyle name="40 % - Markeringsfarve3 4 4 2 3 2 3" xfId="45563" xr:uid="{00000000-0005-0000-0000-0000B1680000}"/>
    <cellStyle name="40 % - Markeringsfarve3 4 4 2 3 3" xfId="23577" xr:uid="{00000000-0005-0000-0000-0000B2680000}"/>
    <cellStyle name="40 % - Markeringsfarve3 4 4 2 3 4" xfId="38564" xr:uid="{00000000-0005-0000-0000-0000B3680000}"/>
    <cellStyle name="40 % - Markeringsfarve3 4 4 2 4" xfId="12291" xr:uid="{00000000-0005-0000-0000-0000B4680000}"/>
    <cellStyle name="40 % - Markeringsfarve3 4 4 2 4 2" xfId="28611" xr:uid="{00000000-0005-0000-0000-0000B5680000}"/>
    <cellStyle name="40 % - Markeringsfarve3 4 4 2 4 3" xfId="43576" xr:uid="{00000000-0005-0000-0000-0000B6680000}"/>
    <cellStyle name="40 % - Markeringsfarve3 4 4 2 5" xfId="21589" xr:uid="{00000000-0005-0000-0000-0000B7680000}"/>
    <cellStyle name="40 % - Markeringsfarve3 4 4 2 6" xfId="36577" xr:uid="{00000000-0005-0000-0000-0000B8680000}"/>
    <cellStyle name="40 % - Markeringsfarve3 4 4 3" xfId="3733" xr:uid="{00000000-0005-0000-0000-0000B9680000}"/>
    <cellStyle name="40 % - Markeringsfarve3 4 4 3 2" xfId="7105" xr:uid="{00000000-0005-0000-0000-0000BA680000}"/>
    <cellStyle name="40 % - Markeringsfarve3 4 4 3 2 2" xfId="15016" xr:uid="{00000000-0005-0000-0000-0000BB680000}"/>
    <cellStyle name="40 % - Markeringsfarve3 4 4 3 2 2 2" xfId="31331" xr:uid="{00000000-0005-0000-0000-0000BC680000}"/>
    <cellStyle name="40 % - Markeringsfarve3 4 4 3 2 2 3" xfId="46295" xr:uid="{00000000-0005-0000-0000-0000BD680000}"/>
    <cellStyle name="40 % - Markeringsfarve3 4 4 3 2 3" xfId="24309" xr:uid="{00000000-0005-0000-0000-0000BE680000}"/>
    <cellStyle name="40 % - Markeringsfarve3 4 4 3 2 4" xfId="39296" xr:uid="{00000000-0005-0000-0000-0000BF680000}"/>
    <cellStyle name="40 % - Markeringsfarve3 4 4 3 3" xfId="12293" xr:uid="{00000000-0005-0000-0000-0000C0680000}"/>
    <cellStyle name="40 % - Markeringsfarve3 4 4 3 3 2" xfId="28613" xr:uid="{00000000-0005-0000-0000-0000C1680000}"/>
    <cellStyle name="40 % - Markeringsfarve3 4 4 3 3 3" xfId="43578" xr:uid="{00000000-0005-0000-0000-0000C2680000}"/>
    <cellStyle name="40 % - Markeringsfarve3 4 4 3 4" xfId="21591" xr:uid="{00000000-0005-0000-0000-0000C3680000}"/>
    <cellStyle name="40 % - Markeringsfarve3 4 4 3 5" xfId="36579" xr:uid="{00000000-0005-0000-0000-0000C4680000}"/>
    <cellStyle name="40 % - Markeringsfarve3 4 4 4" xfId="3734" xr:uid="{00000000-0005-0000-0000-0000C5680000}"/>
    <cellStyle name="40 % - Markeringsfarve3 4 4 4 2" xfId="7016" xr:uid="{00000000-0005-0000-0000-0000C6680000}"/>
    <cellStyle name="40 % - Markeringsfarve3 4 4 4 2 2" xfId="14928" xr:uid="{00000000-0005-0000-0000-0000C7680000}"/>
    <cellStyle name="40 % - Markeringsfarve3 4 4 4 2 2 2" xfId="31243" xr:uid="{00000000-0005-0000-0000-0000C8680000}"/>
    <cellStyle name="40 % - Markeringsfarve3 4 4 4 2 2 3" xfId="46207" xr:uid="{00000000-0005-0000-0000-0000C9680000}"/>
    <cellStyle name="40 % - Markeringsfarve3 4 4 4 2 3" xfId="24221" xr:uid="{00000000-0005-0000-0000-0000CA680000}"/>
    <cellStyle name="40 % - Markeringsfarve3 4 4 4 2 4" xfId="39208" xr:uid="{00000000-0005-0000-0000-0000CB680000}"/>
    <cellStyle name="40 % - Markeringsfarve3 4 4 4 3" xfId="12294" xr:uid="{00000000-0005-0000-0000-0000CC680000}"/>
    <cellStyle name="40 % - Markeringsfarve3 4 4 4 3 2" xfId="28614" xr:uid="{00000000-0005-0000-0000-0000CD680000}"/>
    <cellStyle name="40 % - Markeringsfarve3 4 4 4 3 3" xfId="43579" xr:uid="{00000000-0005-0000-0000-0000CE680000}"/>
    <cellStyle name="40 % - Markeringsfarve3 4 4 4 4" xfId="21592" xr:uid="{00000000-0005-0000-0000-0000CF680000}"/>
    <cellStyle name="40 % - Markeringsfarve3 4 4 4 5" xfId="36580" xr:uid="{00000000-0005-0000-0000-0000D0680000}"/>
    <cellStyle name="40 % - Markeringsfarve3 4 4 5" xfId="5838" xr:uid="{00000000-0005-0000-0000-0000D1680000}"/>
    <cellStyle name="40 % - Markeringsfarve3 4 4 5 2" xfId="13757" xr:uid="{00000000-0005-0000-0000-0000D2680000}"/>
    <cellStyle name="40 % - Markeringsfarve3 4 4 5 2 2" xfId="30072" xr:uid="{00000000-0005-0000-0000-0000D3680000}"/>
    <cellStyle name="40 % - Markeringsfarve3 4 4 5 2 3" xfId="45036" xr:uid="{00000000-0005-0000-0000-0000D4680000}"/>
    <cellStyle name="40 % - Markeringsfarve3 4 4 5 3" xfId="23050" xr:uid="{00000000-0005-0000-0000-0000D5680000}"/>
    <cellStyle name="40 % - Markeringsfarve3 4 4 5 4" xfId="38037" xr:uid="{00000000-0005-0000-0000-0000D6680000}"/>
    <cellStyle name="40 % - Markeringsfarve3 4 4 6" xfId="12290" xr:uid="{00000000-0005-0000-0000-0000D7680000}"/>
    <cellStyle name="40 % - Markeringsfarve3 4 4 6 2" xfId="28610" xr:uid="{00000000-0005-0000-0000-0000D8680000}"/>
    <cellStyle name="40 % - Markeringsfarve3 4 4 6 3" xfId="43575" xr:uid="{00000000-0005-0000-0000-0000D9680000}"/>
    <cellStyle name="40 % - Markeringsfarve3 4 4 7" xfId="21588" xr:uid="{00000000-0005-0000-0000-0000DA680000}"/>
    <cellStyle name="40 % - Markeringsfarve3 4 4 8" xfId="36576" xr:uid="{00000000-0005-0000-0000-0000DB680000}"/>
    <cellStyle name="40 % - Markeringsfarve3 4 5" xfId="3735" xr:uid="{00000000-0005-0000-0000-0000DC680000}"/>
    <cellStyle name="40 % - Markeringsfarve3 4 5 2" xfId="3736" xr:uid="{00000000-0005-0000-0000-0000DD680000}"/>
    <cellStyle name="40 % - Markeringsfarve3 4 5 2 2" xfId="3737" xr:uid="{00000000-0005-0000-0000-0000DE680000}"/>
    <cellStyle name="40 % - Markeringsfarve3 4 5 2 2 2" xfId="7946" xr:uid="{00000000-0005-0000-0000-0000DF680000}"/>
    <cellStyle name="40 % - Markeringsfarve3 4 5 2 2 2 2" xfId="15848" xr:uid="{00000000-0005-0000-0000-0000E0680000}"/>
    <cellStyle name="40 % - Markeringsfarve3 4 5 2 2 2 2 2" xfId="32163" xr:uid="{00000000-0005-0000-0000-0000E1680000}"/>
    <cellStyle name="40 % - Markeringsfarve3 4 5 2 2 2 2 3" xfId="47127" xr:uid="{00000000-0005-0000-0000-0000E2680000}"/>
    <cellStyle name="40 % - Markeringsfarve3 4 5 2 2 2 3" xfId="25141" xr:uid="{00000000-0005-0000-0000-0000E3680000}"/>
    <cellStyle name="40 % - Markeringsfarve3 4 5 2 2 2 4" xfId="40128" xr:uid="{00000000-0005-0000-0000-0000E4680000}"/>
    <cellStyle name="40 % - Markeringsfarve3 4 5 2 2 3" xfId="12297" xr:uid="{00000000-0005-0000-0000-0000E5680000}"/>
    <cellStyle name="40 % - Markeringsfarve3 4 5 2 2 3 2" xfId="28617" xr:uid="{00000000-0005-0000-0000-0000E6680000}"/>
    <cellStyle name="40 % - Markeringsfarve3 4 5 2 2 3 3" xfId="43582" xr:uid="{00000000-0005-0000-0000-0000E7680000}"/>
    <cellStyle name="40 % - Markeringsfarve3 4 5 2 2 4" xfId="21595" xr:uid="{00000000-0005-0000-0000-0000E8680000}"/>
    <cellStyle name="40 % - Markeringsfarve3 4 5 2 2 5" xfId="36583" xr:uid="{00000000-0005-0000-0000-0000E9680000}"/>
    <cellStyle name="40 % - Markeringsfarve3 4 5 2 3" xfId="6468" xr:uid="{00000000-0005-0000-0000-0000EA680000}"/>
    <cellStyle name="40 % - Markeringsfarve3 4 5 2 3 2" xfId="14383" xr:uid="{00000000-0005-0000-0000-0000EB680000}"/>
    <cellStyle name="40 % - Markeringsfarve3 4 5 2 3 2 2" xfId="30698" xr:uid="{00000000-0005-0000-0000-0000EC680000}"/>
    <cellStyle name="40 % - Markeringsfarve3 4 5 2 3 2 3" xfId="45662" xr:uid="{00000000-0005-0000-0000-0000ED680000}"/>
    <cellStyle name="40 % - Markeringsfarve3 4 5 2 3 3" xfId="23676" xr:uid="{00000000-0005-0000-0000-0000EE680000}"/>
    <cellStyle name="40 % - Markeringsfarve3 4 5 2 3 4" xfId="38663" xr:uid="{00000000-0005-0000-0000-0000EF680000}"/>
    <cellStyle name="40 % - Markeringsfarve3 4 5 2 4" xfId="12296" xr:uid="{00000000-0005-0000-0000-0000F0680000}"/>
    <cellStyle name="40 % - Markeringsfarve3 4 5 2 4 2" xfId="28616" xr:uid="{00000000-0005-0000-0000-0000F1680000}"/>
    <cellStyle name="40 % - Markeringsfarve3 4 5 2 4 3" xfId="43581" xr:uid="{00000000-0005-0000-0000-0000F2680000}"/>
    <cellStyle name="40 % - Markeringsfarve3 4 5 2 5" xfId="21594" xr:uid="{00000000-0005-0000-0000-0000F3680000}"/>
    <cellStyle name="40 % - Markeringsfarve3 4 5 2 6" xfId="36582" xr:uid="{00000000-0005-0000-0000-0000F4680000}"/>
    <cellStyle name="40 % - Markeringsfarve3 4 5 3" xfId="3738" xr:uid="{00000000-0005-0000-0000-0000F5680000}"/>
    <cellStyle name="40 % - Markeringsfarve3 4 5 3 2" xfId="7222" xr:uid="{00000000-0005-0000-0000-0000F6680000}"/>
    <cellStyle name="40 % - Markeringsfarve3 4 5 3 2 2" xfId="15133" xr:uid="{00000000-0005-0000-0000-0000F7680000}"/>
    <cellStyle name="40 % - Markeringsfarve3 4 5 3 2 2 2" xfId="31448" xr:uid="{00000000-0005-0000-0000-0000F8680000}"/>
    <cellStyle name="40 % - Markeringsfarve3 4 5 3 2 2 3" xfId="46412" xr:uid="{00000000-0005-0000-0000-0000F9680000}"/>
    <cellStyle name="40 % - Markeringsfarve3 4 5 3 2 3" xfId="24426" xr:uid="{00000000-0005-0000-0000-0000FA680000}"/>
    <cellStyle name="40 % - Markeringsfarve3 4 5 3 2 4" xfId="39413" xr:uid="{00000000-0005-0000-0000-0000FB680000}"/>
    <cellStyle name="40 % - Markeringsfarve3 4 5 3 3" xfId="12298" xr:uid="{00000000-0005-0000-0000-0000FC680000}"/>
    <cellStyle name="40 % - Markeringsfarve3 4 5 3 3 2" xfId="28618" xr:uid="{00000000-0005-0000-0000-0000FD680000}"/>
    <cellStyle name="40 % - Markeringsfarve3 4 5 3 3 3" xfId="43583" xr:uid="{00000000-0005-0000-0000-0000FE680000}"/>
    <cellStyle name="40 % - Markeringsfarve3 4 5 3 4" xfId="21596" xr:uid="{00000000-0005-0000-0000-0000FF680000}"/>
    <cellStyle name="40 % - Markeringsfarve3 4 5 3 5" xfId="36584" xr:uid="{00000000-0005-0000-0000-000000690000}"/>
    <cellStyle name="40 % - Markeringsfarve3 4 5 4" xfId="3739" xr:uid="{00000000-0005-0000-0000-000001690000}"/>
    <cellStyle name="40 % - Markeringsfarve3 4 5 4 2" xfId="8467" xr:uid="{00000000-0005-0000-0000-000002690000}"/>
    <cellStyle name="40 % - Markeringsfarve3 4 5 4 2 2" xfId="16357" xr:uid="{00000000-0005-0000-0000-000003690000}"/>
    <cellStyle name="40 % - Markeringsfarve3 4 5 4 2 2 2" xfId="32672" xr:uid="{00000000-0005-0000-0000-000004690000}"/>
    <cellStyle name="40 % - Markeringsfarve3 4 5 4 2 2 3" xfId="47636" xr:uid="{00000000-0005-0000-0000-000005690000}"/>
    <cellStyle name="40 % - Markeringsfarve3 4 5 4 2 3" xfId="25650" xr:uid="{00000000-0005-0000-0000-000006690000}"/>
    <cellStyle name="40 % - Markeringsfarve3 4 5 4 2 4" xfId="40637" xr:uid="{00000000-0005-0000-0000-000007690000}"/>
    <cellStyle name="40 % - Markeringsfarve3 4 5 4 3" xfId="12299" xr:uid="{00000000-0005-0000-0000-000008690000}"/>
    <cellStyle name="40 % - Markeringsfarve3 4 5 4 3 2" xfId="28619" xr:uid="{00000000-0005-0000-0000-000009690000}"/>
    <cellStyle name="40 % - Markeringsfarve3 4 5 4 3 3" xfId="43584" xr:uid="{00000000-0005-0000-0000-00000A690000}"/>
    <cellStyle name="40 % - Markeringsfarve3 4 5 4 4" xfId="21597" xr:uid="{00000000-0005-0000-0000-00000B690000}"/>
    <cellStyle name="40 % - Markeringsfarve3 4 5 4 5" xfId="36585" xr:uid="{00000000-0005-0000-0000-00000C690000}"/>
    <cellStyle name="40 % - Markeringsfarve3 4 5 5" xfId="5839" xr:uid="{00000000-0005-0000-0000-00000D690000}"/>
    <cellStyle name="40 % - Markeringsfarve3 4 5 5 2" xfId="13758" xr:uid="{00000000-0005-0000-0000-00000E690000}"/>
    <cellStyle name="40 % - Markeringsfarve3 4 5 5 2 2" xfId="30073" xr:uid="{00000000-0005-0000-0000-00000F690000}"/>
    <cellStyle name="40 % - Markeringsfarve3 4 5 5 2 3" xfId="45037" xr:uid="{00000000-0005-0000-0000-000010690000}"/>
    <cellStyle name="40 % - Markeringsfarve3 4 5 5 3" xfId="23051" xr:uid="{00000000-0005-0000-0000-000011690000}"/>
    <cellStyle name="40 % - Markeringsfarve3 4 5 5 4" xfId="38038" xr:uid="{00000000-0005-0000-0000-000012690000}"/>
    <cellStyle name="40 % - Markeringsfarve3 4 5 6" xfId="12295" xr:uid="{00000000-0005-0000-0000-000013690000}"/>
    <cellStyle name="40 % - Markeringsfarve3 4 5 6 2" xfId="28615" xr:uid="{00000000-0005-0000-0000-000014690000}"/>
    <cellStyle name="40 % - Markeringsfarve3 4 5 6 3" xfId="43580" xr:uid="{00000000-0005-0000-0000-000015690000}"/>
    <cellStyle name="40 % - Markeringsfarve3 4 5 7" xfId="21593" xr:uid="{00000000-0005-0000-0000-000016690000}"/>
    <cellStyle name="40 % - Markeringsfarve3 4 5 8" xfId="36581" xr:uid="{00000000-0005-0000-0000-000017690000}"/>
    <cellStyle name="40 % - Markeringsfarve3 4 6" xfId="3740" xr:uid="{00000000-0005-0000-0000-000018690000}"/>
    <cellStyle name="40 % - Markeringsfarve3 4 6 2" xfId="3741" xr:uid="{00000000-0005-0000-0000-000019690000}"/>
    <cellStyle name="40 % - Markeringsfarve3 4 6 2 2" xfId="3742" xr:uid="{00000000-0005-0000-0000-00001A690000}"/>
    <cellStyle name="40 % - Markeringsfarve3 4 6 2 2 2" xfId="8098" xr:uid="{00000000-0005-0000-0000-00001B690000}"/>
    <cellStyle name="40 % - Markeringsfarve3 4 6 2 2 2 2" xfId="16000" xr:uid="{00000000-0005-0000-0000-00001C690000}"/>
    <cellStyle name="40 % - Markeringsfarve3 4 6 2 2 2 2 2" xfId="32315" xr:uid="{00000000-0005-0000-0000-00001D690000}"/>
    <cellStyle name="40 % - Markeringsfarve3 4 6 2 2 2 2 3" xfId="47279" xr:uid="{00000000-0005-0000-0000-00001E690000}"/>
    <cellStyle name="40 % - Markeringsfarve3 4 6 2 2 2 3" xfId="25293" xr:uid="{00000000-0005-0000-0000-00001F690000}"/>
    <cellStyle name="40 % - Markeringsfarve3 4 6 2 2 2 4" xfId="40280" xr:uid="{00000000-0005-0000-0000-000020690000}"/>
    <cellStyle name="40 % - Markeringsfarve3 4 6 2 2 3" xfId="12302" xr:uid="{00000000-0005-0000-0000-000021690000}"/>
    <cellStyle name="40 % - Markeringsfarve3 4 6 2 2 3 2" xfId="28622" xr:uid="{00000000-0005-0000-0000-000022690000}"/>
    <cellStyle name="40 % - Markeringsfarve3 4 6 2 2 3 3" xfId="43587" xr:uid="{00000000-0005-0000-0000-000023690000}"/>
    <cellStyle name="40 % - Markeringsfarve3 4 6 2 2 4" xfId="21600" xr:uid="{00000000-0005-0000-0000-000024690000}"/>
    <cellStyle name="40 % - Markeringsfarve3 4 6 2 2 5" xfId="36588" xr:uid="{00000000-0005-0000-0000-000025690000}"/>
    <cellStyle name="40 % - Markeringsfarve3 4 6 2 3" xfId="6591" xr:uid="{00000000-0005-0000-0000-000026690000}"/>
    <cellStyle name="40 % - Markeringsfarve3 4 6 2 3 2" xfId="14506" xr:uid="{00000000-0005-0000-0000-000027690000}"/>
    <cellStyle name="40 % - Markeringsfarve3 4 6 2 3 2 2" xfId="30821" xr:uid="{00000000-0005-0000-0000-000028690000}"/>
    <cellStyle name="40 % - Markeringsfarve3 4 6 2 3 2 3" xfId="45785" xr:uid="{00000000-0005-0000-0000-000029690000}"/>
    <cellStyle name="40 % - Markeringsfarve3 4 6 2 3 3" xfId="23799" xr:uid="{00000000-0005-0000-0000-00002A690000}"/>
    <cellStyle name="40 % - Markeringsfarve3 4 6 2 3 4" xfId="38786" xr:uid="{00000000-0005-0000-0000-00002B690000}"/>
    <cellStyle name="40 % - Markeringsfarve3 4 6 2 4" xfId="12301" xr:uid="{00000000-0005-0000-0000-00002C690000}"/>
    <cellStyle name="40 % - Markeringsfarve3 4 6 2 4 2" xfId="28621" xr:uid="{00000000-0005-0000-0000-00002D690000}"/>
    <cellStyle name="40 % - Markeringsfarve3 4 6 2 4 3" xfId="43586" xr:uid="{00000000-0005-0000-0000-00002E690000}"/>
    <cellStyle name="40 % - Markeringsfarve3 4 6 2 5" xfId="21599" xr:uid="{00000000-0005-0000-0000-00002F690000}"/>
    <cellStyle name="40 % - Markeringsfarve3 4 6 2 6" xfId="36587" xr:uid="{00000000-0005-0000-0000-000030690000}"/>
    <cellStyle name="40 % - Markeringsfarve3 4 6 3" xfId="3743" xr:uid="{00000000-0005-0000-0000-000031690000}"/>
    <cellStyle name="40 % - Markeringsfarve3 4 6 3 2" xfId="7375" xr:uid="{00000000-0005-0000-0000-000032690000}"/>
    <cellStyle name="40 % - Markeringsfarve3 4 6 3 2 2" xfId="15286" xr:uid="{00000000-0005-0000-0000-000033690000}"/>
    <cellStyle name="40 % - Markeringsfarve3 4 6 3 2 2 2" xfId="31601" xr:uid="{00000000-0005-0000-0000-000034690000}"/>
    <cellStyle name="40 % - Markeringsfarve3 4 6 3 2 2 3" xfId="46565" xr:uid="{00000000-0005-0000-0000-000035690000}"/>
    <cellStyle name="40 % - Markeringsfarve3 4 6 3 2 3" xfId="24579" xr:uid="{00000000-0005-0000-0000-000036690000}"/>
    <cellStyle name="40 % - Markeringsfarve3 4 6 3 2 4" xfId="39566" xr:uid="{00000000-0005-0000-0000-000037690000}"/>
    <cellStyle name="40 % - Markeringsfarve3 4 6 3 3" xfId="12303" xr:uid="{00000000-0005-0000-0000-000038690000}"/>
    <cellStyle name="40 % - Markeringsfarve3 4 6 3 3 2" xfId="28623" xr:uid="{00000000-0005-0000-0000-000039690000}"/>
    <cellStyle name="40 % - Markeringsfarve3 4 6 3 3 3" xfId="43588" xr:uid="{00000000-0005-0000-0000-00003A690000}"/>
    <cellStyle name="40 % - Markeringsfarve3 4 6 3 4" xfId="21601" xr:uid="{00000000-0005-0000-0000-00003B690000}"/>
    <cellStyle name="40 % - Markeringsfarve3 4 6 3 5" xfId="36589" xr:uid="{00000000-0005-0000-0000-00003C690000}"/>
    <cellStyle name="40 % - Markeringsfarve3 4 6 4" xfId="3744" xr:uid="{00000000-0005-0000-0000-00003D690000}"/>
    <cellStyle name="40 % - Markeringsfarve3 4 6 4 2" xfId="8710" xr:uid="{00000000-0005-0000-0000-00003E690000}"/>
    <cellStyle name="40 % - Markeringsfarve3 4 6 4 2 2" xfId="16587" xr:uid="{00000000-0005-0000-0000-00003F690000}"/>
    <cellStyle name="40 % - Markeringsfarve3 4 6 4 2 2 2" xfId="32902" xr:uid="{00000000-0005-0000-0000-000040690000}"/>
    <cellStyle name="40 % - Markeringsfarve3 4 6 4 2 2 3" xfId="47866" xr:uid="{00000000-0005-0000-0000-000041690000}"/>
    <cellStyle name="40 % - Markeringsfarve3 4 6 4 2 3" xfId="25880" xr:uid="{00000000-0005-0000-0000-000042690000}"/>
    <cellStyle name="40 % - Markeringsfarve3 4 6 4 2 4" xfId="40867" xr:uid="{00000000-0005-0000-0000-000043690000}"/>
    <cellStyle name="40 % - Markeringsfarve3 4 6 4 3" xfId="12304" xr:uid="{00000000-0005-0000-0000-000044690000}"/>
    <cellStyle name="40 % - Markeringsfarve3 4 6 4 3 2" xfId="28624" xr:uid="{00000000-0005-0000-0000-000045690000}"/>
    <cellStyle name="40 % - Markeringsfarve3 4 6 4 3 3" xfId="43589" xr:uid="{00000000-0005-0000-0000-000046690000}"/>
    <cellStyle name="40 % - Markeringsfarve3 4 6 4 4" xfId="21602" xr:uid="{00000000-0005-0000-0000-000047690000}"/>
    <cellStyle name="40 % - Markeringsfarve3 4 6 4 5" xfId="36590" xr:uid="{00000000-0005-0000-0000-000048690000}"/>
    <cellStyle name="40 % - Markeringsfarve3 4 6 5" xfId="5840" xr:uid="{00000000-0005-0000-0000-000049690000}"/>
    <cellStyle name="40 % - Markeringsfarve3 4 6 5 2" xfId="13759" xr:uid="{00000000-0005-0000-0000-00004A690000}"/>
    <cellStyle name="40 % - Markeringsfarve3 4 6 5 2 2" xfId="30074" xr:uid="{00000000-0005-0000-0000-00004B690000}"/>
    <cellStyle name="40 % - Markeringsfarve3 4 6 5 2 3" xfId="45038" xr:uid="{00000000-0005-0000-0000-00004C690000}"/>
    <cellStyle name="40 % - Markeringsfarve3 4 6 5 3" xfId="23052" xr:uid="{00000000-0005-0000-0000-00004D690000}"/>
    <cellStyle name="40 % - Markeringsfarve3 4 6 5 4" xfId="38039" xr:uid="{00000000-0005-0000-0000-00004E690000}"/>
    <cellStyle name="40 % - Markeringsfarve3 4 6 6" xfId="12300" xr:uid="{00000000-0005-0000-0000-00004F690000}"/>
    <cellStyle name="40 % - Markeringsfarve3 4 6 6 2" xfId="28620" xr:uid="{00000000-0005-0000-0000-000050690000}"/>
    <cellStyle name="40 % - Markeringsfarve3 4 6 6 3" xfId="43585" xr:uid="{00000000-0005-0000-0000-000051690000}"/>
    <cellStyle name="40 % - Markeringsfarve3 4 6 7" xfId="21598" xr:uid="{00000000-0005-0000-0000-000052690000}"/>
    <cellStyle name="40 % - Markeringsfarve3 4 6 8" xfId="36586" xr:uid="{00000000-0005-0000-0000-000053690000}"/>
    <cellStyle name="40 % - Markeringsfarve3 4 7" xfId="3745" xr:uid="{00000000-0005-0000-0000-000054690000}"/>
    <cellStyle name="40 % - Markeringsfarve3 4 7 2" xfId="3746" xr:uid="{00000000-0005-0000-0000-000055690000}"/>
    <cellStyle name="40 % - Markeringsfarve3 4 7 2 2" xfId="7472" xr:uid="{00000000-0005-0000-0000-000056690000}"/>
    <cellStyle name="40 % - Markeringsfarve3 4 7 2 2 2" xfId="15374" xr:uid="{00000000-0005-0000-0000-000057690000}"/>
    <cellStyle name="40 % - Markeringsfarve3 4 7 2 2 2 2" xfId="31689" xr:uid="{00000000-0005-0000-0000-000058690000}"/>
    <cellStyle name="40 % - Markeringsfarve3 4 7 2 2 2 3" xfId="46653" xr:uid="{00000000-0005-0000-0000-000059690000}"/>
    <cellStyle name="40 % - Markeringsfarve3 4 7 2 2 3" xfId="24667" xr:uid="{00000000-0005-0000-0000-00005A690000}"/>
    <cellStyle name="40 % - Markeringsfarve3 4 7 2 2 4" xfId="39654" xr:uid="{00000000-0005-0000-0000-00005B690000}"/>
    <cellStyle name="40 % - Markeringsfarve3 4 7 2 3" xfId="12306" xr:uid="{00000000-0005-0000-0000-00005C690000}"/>
    <cellStyle name="40 % - Markeringsfarve3 4 7 2 3 2" xfId="28626" xr:uid="{00000000-0005-0000-0000-00005D690000}"/>
    <cellStyle name="40 % - Markeringsfarve3 4 7 2 3 3" xfId="43591" xr:uid="{00000000-0005-0000-0000-00005E690000}"/>
    <cellStyle name="40 % - Markeringsfarve3 4 7 2 4" xfId="21604" xr:uid="{00000000-0005-0000-0000-00005F690000}"/>
    <cellStyle name="40 % - Markeringsfarve3 4 7 2 5" xfId="36592" xr:uid="{00000000-0005-0000-0000-000060690000}"/>
    <cellStyle name="40 % - Markeringsfarve3 4 7 3" xfId="6068" xr:uid="{00000000-0005-0000-0000-000061690000}"/>
    <cellStyle name="40 % - Markeringsfarve3 4 7 3 2" xfId="13986" xr:uid="{00000000-0005-0000-0000-000062690000}"/>
    <cellStyle name="40 % - Markeringsfarve3 4 7 3 2 2" xfId="30301" xr:uid="{00000000-0005-0000-0000-000063690000}"/>
    <cellStyle name="40 % - Markeringsfarve3 4 7 3 2 3" xfId="45265" xr:uid="{00000000-0005-0000-0000-000064690000}"/>
    <cellStyle name="40 % - Markeringsfarve3 4 7 3 3" xfId="23279" xr:uid="{00000000-0005-0000-0000-000065690000}"/>
    <cellStyle name="40 % - Markeringsfarve3 4 7 3 4" xfId="38266" xr:uid="{00000000-0005-0000-0000-000066690000}"/>
    <cellStyle name="40 % - Markeringsfarve3 4 7 4" xfId="12305" xr:uid="{00000000-0005-0000-0000-000067690000}"/>
    <cellStyle name="40 % - Markeringsfarve3 4 7 4 2" xfId="28625" xr:uid="{00000000-0005-0000-0000-000068690000}"/>
    <cellStyle name="40 % - Markeringsfarve3 4 7 4 3" xfId="43590" xr:uid="{00000000-0005-0000-0000-000069690000}"/>
    <cellStyle name="40 % - Markeringsfarve3 4 7 5" xfId="21603" xr:uid="{00000000-0005-0000-0000-00006A690000}"/>
    <cellStyle name="40 % - Markeringsfarve3 4 7 6" xfId="36591" xr:uid="{00000000-0005-0000-0000-00006B690000}"/>
    <cellStyle name="40 % - Markeringsfarve3 4 8" xfId="3747" xr:uid="{00000000-0005-0000-0000-00006C690000}"/>
    <cellStyle name="40 % - Markeringsfarve3 4 8 2" xfId="6700" xr:uid="{00000000-0005-0000-0000-00006D690000}"/>
    <cellStyle name="40 % - Markeringsfarve3 4 8 2 2" xfId="14612" xr:uid="{00000000-0005-0000-0000-00006E690000}"/>
    <cellStyle name="40 % - Markeringsfarve3 4 8 2 2 2" xfId="30927" xr:uid="{00000000-0005-0000-0000-00006F690000}"/>
    <cellStyle name="40 % - Markeringsfarve3 4 8 2 2 3" xfId="45891" xr:uid="{00000000-0005-0000-0000-000070690000}"/>
    <cellStyle name="40 % - Markeringsfarve3 4 8 2 3" xfId="23905" xr:uid="{00000000-0005-0000-0000-000071690000}"/>
    <cellStyle name="40 % - Markeringsfarve3 4 8 2 4" xfId="38892" xr:uid="{00000000-0005-0000-0000-000072690000}"/>
    <cellStyle name="40 % - Markeringsfarve3 4 8 3" xfId="12307" xr:uid="{00000000-0005-0000-0000-000073690000}"/>
    <cellStyle name="40 % - Markeringsfarve3 4 8 3 2" xfId="28627" xr:uid="{00000000-0005-0000-0000-000074690000}"/>
    <cellStyle name="40 % - Markeringsfarve3 4 8 3 3" xfId="43592" xr:uid="{00000000-0005-0000-0000-000075690000}"/>
    <cellStyle name="40 % - Markeringsfarve3 4 8 4" xfId="21605" xr:uid="{00000000-0005-0000-0000-000076690000}"/>
    <cellStyle name="40 % - Markeringsfarve3 4 8 5" xfId="36593" xr:uid="{00000000-0005-0000-0000-000077690000}"/>
    <cellStyle name="40 % - Markeringsfarve3 4 9" xfId="3748" xr:uid="{00000000-0005-0000-0000-000078690000}"/>
    <cellStyle name="40 % - Markeringsfarve3 4 9 2" xfId="8535" xr:uid="{00000000-0005-0000-0000-000079690000}"/>
    <cellStyle name="40 % - Markeringsfarve3 4 9 2 2" xfId="16423" xr:uid="{00000000-0005-0000-0000-00007A690000}"/>
    <cellStyle name="40 % - Markeringsfarve3 4 9 2 2 2" xfId="32738" xr:uid="{00000000-0005-0000-0000-00007B690000}"/>
    <cellStyle name="40 % - Markeringsfarve3 4 9 2 2 3" xfId="47702" xr:uid="{00000000-0005-0000-0000-00007C690000}"/>
    <cellStyle name="40 % - Markeringsfarve3 4 9 2 3" xfId="25716" xr:uid="{00000000-0005-0000-0000-00007D690000}"/>
    <cellStyle name="40 % - Markeringsfarve3 4 9 2 4" xfId="40703" xr:uid="{00000000-0005-0000-0000-00007E690000}"/>
    <cellStyle name="40 % - Markeringsfarve3 4 9 3" xfId="12308" xr:uid="{00000000-0005-0000-0000-00007F690000}"/>
    <cellStyle name="40 % - Markeringsfarve3 4 9 3 2" xfId="28628" xr:uid="{00000000-0005-0000-0000-000080690000}"/>
    <cellStyle name="40 % - Markeringsfarve3 4 9 3 3" xfId="43593" xr:uid="{00000000-0005-0000-0000-000081690000}"/>
    <cellStyle name="40 % - Markeringsfarve3 4 9 4" xfId="21606" xr:uid="{00000000-0005-0000-0000-000082690000}"/>
    <cellStyle name="40 % - Markeringsfarve3 4 9 5" xfId="36594" xr:uid="{00000000-0005-0000-0000-000083690000}"/>
    <cellStyle name="40 % - Markeringsfarve3 5" xfId="3749" xr:uid="{00000000-0005-0000-0000-000084690000}"/>
    <cellStyle name="40 % - Markeringsfarve3 5 10" xfId="5841" xr:uid="{00000000-0005-0000-0000-000085690000}"/>
    <cellStyle name="40 % - Markeringsfarve3 5 10 2" xfId="13760" xr:uid="{00000000-0005-0000-0000-000086690000}"/>
    <cellStyle name="40 % - Markeringsfarve3 5 10 2 2" xfId="30075" xr:uid="{00000000-0005-0000-0000-000087690000}"/>
    <cellStyle name="40 % - Markeringsfarve3 5 10 2 3" xfId="45039" xr:uid="{00000000-0005-0000-0000-000088690000}"/>
    <cellStyle name="40 % - Markeringsfarve3 5 10 3" xfId="23053" xr:uid="{00000000-0005-0000-0000-000089690000}"/>
    <cellStyle name="40 % - Markeringsfarve3 5 10 4" xfId="38040" xr:uid="{00000000-0005-0000-0000-00008A690000}"/>
    <cellStyle name="40 % - Markeringsfarve3 5 11" xfId="12309" xr:uid="{00000000-0005-0000-0000-00008B690000}"/>
    <cellStyle name="40 % - Markeringsfarve3 5 11 2" xfId="28629" xr:uid="{00000000-0005-0000-0000-00008C690000}"/>
    <cellStyle name="40 % - Markeringsfarve3 5 11 3" xfId="43594" xr:uid="{00000000-0005-0000-0000-00008D690000}"/>
    <cellStyle name="40 % - Markeringsfarve3 5 12" xfId="21607" xr:uid="{00000000-0005-0000-0000-00008E690000}"/>
    <cellStyle name="40 % - Markeringsfarve3 5 13" xfId="36595" xr:uid="{00000000-0005-0000-0000-00008F690000}"/>
    <cellStyle name="40 % - Markeringsfarve3 5 14" xfId="53325" xr:uid="{00000000-0005-0000-0000-000090690000}"/>
    <cellStyle name="40 % - Markeringsfarve3 5 2" xfId="3750" xr:uid="{00000000-0005-0000-0000-000091690000}"/>
    <cellStyle name="40 % - Markeringsfarve3 5 2 2" xfId="3751" xr:uid="{00000000-0005-0000-0000-000092690000}"/>
    <cellStyle name="40 % - Markeringsfarve3 5 2 2 2" xfId="3752" xr:uid="{00000000-0005-0000-0000-000093690000}"/>
    <cellStyle name="40 % - Markeringsfarve3 5 2 2 2 2" xfId="7630" xr:uid="{00000000-0005-0000-0000-000094690000}"/>
    <cellStyle name="40 % - Markeringsfarve3 5 2 2 2 2 2" xfId="15532" xr:uid="{00000000-0005-0000-0000-000095690000}"/>
    <cellStyle name="40 % - Markeringsfarve3 5 2 2 2 2 2 2" xfId="31847" xr:uid="{00000000-0005-0000-0000-000096690000}"/>
    <cellStyle name="40 % - Markeringsfarve3 5 2 2 2 2 2 3" xfId="46811" xr:uid="{00000000-0005-0000-0000-000097690000}"/>
    <cellStyle name="40 % - Markeringsfarve3 5 2 2 2 2 3" xfId="24825" xr:uid="{00000000-0005-0000-0000-000098690000}"/>
    <cellStyle name="40 % - Markeringsfarve3 5 2 2 2 2 4" xfId="39812" xr:uid="{00000000-0005-0000-0000-000099690000}"/>
    <cellStyle name="40 % - Markeringsfarve3 5 2 2 2 3" xfId="12312" xr:uid="{00000000-0005-0000-0000-00009A690000}"/>
    <cellStyle name="40 % - Markeringsfarve3 5 2 2 2 3 2" xfId="28632" xr:uid="{00000000-0005-0000-0000-00009B690000}"/>
    <cellStyle name="40 % - Markeringsfarve3 5 2 2 2 3 3" xfId="43597" xr:uid="{00000000-0005-0000-0000-00009C690000}"/>
    <cellStyle name="40 % - Markeringsfarve3 5 2 2 2 4" xfId="21610" xr:uid="{00000000-0005-0000-0000-00009D690000}"/>
    <cellStyle name="40 % - Markeringsfarve3 5 2 2 2 5" xfId="36598" xr:uid="{00000000-0005-0000-0000-00009E690000}"/>
    <cellStyle name="40 % - Markeringsfarve3 5 2 2 3" xfId="6200" xr:uid="{00000000-0005-0000-0000-00009F690000}"/>
    <cellStyle name="40 % - Markeringsfarve3 5 2 2 3 2" xfId="14118" xr:uid="{00000000-0005-0000-0000-0000A0690000}"/>
    <cellStyle name="40 % - Markeringsfarve3 5 2 2 3 2 2" xfId="30433" xr:uid="{00000000-0005-0000-0000-0000A1690000}"/>
    <cellStyle name="40 % - Markeringsfarve3 5 2 2 3 2 3" xfId="45397" xr:uid="{00000000-0005-0000-0000-0000A2690000}"/>
    <cellStyle name="40 % - Markeringsfarve3 5 2 2 3 3" xfId="23411" xr:uid="{00000000-0005-0000-0000-0000A3690000}"/>
    <cellStyle name="40 % - Markeringsfarve3 5 2 2 3 4" xfId="38398" xr:uid="{00000000-0005-0000-0000-0000A4690000}"/>
    <cellStyle name="40 % - Markeringsfarve3 5 2 2 4" xfId="12311" xr:uid="{00000000-0005-0000-0000-0000A5690000}"/>
    <cellStyle name="40 % - Markeringsfarve3 5 2 2 4 2" xfId="28631" xr:uid="{00000000-0005-0000-0000-0000A6690000}"/>
    <cellStyle name="40 % - Markeringsfarve3 5 2 2 4 3" xfId="43596" xr:uid="{00000000-0005-0000-0000-0000A7690000}"/>
    <cellStyle name="40 % - Markeringsfarve3 5 2 2 5" xfId="21609" xr:uid="{00000000-0005-0000-0000-0000A8690000}"/>
    <cellStyle name="40 % - Markeringsfarve3 5 2 2 6" xfId="36597" xr:uid="{00000000-0005-0000-0000-0000A9690000}"/>
    <cellStyle name="40 % - Markeringsfarve3 5 2 2 7" xfId="57129" xr:uid="{00000000-0005-0000-0000-0000AA690000}"/>
    <cellStyle name="40 % - Markeringsfarve3 5 2 3" xfId="3753" xr:uid="{00000000-0005-0000-0000-0000AB690000}"/>
    <cellStyle name="40 % - Markeringsfarve3 5 2 3 2" xfId="6860" xr:uid="{00000000-0005-0000-0000-0000AC690000}"/>
    <cellStyle name="40 % - Markeringsfarve3 5 2 3 2 2" xfId="14772" xr:uid="{00000000-0005-0000-0000-0000AD690000}"/>
    <cellStyle name="40 % - Markeringsfarve3 5 2 3 2 2 2" xfId="31087" xr:uid="{00000000-0005-0000-0000-0000AE690000}"/>
    <cellStyle name="40 % - Markeringsfarve3 5 2 3 2 2 3" xfId="46051" xr:uid="{00000000-0005-0000-0000-0000AF690000}"/>
    <cellStyle name="40 % - Markeringsfarve3 5 2 3 2 3" xfId="24065" xr:uid="{00000000-0005-0000-0000-0000B0690000}"/>
    <cellStyle name="40 % - Markeringsfarve3 5 2 3 2 4" xfId="39052" xr:uid="{00000000-0005-0000-0000-0000B1690000}"/>
    <cellStyle name="40 % - Markeringsfarve3 5 2 3 3" xfId="12313" xr:uid="{00000000-0005-0000-0000-0000B2690000}"/>
    <cellStyle name="40 % - Markeringsfarve3 5 2 3 3 2" xfId="28633" xr:uid="{00000000-0005-0000-0000-0000B3690000}"/>
    <cellStyle name="40 % - Markeringsfarve3 5 2 3 3 3" xfId="43598" xr:uid="{00000000-0005-0000-0000-0000B4690000}"/>
    <cellStyle name="40 % - Markeringsfarve3 5 2 3 4" xfId="21611" xr:uid="{00000000-0005-0000-0000-0000B5690000}"/>
    <cellStyle name="40 % - Markeringsfarve3 5 2 3 5" xfId="36599" xr:uid="{00000000-0005-0000-0000-0000B6690000}"/>
    <cellStyle name="40 % - Markeringsfarve3 5 2 4" xfId="3754" xr:uid="{00000000-0005-0000-0000-0000B7690000}"/>
    <cellStyle name="40 % - Markeringsfarve3 5 2 4 2" xfId="7029" xr:uid="{00000000-0005-0000-0000-0000B8690000}"/>
    <cellStyle name="40 % - Markeringsfarve3 5 2 4 2 2" xfId="14940" xr:uid="{00000000-0005-0000-0000-0000B9690000}"/>
    <cellStyle name="40 % - Markeringsfarve3 5 2 4 2 2 2" xfId="31255" xr:uid="{00000000-0005-0000-0000-0000BA690000}"/>
    <cellStyle name="40 % - Markeringsfarve3 5 2 4 2 2 3" xfId="46219" xr:uid="{00000000-0005-0000-0000-0000BB690000}"/>
    <cellStyle name="40 % - Markeringsfarve3 5 2 4 2 3" xfId="24233" xr:uid="{00000000-0005-0000-0000-0000BC690000}"/>
    <cellStyle name="40 % - Markeringsfarve3 5 2 4 2 4" xfId="39220" xr:uid="{00000000-0005-0000-0000-0000BD690000}"/>
    <cellStyle name="40 % - Markeringsfarve3 5 2 4 3" xfId="12314" xr:uid="{00000000-0005-0000-0000-0000BE690000}"/>
    <cellStyle name="40 % - Markeringsfarve3 5 2 4 3 2" xfId="28634" xr:uid="{00000000-0005-0000-0000-0000BF690000}"/>
    <cellStyle name="40 % - Markeringsfarve3 5 2 4 3 3" xfId="43599" xr:uid="{00000000-0005-0000-0000-0000C0690000}"/>
    <cellStyle name="40 % - Markeringsfarve3 5 2 4 4" xfId="21612" xr:uid="{00000000-0005-0000-0000-0000C1690000}"/>
    <cellStyle name="40 % - Markeringsfarve3 5 2 4 5" xfId="36600" xr:uid="{00000000-0005-0000-0000-0000C2690000}"/>
    <cellStyle name="40 % - Markeringsfarve3 5 2 5" xfId="5842" xr:uid="{00000000-0005-0000-0000-0000C3690000}"/>
    <cellStyle name="40 % - Markeringsfarve3 5 2 5 2" xfId="13761" xr:uid="{00000000-0005-0000-0000-0000C4690000}"/>
    <cellStyle name="40 % - Markeringsfarve3 5 2 5 2 2" xfId="30076" xr:uid="{00000000-0005-0000-0000-0000C5690000}"/>
    <cellStyle name="40 % - Markeringsfarve3 5 2 5 2 3" xfId="45040" xr:uid="{00000000-0005-0000-0000-0000C6690000}"/>
    <cellStyle name="40 % - Markeringsfarve3 5 2 5 3" xfId="23054" xr:uid="{00000000-0005-0000-0000-0000C7690000}"/>
    <cellStyle name="40 % - Markeringsfarve3 5 2 5 4" xfId="38041" xr:uid="{00000000-0005-0000-0000-0000C8690000}"/>
    <cellStyle name="40 % - Markeringsfarve3 5 2 6" xfId="12310" xr:uid="{00000000-0005-0000-0000-0000C9690000}"/>
    <cellStyle name="40 % - Markeringsfarve3 5 2 6 2" xfId="28630" xr:uid="{00000000-0005-0000-0000-0000CA690000}"/>
    <cellStyle name="40 % - Markeringsfarve3 5 2 6 3" xfId="43595" xr:uid="{00000000-0005-0000-0000-0000CB690000}"/>
    <cellStyle name="40 % - Markeringsfarve3 5 2 7" xfId="21608" xr:uid="{00000000-0005-0000-0000-0000CC690000}"/>
    <cellStyle name="40 % - Markeringsfarve3 5 2 8" xfId="36596" xr:uid="{00000000-0005-0000-0000-0000CD690000}"/>
    <cellStyle name="40 % - Markeringsfarve3 5 2 9" xfId="53962" xr:uid="{00000000-0005-0000-0000-0000CE690000}"/>
    <cellStyle name="40 % - Markeringsfarve3 5 3" xfId="3755" xr:uid="{00000000-0005-0000-0000-0000CF690000}"/>
    <cellStyle name="40 % - Markeringsfarve3 5 3 2" xfId="3756" xr:uid="{00000000-0005-0000-0000-0000D0690000}"/>
    <cellStyle name="40 % - Markeringsfarve3 5 3 2 2" xfId="3757" xr:uid="{00000000-0005-0000-0000-0000D1690000}"/>
    <cellStyle name="40 % - Markeringsfarve3 5 3 2 2 2" xfId="7744" xr:uid="{00000000-0005-0000-0000-0000D2690000}"/>
    <cellStyle name="40 % - Markeringsfarve3 5 3 2 2 2 2" xfId="15646" xr:uid="{00000000-0005-0000-0000-0000D3690000}"/>
    <cellStyle name="40 % - Markeringsfarve3 5 3 2 2 2 2 2" xfId="31961" xr:uid="{00000000-0005-0000-0000-0000D4690000}"/>
    <cellStyle name="40 % - Markeringsfarve3 5 3 2 2 2 2 3" xfId="46925" xr:uid="{00000000-0005-0000-0000-0000D5690000}"/>
    <cellStyle name="40 % - Markeringsfarve3 5 3 2 2 2 3" xfId="24939" xr:uid="{00000000-0005-0000-0000-0000D6690000}"/>
    <cellStyle name="40 % - Markeringsfarve3 5 3 2 2 2 4" xfId="39926" xr:uid="{00000000-0005-0000-0000-0000D7690000}"/>
    <cellStyle name="40 % - Markeringsfarve3 5 3 2 2 3" xfId="12317" xr:uid="{00000000-0005-0000-0000-0000D8690000}"/>
    <cellStyle name="40 % - Markeringsfarve3 5 3 2 2 3 2" xfId="28637" xr:uid="{00000000-0005-0000-0000-0000D9690000}"/>
    <cellStyle name="40 % - Markeringsfarve3 5 3 2 2 3 3" xfId="43602" xr:uid="{00000000-0005-0000-0000-0000DA690000}"/>
    <cellStyle name="40 % - Markeringsfarve3 5 3 2 2 4" xfId="21615" xr:uid="{00000000-0005-0000-0000-0000DB690000}"/>
    <cellStyle name="40 % - Markeringsfarve3 5 3 2 2 5" xfId="36603" xr:uid="{00000000-0005-0000-0000-0000DC690000}"/>
    <cellStyle name="40 % - Markeringsfarve3 5 3 2 3" xfId="6290" xr:uid="{00000000-0005-0000-0000-0000DD690000}"/>
    <cellStyle name="40 % - Markeringsfarve3 5 3 2 3 2" xfId="14208" xr:uid="{00000000-0005-0000-0000-0000DE690000}"/>
    <cellStyle name="40 % - Markeringsfarve3 5 3 2 3 2 2" xfId="30523" xr:uid="{00000000-0005-0000-0000-0000DF690000}"/>
    <cellStyle name="40 % - Markeringsfarve3 5 3 2 3 2 3" xfId="45487" xr:uid="{00000000-0005-0000-0000-0000E0690000}"/>
    <cellStyle name="40 % - Markeringsfarve3 5 3 2 3 3" xfId="23501" xr:uid="{00000000-0005-0000-0000-0000E1690000}"/>
    <cellStyle name="40 % - Markeringsfarve3 5 3 2 3 4" xfId="38488" xr:uid="{00000000-0005-0000-0000-0000E2690000}"/>
    <cellStyle name="40 % - Markeringsfarve3 5 3 2 4" xfId="12316" xr:uid="{00000000-0005-0000-0000-0000E3690000}"/>
    <cellStyle name="40 % - Markeringsfarve3 5 3 2 4 2" xfId="28636" xr:uid="{00000000-0005-0000-0000-0000E4690000}"/>
    <cellStyle name="40 % - Markeringsfarve3 5 3 2 4 3" xfId="43601" xr:uid="{00000000-0005-0000-0000-0000E5690000}"/>
    <cellStyle name="40 % - Markeringsfarve3 5 3 2 5" xfId="21614" xr:uid="{00000000-0005-0000-0000-0000E6690000}"/>
    <cellStyle name="40 % - Markeringsfarve3 5 3 2 6" xfId="36602" xr:uid="{00000000-0005-0000-0000-0000E7690000}"/>
    <cellStyle name="40 % - Markeringsfarve3 5 3 3" xfId="3758" xr:uid="{00000000-0005-0000-0000-0000E8690000}"/>
    <cellStyle name="40 % - Markeringsfarve3 5 3 3 2" xfId="6974" xr:uid="{00000000-0005-0000-0000-0000E9690000}"/>
    <cellStyle name="40 % - Markeringsfarve3 5 3 3 2 2" xfId="14886" xr:uid="{00000000-0005-0000-0000-0000EA690000}"/>
    <cellStyle name="40 % - Markeringsfarve3 5 3 3 2 2 2" xfId="31201" xr:uid="{00000000-0005-0000-0000-0000EB690000}"/>
    <cellStyle name="40 % - Markeringsfarve3 5 3 3 2 2 3" xfId="46165" xr:uid="{00000000-0005-0000-0000-0000EC690000}"/>
    <cellStyle name="40 % - Markeringsfarve3 5 3 3 2 3" xfId="24179" xr:uid="{00000000-0005-0000-0000-0000ED690000}"/>
    <cellStyle name="40 % - Markeringsfarve3 5 3 3 2 4" xfId="39166" xr:uid="{00000000-0005-0000-0000-0000EE690000}"/>
    <cellStyle name="40 % - Markeringsfarve3 5 3 3 3" xfId="12318" xr:uid="{00000000-0005-0000-0000-0000EF690000}"/>
    <cellStyle name="40 % - Markeringsfarve3 5 3 3 3 2" xfId="28638" xr:uid="{00000000-0005-0000-0000-0000F0690000}"/>
    <cellStyle name="40 % - Markeringsfarve3 5 3 3 3 3" xfId="43603" xr:uid="{00000000-0005-0000-0000-0000F1690000}"/>
    <cellStyle name="40 % - Markeringsfarve3 5 3 3 4" xfId="21616" xr:uid="{00000000-0005-0000-0000-0000F2690000}"/>
    <cellStyle name="40 % - Markeringsfarve3 5 3 3 5" xfId="36604" xr:uid="{00000000-0005-0000-0000-0000F3690000}"/>
    <cellStyle name="40 % - Markeringsfarve3 5 3 4" xfId="3759" xr:uid="{00000000-0005-0000-0000-0000F4690000}"/>
    <cellStyle name="40 % - Markeringsfarve3 5 3 4 2" xfId="8642" xr:uid="{00000000-0005-0000-0000-0000F5690000}"/>
    <cellStyle name="40 % - Markeringsfarve3 5 3 4 2 2" xfId="16524" xr:uid="{00000000-0005-0000-0000-0000F6690000}"/>
    <cellStyle name="40 % - Markeringsfarve3 5 3 4 2 2 2" xfId="32839" xr:uid="{00000000-0005-0000-0000-0000F7690000}"/>
    <cellStyle name="40 % - Markeringsfarve3 5 3 4 2 2 3" xfId="47803" xr:uid="{00000000-0005-0000-0000-0000F8690000}"/>
    <cellStyle name="40 % - Markeringsfarve3 5 3 4 2 3" xfId="25817" xr:uid="{00000000-0005-0000-0000-0000F9690000}"/>
    <cellStyle name="40 % - Markeringsfarve3 5 3 4 2 4" xfId="40804" xr:uid="{00000000-0005-0000-0000-0000FA690000}"/>
    <cellStyle name="40 % - Markeringsfarve3 5 3 4 3" xfId="12319" xr:uid="{00000000-0005-0000-0000-0000FB690000}"/>
    <cellStyle name="40 % - Markeringsfarve3 5 3 4 3 2" xfId="28639" xr:uid="{00000000-0005-0000-0000-0000FC690000}"/>
    <cellStyle name="40 % - Markeringsfarve3 5 3 4 3 3" xfId="43604" xr:uid="{00000000-0005-0000-0000-0000FD690000}"/>
    <cellStyle name="40 % - Markeringsfarve3 5 3 4 4" xfId="21617" xr:uid="{00000000-0005-0000-0000-0000FE690000}"/>
    <cellStyle name="40 % - Markeringsfarve3 5 3 4 5" xfId="36605" xr:uid="{00000000-0005-0000-0000-0000FF690000}"/>
    <cellStyle name="40 % - Markeringsfarve3 5 3 5" xfId="5843" xr:uid="{00000000-0005-0000-0000-0000006A0000}"/>
    <cellStyle name="40 % - Markeringsfarve3 5 3 5 2" xfId="13762" xr:uid="{00000000-0005-0000-0000-0000016A0000}"/>
    <cellStyle name="40 % - Markeringsfarve3 5 3 5 2 2" xfId="30077" xr:uid="{00000000-0005-0000-0000-0000026A0000}"/>
    <cellStyle name="40 % - Markeringsfarve3 5 3 5 2 3" xfId="45041" xr:uid="{00000000-0005-0000-0000-0000036A0000}"/>
    <cellStyle name="40 % - Markeringsfarve3 5 3 5 3" xfId="23055" xr:uid="{00000000-0005-0000-0000-0000046A0000}"/>
    <cellStyle name="40 % - Markeringsfarve3 5 3 5 4" xfId="38042" xr:uid="{00000000-0005-0000-0000-0000056A0000}"/>
    <cellStyle name="40 % - Markeringsfarve3 5 3 6" xfId="12315" xr:uid="{00000000-0005-0000-0000-0000066A0000}"/>
    <cellStyle name="40 % - Markeringsfarve3 5 3 6 2" xfId="28635" xr:uid="{00000000-0005-0000-0000-0000076A0000}"/>
    <cellStyle name="40 % - Markeringsfarve3 5 3 6 3" xfId="43600" xr:uid="{00000000-0005-0000-0000-0000086A0000}"/>
    <cellStyle name="40 % - Markeringsfarve3 5 3 7" xfId="21613" xr:uid="{00000000-0005-0000-0000-0000096A0000}"/>
    <cellStyle name="40 % - Markeringsfarve3 5 3 8" xfId="36601" xr:uid="{00000000-0005-0000-0000-00000A6A0000}"/>
    <cellStyle name="40 % - Markeringsfarve3 5 3 9" xfId="56506" xr:uid="{00000000-0005-0000-0000-00000B6A0000}"/>
    <cellStyle name="40 % - Markeringsfarve3 5 4" xfId="3760" xr:uid="{00000000-0005-0000-0000-00000C6A0000}"/>
    <cellStyle name="40 % - Markeringsfarve3 5 4 2" xfId="3761" xr:uid="{00000000-0005-0000-0000-00000D6A0000}"/>
    <cellStyle name="40 % - Markeringsfarve3 5 4 2 2" xfId="3762" xr:uid="{00000000-0005-0000-0000-00000E6A0000}"/>
    <cellStyle name="40 % - Markeringsfarve3 5 4 2 2 2" xfId="7868" xr:uid="{00000000-0005-0000-0000-00000F6A0000}"/>
    <cellStyle name="40 % - Markeringsfarve3 5 4 2 2 2 2" xfId="15770" xr:uid="{00000000-0005-0000-0000-0000106A0000}"/>
    <cellStyle name="40 % - Markeringsfarve3 5 4 2 2 2 2 2" xfId="32085" xr:uid="{00000000-0005-0000-0000-0000116A0000}"/>
    <cellStyle name="40 % - Markeringsfarve3 5 4 2 2 2 2 3" xfId="47049" xr:uid="{00000000-0005-0000-0000-0000126A0000}"/>
    <cellStyle name="40 % - Markeringsfarve3 5 4 2 2 2 3" xfId="25063" xr:uid="{00000000-0005-0000-0000-0000136A0000}"/>
    <cellStyle name="40 % - Markeringsfarve3 5 4 2 2 2 4" xfId="40050" xr:uid="{00000000-0005-0000-0000-0000146A0000}"/>
    <cellStyle name="40 % - Markeringsfarve3 5 4 2 2 3" xfId="12322" xr:uid="{00000000-0005-0000-0000-0000156A0000}"/>
    <cellStyle name="40 % - Markeringsfarve3 5 4 2 2 3 2" xfId="28642" xr:uid="{00000000-0005-0000-0000-0000166A0000}"/>
    <cellStyle name="40 % - Markeringsfarve3 5 4 2 2 3 3" xfId="43607" xr:uid="{00000000-0005-0000-0000-0000176A0000}"/>
    <cellStyle name="40 % - Markeringsfarve3 5 4 2 2 4" xfId="21620" xr:uid="{00000000-0005-0000-0000-0000186A0000}"/>
    <cellStyle name="40 % - Markeringsfarve3 5 4 2 2 5" xfId="36608" xr:uid="{00000000-0005-0000-0000-0000196A0000}"/>
    <cellStyle name="40 % - Markeringsfarve3 5 4 2 3" xfId="6402" xr:uid="{00000000-0005-0000-0000-00001A6A0000}"/>
    <cellStyle name="40 % - Markeringsfarve3 5 4 2 3 2" xfId="14317" xr:uid="{00000000-0005-0000-0000-00001B6A0000}"/>
    <cellStyle name="40 % - Markeringsfarve3 5 4 2 3 2 2" xfId="30632" xr:uid="{00000000-0005-0000-0000-00001C6A0000}"/>
    <cellStyle name="40 % - Markeringsfarve3 5 4 2 3 2 3" xfId="45596" xr:uid="{00000000-0005-0000-0000-00001D6A0000}"/>
    <cellStyle name="40 % - Markeringsfarve3 5 4 2 3 3" xfId="23610" xr:uid="{00000000-0005-0000-0000-00001E6A0000}"/>
    <cellStyle name="40 % - Markeringsfarve3 5 4 2 3 4" xfId="38597" xr:uid="{00000000-0005-0000-0000-00001F6A0000}"/>
    <cellStyle name="40 % - Markeringsfarve3 5 4 2 4" xfId="12321" xr:uid="{00000000-0005-0000-0000-0000206A0000}"/>
    <cellStyle name="40 % - Markeringsfarve3 5 4 2 4 2" xfId="28641" xr:uid="{00000000-0005-0000-0000-0000216A0000}"/>
    <cellStyle name="40 % - Markeringsfarve3 5 4 2 4 3" xfId="43606" xr:uid="{00000000-0005-0000-0000-0000226A0000}"/>
    <cellStyle name="40 % - Markeringsfarve3 5 4 2 5" xfId="21619" xr:uid="{00000000-0005-0000-0000-0000236A0000}"/>
    <cellStyle name="40 % - Markeringsfarve3 5 4 2 6" xfId="36607" xr:uid="{00000000-0005-0000-0000-0000246A0000}"/>
    <cellStyle name="40 % - Markeringsfarve3 5 4 3" xfId="3763" xr:uid="{00000000-0005-0000-0000-0000256A0000}"/>
    <cellStyle name="40 % - Markeringsfarve3 5 4 3 2" xfId="7144" xr:uid="{00000000-0005-0000-0000-0000266A0000}"/>
    <cellStyle name="40 % - Markeringsfarve3 5 4 3 2 2" xfId="15055" xr:uid="{00000000-0005-0000-0000-0000276A0000}"/>
    <cellStyle name="40 % - Markeringsfarve3 5 4 3 2 2 2" xfId="31370" xr:uid="{00000000-0005-0000-0000-0000286A0000}"/>
    <cellStyle name="40 % - Markeringsfarve3 5 4 3 2 2 3" xfId="46334" xr:uid="{00000000-0005-0000-0000-0000296A0000}"/>
    <cellStyle name="40 % - Markeringsfarve3 5 4 3 2 3" xfId="24348" xr:uid="{00000000-0005-0000-0000-00002A6A0000}"/>
    <cellStyle name="40 % - Markeringsfarve3 5 4 3 2 4" xfId="39335" xr:uid="{00000000-0005-0000-0000-00002B6A0000}"/>
    <cellStyle name="40 % - Markeringsfarve3 5 4 3 3" xfId="12323" xr:uid="{00000000-0005-0000-0000-00002C6A0000}"/>
    <cellStyle name="40 % - Markeringsfarve3 5 4 3 3 2" xfId="28643" xr:uid="{00000000-0005-0000-0000-00002D6A0000}"/>
    <cellStyle name="40 % - Markeringsfarve3 5 4 3 3 3" xfId="43608" xr:uid="{00000000-0005-0000-0000-00002E6A0000}"/>
    <cellStyle name="40 % - Markeringsfarve3 5 4 3 4" xfId="21621" xr:uid="{00000000-0005-0000-0000-00002F6A0000}"/>
    <cellStyle name="40 % - Markeringsfarve3 5 4 3 5" xfId="36609" xr:uid="{00000000-0005-0000-0000-0000306A0000}"/>
    <cellStyle name="40 % - Markeringsfarve3 5 4 4" xfId="3764" xr:uid="{00000000-0005-0000-0000-0000316A0000}"/>
    <cellStyle name="40 % - Markeringsfarve3 5 4 4 2" xfId="8367" xr:uid="{00000000-0005-0000-0000-0000326A0000}"/>
    <cellStyle name="40 % - Markeringsfarve3 5 4 4 2 2" xfId="16261" xr:uid="{00000000-0005-0000-0000-0000336A0000}"/>
    <cellStyle name="40 % - Markeringsfarve3 5 4 4 2 2 2" xfId="32576" xr:uid="{00000000-0005-0000-0000-0000346A0000}"/>
    <cellStyle name="40 % - Markeringsfarve3 5 4 4 2 2 3" xfId="47540" xr:uid="{00000000-0005-0000-0000-0000356A0000}"/>
    <cellStyle name="40 % - Markeringsfarve3 5 4 4 2 3" xfId="25554" xr:uid="{00000000-0005-0000-0000-0000366A0000}"/>
    <cellStyle name="40 % - Markeringsfarve3 5 4 4 2 4" xfId="40541" xr:uid="{00000000-0005-0000-0000-0000376A0000}"/>
    <cellStyle name="40 % - Markeringsfarve3 5 4 4 3" xfId="12324" xr:uid="{00000000-0005-0000-0000-0000386A0000}"/>
    <cellStyle name="40 % - Markeringsfarve3 5 4 4 3 2" xfId="28644" xr:uid="{00000000-0005-0000-0000-0000396A0000}"/>
    <cellStyle name="40 % - Markeringsfarve3 5 4 4 3 3" xfId="43609" xr:uid="{00000000-0005-0000-0000-00003A6A0000}"/>
    <cellStyle name="40 % - Markeringsfarve3 5 4 4 4" xfId="21622" xr:uid="{00000000-0005-0000-0000-00003B6A0000}"/>
    <cellStyle name="40 % - Markeringsfarve3 5 4 4 5" xfId="36610" xr:uid="{00000000-0005-0000-0000-00003C6A0000}"/>
    <cellStyle name="40 % - Markeringsfarve3 5 4 5" xfId="5844" xr:uid="{00000000-0005-0000-0000-00003D6A0000}"/>
    <cellStyle name="40 % - Markeringsfarve3 5 4 5 2" xfId="13763" xr:uid="{00000000-0005-0000-0000-00003E6A0000}"/>
    <cellStyle name="40 % - Markeringsfarve3 5 4 5 2 2" xfId="30078" xr:uid="{00000000-0005-0000-0000-00003F6A0000}"/>
    <cellStyle name="40 % - Markeringsfarve3 5 4 5 2 3" xfId="45042" xr:uid="{00000000-0005-0000-0000-0000406A0000}"/>
    <cellStyle name="40 % - Markeringsfarve3 5 4 5 3" xfId="23056" xr:uid="{00000000-0005-0000-0000-0000416A0000}"/>
    <cellStyle name="40 % - Markeringsfarve3 5 4 5 4" xfId="38043" xr:uid="{00000000-0005-0000-0000-0000426A0000}"/>
    <cellStyle name="40 % - Markeringsfarve3 5 4 6" xfId="12320" xr:uid="{00000000-0005-0000-0000-0000436A0000}"/>
    <cellStyle name="40 % - Markeringsfarve3 5 4 6 2" xfId="28640" xr:uid="{00000000-0005-0000-0000-0000446A0000}"/>
    <cellStyle name="40 % - Markeringsfarve3 5 4 6 3" xfId="43605" xr:uid="{00000000-0005-0000-0000-0000456A0000}"/>
    <cellStyle name="40 % - Markeringsfarve3 5 4 7" xfId="21618" xr:uid="{00000000-0005-0000-0000-0000466A0000}"/>
    <cellStyle name="40 % - Markeringsfarve3 5 4 8" xfId="36606" xr:uid="{00000000-0005-0000-0000-0000476A0000}"/>
    <cellStyle name="40 % - Markeringsfarve3 5 5" xfId="3765" xr:uid="{00000000-0005-0000-0000-0000486A0000}"/>
    <cellStyle name="40 % - Markeringsfarve3 5 5 2" xfId="3766" xr:uid="{00000000-0005-0000-0000-0000496A0000}"/>
    <cellStyle name="40 % - Markeringsfarve3 5 5 2 2" xfId="3767" xr:uid="{00000000-0005-0000-0000-00004A6A0000}"/>
    <cellStyle name="40 % - Markeringsfarve3 5 5 2 2 2" xfId="7985" xr:uid="{00000000-0005-0000-0000-00004B6A0000}"/>
    <cellStyle name="40 % - Markeringsfarve3 5 5 2 2 2 2" xfId="15887" xr:uid="{00000000-0005-0000-0000-00004C6A0000}"/>
    <cellStyle name="40 % - Markeringsfarve3 5 5 2 2 2 2 2" xfId="32202" xr:uid="{00000000-0005-0000-0000-00004D6A0000}"/>
    <cellStyle name="40 % - Markeringsfarve3 5 5 2 2 2 2 3" xfId="47166" xr:uid="{00000000-0005-0000-0000-00004E6A0000}"/>
    <cellStyle name="40 % - Markeringsfarve3 5 5 2 2 2 3" xfId="25180" xr:uid="{00000000-0005-0000-0000-00004F6A0000}"/>
    <cellStyle name="40 % - Markeringsfarve3 5 5 2 2 2 4" xfId="40167" xr:uid="{00000000-0005-0000-0000-0000506A0000}"/>
    <cellStyle name="40 % - Markeringsfarve3 5 5 2 2 3" xfId="12327" xr:uid="{00000000-0005-0000-0000-0000516A0000}"/>
    <cellStyle name="40 % - Markeringsfarve3 5 5 2 2 3 2" xfId="28647" xr:uid="{00000000-0005-0000-0000-0000526A0000}"/>
    <cellStyle name="40 % - Markeringsfarve3 5 5 2 2 3 3" xfId="43612" xr:uid="{00000000-0005-0000-0000-0000536A0000}"/>
    <cellStyle name="40 % - Markeringsfarve3 5 5 2 2 4" xfId="21625" xr:uid="{00000000-0005-0000-0000-0000546A0000}"/>
    <cellStyle name="40 % - Markeringsfarve3 5 5 2 2 5" xfId="36613" xr:uid="{00000000-0005-0000-0000-0000556A0000}"/>
    <cellStyle name="40 % - Markeringsfarve3 5 5 2 3" xfId="6501" xr:uid="{00000000-0005-0000-0000-0000566A0000}"/>
    <cellStyle name="40 % - Markeringsfarve3 5 5 2 3 2" xfId="14416" xr:uid="{00000000-0005-0000-0000-0000576A0000}"/>
    <cellStyle name="40 % - Markeringsfarve3 5 5 2 3 2 2" xfId="30731" xr:uid="{00000000-0005-0000-0000-0000586A0000}"/>
    <cellStyle name="40 % - Markeringsfarve3 5 5 2 3 2 3" xfId="45695" xr:uid="{00000000-0005-0000-0000-0000596A0000}"/>
    <cellStyle name="40 % - Markeringsfarve3 5 5 2 3 3" xfId="23709" xr:uid="{00000000-0005-0000-0000-00005A6A0000}"/>
    <cellStyle name="40 % - Markeringsfarve3 5 5 2 3 4" xfId="38696" xr:uid="{00000000-0005-0000-0000-00005B6A0000}"/>
    <cellStyle name="40 % - Markeringsfarve3 5 5 2 4" xfId="12326" xr:uid="{00000000-0005-0000-0000-00005C6A0000}"/>
    <cellStyle name="40 % - Markeringsfarve3 5 5 2 4 2" xfId="28646" xr:uid="{00000000-0005-0000-0000-00005D6A0000}"/>
    <cellStyle name="40 % - Markeringsfarve3 5 5 2 4 3" xfId="43611" xr:uid="{00000000-0005-0000-0000-00005E6A0000}"/>
    <cellStyle name="40 % - Markeringsfarve3 5 5 2 5" xfId="21624" xr:uid="{00000000-0005-0000-0000-00005F6A0000}"/>
    <cellStyle name="40 % - Markeringsfarve3 5 5 2 6" xfId="36612" xr:uid="{00000000-0005-0000-0000-0000606A0000}"/>
    <cellStyle name="40 % - Markeringsfarve3 5 5 3" xfId="3768" xr:uid="{00000000-0005-0000-0000-0000616A0000}"/>
    <cellStyle name="40 % - Markeringsfarve3 5 5 3 2" xfId="7261" xr:uid="{00000000-0005-0000-0000-0000626A0000}"/>
    <cellStyle name="40 % - Markeringsfarve3 5 5 3 2 2" xfId="15172" xr:uid="{00000000-0005-0000-0000-0000636A0000}"/>
    <cellStyle name="40 % - Markeringsfarve3 5 5 3 2 2 2" xfId="31487" xr:uid="{00000000-0005-0000-0000-0000646A0000}"/>
    <cellStyle name="40 % - Markeringsfarve3 5 5 3 2 2 3" xfId="46451" xr:uid="{00000000-0005-0000-0000-0000656A0000}"/>
    <cellStyle name="40 % - Markeringsfarve3 5 5 3 2 3" xfId="24465" xr:uid="{00000000-0005-0000-0000-0000666A0000}"/>
    <cellStyle name="40 % - Markeringsfarve3 5 5 3 2 4" xfId="39452" xr:uid="{00000000-0005-0000-0000-0000676A0000}"/>
    <cellStyle name="40 % - Markeringsfarve3 5 5 3 3" xfId="12328" xr:uid="{00000000-0005-0000-0000-0000686A0000}"/>
    <cellStyle name="40 % - Markeringsfarve3 5 5 3 3 2" xfId="28648" xr:uid="{00000000-0005-0000-0000-0000696A0000}"/>
    <cellStyle name="40 % - Markeringsfarve3 5 5 3 3 3" xfId="43613" xr:uid="{00000000-0005-0000-0000-00006A6A0000}"/>
    <cellStyle name="40 % - Markeringsfarve3 5 5 3 4" xfId="21626" xr:uid="{00000000-0005-0000-0000-00006B6A0000}"/>
    <cellStyle name="40 % - Markeringsfarve3 5 5 3 5" xfId="36614" xr:uid="{00000000-0005-0000-0000-00006C6A0000}"/>
    <cellStyle name="40 % - Markeringsfarve3 5 5 4" xfId="3769" xr:uid="{00000000-0005-0000-0000-00006D6A0000}"/>
    <cellStyle name="40 % - Markeringsfarve3 5 5 4 2" xfId="8603" xr:uid="{00000000-0005-0000-0000-00006E6A0000}"/>
    <cellStyle name="40 % - Markeringsfarve3 5 5 4 2 2" xfId="16487" xr:uid="{00000000-0005-0000-0000-00006F6A0000}"/>
    <cellStyle name="40 % - Markeringsfarve3 5 5 4 2 2 2" xfId="32802" xr:uid="{00000000-0005-0000-0000-0000706A0000}"/>
    <cellStyle name="40 % - Markeringsfarve3 5 5 4 2 2 3" xfId="47766" xr:uid="{00000000-0005-0000-0000-0000716A0000}"/>
    <cellStyle name="40 % - Markeringsfarve3 5 5 4 2 3" xfId="25780" xr:uid="{00000000-0005-0000-0000-0000726A0000}"/>
    <cellStyle name="40 % - Markeringsfarve3 5 5 4 2 4" xfId="40767" xr:uid="{00000000-0005-0000-0000-0000736A0000}"/>
    <cellStyle name="40 % - Markeringsfarve3 5 5 4 3" xfId="12329" xr:uid="{00000000-0005-0000-0000-0000746A0000}"/>
    <cellStyle name="40 % - Markeringsfarve3 5 5 4 3 2" xfId="28649" xr:uid="{00000000-0005-0000-0000-0000756A0000}"/>
    <cellStyle name="40 % - Markeringsfarve3 5 5 4 3 3" xfId="43614" xr:uid="{00000000-0005-0000-0000-0000766A0000}"/>
    <cellStyle name="40 % - Markeringsfarve3 5 5 4 4" xfId="21627" xr:uid="{00000000-0005-0000-0000-0000776A0000}"/>
    <cellStyle name="40 % - Markeringsfarve3 5 5 4 5" xfId="36615" xr:uid="{00000000-0005-0000-0000-0000786A0000}"/>
    <cellStyle name="40 % - Markeringsfarve3 5 5 5" xfId="5845" xr:uid="{00000000-0005-0000-0000-0000796A0000}"/>
    <cellStyle name="40 % - Markeringsfarve3 5 5 5 2" xfId="13764" xr:uid="{00000000-0005-0000-0000-00007A6A0000}"/>
    <cellStyle name="40 % - Markeringsfarve3 5 5 5 2 2" xfId="30079" xr:uid="{00000000-0005-0000-0000-00007B6A0000}"/>
    <cellStyle name="40 % - Markeringsfarve3 5 5 5 2 3" xfId="45043" xr:uid="{00000000-0005-0000-0000-00007C6A0000}"/>
    <cellStyle name="40 % - Markeringsfarve3 5 5 5 3" xfId="23057" xr:uid="{00000000-0005-0000-0000-00007D6A0000}"/>
    <cellStyle name="40 % - Markeringsfarve3 5 5 5 4" xfId="38044" xr:uid="{00000000-0005-0000-0000-00007E6A0000}"/>
    <cellStyle name="40 % - Markeringsfarve3 5 5 6" xfId="12325" xr:uid="{00000000-0005-0000-0000-00007F6A0000}"/>
    <cellStyle name="40 % - Markeringsfarve3 5 5 6 2" xfId="28645" xr:uid="{00000000-0005-0000-0000-0000806A0000}"/>
    <cellStyle name="40 % - Markeringsfarve3 5 5 6 3" xfId="43610" xr:uid="{00000000-0005-0000-0000-0000816A0000}"/>
    <cellStyle name="40 % - Markeringsfarve3 5 5 7" xfId="21623" xr:uid="{00000000-0005-0000-0000-0000826A0000}"/>
    <cellStyle name="40 % - Markeringsfarve3 5 5 8" xfId="36611" xr:uid="{00000000-0005-0000-0000-0000836A0000}"/>
    <cellStyle name="40 % - Markeringsfarve3 5 6" xfId="3770" xr:uid="{00000000-0005-0000-0000-0000846A0000}"/>
    <cellStyle name="40 % - Markeringsfarve3 5 6 2" xfId="3771" xr:uid="{00000000-0005-0000-0000-0000856A0000}"/>
    <cellStyle name="40 % - Markeringsfarve3 5 6 2 2" xfId="3772" xr:uid="{00000000-0005-0000-0000-0000866A0000}"/>
    <cellStyle name="40 % - Markeringsfarve3 5 6 2 2 2" xfId="8099" xr:uid="{00000000-0005-0000-0000-0000876A0000}"/>
    <cellStyle name="40 % - Markeringsfarve3 5 6 2 2 2 2" xfId="16001" xr:uid="{00000000-0005-0000-0000-0000886A0000}"/>
    <cellStyle name="40 % - Markeringsfarve3 5 6 2 2 2 2 2" xfId="32316" xr:uid="{00000000-0005-0000-0000-0000896A0000}"/>
    <cellStyle name="40 % - Markeringsfarve3 5 6 2 2 2 2 3" xfId="47280" xr:uid="{00000000-0005-0000-0000-00008A6A0000}"/>
    <cellStyle name="40 % - Markeringsfarve3 5 6 2 2 2 3" xfId="25294" xr:uid="{00000000-0005-0000-0000-00008B6A0000}"/>
    <cellStyle name="40 % - Markeringsfarve3 5 6 2 2 2 4" xfId="40281" xr:uid="{00000000-0005-0000-0000-00008C6A0000}"/>
    <cellStyle name="40 % - Markeringsfarve3 5 6 2 2 3" xfId="12332" xr:uid="{00000000-0005-0000-0000-00008D6A0000}"/>
    <cellStyle name="40 % - Markeringsfarve3 5 6 2 2 3 2" xfId="28652" xr:uid="{00000000-0005-0000-0000-00008E6A0000}"/>
    <cellStyle name="40 % - Markeringsfarve3 5 6 2 2 3 3" xfId="43617" xr:uid="{00000000-0005-0000-0000-00008F6A0000}"/>
    <cellStyle name="40 % - Markeringsfarve3 5 6 2 2 4" xfId="21630" xr:uid="{00000000-0005-0000-0000-0000906A0000}"/>
    <cellStyle name="40 % - Markeringsfarve3 5 6 2 2 5" xfId="36618" xr:uid="{00000000-0005-0000-0000-0000916A0000}"/>
    <cellStyle name="40 % - Markeringsfarve3 5 6 2 3" xfId="6592" xr:uid="{00000000-0005-0000-0000-0000926A0000}"/>
    <cellStyle name="40 % - Markeringsfarve3 5 6 2 3 2" xfId="14507" xr:uid="{00000000-0005-0000-0000-0000936A0000}"/>
    <cellStyle name="40 % - Markeringsfarve3 5 6 2 3 2 2" xfId="30822" xr:uid="{00000000-0005-0000-0000-0000946A0000}"/>
    <cellStyle name="40 % - Markeringsfarve3 5 6 2 3 2 3" xfId="45786" xr:uid="{00000000-0005-0000-0000-0000956A0000}"/>
    <cellStyle name="40 % - Markeringsfarve3 5 6 2 3 3" xfId="23800" xr:uid="{00000000-0005-0000-0000-0000966A0000}"/>
    <cellStyle name="40 % - Markeringsfarve3 5 6 2 3 4" xfId="38787" xr:uid="{00000000-0005-0000-0000-0000976A0000}"/>
    <cellStyle name="40 % - Markeringsfarve3 5 6 2 4" xfId="12331" xr:uid="{00000000-0005-0000-0000-0000986A0000}"/>
    <cellStyle name="40 % - Markeringsfarve3 5 6 2 4 2" xfId="28651" xr:uid="{00000000-0005-0000-0000-0000996A0000}"/>
    <cellStyle name="40 % - Markeringsfarve3 5 6 2 4 3" xfId="43616" xr:uid="{00000000-0005-0000-0000-00009A6A0000}"/>
    <cellStyle name="40 % - Markeringsfarve3 5 6 2 5" xfId="21629" xr:uid="{00000000-0005-0000-0000-00009B6A0000}"/>
    <cellStyle name="40 % - Markeringsfarve3 5 6 2 6" xfId="36617" xr:uid="{00000000-0005-0000-0000-00009C6A0000}"/>
    <cellStyle name="40 % - Markeringsfarve3 5 6 3" xfId="3773" xr:uid="{00000000-0005-0000-0000-00009D6A0000}"/>
    <cellStyle name="40 % - Markeringsfarve3 5 6 3 2" xfId="7376" xr:uid="{00000000-0005-0000-0000-00009E6A0000}"/>
    <cellStyle name="40 % - Markeringsfarve3 5 6 3 2 2" xfId="15287" xr:uid="{00000000-0005-0000-0000-00009F6A0000}"/>
    <cellStyle name="40 % - Markeringsfarve3 5 6 3 2 2 2" xfId="31602" xr:uid="{00000000-0005-0000-0000-0000A06A0000}"/>
    <cellStyle name="40 % - Markeringsfarve3 5 6 3 2 2 3" xfId="46566" xr:uid="{00000000-0005-0000-0000-0000A16A0000}"/>
    <cellStyle name="40 % - Markeringsfarve3 5 6 3 2 3" xfId="24580" xr:uid="{00000000-0005-0000-0000-0000A26A0000}"/>
    <cellStyle name="40 % - Markeringsfarve3 5 6 3 2 4" xfId="39567" xr:uid="{00000000-0005-0000-0000-0000A36A0000}"/>
    <cellStyle name="40 % - Markeringsfarve3 5 6 3 3" xfId="12333" xr:uid="{00000000-0005-0000-0000-0000A46A0000}"/>
    <cellStyle name="40 % - Markeringsfarve3 5 6 3 3 2" xfId="28653" xr:uid="{00000000-0005-0000-0000-0000A56A0000}"/>
    <cellStyle name="40 % - Markeringsfarve3 5 6 3 3 3" xfId="43618" xr:uid="{00000000-0005-0000-0000-0000A66A0000}"/>
    <cellStyle name="40 % - Markeringsfarve3 5 6 3 4" xfId="21631" xr:uid="{00000000-0005-0000-0000-0000A76A0000}"/>
    <cellStyle name="40 % - Markeringsfarve3 5 6 3 5" xfId="36619" xr:uid="{00000000-0005-0000-0000-0000A86A0000}"/>
    <cellStyle name="40 % - Markeringsfarve3 5 6 4" xfId="3774" xr:uid="{00000000-0005-0000-0000-0000A96A0000}"/>
    <cellStyle name="40 % - Markeringsfarve3 5 6 4 2" xfId="8325" xr:uid="{00000000-0005-0000-0000-0000AA6A0000}"/>
    <cellStyle name="40 % - Markeringsfarve3 5 6 4 2 2" xfId="16220" xr:uid="{00000000-0005-0000-0000-0000AB6A0000}"/>
    <cellStyle name="40 % - Markeringsfarve3 5 6 4 2 2 2" xfId="32535" xr:uid="{00000000-0005-0000-0000-0000AC6A0000}"/>
    <cellStyle name="40 % - Markeringsfarve3 5 6 4 2 2 3" xfId="47499" xr:uid="{00000000-0005-0000-0000-0000AD6A0000}"/>
    <cellStyle name="40 % - Markeringsfarve3 5 6 4 2 3" xfId="25513" xr:uid="{00000000-0005-0000-0000-0000AE6A0000}"/>
    <cellStyle name="40 % - Markeringsfarve3 5 6 4 2 4" xfId="40500" xr:uid="{00000000-0005-0000-0000-0000AF6A0000}"/>
    <cellStyle name="40 % - Markeringsfarve3 5 6 4 3" xfId="12334" xr:uid="{00000000-0005-0000-0000-0000B06A0000}"/>
    <cellStyle name="40 % - Markeringsfarve3 5 6 4 3 2" xfId="28654" xr:uid="{00000000-0005-0000-0000-0000B16A0000}"/>
    <cellStyle name="40 % - Markeringsfarve3 5 6 4 3 3" xfId="43619" xr:uid="{00000000-0005-0000-0000-0000B26A0000}"/>
    <cellStyle name="40 % - Markeringsfarve3 5 6 4 4" xfId="21632" xr:uid="{00000000-0005-0000-0000-0000B36A0000}"/>
    <cellStyle name="40 % - Markeringsfarve3 5 6 4 5" xfId="36620" xr:uid="{00000000-0005-0000-0000-0000B46A0000}"/>
    <cellStyle name="40 % - Markeringsfarve3 5 6 5" xfId="5846" xr:uid="{00000000-0005-0000-0000-0000B56A0000}"/>
    <cellStyle name="40 % - Markeringsfarve3 5 6 5 2" xfId="13765" xr:uid="{00000000-0005-0000-0000-0000B66A0000}"/>
    <cellStyle name="40 % - Markeringsfarve3 5 6 5 2 2" xfId="30080" xr:uid="{00000000-0005-0000-0000-0000B76A0000}"/>
    <cellStyle name="40 % - Markeringsfarve3 5 6 5 2 3" xfId="45044" xr:uid="{00000000-0005-0000-0000-0000B86A0000}"/>
    <cellStyle name="40 % - Markeringsfarve3 5 6 5 3" xfId="23058" xr:uid="{00000000-0005-0000-0000-0000B96A0000}"/>
    <cellStyle name="40 % - Markeringsfarve3 5 6 5 4" xfId="38045" xr:uid="{00000000-0005-0000-0000-0000BA6A0000}"/>
    <cellStyle name="40 % - Markeringsfarve3 5 6 6" xfId="12330" xr:uid="{00000000-0005-0000-0000-0000BB6A0000}"/>
    <cellStyle name="40 % - Markeringsfarve3 5 6 6 2" xfId="28650" xr:uid="{00000000-0005-0000-0000-0000BC6A0000}"/>
    <cellStyle name="40 % - Markeringsfarve3 5 6 6 3" xfId="43615" xr:uid="{00000000-0005-0000-0000-0000BD6A0000}"/>
    <cellStyle name="40 % - Markeringsfarve3 5 6 7" xfId="21628" xr:uid="{00000000-0005-0000-0000-0000BE6A0000}"/>
    <cellStyle name="40 % - Markeringsfarve3 5 6 8" xfId="36616" xr:uid="{00000000-0005-0000-0000-0000BF6A0000}"/>
    <cellStyle name="40 % - Markeringsfarve3 5 7" xfId="3775" xr:uid="{00000000-0005-0000-0000-0000C06A0000}"/>
    <cellStyle name="40 % - Markeringsfarve3 5 7 2" xfId="3776" xr:uid="{00000000-0005-0000-0000-0000C16A0000}"/>
    <cellStyle name="40 % - Markeringsfarve3 5 7 2 2" xfId="7511" xr:uid="{00000000-0005-0000-0000-0000C26A0000}"/>
    <cellStyle name="40 % - Markeringsfarve3 5 7 2 2 2" xfId="15413" xr:uid="{00000000-0005-0000-0000-0000C36A0000}"/>
    <cellStyle name="40 % - Markeringsfarve3 5 7 2 2 2 2" xfId="31728" xr:uid="{00000000-0005-0000-0000-0000C46A0000}"/>
    <cellStyle name="40 % - Markeringsfarve3 5 7 2 2 2 3" xfId="46692" xr:uid="{00000000-0005-0000-0000-0000C56A0000}"/>
    <cellStyle name="40 % - Markeringsfarve3 5 7 2 2 3" xfId="24706" xr:uid="{00000000-0005-0000-0000-0000C66A0000}"/>
    <cellStyle name="40 % - Markeringsfarve3 5 7 2 2 4" xfId="39693" xr:uid="{00000000-0005-0000-0000-0000C76A0000}"/>
    <cellStyle name="40 % - Markeringsfarve3 5 7 2 3" xfId="12336" xr:uid="{00000000-0005-0000-0000-0000C86A0000}"/>
    <cellStyle name="40 % - Markeringsfarve3 5 7 2 3 2" xfId="28656" xr:uid="{00000000-0005-0000-0000-0000C96A0000}"/>
    <cellStyle name="40 % - Markeringsfarve3 5 7 2 3 3" xfId="43621" xr:uid="{00000000-0005-0000-0000-0000CA6A0000}"/>
    <cellStyle name="40 % - Markeringsfarve3 5 7 2 4" xfId="21634" xr:uid="{00000000-0005-0000-0000-0000CB6A0000}"/>
    <cellStyle name="40 % - Markeringsfarve3 5 7 2 5" xfId="36622" xr:uid="{00000000-0005-0000-0000-0000CC6A0000}"/>
    <cellStyle name="40 % - Markeringsfarve3 5 7 3" xfId="6101" xr:uid="{00000000-0005-0000-0000-0000CD6A0000}"/>
    <cellStyle name="40 % - Markeringsfarve3 5 7 3 2" xfId="14019" xr:uid="{00000000-0005-0000-0000-0000CE6A0000}"/>
    <cellStyle name="40 % - Markeringsfarve3 5 7 3 2 2" xfId="30334" xr:uid="{00000000-0005-0000-0000-0000CF6A0000}"/>
    <cellStyle name="40 % - Markeringsfarve3 5 7 3 2 3" xfId="45298" xr:uid="{00000000-0005-0000-0000-0000D06A0000}"/>
    <cellStyle name="40 % - Markeringsfarve3 5 7 3 3" xfId="23312" xr:uid="{00000000-0005-0000-0000-0000D16A0000}"/>
    <cellStyle name="40 % - Markeringsfarve3 5 7 3 4" xfId="38299" xr:uid="{00000000-0005-0000-0000-0000D26A0000}"/>
    <cellStyle name="40 % - Markeringsfarve3 5 7 4" xfId="12335" xr:uid="{00000000-0005-0000-0000-0000D36A0000}"/>
    <cellStyle name="40 % - Markeringsfarve3 5 7 4 2" xfId="28655" xr:uid="{00000000-0005-0000-0000-0000D46A0000}"/>
    <cellStyle name="40 % - Markeringsfarve3 5 7 4 3" xfId="43620" xr:uid="{00000000-0005-0000-0000-0000D56A0000}"/>
    <cellStyle name="40 % - Markeringsfarve3 5 7 5" xfId="21633" xr:uid="{00000000-0005-0000-0000-0000D66A0000}"/>
    <cellStyle name="40 % - Markeringsfarve3 5 7 6" xfId="36621" xr:uid="{00000000-0005-0000-0000-0000D76A0000}"/>
    <cellStyle name="40 % - Markeringsfarve3 5 8" xfId="3777" xr:uid="{00000000-0005-0000-0000-0000D86A0000}"/>
    <cellStyle name="40 % - Markeringsfarve3 5 8 2" xfId="6739" xr:uid="{00000000-0005-0000-0000-0000D96A0000}"/>
    <cellStyle name="40 % - Markeringsfarve3 5 8 2 2" xfId="14651" xr:uid="{00000000-0005-0000-0000-0000DA6A0000}"/>
    <cellStyle name="40 % - Markeringsfarve3 5 8 2 2 2" xfId="30966" xr:uid="{00000000-0005-0000-0000-0000DB6A0000}"/>
    <cellStyle name="40 % - Markeringsfarve3 5 8 2 2 3" xfId="45930" xr:uid="{00000000-0005-0000-0000-0000DC6A0000}"/>
    <cellStyle name="40 % - Markeringsfarve3 5 8 2 3" xfId="23944" xr:uid="{00000000-0005-0000-0000-0000DD6A0000}"/>
    <cellStyle name="40 % - Markeringsfarve3 5 8 2 4" xfId="38931" xr:uid="{00000000-0005-0000-0000-0000DE6A0000}"/>
    <cellStyle name="40 % - Markeringsfarve3 5 8 3" xfId="12337" xr:uid="{00000000-0005-0000-0000-0000DF6A0000}"/>
    <cellStyle name="40 % - Markeringsfarve3 5 8 3 2" xfId="28657" xr:uid="{00000000-0005-0000-0000-0000E06A0000}"/>
    <cellStyle name="40 % - Markeringsfarve3 5 8 3 3" xfId="43622" xr:uid="{00000000-0005-0000-0000-0000E16A0000}"/>
    <cellStyle name="40 % - Markeringsfarve3 5 8 4" xfId="21635" xr:uid="{00000000-0005-0000-0000-0000E26A0000}"/>
    <cellStyle name="40 % - Markeringsfarve3 5 8 5" xfId="36623" xr:uid="{00000000-0005-0000-0000-0000E36A0000}"/>
    <cellStyle name="40 % - Markeringsfarve3 5 9" xfId="3778" xr:uid="{00000000-0005-0000-0000-0000E46A0000}"/>
    <cellStyle name="40 % - Markeringsfarve3 5 9 2" xfId="8430" xr:uid="{00000000-0005-0000-0000-0000E56A0000}"/>
    <cellStyle name="40 % - Markeringsfarve3 5 9 2 2" xfId="16320" xr:uid="{00000000-0005-0000-0000-0000E66A0000}"/>
    <cellStyle name="40 % - Markeringsfarve3 5 9 2 2 2" xfId="32635" xr:uid="{00000000-0005-0000-0000-0000E76A0000}"/>
    <cellStyle name="40 % - Markeringsfarve3 5 9 2 2 3" xfId="47599" xr:uid="{00000000-0005-0000-0000-0000E86A0000}"/>
    <cellStyle name="40 % - Markeringsfarve3 5 9 2 3" xfId="25613" xr:uid="{00000000-0005-0000-0000-0000E96A0000}"/>
    <cellStyle name="40 % - Markeringsfarve3 5 9 2 4" xfId="40600" xr:uid="{00000000-0005-0000-0000-0000EA6A0000}"/>
    <cellStyle name="40 % - Markeringsfarve3 5 9 3" xfId="12338" xr:uid="{00000000-0005-0000-0000-0000EB6A0000}"/>
    <cellStyle name="40 % - Markeringsfarve3 5 9 3 2" xfId="28658" xr:uid="{00000000-0005-0000-0000-0000EC6A0000}"/>
    <cellStyle name="40 % - Markeringsfarve3 5 9 3 3" xfId="43623" xr:uid="{00000000-0005-0000-0000-0000ED6A0000}"/>
    <cellStyle name="40 % - Markeringsfarve3 5 9 4" xfId="21636" xr:uid="{00000000-0005-0000-0000-0000EE6A0000}"/>
    <cellStyle name="40 % - Markeringsfarve3 5 9 5" xfId="36624" xr:uid="{00000000-0005-0000-0000-0000EF6A0000}"/>
    <cellStyle name="40 % - Markeringsfarve3 6" xfId="3779" xr:uid="{00000000-0005-0000-0000-0000F06A0000}"/>
    <cellStyle name="40 % - Markeringsfarve3 6 10" xfId="53326" xr:uid="{00000000-0005-0000-0000-0000F16A0000}"/>
    <cellStyle name="40 % - Markeringsfarve3 6 2" xfId="3780" xr:uid="{00000000-0005-0000-0000-0000F26A0000}"/>
    <cellStyle name="40 % - Markeringsfarve3 6 2 2" xfId="3781" xr:uid="{00000000-0005-0000-0000-0000F36A0000}"/>
    <cellStyle name="40 % - Markeringsfarve3 6 2 2 2" xfId="3782" xr:uid="{00000000-0005-0000-0000-0000F46A0000}"/>
    <cellStyle name="40 % - Markeringsfarve3 6 2 2 2 2" xfId="7745" xr:uid="{00000000-0005-0000-0000-0000F56A0000}"/>
    <cellStyle name="40 % - Markeringsfarve3 6 2 2 2 2 2" xfId="15647" xr:uid="{00000000-0005-0000-0000-0000F66A0000}"/>
    <cellStyle name="40 % - Markeringsfarve3 6 2 2 2 2 2 2" xfId="31962" xr:uid="{00000000-0005-0000-0000-0000F76A0000}"/>
    <cellStyle name="40 % - Markeringsfarve3 6 2 2 2 2 2 3" xfId="46926" xr:uid="{00000000-0005-0000-0000-0000F86A0000}"/>
    <cellStyle name="40 % - Markeringsfarve3 6 2 2 2 2 3" xfId="24940" xr:uid="{00000000-0005-0000-0000-0000F96A0000}"/>
    <cellStyle name="40 % - Markeringsfarve3 6 2 2 2 2 4" xfId="39927" xr:uid="{00000000-0005-0000-0000-0000FA6A0000}"/>
    <cellStyle name="40 % - Markeringsfarve3 6 2 2 2 3" xfId="12342" xr:uid="{00000000-0005-0000-0000-0000FB6A0000}"/>
    <cellStyle name="40 % - Markeringsfarve3 6 2 2 2 3 2" xfId="28662" xr:uid="{00000000-0005-0000-0000-0000FC6A0000}"/>
    <cellStyle name="40 % - Markeringsfarve3 6 2 2 2 3 3" xfId="43627" xr:uid="{00000000-0005-0000-0000-0000FD6A0000}"/>
    <cellStyle name="40 % - Markeringsfarve3 6 2 2 2 4" xfId="21640" xr:uid="{00000000-0005-0000-0000-0000FE6A0000}"/>
    <cellStyle name="40 % - Markeringsfarve3 6 2 2 2 5" xfId="36628" xr:uid="{00000000-0005-0000-0000-0000FF6A0000}"/>
    <cellStyle name="40 % - Markeringsfarve3 6 2 2 3" xfId="6291" xr:uid="{00000000-0005-0000-0000-0000006B0000}"/>
    <cellStyle name="40 % - Markeringsfarve3 6 2 2 3 2" xfId="14209" xr:uid="{00000000-0005-0000-0000-0000016B0000}"/>
    <cellStyle name="40 % - Markeringsfarve3 6 2 2 3 2 2" xfId="30524" xr:uid="{00000000-0005-0000-0000-0000026B0000}"/>
    <cellStyle name="40 % - Markeringsfarve3 6 2 2 3 2 3" xfId="45488" xr:uid="{00000000-0005-0000-0000-0000036B0000}"/>
    <cellStyle name="40 % - Markeringsfarve3 6 2 2 3 3" xfId="23502" xr:uid="{00000000-0005-0000-0000-0000046B0000}"/>
    <cellStyle name="40 % - Markeringsfarve3 6 2 2 3 4" xfId="38489" xr:uid="{00000000-0005-0000-0000-0000056B0000}"/>
    <cellStyle name="40 % - Markeringsfarve3 6 2 2 4" xfId="12341" xr:uid="{00000000-0005-0000-0000-0000066B0000}"/>
    <cellStyle name="40 % - Markeringsfarve3 6 2 2 4 2" xfId="28661" xr:uid="{00000000-0005-0000-0000-0000076B0000}"/>
    <cellStyle name="40 % - Markeringsfarve3 6 2 2 4 3" xfId="43626" xr:uid="{00000000-0005-0000-0000-0000086B0000}"/>
    <cellStyle name="40 % - Markeringsfarve3 6 2 2 5" xfId="21639" xr:uid="{00000000-0005-0000-0000-0000096B0000}"/>
    <cellStyle name="40 % - Markeringsfarve3 6 2 2 6" xfId="36627" xr:uid="{00000000-0005-0000-0000-00000A6B0000}"/>
    <cellStyle name="40 % - Markeringsfarve3 6 2 2 7" xfId="57130" xr:uid="{00000000-0005-0000-0000-00000B6B0000}"/>
    <cellStyle name="40 % - Markeringsfarve3 6 2 3" xfId="3783" xr:uid="{00000000-0005-0000-0000-00000C6B0000}"/>
    <cellStyle name="40 % - Markeringsfarve3 6 2 3 2" xfId="6975" xr:uid="{00000000-0005-0000-0000-00000D6B0000}"/>
    <cellStyle name="40 % - Markeringsfarve3 6 2 3 2 2" xfId="14887" xr:uid="{00000000-0005-0000-0000-00000E6B0000}"/>
    <cellStyle name="40 % - Markeringsfarve3 6 2 3 2 2 2" xfId="31202" xr:uid="{00000000-0005-0000-0000-00000F6B0000}"/>
    <cellStyle name="40 % - Markeringsfarve3 6 2 3 2 2 3" xfId="46166" xr:uid="{00000000-0005-0000-0000-0000106B0000}"/>
    <cellStyle name="40 % - Markeringsfarve3 6 2 3 2 3" xfId="24180" xr:uid="{00000000-0005-0000-0000-0000116B0000}"/>
    <cellStyle name="40 % - Markeringsfarve3 6 2 3 2 4" xfId="39167" xr:uid="{00000000-0005-0000-0000-0000126B0000}"/>
    <cellStyle name="40 % - Markeringsfarve3 6 2 3 3" xfId="12343" xr:uid="{00000000-0005-0000-0000-0000136B0000}"/>
    <cellStyle name="40 % - Markeringsfarve3 6 2 3 3 2" xfId="28663" xr:uid="{00000000-0005-0000-0000-0000146B0000}"/>
    <cellStyle name="40 % - Markeringsfarve3 6 2 3 3 3" xfId="43628" xr:uid="{00000000-0005-0000-0000-0000156B0000}"/>
    <cellStyle name="40 % - Markeringsfarve3 6 2 3 4" xfId="21641" xr:uid="{00000000-0005-0000-0000-0000166B0000}"/>
    <cellStyle name="40 % - Markeringsfarve3 6 2 3 5" xfId="36629" xr:uid="{00000000-0005-0000-0000-0000176B0000}"/>
    <cellStyle name="40 % - Markeringsfarve3 6 2 4" xfId="3784" xr:uid="{00000000-0005-0000-0000-0000186B0000}"/>
    <cellStyle name="40 % - Markeringsfarve3 6 2 4 2" xfId="8217" xr:uid="{00000000-0005-0000-0000-0000196B0000}"/>
    <cellStyle name="40 % - Markeringsfarve3 6 2 4 2 2" xfId="16112" xr:uid="{00000000-0005-0000-0000-00001A6B0000}"/>
    <cellStyle name="40 % - Markeringsfarve3 6 2 4 2 2 2" xfId="32427" xr:uid="{00000000-0005-0000-0000-00001B6B0000}"/>
    <cellStyle name="40 % - Markeringsfarve3 6 2 4 2 2 3" xfId="47391" xr:uid="{00000000-0005-0000-0000-00001C6B0000}"/>
    <cellStyle name="40 % - Markeringsfarve3 6 2 4 2 3" xfId="25405" xr:uid="{00000000-0005-0000-0000-00001D6B0000}"/>
    <cellStyle name="40 % - Markeringsfarve3 6 2 4 2 4" xfId="40392" xr:uid="{00000000-0005-0000-0000-00001E6B0000}"/>
    <cellStyle name="40 % - Markeringsfarve3 6 2 4 3" xfId="12344" xr:uid="{00000000-0005-0000-0000-00001F6B0000}"/>
    <cellStyle name="40 % - Markeringsfarve3 6 2 4 3 2" xfId="28664" xr:uid="{00000000-0005-0000-0000-0000206B0000}"/>
    <cellStyle name="40 % - Markeringsfarve3 6 2 4 3 3" xfId="43629" xr:uid="{00000000-0005-0000-0000-0000216B0000}"/>
    <cellStyle name="40 % - Markeringsfarve3 6 2 4 4" xfId="21642" xr:uid="{00000000-0005-0000-0000-0000226B0000}"/>
    <cellStyle name="40 % - Markeringsfarve3 6 2 4 5" xfId="36630" xr:uid="{00000000-0005-0000-0000-0000236B0000}"/>
    <cellStyle name="40 % - Markeringsfarve3 6 2 5" xfId="5848" xr:uid="{00000000-0005-0000-0000-0000246B0000}"/>
    <cellStyle name="40 % - Markeringsfarve3 6 2 5 2" xfId="13767" xr:uid="{00000000-0005-0000-0000-0000256B0000}"/>
    <cellStyle name="40 % - Markeringsfarve3 6 2 5 2 2" xfId="30082" xr:uid="{00000000-0005-0000-0000-0000266B0000}"/>
    <cellStyle name="40 % - Markeringsfarve3 6 2 5 2 3" xfId="45046" xr:uid="{00000000-0005-0000-0000-0000276B0000}"/>
    <cellStyle name="40 % - Markeringsfarve3 6 2 5 3" xfId="23060" xr:uid="{00000000-0005-0000-0000-0000286B0000}"/>
    <cellStyle name="40 % - Markeringsfarve3 6 2 5 4" xfId="38047" xr:uid="{00000000-0005-0000-0000-0000296B0000}"/>
    <cellStyle name="40 % - Markeringsfarve3 6 2 6" xfId="12340" xr:uid="{00000000-0005-0000-0000-00002A6B0000}"/>
    <cellStyle name="40 % - Markeringsfarve3 6 2 6 2" xfId="28660" xr:uid="{00000000-0005-0000-0000-00002B6B0000}"/>
    <cellStyle name="40 % - Markeringsfarve3 6 2 6 3" xfId="43625" xr:uid="{00000000-0005-0000-0000-00002C6B0000}"/>
    <cellStyle name="40 % - Markeringsfarve3 6 2 7" xfId="21638" xr:uid="{00000000-0005-0000-0000-00002D6B0000}"/>
    <cellStyle name="40 % - Markeringsfarve3 6 2 8" xfId="36626" xr:uid="{00000000-0005-0000-0000-00002E6B0000}"/>
    <cellStyle name="40 % - Markeringsfarve3 6 2 9" xfId="53963" xr:uid="{00000000-0005-0000-0000-00002F6B0000}"/>
    <cellStyle name="40 % - Markeringsfarve3 6 3" xfId="3785" xr:uid="{00000000-0005-0000-0000-0000306B0000}"/>
    <cellStyle name="40 % - Markeringsfarve3 6 3 2" xfId="3786" xr:uid="{00000000-0005-0000-0000-0000316B0000}"/>
    <cellStyle name="40 % - Markeringsfarve3 6 3 2 2" xfId="7552" xr:uid="{00000000-0005-0000-0000-0000326B0000}"/>
    <cellStyle name="40 % - Markeringsfarve3 6 3 2 2 2" xfId="15454" xr:uid="{00000000-0005-0000-0000-0000336B0000}"/>
    <cellStyle name="40 % - Markeringsfarve3 6 3 2 2 2 2" xfId="31769" xr:uid="{00000000-0005-0000-0000-0000346B0000}"/>
    <cellStyle name="40 % - Markeringsfarve3 6 3 2 2 2 3" xfId="46733" xr:uid="{00000000-0005-0000-0000-0000356B0000}"/>
    <cellStyle name="40 % - Markeringsfarve3 6 3 2 2 3" xfId="24747" xr:uid="{00000000-0005-0000-0000-0000366B0000}"/>
    <cellStyle name="40 % - Markeringsfarve3 6 3 2 2 4" xfId="39734" xr:uid="{00000000-0005-0000-0000-0000376B0000}"/>
    <cellStyle name="40 % - Markeringsfarve3 6 3 2 3" xfId="12346" xr:uid="{00000000-0005-0000-0000-0000386B0000}"/>
    <cellStyle name="40 % - Markeringsfarve3 6 3 2 3 2" xfId="28666" xr:uid="{00000000-0005-0000-0000-0000396B0000}"/>
    <cellStyle name="40 % - Markeringsfarve3 6 3 2 3 3" xfId="43631" xr:uid="{00000000-0005-0000-0000-00003A6B0000}"/>
    <cellStyle name="40 % - Markeringsfarve3 6 3 2 4" xfId="21644" xr:uid="{00000000-0005-0000-0000-00003B6B0000}"/>
    <cellStyle name="40 % - Markeringsfarve3 6 3 2 5" xfId="36632" xr:uid="{00000000-0005-0000-0000-00003C6B0000}"/>
    <cellStyle name="40 % - Markeringsfarve3 6 3 3" xfId="6134" xr:uid="{00000000-0005-0000-0000-00003D6B0000}"/>
    <cellStyle name="40 % - Markeringsfarve3 6 3 3 2" xfId="14052" xr:uid="{00000000-0005-0000-0000-00003E6B0000}"/>
    <cellStyle name="40 % - Markeringsfarve3 6 3 3 2 2" xfId="30367" xr:uid="{00000000-0005-0000-0000-00003F6B0000}"/>
    <cellStyle name="40 % - Markeringsfarve3 6 3 3 2 3" xfId="45331" xr:uid="{00000000-0005-0000-0000-0000406B0000}"/>
    <cellStyle name="40 % - Markeringsfarve3 6 3 3 3" xfId="23345" xr:uid="{00000000-0005-0000-0000-0000416B0000}"/>
    <cellStyle name="40 % - Markeringsfarve3 6 3 3 4" xfId="38332" xr:uid="{00000000-0005-0000-0000-0000426B0000}"/>
    <cellStyle name="40 % - Markeringsfarve3 6 3 4" xfId="12345" xr:uid="{00000000-0005-0000-0000-0000436B0000}"/>
    <cellStyle name="40 % - Markeringsfarve3 6 3 4 2" xfId="28665" xr:uid="{00000000-0005-0000-0000-0000446B0000}"/>
    <cellStyle name="40 % - Markeringsfarve3 6 3 4 3" xfId="43630" xr:uid="{00000000-0005-0000-0000-0000456B0000}"/>
    <cellStyle name="40 % - Markeringsfarve3 6 3 5" xfId="21643" xr:uid="{00000000-0005-0000-0000-0000466B0000}"/>
    <cellStyle name="40 % - Markeringsfarve3 6 3 6" xfId="36631" xr:uid="{00000000-0005-0000-0000-0000476B0000}"/>
    <cellStyle name="40 % - Markeringsfarve3 6 3 7" xfId="56507" xr:uid="{00000000-0005-0000-0000-0000486B0000}"/>
    <cellStyle name="40 % - Markeringsfarve3 6 4" xfId="3787" xr:uid="{00000000-0005-0000-0000-0000496B0000}"/>
    <cellStyle name="40 % - Markeringsfarve3 6 4 2" xfId="6782" xr:uid="{00000000-0005-0000-0000-00004A6B0000}"/>
    <cellStyle name="40 % - Markeringsfarve3 6 4 2 2" xfId="14694" xr:uid="{00000000-0005-0000-0000-00004B6B0000}"/>
    <cellStyle name="40 % - Markeringsfarve3 6 4 2 2 2" xfId="31009" xr:uid="{00000000-0005-0000-0000-00004C6B0000}"/>
    <cellStyle name="40 % - Markeringsfarve3 6 4 2 2 3" xfId="45973" xr:uid="{00000000-0005-0000-0000-00004D6B0000}"/>
    <cellStyle name="40 % - Markeringsfarve3 6 4 2 3" xfId="23987" xr:uid="{00000000-0005-0000-0000-00004E6B0000}"/>
    <cellStyle name="40 % - Markeringsfarve3 6 4 2 4" xfId="38974" xr:uid="{00000000-0005-0000-0000-00004F6B0000}"/>
    <cellStyle name="40 % - Markeringsfarve3 6 4 3" xfId="12347" xr:uid="{00000000-0005-0000-0000-0000506B0000}"/>
    <cellStyle name="40 % - Markeringsfarve3 6 4 3 2" xfId="28667" xr:uid="{00000000-0005-0000-0000-0000516B0000}"/>
    <cellStyle name="40 % - Markeringsfarve3 6 4 3 3" xfId="43632" xr:uid="{00000000-0005-0000-0000-0000526B0000}"/>
    <cellStyle name="40 % - Markeringsfarve3 6 4 4" xfId="21645" xr:uid="{00000000-0005-0000-0000-0000536B0000}"/>
    <cellStyle name="40 % - Markeringsfarve3 6 4 5" xfId="36633" xr:uid="{00000000-0005-0000-0000-0000546B0000}"/>
    <cellStyle name="40 % - Markeringsfarve3 6 5" xfId="3788" xr:uid="{00000000-0005-0000-0000-0000556B0000}"/>
    <cellStyle name="40 % - Markeringsfarve3 6 5 2" xfId="8567" xr:uid="{00000000-0005-0000-0000-0000566B0000}"/>
    <cellStyle name="40 % - Markeringsfarve3 6 5 2 2" xfId="16451" xr:uid="{00000000-0005-0000-0000-0000576B0000}"/>
    <cellStyle name="40 % - Markeringsfarve3 6 5 2 2 2" xfId="32766" xr:uid="{00000000-0005-0000-0000-0000586B0000}"/>
    <cellStyle name="40 % - Markeringsfarve3 6 5 2 2 3" xfId="47730" xr:uid="{00000000-0005-0000-0000-0000596B0000}"/>
    <cellStyle name="40 % - Markeringsfarve3 6 5 2 3" xfId="25744" xr:uid="{00000000-0005-0000-0000-00005A6B0000}"/>
    <cellStyle name="40 % - Markeringsfarve3 6 5 2 4" xfId="40731" xr:uid="{00000000-0005-0000-0000-00005B6B0000}"/>
    <cellStyle name="40 % - Markeringsfarve3 6 5 3" xfId="12348" xr:uid="{00000000-0005-0000-0000-00005C6B0000}"/>
    <cellStyle name="40 % - Markeringsfarve3 6 5 3 2" xfId="28668" xr:uid="{00000000-0005-0000-0000-00005D6B0000}"/>
    <cellStyle name="40 % - Markeringsfarve3 6 5 3 3" xfId="43633" xr:uid="{00000000-0005-0000-0000-00005E6B0000}"/>
    <cellStyle name="40 % - Markeringsfarve3 6 5 4" xfId="21646" xr:uid="{00000000-0005-0000-0000-00005F6B0000}"/>
    <cellStyle name="40 % - Markeringsfarve3 6 5 5" xfId="36634" xr:uid="{00000000-0005-0000-0000-0000606B0000}"/>
    <cellStyle name="40 % - Markeringsfarve3 6 6" xfId="5847" xr:uid="{00000000-0005-0000-0000-0000616B0000}"/>
    <cellStyle name="40 % - Markeringsfarve3 6 6 2" xfId="13766" xr:uid="{00000000-0005-0000-0000-0000626B0000}"/>
    <cellStyle name="40 % - Markeringsfarve3 6 6 2 2" xfId="30081" xr:uid="{00000000-0005-0000-0000-0000636B0000}"/>
    <cellStyle name="40 % - Markeringsfarve3 6 6 2 3" xfId="45045" xr:uid="{00000000-0005-0000-0000-0000646B0000}"/>
    <cellStyle name="40 % - Markeringsfarve3 6 6 3" xfId="23059" xr:uid="{00000000-0005-0000-0000-0000656B0000}"/>
    <cellStyle name="40 % - Markeringsfarve3 6 6 4" xfId="38046" xr:uid="{00000000-0005-0000-0000-0000666B0000}"/>
    <cellStyle name="40 % - Markeringsfarve3 6 7" xfId="12339" xr:uid="{00000000-0005-0000-0000-0000676B0000}"/>
    <cellStyle name="40 % - Markeringsfarve3 6 7 2" xfId="28659" xr:uid="{00000000-0005-0000-0000-0000686B0000}"/>
    <cellStyle name="40 % - Markeringsfarve3 6 7 3" xfId="43624" xr:uid="{00000000-0005-0000-0000-0000696B0000}"/>
    <cellStyle name="40 % - Markeringsfarve3 6 8" xfId="21637" xr:uid="{00000000-0005-0000-0000-00006A6B0000}"/>
    <cellStyle name="40 % - Markeringsfarve3 6 9" xfId="36625" xr:uid="{00000000-0005-0000-0000-00006B6B0000}"/>
    <cellStyle name="40 % - Markeringsfarve3 7" xfId="3789" xr:uid="{00000000-0005-0000-0000-00006C6B0000}"/>
    <cellStyle name="40 % - Markeringsfarve3 7 2" xfId="3790" xr:uid="{00000000-0005-0000-0000-00006D6B0000}"/>
    <cellStyle name="40 % - Markeringsfarve3 7 2 2" xfId="3791" xr:uid="{00000000-0005-0000-0000-00006E6B0000}"/>
    <cellStyle name="40 % - Markeringsfarve3 7 2 2 2" xfId="7790" xr:uid="{00000000-0005-0000-0000-00006F6B0000}"/>
    <cellStyle name="40 % - Markeringsfarve3 7 2 2 2 2" xfId="15692" xr:uid="{00000000-0005-0000-0000-0000706B0000}"/>
    <cellStyle name="40 % - Markeringsfarve3 7 2 2 2 2 2" xfId="32007" xr:uid="{00000000-0005-0000-0000-0000716B0000}"/>
    <cellStyle name="40 % - Markeringsfarve3 7 2 2 2 2 3" xfId="46971" xr:uid="{00000000-0005-0000-0000-0000726B0000}"/>
    <cellStyle name="40 % - Markeringsfarve3 7 2 2 2 3" xfId="24985" xr:uid="{00000000-0005-0000-0000-0000736B0000}"/>
    <cellStyle name="40 % - Markeringsfarve3 7 2 2 2 4" xfId="39972" xr:uid="{00000000-0005-0000-0000-0000746B0000}"/>
    <cellStyle name="40 % - Markeringsfarve3 7 2 2 3" xfId="12351" xr:uid="{00000000-0005-0000-0000-0000756B0000}"/>
    <cellStyle name="40 % - Markeringsfarve3 7 2 2 3 2" xfId="28671" xr:uid="{00000000-0005-0000-0000-0000766B0000}"/>
    <cellStyle name="40 % - Markeringsfarve3 7 2 2 3 3" xfId="43636" xr:uid="{00000000-0005-0000-0000-0000776B0000}"/>
    <cellStyle name="40 % - Markeringsfarve3 7 2 2 4" xfId="21649" xr:uid="{00000000-0005-0000-0000-0000786B0000}"/>
    <cellStyle name="40 % - Markeringsfarve3 7 2 2 5" xfId="36637" xr:uid="{00000000-0005-0000-0000-0000796B0000}"/>
    <cellStyle name="40 % - Markeringsfarve3 7 2 3" xfId="6336" xr:uid="{00000000-0005-0000-0000-00007A6B0000}"/>
    <cellStyle name="40 % - Markeringsfarve3 7 2 3 2" xfId="14251" xr:uid="{00000000-0005-0000-0000-00007B6B0000}"/>
    <cellStyle name="40 % - Markeringsfarve3 7 2 3 2 2" xfId="30566" xr:uid="{00000000-0005-0000-0000-00007C6B0000}"/>
    <cellStyle name="40 % - Markeringsfarve3 7 2 3 2 3" xfId="45530" xr:uid="{00000000-0005-0000-0000-00007D6B0000}"/>
    <cellStyle name="40 % - Markeringsfarve3 7 2 3 3" xfId="23544" xr:uid="{00000000-0005-0000-0000-00007E6B0000}"/>
    <cellStyle name="40 % - Markeringsfarve3 7 2 3 4" xfId="38531" xr:uid="{00000000-0005-0000-0000-00007F6B0000}"/>
    <cellStyle name="40 % - Markeringsfarve3 7 2 4" xfId="12350" xr:uid="{00000000-0005-0000-0000-0000806B0000}"/>
    <cellStyle name="40 % - Markeringsfarve3 7 2 4 2" xfId="28670" xr:uid="{00000000-0005-0000-0000-0000816B0000}"/>
    <cellStyle name="40 % - Markeringsfarve3 7 2 4 3" xfId="43635" xr:uid="{00000000-0005-0000-0000-0000826B0000}"/>
    <cellStyle name="40 % - Markeringsfarve3 7 2 5" xfId="21648" xr:uid="{00000000-0005-0000-0000-0000836B0000}"/>
    <cellStyle name="40 % - Markeringsfarve3 7 2 6" xfId="36636" xr:uid="{00000000-0005-0000-0000-0000846B0000}"/>
    <cellStyle name="40 % - Markeringsfarve3 7 2 7" xfId="57059" xr:uid="{00000000-0005-0000-0000-0000856B0000}"/>
    <cellStyle name="40 % - Markeringsfarve3 7 3" xfId="3792" xr:uid="{00000000-0005-0000-0000-0000866B0000}"/>
    <cellStyle name="40 % - Markeringsfarve3 7 3 2" xfId="7066" xr:uid="{00000000-0005-0000-0000-0000876B0000}"/>
    <cellStyle name="40 % - Markeringsfarve3 7 3 2 2" xfId="14977" xr:uid="{00000000-0005-0000-0000-0000886B0000}"/>
    <cellStyle name="40 % - Markeringsfarve3 7 3 2 2 2" xfId="31292" xr:uid="{00000000-0005-0000-0000-0000896B0000}"/>
    <cellStyle name="40 % - Markeringsfarve3 7 3 2 2 3" xfId="46256" xr:uid="{00000000-0005-0000-0000-00008A6B0000}"/>
    <cellStyle name="40 % - Markeringsfarve3 7 3 2 3" xfId="24270" xr:uid="{00000000-0005-0000-0000-00008B6B0000}"/>
    <cellStyle name="40 % - Markeringsfarve3 7 3 2 4" xfId="39257" xr:uid="{00000000-0005-0000-0000-00008C6B0000}"/>
    <cellStyle name="40 % - Markeringsfarve3 7 3 3" xfId="12352" xr:uid="{00000000-0005-0000-0000-00008D6B0000}"/>
    <cellStyle name="40 % - Markeringsfarve3 7 3 3 2" xfId="28672" xr:uid="{00000000-0005-0000-0000-00008E6B0000}"/>
    <cellStyle name="40 % - Markeringsfarve3 7 3 3 3" xfId="43637" xr:uid="{00000000-0005-0000-0000-00008F6B0000}"/>
    <cellStyle name="40 % - Markeringsfarve3 7 3 4" xfId="21650" xr:uid="{00000000-0005-0000-0000-0000906B0000}"/>
    <cellStyle name="40 % - Markeringsfarve3 7 3 5" xfId="36638" xr:uid="{00000000-0005-0000-0000-0000916B0000}"/>
    <cellStyle name="40 % - Markeringsfarve3 7 4" xfId="3793" xr:uid="{00000000-0005-0000-0000-0000926B0000}"/>
    <cellStyle name="40 % - Markeringsfarve3 7 4 2" xfId="8512" xr:uid="{00000000-0005-0000-0000-0000936B0000}"/>
    <cellStyle name="40 % - Markeringsfarve3 7 4 2 2" xfId="16400" xr:uid="{00000000-0005-0000-0000-0000946B0000}"/>
    <cellStyle name="40 % - Markeringsfarve3 7 4 2 2 2" xfId="32715" xr:uid="{00000000-0005-0000-0000-0000956B0000}"/>
    <cellStyle name="40 % - Markeringsfarve3 7 4 2 2 3" xfId="47679" xr:uid="{00000000-0005-0000-0000-0000966B0000}"/>
    <cellStyle name="40 % - Markeringsfarve3 7 4 2 3" xfId="25693" xr:uid="{00000000-0005-0000-0000-0000976B0000}"/>
    <cellStyle name="40 % - Markeringsfarve3 7 4 2 4" xfId="40680" xr:uid="{00000000-0005-0000-0000-0000986B0000}"/>
    <cellStyle name="40 % - Markeringsfarve3 7 4 3" xfId="12353" xr:uid="{00000000-0005-0000-0000-0000996B0000}"/>
    <cellStyle name="40 % - Markeringsfarve3 7 4 3 2" xfId="28673" xr:uid="{00000000-0005-0000-0000-00009A6B0000}"/>
    <cellStyle name="40 % - Markeringsfarve3 7 4 3 3" xfId="43638" xr:uid="{00000000-0005-0000-0000-00009B6B0000}"/>
    <cellStyle name="40 % - Markeringsfarve3 7 4 4" xfId="21651" xr:uid="{00000000-0005-0000-0000-00009C6B0000}"/>
    <cellStyle name="40 % - Markeringsfarve3 7 4 5" xfId="36639" xr:uid="{00000000-0005-0000-0000-00009D6B0000}"/>
    <cellStyle name="40 % - Markeringsfarve3 7 5" xfId="5849" xr:uid="{00000000-0005-0000-0000-00009E6B0000}"/>
    <cellStyle name="40 % - Markeringsfarve3 7 5 2" xfId="13768" xr:uid="{00000000-0005-0000-0000-00009F6B0000}"/>
    <cellStyle name="40 % - Markeringsfarve3 7 5 2 2" xfId="30083" xr:uid="{00000000-0005-0000-0000-0000A06B0000}"/>
    <cellStyle name="40 % - Markeringsfarve3 7 5 2 3" xfId="45047" xr:uid="{00000000-0005-0000-0000-0000A16B0000}"/>
    <cellStyle name="40 % - Markeringsfarve3 7 5 3" xfId="23061" xr:uid="{00000000-0005-0000-0000-0000A26B0000}"/>
    <cellStyle name="40 % - Markeringsfarve3 7 5 4" xfId="38048" xr:uid="{00000000-0005-0000-0000-0000A36B0000}"/>
    <cellStyle name="40 % - Markeringsfarve3 7 6" xfId="12349" xr:uid="{00000000-0005-0000-0000-0000A46B0000}"/>
    <cellStyle name="40 % - Markeringsfarve3 7 6 2" xfId="28669" xr:uid="{00000000-0005-0000-0000-0000A56B0000}"/>
    <cellStyle name="40 % - Markeringsfarve3 7 6 3" xfId="43634" xr:uid="{00000000-0005-0000-0000-0000A66B0000}"/>
    <cellStyle name="40 % - Markeringsfarve3 7 7" xfId="21647" xr:uid="{00000000-0005-0000-0000-0000A76B0000}"/>
    <cellStyle name="40 % - Markeringsfarve3 7 8" xfId="36635" xr:uid="{00000000-0005-0000-0000-0000A86B0000}"/>
    <cellStyle name="40 % - Markeringsfarve3 7 9" xfId="53892" xr:uid="{00000000-0005-0000-0000-0000A96B0000}"/>
    <cellStyle name="40 % - Markeringsfarve3 8" xfId="3794" xr:uid="{00000000-0005-0000-0000-0000AA6B0000}"/>
    <cellStyle name="40 % - Markeringsfarve3 8 2" xfId="3795" xr:uid="{00000000-0005-0000-0000-0000AB6B0000}"/>
    <cellStyle name="40 % - Markeringsfarve3 8 2 2" xfId="3796" xr:uid="{00000000-0005-0000-0000-0000AC6B0000}"/>
    <cellStyle name="40 % - Markeringsfarve3 8 2 2 2" xfId="7907" xr:uid="{00000000-0005-0000-0000-0000AD6B0000}"/>
    <cellStyle name="40 % - Markeringsfarve3 8 2 2 2 2" xfId="15809" xr:uid="{00000000-0005-0000-0000-0000AE6B0000}"/>
    <cellStyle name="40 % - Markeringsfarve3 8 2 2 2 2 2" xfId="32124" xr:uid="{00000000-0005-0000-0000-0000AF6B0000}"/>
    <cellStyle name="40 % - Markeringsfarve3 8 2 2 2 2 3" xfId="47088" xr:uid="{00000000-0005-0000-0000-0000B06B0000}"/>
    <cellStyle name="40 % - Markeringsfarve3 8 2 2 2 3" xfId="25102" xr:uid="{00000000-0005-0000-0000-0000B16B0000}"/>
    <cellStyle name="40 % - Markeringsfarve3 8 2 2 2 4" xfId="40089" xr:uid="{00000000-0005-0000-0000-0000B26B0000}"/>
    <cellStyle name="40 % - Markeringsfarve3 8 2 2 3" xfId="12356" xr:uid="{00000000-0005-0000-0000-0000B36B0000}"/>
    <cellStyle name="40 % - Markeringsfarve3 8 2 2 3 2" xfId="28676" xr:uid="{00000000-0005-0000-0000-0000B46B0000}"/>
    <cellStyle name="40 % - Markeringsfarve3 8 2 2 3 3" xfId="43641" xr:uid="{00000000-0005-0000-0000-0000B56B0000}"/>
    <cellStyle name="40 % - Markeringsfarve3 8 2 2 4" xfId="21654" xr:uid="{00000000-0005-0000-0000-0000B66B0000}"/>
    <cellStyle name="40 % - Markeringsfarve3 8 2 2 5" xfId="36642" xr:uid="{00000000-0005-0000-0000-0000B76B0000}"/>
    <cellStyle name="40 % - Markeringsfarve3 8 2 3" xfId="6435" xr:uid="{00000000-0005-0000-0000-0000B86B0000}"/>
    <cellStyle name="40 % - Markeringsfarve3 8 2 3 2" xfId="14350" xr:uid="{00000000-0005-0000-0000-0000B96B0000}"/>
    <cellStyle name="40 % - Markeringsfarve3 8 2 3 2 2" xfId="30665" xr:uid="{00000000-0005-0000-0000-0000BA6B0000}"/>
    <cellStyle name="40 % - Markeringsfarve3 8 2 3 2 3" xfId="45629" xr:uid="{00000000-0005-0000-0000-0000BB6B0000}"/>
    <cellStyle name="40 % - Markeringsfarve3 8 2 3 3" xfId="23643" xr:uid="{00000000-0005-0000-0000-0000BC6B0000}"/>
    <cellStyle name="40 % - Markeringsfarve3 8 2 3 4" xfId="38630" xr:uid="{00000000-0005-0000-0000-0000BD6B0000}"/>
    <cellStyle name="40 % - Markeringsfarve3 8 2 4" xfId="12355" xr:uid="{00000000-0005-0000-0000-0000BE6B0000}"/>
    <cellStyle name="40 % - Markeringsfarve3 8 2 4 2" xfId="28675" xr:uid="{00000000-0005-0000-0000-0000BF6B0000}"/>
    <cellStyle name="40 % - Markeringsfarve3 8 2 4 3" xfId="43640" xr:uid="{00000000-0005-0000-0000-0000C06B0000}"/>
    <cellStyle name="40 % - Markeringsfarve3 8 2 5" xfId="21653" xr:uid="{00000000-0005-0000-0000-0000C16B0000}"/>
    <cellStyle name="40 % - Markeringsfarve3 8 2 6" xfId="36641" xr:uid="{00000000-0005-0000-0000-0000C26B0000}"/>
    <cellStyle name="40 % - Markeringsfarve3 8 3" xfId="3797" xr:uid="{00000000-0005-0000-0000-0000C36B0000}"/>
    <cellStyle name="40 % - Markeringsfarve3 8 3 2" xfId="7183" xr:uid="{00000000-0005-0000-0000-0000C46B0000}"/>
    <cellStyle name="40 % - Markeringsfarve3 8 3 2 2" xfId="15094" xr:uid="{00000000-0005-0000-0000-0000C56B0000}"/>
    <cellStyle name="40 % - Markeringsfarve3 8 3 2 2 2" xfId="31409" xr:uid="{00000000-0005-0000-0000-0000C66B0000}"/>
    <cellStyle name="40 % - Markeringsfarve3 8 3 2 2 3" xfId="46373" xr:uid="{00000000-0005-0000-0000-0000C76B0000}"/>
    <cellStyle name="40 % - Markeringsfarve3 8 3 2 3" xfId="24387" xr:uid="{00000000-0005-0000-0000-0000C86B0000}"/>
    <cellStyle name="40 % - Markeringsfarve3 8 3 2 4" xfId="39374" xr:uid="{00000000-0005-0000-0000-0000C96B0000}"/>
    <cellStyle name="40 % - Markeringsfarve3 8 3 3" xfId="12357" xr:uid="{00000000-0005-0000-0000-0000CA6B0000}"/>
    <cellStyle name="40 % - Markeringsfarve3 8 3 3 2" xfId="28677" xr:uid="{00000000-0005-0000-0000-0000CB6B0000}"/>
    <cellStyle name="40 % - Markeringsfarve3 8 3 3 3" xfId="43642" xr:uid="{00000000-0005-0000-0000-0000CC6B0000}"/>
    <cellStyle name="40 % - Markeringsfarve3 8 3 4" xfId="21655" xr:uid="{00000000-0005-0000-0000-0000CD6B0000}"/>
    <cellStyle name="40 % - Markeringsfarve3 8 3 5" xfId="36643" xr:uid="{00000000-0005-0000-0000-0000CE6B0000}"/>
    <cellStyle name="40 % - Markeringsfarve3 8 4" xfId="3798" xr:uid="{00000000-0005-0000-0000-0000CF6B0000}"/>
    <cellStyle name="40 % - Markeringsfarve3 8 4 2" xfId="8161" xr:uid="{00000000-0005-0000-0000-0000D06B0000}"/>
    <cellStyle name="40 % - Markeringsfarve3 8 4 2 2" xfId="16059" xr:uid="{00000000-0005-0000-0000-0000D16B0000}"/>
    <cellStyle name="40 % - Markeringsfarve3 8 4 2 2 2" xfId="32374" xr:uid="{00000000-0005-0000-0000-0000D26B0000}"/>
    <cellStyle name="40 % - Markeringsfarve3 8 4 2 2 3" xfId="47338" xr:uid="{00000000-0005-0000-0000-0000D36B0000}"/>
    <cellStyle name="40 % - Markeringsfarve3 8 4 2 3" xfId="25352" xr:uid="{00000000-0005-0000-0000-0000D46B0000}"/>
    <cellStyle name="40 % - Markeringsfarve3 8 4 2 4" xfId="40339" xr:uid="{00000000-0005-0000-0000-0000D56B0000}"/>
    <cellStyle name="40 % - Markeringsfarve3 8 4 3" xfId="12358" xr:uid="{00000000-0005-0000-0000-0000D66B0000}"/>
    <cellStyle name="40 % - Markeringsfarve3 8 4 3 2" xfId="28678" xr:uid="{00000000-0005-0000-0000-0000D76B0000}"/>
    <cellStyle name="40 % - Markeringsfarve3 8 4 3 3" xfId="43643" xr:uid="{00000000-0005-0000-0000-0000D86B0000}"/>
    <cellStyle name="40 % - Markeringsfarve3 8 4 4" xfId="21656" xr:uid="{00000000-0005-0000-0000-0000D96B0000}"/>
    <cellStyle name="40 % - Markeringsfarve3 8 4 5" xfId="36644" xr:uid="{00000000-0005-0000-0000-0000DA6B0000}"/>
    <cellStyle name="40 % - Markeringsfarve3 8 5" xfId="5850" xr:uid="{00000000-0005-0000-0000-0000DB6B0000}"/>
    <cellStyle name="40 % - Markeringsfarve3 8 5 2" xfId="13769" xr:uid="{00000000-0005-0000-0000-0000DC6B0000}"/>
    <cellStyle name="40 % - Markeringsfarve3 8 5 2 2" xfId="30084" xr:uid="{00000000-0005-0000-0000-0000DD6B0000}"/>
    <cellStyle name="40 % - Markeringsfarve3 8 5 2 3" xfId="45048" xr:uid="{00000000-0005-0000-0000-0000DE6B0000}"/>
    <cellStyle name="40 % - Markeringsfarve3 8 5 3" xfId="23062" xr:uid="{00000000-0005-0000-0000-0000DF6B0000}"/>
    <cellStyle name="40 % - Markeringsfarve3 8 5 4" xfId="38049" xr:uid="{00000000-0005-0000-0000-0000E06B0000}"/>
    <cellStyle name="40 % - Markeringsfarve3 8 6" xfId="12354" xr:uid="{00000000-0005-0000-0000-0000E16B0000}"/>
    <cellStyle name="40 % - Markeringsfarve3 8 6 2" xfId="28674" xr:uid="{00000000-0005-0000-0000-0000E26B0000}"/>
    <cellStyle name="40 % - Markeringsfarve3 8 6 3" xfId="43639" xr:uid="{00000000-0005-0000-0000-0000E36B0000}"/>
    <cellStyle name="40 % - Markeringsfarve3 8 7" xfId="21652" xr:uid="{00000000-0005-0000-0000-0000E46B0000}"/>
    <cellStyle name="40 % - Markeringsfarve3 8 8" xfId="36640" xr:uid="{00000000-0005-0000-0000-0000E56B0000}"/>
    <cellStyle name="40 % - Markeringsfarve3 9" xfId="3799" xr:uid="{00000000-0005-0000-0000-0000E66B0000}"/>
    <cellStyle name="40 % - Markeringsfarve3 9 2" xfId="3800" xr:uid="{00000000-0005-0000-0000-0000E76B0000}"/>
    <cellStyle name="40 % - Markeringsfarve3 9 2 2" xfId="3801" xr:uid="{00000000-0005-0000-0000-0000E86B0000}"/>
    <cellStyle name="40 % - Markeringsfarve3 9 2 2 2" xfId="8091" xr:uid="{00000000-0005-0000-0000-0000E96B0000}"/>
    <cellStyle name="40 % - Markeringsfarve3 9 2 2 2 2" xfId="15993" xr:uid="{00000000-0005-0000-0000-0000EA6B0000}"/>
    <cellStyle name="40 % - Markeringsfarve3 9 2 2 2 2 2" xfId="32308" xr:uid="{00000000-0005-0000-0000-0000EB6B0000}"/>
    <cellStyle name="40 % - Markeringsfarve3 9 2 2 2 2 3" xfId="47272" xr:uid="{00000000-0005-0000-0000-0000EC6B0000}"/>
    <cellStyle name="40 % - Markeringsfarve3 9 2 2 2 3" xfId="25286" xr:uid="{00000000-0005-0000-0000-0000ED6B0000}"/>
    <cellStyle name="40 % - Markeringsfarve3 9 2 2 2 4" xfId="40273" xr:uid="{00000000-0005-0000-0000-0000EE6B0000}"/>
    <cellStyle name="40 % - Markeringsfarve3 9 2 2 3" xfId="12361" xr:uid="{00000000-0005-0000-0000-0000EF6B0000}"/>
    <cellStyle name="40 % - Markeringsfarve3 9 2 2 3 2" xfId="28681" xr:uid="{00000000-0005-0000-0000-0000F06B0000}"/>
    <cellStyle name="40 % - Markeringsfarve3 9 2 2 3 3" xfId="43646" xr:uid="{00000000-0005-0000-0000-0000F16B0000}"/>
    <cellStyle name="40 % - Markeringsfarve3 9 2 2 4" xfId="21659" xr:uid="{00000000-0005-0000-0000-0000F26B0000}"/>
    <cellStyle name="40 % - Markeringsfarve3 9 2 2 5" xfId="36647" xr:uid="{00000000-0005-0000-0000-0000F36B0000}"/>
    <cellStyle name="40 % - Markeringsfarve3 9 2 3" xfId="6584" xr:uid="{00000000-0005-0000-0000-0000F46B0000}"/>
    <cellStyle name="40 % - Markeringsfarve3 9 2 3 2" xfId="14499" xr:uid="{00000000-0005-0000-0000-0000F56B0000}"/>
    <cellStyle name="40 % - Markeringsfarve3 9 2 3 2 2" xfId="30814" xr:uid="{00000000-0005-0000-0000-0000F66B0000}"/>
    <cellStyle name="40 % - Markeringsfarve3 9 2 3 2 3" xfId="45778" xr:uid="{00000000-0005-0000-0000-0000F76B0000}"/>
    <cellStyle name="40 % - Markeringsfarve3 9 2 3 3" xfId="23792" xr:uid="{00000000-0005-0000-0000-0000F86B0000}"/>
    <cellStyle name="40 % - Markeringsfarve3 9 2 3 4" xfId="38779" xr:uid="{00000000-0005-0000-0000-0000F96B0000}"/>
    <cellStyle name="40 % - Markeringsfarve3 9 2 4" xfId="12360" xr:uid="{00000000-0005-0000-0000-0000FA6B0000}"/>
    <cellStyle name="40 % - Markeringsfarve3 9 2 4 2" xfId="28680" xr:uid="{00000000-0005-0000-0000-0000FB6B0000}"/>
    <cellStyle name="40 % - Markeringsfarve3 9 2 4 3" xfId="43645" xr:uid="{00000000-0005-0000-0000-0000FC6B0000}"/>
    <cellStyle name="40 % - Markeringsfarve3 9 2 5" xfId="21658" xr:uid="{00000000-0005-0000-0000-0000FD6B0000}"/>
    <cellStyle name="40 % - Markeringsfarve3 9 2 6" xfId="36646" xr:uid="{00000000-0005-0000-0000-0000FE6B0000}"/>
    <cellStyle name="40 % - Markeringsfarve3 9 3" xfId="3802" xr:uid="{00000000-0005-0000-0000-0000FF6B0000}"/>
    <cellStyle name="40 % - Markeringsfarve3 9 3 2" xfId="7368" xr:uid="{00000000-0005-0000-0000-0000006C0000}"/>
    <cellStyle name="40 % - Markeringsfarve3 9 3 2 2" xfId="15279" xr:uid="{00000000-0005-0000-0000-0000016C0000}"/>
    <cellStyle name="40 % - Markeringsfarve3 9 3 2 2 2" xfId="31594" xr:uid="{00000000-0005-0000-0000-0000026C0000}"/>
    <cellStyle name="40 % - Markeringsfarve3 9 3 2 2 3" xfId="46558" xr:uid="{00000000-0005-0000-0000-0000036C0000}"/>
    <cellStyle name="40 % - Markeringsfarve3 9 3 2 3" xfId="24572" xr:uid="{00000000-0005-0000-0000-0000046C0000}"/>
    <cellStyle name="40 % - Markeringsfarve3 9 3 2 4" xfId="39559" xr:uid="{00000000-0005-0000-0000-0000056C0000}"/>
    <cellStyle name="40 % - Markeringsfarve3 9 3 3" xfId="12362" xr:uid="{00000000-0005-0000-0000-0000066C0000}"/>
    <cellStyle name="40 % - Markeringsfarve3 9 3 3 2" xfId="28682" xr:uid="{00000000-0005-0000-0000-0000076C0000}"/>
    <cellStyle name="40 % - Markeringsfarve3 9 3 3 3" xfId="43647" xr:uid="{00000000-0005-0000-0000-0000086C0000}"/>
    <cellStyle name="40 % - Markeringsfarve3 9 3 4" xfId="21660" xr:uid="{00000000-0005-0000-0000-0000096C0000}"/>
    <cellStyle name="40 % - Markeringsfarve3 9 3 5" xfId="36648" xr:uid="{00000000-0005-0000-0000-00000A6C0000}"/>
    <cellStyle name="40 % - Markeringsfarve3 9 4" xfId="3803" xr:uid="{00000000-0005-0000-0000-00000B6C0000}"/>
    <cellStyle name="40 % - Markeringsfarve3 9 4 2" xfId="8498" xr:uid="{00000000-0005-0000-0000-00000C6C0000}"/>
    <cellStyle name="40 % - Markeringsfarve3 9 4 2 2" xfId="16387" xr:uid="{00000000-0005-0000-0000-00000D6C0000}"/>
    <cellStyle name="40 % - Markeringsfarve3 9 4 2 2 2" xfId="32702" xr:uid="{00000000-0005-0000-0000-00000E6C0000}"/>
    <cellStyle name="40 % - Markeringsfarve3 9 4 2 2 3" xfId="47666" xr:uid="{00000000-0005-0000-0000-00000F6C0000}"/>
    <cellStyle name="40 % - Markeringsfarve3 9 4 2 3" xfId="25680" xr:uid="{00000000-0005-0000-0000-0000106C0000}"/>
    <cellStyle name="40 % - Markeringsfarve3 9 4 2 4" xfId="40667" xr:uid="{00000000-0005-0000-0000-0000116C0000}"/>
    <cellStyle name="40 % - Markeringsfarve3 9 4 3" xfId="12363" xr:uid="{00000000-0005-0000-0000-0000126C0000}"/>
    <cellStyle name="40 % - Markeringsfarve3 9 4 3 2" xfId="28683" xr:uid="{00000000-0005-0000-0000-0000136C0000}"/>
    <cellStyle name="40 % - Markeringsfarve3 9 4 3 3" xfId="43648" xr:uid="{00000000-0005-0000-0000-0000146C0000}"/>
    <cellStyle name="40 % - Markeringsfarve3 9 4 4" xfId="21661" xr:uid="{00000000-0005-0000-0000-0000156C0000}"/>
    <cellStyle name="40 % - Markeringsfarve3 9 4 5" xfId="36649" xr:uid="{00000000-0005-0000-0000-0000166C0000}"/>
    <cellStyle name="40 % - Markeringsfarve3 9 5" xfId="5851" xr:uid="{00000000-0005-0000-0000-0000176C0000}"/>
    <cellStyle name="40 % - Markeringsfarve3 9 5 2" xfId="13770" xr:uid="{00000000-0005-0000-0000-0000186C0000}"/>
    <cellStyle name="40 % - Markeringsfarve3 9 5 2 2" xfId="30085" xr:uid="{00000000-0005-0000-0000-0000196C0000}"/>
    <cellStyle name="40 % - Markeringsfarve3 9 5 2 3" xfId="45049" xr:uid="{00000000-0005-0000-0000-00001A6C0000}"/>
    <cellStyle name="40 % - Markeringsfarve3 9 5 3" xfId="23063" xr:uid="{00000000-0005-0000-0000-00001B6C0000}"/>
    <cellStyle name="40 % - Markeringsfarve3 9 5 4" xfId="38050" xr:uid="{00000000-0005-0000-0000-00001C6C0000}"/>
    <cellStyle name="40 % - Markeringsfarve3 9 6" xfId="12359" xr:uid="{00000000-0005-0000-0000-00001D6C0000}"/>
    <cellStyle name="40 % - Markeringsfarve3 9 6 2" xfId="28679" xr:uid="{00000000-0005-0000-0000-00001E6C0000}"/>
    <cellStyle name="40 % - Markeringsfarve3 9 6 3" xfId="43644" xr:uid="{00000000-0005-0000-0000-00001F6C0000}"/>
    <cellStyle name="40 % - Markeringsfarve3 9 7" xfId="21657" xr:uid="{00000000-0005-0000-0000-0000206C0000}"/>
    <cellStyle name="40 % - Markeringsfarve3 9 8" xfId="36645" xr:uid="{00000000-0005-0000-0000-0000216C0000}"/>
    <cellStyle name="40 % - Markeringsfarve4 10" xfId="3805" xr:uid="{00000000-0005-0000-0000-0000226C0000}"/>
    <cellStyle name="40 % - Markeringsfarve4 10 2" xfId="3806" xr:uid="{00000000-0005-0000-0000-0000236C0000}"/>
    <cellStyle name="40 % - Markeringsfarve4 10 2 2" xfId="3807" xr:uid="{00000000-0005-0000-0000-0000246C0000}"/>
    <cellStyle name="40 % - Markeringsfarve4 10 2 2 2" xfId="8100" xr:uid="{00000000-0005-0000-0000-0000256C0000}"/>
    <cellStyle name="40 % - Markeringsfarve4 10 2 2 2 2" xfId="16002" xr:uid="{00000000-0005-0000-0000-0000266C0000}"/>
    <cellStyle name="40 % - Markeringsfarve4 10 2 2 2 2 2" xfId="32317" xr:uid="{00000000-0005-0000-0000-0000276C0000}"/>
    <cellStyle name="40 % - Markeringsfarve4 10 2 2 2 2 3" xfId="47281" xr:uid="{00000000-0005-0000-0000-0000286C0000}"/>
    <cellStyle name="40 % - Markeringsfarve4 10 2 2 2 3" xfId="25295" xr:uid="{00000000-0005-0000-0000-0000296C0000}"/>
    <cellStyle name="40 % - Markeringsfarve4 10 2 2 2 4" xfId="40282" xr:uid="{00000000-0005-0000-0000-00002A6C0000}"/>
    <cellStyle name="40 % - Markeringsfarve4 10 2 2 3" xfId="12367" xr:uid="{00000000-0005-0000-0000-00002B6C0000}"/>
    <cellStyle name="40 % - Markeringsfarve4 10 2 2 3 2" xfId="28687" xr:uid="{00000000-0005-0000-0000-00002C6C0000}"/>
    <cellStyle name="40 % - Markeringsfarve4 10 2 2 3 3" xfId="43652" xr:uid="{00000000-0005-0000-0000-00002D6C0000}"/>
    <cellStyle name="40 % - Markeringsfarve4 10 2 2 4" xfId="21665" xr:uid="{00000000-0005-0000-0000-00002E6C0000}"/>
    <cellStyle name="40 % - Markeringsfarve4 10 2 2 5" xfId="36653" xr:uid="{00000000-0005-0000-0000-00002F6C0000}"/>
    <cellStyle name="40 % - Markeringsfarve4 10 2 3" xfId="6593" xr:uid="{00000000-0005-0000-0000-0000306C0000}"/>
    <cellStyle name="40 % - Markeringsfarve4 10 2 3 2" xfId="14508" xr:uid="{00000000-0005-0000-0000-0000316C0000}"/>
    <cellStyle name="40 % - Markeringsfarve4 10 2 3 2 2" xfId="30823" xr:uid="{00000000-0005-0000-0000-0000326C0000}"/>
    <cellStyle name="40 % - Markeringsfarve4 10 2 3 2 3" xfId="45787" xr:uid="{00000000-0005-0000-0000-0000336C0000}"/>
    <cellStyle name="40 % - Markeringsfarve4 10 2 3 3" xfId="23801" xr:uid="{00000000-0005-0000-0000-0000346C0000}"/>
    <cellStyle name="40 % - Markeringsfarve4 10 2 3 4" xfId="38788" xr:uid="{00000000-0005-0000-0000-0000356C0000}"/>
    <cellStyle name="40 % - Markeringsfarve4 10 2 4" xfId="12366" xr:uid="{00000000-0005-0000-0000-0000366C0000}"/>
    <cellStyle name="40 % - Markeringsfarve4 10 2 4 2" xfId="28686" xr:uid="{00000000-0005-0000-0000-0000376C0000}"/>
    <cellStyle name="40 % - Markeringsfarve4 10 2 4 3" xfId="43651" xr:uid="{00000000-0005-0000-0000-0000386C0000}"/>
    <cellStyle name="40 % - Markeringsfarve4 10 2 5" xfId="21664" xr:uid="{00000000-0005-0000-0000-0000396C0000}"/>
    <cellStyle name="40 % - Markeringsfarve4 10 2 6" xfId="36652" xr:uid="{00000000-0005-0000-0000-00003A6C0000}"/>
    <cellStyle name="40 % - Markeringsfarve4 10 3" xfId="3808" xr:uid="{00000000-0005-0000-0000-00003B6C0000}"/>
    <cellStyle name="40 % - Markeringsfarve4 10 3 2" xfId="7377" xr:uid="{00000000-0005-0000-0000-00003C6C0000}"/>
    <cellStyle name="40 % - Markeringsfarve4 10 3 2 2" xfId="15288" xr:uid="{00000000-0005-0000-0000-00003D6C0000}"/>
    <cellStyle name="40 % - Markeringsfarve4 10 3 2 2 2" xfId="31603" xr:uid="{00000000-0005-0000-0000-00003E6C0000}"/>
    <cellStyle name="40 % - Markeringsfarve4 10 3 2 2 3" xfId="46567" xr:uid="{00000000-0005-0000-0000-00003F6C0000}"/>
    <cellStyle name="40 % - Markeringsfarve4 10 3 2 3" xfId="24581" xr:uid="{00000000-0005-0000-0000-0000406C0000}"/>
    <cellStyle name="40 % - Markeringsfarve4 10 3 2 4" xfId="39568" xr:uid="{00000000-0005-0000-0000-0000416C0000}"/>
    <cellStyle name="40 % - Markeringsfarve4 10 3 3" xfId="12368" xr:uid="{00000000-0005-0000-0000-0000426C0000}"/>
    <cellStyle name="40 % - Markeringsfarve4 10 3 3 2" xfId="28688" xr:uid="{00000000-0005-0000-0000-0000436C0000}"/>
    <cellStyle name="40 % - Markeringsfarve4 10 3 3 3" xfId="43653" xr:uid="{00000000-0005-0000-0000-0000446C0000}"/>
    <cellStyle name="40 % - Markeringsfarve4 10 3 4" xfId="21666" xr:uid="{00000000-0005-0000-0000-0000456C0000}"/>
    <cellStyle name="40 % - Markeringsfarve4 10 3 5" xfId="36654" xr:uid="{00000000-0005-0000-0000-0000466C0000}"/>
    <cellStyle name="40 % - Markeringsfarve4 10 4" xfId="3809" xr:uid="{00000000-0005-0000-0000-0000476C0000}"/>
    <cellStyle name="40 % - Markeringsfarve4 10 4 2" xfId="8429" xr:uid="{00000000-0005-0000-0000-0000486C0000}"/>
    <cellStyle name="40 % - Markeringsfarve4 10 4 2 2" xfId="16319" xr:uid="{00000000-0005-0000-0000-0000496C0000}"/>
    <cellStyle name="40 % - Markeringsfarve4 10 4 2 2 2" xfId="32634" xr:uid="{00000000-0005-0000-0000-00004A6C0000}"/>
    <cellStyle name="40 % - Markeringsfarve4 10 4 2 2 3" xfId="47598" xr:uid="{00000000-0005-0000-0000-00004B6C0000}"/>
    <cellStyle name="40 % - Markeringsfarve4 10 4 2 3" xfId="25612" xr:uid="{00000000-0005-0000-0000-00004C6C0000}"/>
    <cellStyle name="40 % - Markeringsfarve4 10 4 2 4" xfId="40599" xr:uid="{00000000-0005-0000-0000-00004D6C0000}"/>
    <cellStyle name="40 % - Markeringsfarve4 10 4 3" xfId="12369" xr:uid="{00000000-0005-0000-0000-00004E6C0000}"/>
    <cellStyle name="40 % - Markeringsfarve4 10 4 3 2" xfId="28689" xr:uid="{00000000-0005-0000-0000-00004F6C0000}"/>
    <cellStyle name="40 % - Markeringsfarve4 10 4 3 3" xfId="43654" xr:uid="{00000000-0005-0000-0000-0000506C0000}"/>
    <cellStyle name="40 % - Markeringsfarve4 10 4 4" xfId="21667" xr:uid="{00000000-0005-0000-0000-0000516C0000}"/>
    <cellStyle name="40 % - Markeringsfarve4 10 4 5" xfId="36655" xr:uid="{00000000-0005-0000-0000-0000526C0000}"/>
    <cellStyle name="40 % - Markeringsfarve4 10 5" xfId="5853" xr:uid="{00000000-0005-0000-0000-0000536C0000}"/>
    <cellStyle name="40 % - Markeringsfarve4 10 5 2" xfId="13772" xr:uid="{00000000-0005-0000-0000-0000546C0000}"/>
    <cellStyle name="40 % - Markeringsfarve4 10 5 2 2" xfId="30087" xr:uid="{00000000-0005-0000-0000-0000556C0000}"/>
    <cellStyle name="40 % - Markeringsfarve4 10 5 2 3" xfId="45051" xr:uid="{00000000-0005-0000-0000-0000566C0000}"/>
    <cellStyle name="40 % - Markeringsfarve4 10 5 3" xfId="23065" xr:uid="{00000000-0005-0000-0000-0000576C0000}"/>
    <cellStyle name="40 % - Markeringsfarve4 10 5 4" xfId="38052" xr:uid="{00000000-0005-0000-0000-0000586C0000}"/>
    <cellStyle name="40 % - Markeringsfarve4 10 6" xfId="12365" xr:uid="{00000000-0005-0000-0000-0000596C0000}"/>
    <cellStyle name="40 % - Markeringsfarve4 10 6 2" xfId="28685" xr:uid="{00000000-0005-0000-0000-00005A6C0000}"/>
    <cellStyle name="40 % - Markeringsfarve4 10 6 3" xfId="43650" xr:uid="{00000000-0005-0000-0000-00005B6C0000}"/>
    <cellStyle name="40 % - Markeringsfarve4 10 7" xfId="21663" xr:uid="{00000000-0005-0000-0000-00005C6C0000}"/>
    <cellStyle name="40 % - Markeringsfarve4 10 8" xfId="36651" xr:uid="{00000000-0005-0000-0000-00005D6C0000}"/>
    <cellStyle name="40 % - Markeringsfarve4 11" xfId="3810" xr:uid="{00000000-0005-0000-0000-00005E6C0000}"/>
    <cellStyle name="40 % - Markeringsfarve4 11 2" xfId="3811" xr:uid="{00000000-0005-0000-0000-00005F6C0000}"/>
    <cellStyle name="40 % - Markeringsfarve4 11 2 2" xfId="7434" xr:uid="{00000000-0005-0000-0000-0000606C0000}"/>
    <cellStyle name="40 % - Markeringsfarve4 11 2 2 2" xfId="15336" xr:uid="{00000000-0005-0000-0000-0000616C0000}"/>
    <cellStyle name="40 % - Markeringsfarve4 11 2 2 2 2" xfId="31651" xr:uid="{00000000-0005-0000-0000-0000626C0000}"/>
    <cellStyle name="40 % - Markeringsfarve4 11 2 2 2 3" xfId="46615" xr:uid="{00000000-0005-0000-0000-0000636C0000}"/>
    <cellStyle name="40 % - Markeringsfarve4 11 2 2 3" xfId="24629" xr:uid="{00000000-0005-0000-0000-0000646C0000}"/>
    <cellStyle name="40 % - Markeringsfarve4 11 2 2 4" xfId="39616" xr:uid="{00000000-0005-0000-0000-0000656C0000}"/>
    <cellStyle name="40 % - Markeringsfarve4 11 2 3" xfId="12371" xr:uid="{00000000-0005-0000-0000-0000666C0000}"/>
    <cellStyle name="40 % - Markeringsfarve4 11 2 3 2" xfId="28691" xr:uid="{00000000-0005-0000-0000-0000676C0000}"/>
    <cellStyle name="40 % - Markeringsfarve4 11 2 3 3" xfId="43656" xr:uid="{00000000-0005-0000-0000-0000686C0000}"/>
    <cellStyle name="40 % - Markeringsfarve4 11 2 4" xfId="21669" xr:uid="{00000000-0005-0000-0000-0000696C0000}"/>
    <cellStyle name="40 % - Markeringsfarve4 11 2 5" xfId="36657" xr:uid="{00000000-0005-0000-0000-00006A6C0000}"/>
    <cellStyle name="40 % - Markeringsfarve4 11 3" xfId="3812" xr:uid="{00000000-0005-0000-0000-00006B6C0000}"/>
    <cellStyle name="40 % - Markeringsfarve4 11 3 2" xfId="8671" xr:uid="{00000000-0005-0000-0000-00006C6C0000}"/>
    <cellStyle name="40 % - Markeringsfarve4 11 3 2 2" xfId="16552" xr:uid="{00000000-0005-0000-0000-00006D6C0000}"/>
    <cellStyle name="40 % - Markeringsfarve4 11 3 2 2 2" xfId="32867" xr:uid="{00000000-0005-0000-0000-00006E6C0000}"/>
    <cellStyle name="40 % - Markeringsfarve4 11 3 2 2 3" xfId="47831" xr:uid="{00000000-0005-0000-0000-00006F6C0000}"/>
    <cellStyle name="40 % - Markeringsfarve4 11 3 2 3" xfId="25845" xr:uid="{00000000-0005-0000-0000-0000706C0000}"/>
    <cellStyle name="40 % - Markeringsfarve4 11 3 2 4" xfId="40832" xr:uid="{00000000-0005-0000-0000-0000716C0000}"/>
    <cellStyle name="40 % - Markeringsfarve4 11 3 3" xfId="12372" xr:uid="{00000000-0005-0000-0000-0000726C0000}"/>
    <cellStyle name="40 % - Markeringsfarve4 11 3 3 2" xfId="28692" xr:uid="{00000000-0005-0000-0000-0000736C0000}"/>
    <cellStyle name="40 % - Markeringsfarve4 11 3 3 3" xfId="43657" xr:uid="{00000000-0005-0000-0000-0000746C0000}"/>
    <cellStyle name="40 % - Markeringsfarve4 11 3 4" xfId="21670" xr:uid="{00000000-0005-0000-0000-0000756C0000}"/>
    <cellStyle name="40 % - Markeringsfarve4 11 3 5" xfId="36658" xr:uid="{00000000-0005-0000-0000-0000766C0000}"/>
    <cellStyle name="40 % - Markeringsfarve4 11 4" xfId="5854" xr:uid="{00000000-0005-0000-0000-0000776C0000}"/>
    <cellStyle name="40 % - Markeringsfarve4 11 4 2" xfId="13773" xr:uid="{00000000-0005-0000-0000-0000786C0000}"/>
    <cellStyle name="40 % - Markeringsfarve4 11 4 2 2" xfId="30088" xr:uid="{00000000-0005-0000-0000-0000796C0000}"/>
    <cellStyle name="40 % - Markeringsfarve4 11 4 2 3" xfId="45052" xr:uid="{00000000-0005-0000-0000-00007A6C0000}"/>
    <cellStyle name="40 % - Markeringsfarve4 11 4 3" xfId="23066" xr:uid="{00000000-0005-0000-0000-00007B6C0000}"/>
    <cellStyle name="40 % - Markeringsfarve4 11 4 4" xfId="38053" xr:uid="{00000000-0005-0000-0000-00007C6C0000}"/>
    <cellStyle name="40 % - Markeringsfarve4 11 5" xfId="12370" xr:uid="{00000000-0005-0000-0000-00007D6C0000}"/>
    <cellStyle name="40 % - Markeringsfarve4 11 5 2" xfId="28690" xr:uid="{00000000-0005-0000-0000-00007E6C0000}"/>
    <cellStyle name="40 % - Markeringsfarve4 11 5 3" xfId="43655" xr:uid="{00000000-0005-0000-0000-00007F6C0000}"/>
    <cellStyle name="40 % - Markeringsfarve4 11 6" xfId="21668" xr:uid="{00000000-0005-0000-0000-0000806C0000}"/>
    <cellStyle name="40 % - Markeringsfarve4 11 7" xfId="36656" xr:uid="{00000000-0005-0000-0000-0000816C0000}"/>
    <cellStyle name="40 % - Markeringsfarve4 12" xfId="3813" xr:uid="{00000000-0005-0000-0000-0000826C0000}"/>
    <cellStyle name="40 % - Markeringsfarve4 12 2" xfId="3814" xr:uid="{00000000-0005-0000-0000-0000836C0000}"/>
    <cellStyle name="40 % - Markeringsfarve4 12 2 2" xfId="8395" xr:uid="{00000000-0005-0000-0000-0000846C0000}"/>
    <cellStyle name="40 % - Markeringsfarve4 12 2 2 2" xfId="16288" xr:uid="{00000000-0005-0000-0000-0000856C0000}"/>
    <cellStyle name="40 % - Markeringsfarve4 12 2 2 2 2" xfId="32603" xr:uid="{00000000-0005-0000-0000-0000866C0000}"/>
    <cellStyle name="40 % - Markeringsfarve4 12 2 2 2 3" xfId="47567" xr:uid="{00000000-0005-0000-0000-0000876C0000}"/>
    <cellStyle name="40 % - Markeringsfarve4 12 2 2 3" xfId="25581" xr:uid="{00000000-0005-0000-0000-0000886C0000}"/>
    <cellStyle name="40 % - Markeringsfarve4 12 2 2 4" xfId="40568" xr:uid="{00000000-0005-0000-0000-0000896C0000}"/>
    <cellStyle name="40 % - Markeringsfarve4 12 2 3" xfId="12374" xr:uid="{00000000-0005-0000-0000-00008A6C0000}"/>
    <cellStyle name="40 % - Markeringsfarve4 12 2 3 2" xfId="28694" xr:uid="{00000000-0005-0000-0000-00008B6C0000}"/>
    <cellStyle name="40 % - Markeringsfarve4 12 2 3 3" xfId="43659" xr:uid="{00000000-0005-0000-0000-00008C6C0000}"/>
    <cellStyle name="40 % - Markeringsfarve4 12 2 4" xfId="21672" xr:uid="{00000000-0005-0000-0000-00008D6C0000}"/>
    <cellStyle name="40 % - Markeringsfarve4 12 2 5" xfId="36660" xr:uid="{00000000-0005-0000-0000-00008E6C0000}"/>
    <cellStyle name="40 % - Markeringsfarve4 12 3" xfId="5855" xr:uid="{00000000-0005-0000-0000-00008F6C0000}"/>
    <cellStyle name="40 % - Markeringsfarve4 12 3 2" xfId="13774" xr:uid="{00000000-0005-0000-0000-0000906C0000}"/>
    <cellStyle name="40 % - Markeringsfarve4 12 3 2 2" xfId="30089" xr:uid="{00000000-0005-0000-0000-0000916C0000}"/>
    <cellStyle name="40 % - Markeringsfarve4 12 3 2 3" xfId="45053" xr:uid="{00000000-0005-0000-0000-0000926C0000}"/>
    <cellStyle name="40 % - Markeringsfarve4 12 3 3" xfId="23067" xr:uid="{00000000-0005-0000-0000-0000936C0000}"/>
    <cellStyle name="40 % - Markeringsfarve4 12 3 4" xfId="38054" xr:uid="{00000000-0005-0000-0000-0000946C0000}"/>
    <cellStyle name="40 % - Markeringsfarve4 12 4" xfId="12373" xr:uid="{00000000-0005-0000-0000-0000956C0000}"/>
    <cellStyle name="40 % - Markeringsfarve4 12 4 2" xfId="28693" xr:uid="{00000000-0005-0000-0000-0000966C0000}"/>
    <cellStyle name="40 % - Markeringsfarve4 12 4 3" xfId="43658" xr:uid="{00000000-0005-0000-0000-0000976C0000}"/>
    <cellStyle name="40 % - Markeringsfarve4 12 5" xfId="21671" xr:uid="{00000000-0005-0000-0000-0000986C0000}"/>
    <cellStyle name="40 % - Markeringsfarve4 12 6" xfId="36659" xr:uid="{00000000-0005-0000-0000-0000996C0000}"/>
    <cellStyle name="40 % - Markeringsfarve4 13" xfId="3815" xr:uid="{00000000-0005-0000-0000-00009A6C0000}"/>
    <cellStyle name="40 % - Markeringsfarve4 13 2" xfId="3816" xr:uid="{00000000-0005-0000-0000-00009B6C0000}"/>
    <cellStyle name="40 % - Markeringsfarve4 13 2 2" xfId="8630" xr:uid="{00000000-0005-0000-0000-00009C6C0000}"/>
    <cellStyle name="40 % - Markeringsfarve4 13 2 2 2" xfId="16512" xr:uid="{00000000-0005-0000-0000-00009D6C0000}"/>
    <cellStyle name="40 % - Markeringsfarve4 13 2 2 2 2" xfId="32827" xr:uid="{00000000-0005-0000-0000-00009E6C0000}"/>
    <cellStyle name="40 % - Markeringsfarve4 13 2 2 2 3" xfId="47791" xr:uid="{00000000-0005-0000-0000-00009F6C0000}"/>
    <cellStyle name="40 % - Markeringsfarve4 13 2 2 3" xfId="25805" xr:uid="{00000000-0005-0000-0000-0000A06C0000}"/>
    <cellStyle name="40 % - Markeringsfarve4 13 2 2 4" xfId="40792" xr:uid="{00000000-0005-0000-0000-0000A16C0000}"/>
    <cellStyle name="40 % - Markeringsfarve4 13 2 3" xfId="12376" xr:uid="{00000000-0005-0000-0000-0000A26C0000}"/>
    <cellStyle name="40 % - Markeringsfarve4 13 2 3 2" xfId="28696" xr:uid="{00000000-0005-0000-0000-0000A36C0000}"/>
    <cellStyle name="40 % - Markeringsfarve4 13 2 3 3" xfId="43661" xr:uid="{00000000-0005-0000-0000-0000A46C0000}"/>
    <cellStyle name="40 % - Markeringsfarve4 13 2 4" xfId="21674" xr:uid="{00000000-0005-0000-0000-0000A56C0000}"/>
    <cellStyle name="40 % - Markeringsfarve4 13 2 5" xfId="36662" xr:uid="{00000000-0005-0000-0000-0000A66C0000}"/>
    <cellStyle name="40 % - Markeringsfarve4 13 3" xfId="5856" xr:uid="{00000000-0005-0000-0000-0000A76C0000}"/>
    <cellStyle name="40 % - Markeringsfarve4 13 3 2" xfId="13775" xr:uid="{00000000-0005-0000-0000-0000A86C0000}"/>
    <cellStyle name="40 % - Markeringsfarve4 13 3 2 2" xfId="30090" xr:uid="{00000000-0005-0000-0000-0000A96C0000}"/>
    <cellStyle name="40 % - Markeringsfarve4 13 3 2 3" xfId="45054" xr:uid="{00000000-0005-0000-0000-0000AA6C0000}"/>
    <cellStyle name="40 % - Markeringsfarve4 13 3 3" xfId="23068" xr:uid="{00000000-0005-0000-0000-0000AB6C0000}"/>
    <cellStyle name="40 % - Markeringsfarve4 13 3 4" xfId="38055" xr:uid="{00000000-0005-0000-0000-0000AC6C0000}"/>
    <cellStyle name="40 % - Markeringsfarve4 13 4" xfId="12375" xr:uid="{00000000-0005-0000-0000-0000AD6C0000}"/>
    <cellStyle name="40 % - Markeringsfarve4 13 4 2" xfId="28695" xr:uid="{00000000-0005-0000-0000-0000AE6C0000}"/>
    <cellStyle name="40 % - Markeringsfarve4 13 4 3" xfId="43660" xr:uid="{00000000-0005-0000-0000-0000AF6C0000}"/>
    <cellStyle name="40 % - Markeringsfarve4 13 5" xfId="21673" xr:uid="{00000000-0005-0000-0000-0000B06C0000}"/>
    <cellStyle name="40 % - Markeringsfarve4 13 6" xfId="36661" xr:uid="{00000000-0005-0000-0000-0000B16C0000}"/>
    <cellStyle name="40 % - Markeringsfarve4 14" xfId="3817" xr:uid="{00000000-0005-0000-0000-0000B26C0000}"/>
    <cellStyle name="40 % - Markeringsfarve4 14 2" xfId="3818" xr:uid="{00000000-0005-0000-0000-0000B36C0000}"/>
    <cellStyle name="40 % - Markeringsfarve4 14 2 2" xfId="8690" xr:uid="{00000000-0005-0000-0000-0000B46C0000}"/>
    <cellStyle name="40 % - Markeringsfarve4 14 2 2 2" xfId="16570" xr:uid="{00000000-0005-0000-0000-0000B56C0000}"/>
    <cellStyle name="40 % - Markeringsfarve4 14 2 2 2 2" xfId="32885" xr:uid="{00000000-0005-0000-0000-0000B66C0000}"/>
    <cellStyle name="40 % - Markeringsfarve4 14 2 2 2 3" xfId="47849" xr:uid="{00000000-0005-0000-0000-0000B76C0000}"/>
    <cellStyle name="40 % - Markeringsfarve4 14 2 2 3" xfId="25863" xr:uid="{00000000-0005-0000-0000-0000B86C0000}"/>
    <cellStyle name="40 % - Markeringsfarve4 14 2 2 4" xfId="40850" xr:uid="{00000000-0005-0000-0000-0000B96C0000}"/>
    <cellStyle name="40 % - Markeringsfarve4 14 2 3" xfId="12378" xr:uid="{00000000-0005-0000-0000-0000BA6C0000}"/>
    <cellStyle name="40 % - Markeringsfarve4 14 2 3 2" xfId="28698" xr:uid="{00000000-0005-0000-0000-0000BB6C0000}"/>
    <cellStyle name="40 % - Markeringsfarve4 14 2 3 3" xfId="43663" xr:uid="{00000000-0005-0000-0000-0000BC6C0000}"/>
    <cellStyle name="40 % - Markeringsfarve4 14 2 4" xfId="21676" xr:uid="{00000000-0005-0000-0000-0000BD6C0000}"/>
    <cellStyle name="40 % - Markeringsfarve4 14 2 5" xfId="36664" xr:uid="{00000000-0005-0000-0000-0000BE6C0000}"/>
    <cellStyle name="40 % - Markeringsfarve4 14 3" xfId="5852" xr:uid="{00000000-0005-0000-0000-0000BF6C0000}"/>
    <cellStyle name="40 % - Markeringsfarve4 14 3 2" xfId="13771" xr:uid="{00000000-0005-0000-0000-0000C06C0000}"/>
    <cellStyle name="40 % - Markeringsfarve4 14 3 2 2" xfId="30086" xr:uid="{00000000-0005-0000-0000-0000C16C0000}"/>
    <cellStyle name="40 % - Markeringsfarve4 14 3 2 3" xfId="45050" xr:uid="{00000000-0005-0000-0000-0000C26C0000}"/>
    <cellStyle name="40 % - Markeringsfarve4 14 3 3" xfId="23064" xr:uid="{00000000-0005-0000-0000-0000C36C0000}"/>
    <cellStyle name="40 % - Markeringsfarve4 14 3 4" xfId="38051" xr:uid="{00000000-0005-0000-0000-0000C46C0000}"/>
    <cellStyle name="40 % - Markeringsfarve4 14 4" xfId="12377" xr:uid="{00000000-0005-0000-0000-0000C56C0000}"/>
    <cellStyle name="40 % - Markeringsfarve4 14 4 2" xfId="28697" xr:uid="{00000000-0005-0000-0000-0000C66C0000}"/>
    <cellStyle name="40 % - Markeringsfarve4 14 4 3" xfId="43662" xr:uid="{00000000-0005-0000-0000-0000C76C0000}"/>
    <cellStyle name="40 % - Markeringsfarve4 14 5" xfId="21675" xr:uid="{00000000-0005-0000-0000-0000C86C0000}"/>
    <cellStyle name="40 % - Markeringsfarve4 14 6" xfId="36663" xr:uid="{00000000-0005-0000-0000-0000C96C0000}"/>
    <cellStyle name="40 % - Markeringsfarve4 15" xfId="3819" xr:uid="{00000000-0005-0000-0000-0000CA6C0000}"/>
    <cellStyle name="40 % - Markeringsfarve4 15 2" xfId="6657" xr:uid="{00000000-0005-0000-0000-0000CB6C0000}"/>
    <cellStyle name="40 % - Markeringsfarve4 15 2 2" xfId="14571" xr:uid="{00000000-0005-0000-0000-0000CC6C0000}"/>
    <cellStyle name="40 % - Markeringsfarve4 15 2 2 2" xfId="30886" xr:uid="{00000000-0005-0000-0000-0000CD6C0000}"/>
    <cellStyle name="40 % - Markeringsfarve4 15 2 2 3" xfId="45850" xr:uid="{00000000-0005-0000-0000-0000CE6C0000}"/>
    <cellStyle name="40 % - Markeringsfarve4 15 2 3" xfId="23864" xr:uid="{00000000-0005-0000-0000-0000CF6C0000}"/>
    <cellStyle name="40 % - Markeringsfarve4 15 2 4" xfId="38851" xr:uid="{00000000-0005-0000-0000-0000D06C0000}"/>
    <cellStyle name="40 % - Markeringsfarve4 15 3" xfId="12379" xr:uid="{00000000-0005-0000-0000-0000D16C0000}"/>
    <cellStyle name="40 % - Markeringsfarve4 15 3 2" xfId="28699" xr:uid="{00000000-0005-0000-0000-0000D26C0000}"/>
    <cellStyle name="40 % - Markeringsfarve4 15 3 3" xfId="43664" xr:uid="{00000000-0005-0000-0000-0000D36C0000}"/>
    <cellStyle name="40 % - Markeringsfarve4 15 4" xfId="21677" xr:uid="{00000000-0005-0000-0000-0000D46C0000}"/>
    <cellStyle name="40 % - Markeringsfarve4 15 5" xfId="36665" xr:uid="{00000000-0005-0000-0000-0000D56C0000}"/>
    <cellStyle name="40 % - Markeringsfarve4 16" xfId="3820" xr:uid="{00000000-0005-0000-0000-0000D66C0000}"/>
    <cellStyle name="40 % - Markeringsfarve4 16 2" xfId="8192" xr:uid="{00000000-0005-0000-0000-0000D76C0000}"/>
    <cellStyle name="40 % - Markeringsfarve4 16 2 2" xfId="16089" xr:uid="{00000000-0005-0000-0000-0000D86C0000}"/>
    <cellStyle name="40 % - Markeringsfarve4 16 2 2 2" xfId="32404" xr:uid="{00000000-0005-0000-0000-0000D96C0000}"/>
    <cellStyle name="40 % - Markeringsfarve4 16 2 2 3" xfId="47368" xr:uid="{00000000-0005-0000-0000-0000DA6C0000}"/>
    <cellStyle name="40 % - Markeringsfarve4 16 2 3" xfId="25382" xr:uid="{00000000-0005-0000-0000-0000DB6C0000}"/>
    <cellStyle name="40 % - Markeringsfarve4 16 2 4" xfId="40369" xr:uid="{00000000-0005-0000-0000-0000DC6C0000}"/>
    <cellStyle name="40 % - Markeringsfarve4 16 3" xfId="12380" xr:uid="{00000000-0005-0000-0000-0000DD6C0000}"/>
    <cellStyle name="40 % - Markeringsfarve4 16 3 2" xfId="28700" xr:uid="{00000000-0005-0000-0000-0000DE6C0000}"/>
    <cellStyle name="40 % - Markeringsfarve4 16 3 3" xfId="43665" xr:uid="{00000000-0005-0000-0000-0000DF6C0000}"/>
    <cellStyle name="40 % - Markeringsfarve4 16 4" xfId="21678" xr:uid="{00000000-0005-0000-0000-0000E06C0000}"/>
    <cellStyle name="40 % - Markeringsfarve4 16 5" xfId="36666" xr:uid="{00000000-0005-0000-0000-0000E16C0000}"/>
    <cellStyle name="40 % - Markeringsfarve4 17" xfId="3821" xr:uid="{00000000-0005-0000-0000-0000E26C0000}"/>
    <cellStyle name="40 % - Markeringsfarve4 17 2" xfId="8709" xr:uid="{00000000-0005-0000-0000-0000E36C0000}"/>
    <cellStyle name="40 % - Markeringsfarve4 17 2 2" xfId="16586" xr:uid="{00000000-0005-0000-0000-0000E46C0000}"/>
    <cellStyle name="40 % - Markeringsfarve4 17 2 2 2" xfId="32901" xr:uid="{00000000-0005-0000-0000-0000E56C0000}"/>
    <cellStyle name="40 % - Markeringsfarve4 17 2 2 3" xfId="47865" xr:uid="{00000000-0005-0000-0000-0000E66C0000}"/>
    <cellStyle name="40 % - Markeringsfarve4 17 2 3" xfId="25879" xr:uid="{00000000-0005-0000-0000-0000E76C0000}"/>
    <cellStyle name="40 % - Markeringsfarve4 17 2 4" xfId="40866" xr:uid="{00000000-0005-0000-0000-0000E86C0000}"/>
    <cellStyle name="40 % - Markeringsfarve4 17 3" xfId="12381" xr:uid="{00000000-0005-0000-0000-0000E96C0000}"/>
    <cellStyle name="40 % - Markeringsfarve4 17 3 2" xfId="28701" xr:uid="{00000000-0005-0000-0000-0000EA6C0000}"/>
    <cellStyle name="40 % - Markeringsfarve4 17 3 3" xfId="43666" xr:uid="{00000000-0005-0000-0000-0000EB6C0000}"/>
    <cellStyle name="40 % - Markeringsfarve4 17 4" xfId="21679" xr:uid="{00000000-0005-0000-0000-0000EC6C0000}"/>
    <cellStyle name="40 % - Markeringsfarve4 17 5" xfId="36667" xr:uid="{00000000-0005-0000-0000-0000ED6C0000}"/>
    <cellStyle name="40 % - Markeringsfarve4 18" xfId="5336" xr:uid="{00000000-0005-0000-0000-0000EE6C0000}"/>
    <cellStyle name="40 % - Markeringsfarve4 18 2" xfId="13259" xr:uid="{00000000-0005-0000-0000-0000EF6C0000}"/>
    <cellStyle name="40 % - Markeringsfarve4 18 2 2" xfId="29574" xr:uid="{00000000-0005-0000-0000-0000F06C0000}"/>
    <cellStyle name="40 % - Markeringsfarve4 18 2 3" xfId="44538" xr:uid="{00000000-0005-0000-0000-0000F16C0000}"/>
    <cellStyle name="40 % - Markeringsfarve4 18 3" xfId="22552" xr:uid="{00000000-0005-0000-0000-0000F26C0000}"/>
    <cellStyle name="40 % - Markeringsfarve4 18 4" xfId="37539" xr:uid="{00000000-0005-0000-0000-0000F36C0000}"/>
    <cellStyle name="40 % - Markeringsfarve4 19" xfId="3804" xr:uid="{00000000-0005-0000-0000-0000F46C0000}"/>
    <cellStyle name="40 % - Markeringsfarve4 19 2" xfId="12364" xr:uid="{00000000-0005-0000-0000-0000F56C0000}"/>
    <cellStyle name="40 % - Markeringsfarve4 19 2 2" xfId="28684" xr:uid="{00000000-0005-0000-0000-0000F66C0000}"/>
    <cellStyle name="40 % - Markeringsfarve4 19 2 3" xfId="43649" xr:uid="{00000000-0005-0000-0000-0000F76C0000}"/>
    <cellStyle name="40 % - Markeringsfarve4 19 3" xfId="21662" xr:uid="{00000000-0005-0000-0000-0000F86C0000}"/>
    <cellStyle name="40 % - Markeringsfarve4 19 4" xfId="36650" xr:uid="{00000000-0005-0000-0000-0000F96C0000}"/>
    <cellStyle name="40 % - Markeringsfarve4 2" xfId="3822" xr:uid="{00000000-0005-0000-0000-0000FA6C0000}"/>
    <cellStyle name="40 % - Markeringsfarve4 2 10" xfId="3823" xr:uid="{00000000-0005-0000-0000-0000FB6C0000}"/>
    <cellStyle name="40 % - Markeringsfarve4 2 10 2" xfId="6688" xr:uid="{00000000-0005-0000-0000-0000FC6C0000}"/>
    <cellStyle name="40 % - Markeringsfarve4 2 10 2 2" xfId="14600" xr:uid="{00000000-0005-0000-0000-0000FD6C0000}"/>
    <cellStyle name="40 % - Markeringsfarve4 2 10 2 2 2" xfId="30915" xr:uid="{00000000-0005-0000-0000-0000FE6C0000}"/>
    <cellStyle name="40 % - Markeringsfarve4 2 10 2 2 3" xfId="45879" xr:uid="{00000000-0005-0000-0000-0000FF6C0000}"/>
    <cellStyle name="40 % - Markeringsfarve4 2 10 2 3" xfId="23893" xr:uid="{00000000-0005-0000-0000-0000006D0000}"/>
    <cellStyle name="40 % - Markeringsfarve4 2 10 2 4" xfId="38880" xr:uid="{00000000-0005-0000-0000-0000016D0000}"/>
    <cellStyle name="40 % - Markeringsfarve4 2 10 3" xfId="12383" xr:uid="{00000000-0005-0000-0000-0000026D0000}"/>
    <cellStyle name="40 % - Markeringsfarve4 2 10 3 2" xfId="28703" xr:uid="{00000000-0005-0000-0000-0000036D0000}"/>
    <cellStyle name="40 % - Markeringsfarve4 2 10 3 3" xfId="43668" xr:uid="{00000000-0005-0000-0000-0000046D0000}"/>
    <cellStyle name="40 % - Markeringsfarve4 2 10 4" xfId="21681" xr:uid="{00000000-0005-0000-0000-0000056D0000}"/>
    <cellStyle name="40 % - Markeringsfarve4 2 10 5" xfId="36669" xr:uid="{00000000-0005-0000-0000-0000066D0000}"/>
    <cellStyle name="40 % - Markeringsfarve4 2 11" xfId="3824" xr:uid="{00000000-0005-0000-0000-0000076D0000}"/>
    <cellStyle name="40 % - Markeringsfarve4 2 11 2" xfId="8355" xr:uid="{00000000-0005-0000-0000-0000086D0000}"/>
    <cellStyle name="40 % - Markeringsfarve4 2 11 2 2" xfId="16249" xr:uid="{00000000-0005-0000-0000-0000096D0000}"/>
    <cellStyle name="40 % - Markeringsfarve4 2 11 2 2 2" xfId="32564" xr:uid="{00000000-0005-0000-0000-00000A6D0000}"/>
    <cellStyle name="40 % - Markeringsfarve4 2 11 2 2 3" xfId="47528" xr:uid="{00000000-0005-0000-0000-00000B6D0000}"/>
    <cellStyle name="40 % - Markeringsfarve4 2 11 2 3" xfId="25542" xr:uid="{00000000-0005-0000-0000-00000C6D0000}"/>
    <cellStyle name="40 % - Markeringsfarve4 2 11 2 4" xfId="40529" xr:uid="{00000000-0005-0000-0000-00000D6D0000}"/>
    <cellStyle name="40 % - Markeringsfarve4 2 11 3" xfId="12384" xr:uid="{00000000-0005-0000-0000-00000E6D0000}"/>
    <cellStyle name="40 % - Markeringsfarve4 2 11 3 2" xfId="28704" xr:uid="{00000000-0005-0000-0000-00000F6D0000}"/>
    <cellStyle name="40 % - Markeringsfarve4 2 11 3 3" xfId="43669" xr:uid="{00000000-0005-0000-0000-0000106D0000}"/>
    <cellStyle name="40 % - Markeringsfarve4 2 11 4" xfId="21682" xr:uid="{00000000-0005-0000-0000-0000116D0000}"/>
    <cellStyle name="40 % - Markeringsfarve4 2 11 5" xfId="36670" xr:uid="{00000000-0005-0000-0000-0000126D0000}"/>
    <cellStyle name="40 % - Markeringsfarve4 2 12" xfId="5857" xr:uid="{00000000-0005-0000-0000-0000136D0000}"/>
    <cellStyle name="40 % - Markeringsfarve4 2 12 2" xfId="13776" xr:uid="{00000000-0005-0000-0000-0000146D0000}"/>
    <cellStyle name="40 % - Markeringsfarve4 2 12 2 2" xfId="30091" xr:uid="{00000000-0005-0000-0000-0000156D0000}"/>
    <cellStyle name="40 % - Markeringsfarve4 2 12 2 3" xfId="45055" xr:uid="{00000000-0005-0000-0000-0000166D0000}"/>
    <cellStyle name="40 % - Markeringsfarve4 2 12 3" xfId="23069" xr:uid="{00000000-0005-0000-0000-0000176D0000}"/>
    <cellStyle name="40 % - Markeringsfarve4 2 12 4" xfId="38056" xr:uid="{00000000-0005-0000-0000-0000186D0000}"/>
    <cellStyle name="40 % - Markeringsfarve4 2 13" xfId="12382" xr:uid="{00000000-0005-0000-0000-0000196D0000}"/>
    <cellStyle name="40 % - Markeringsfarve4 2 13 2" xfId="28702" xr:uid="{00000000-0005-0000-0000-00001A6D0000}"/>
    <cellStyle name="40 % - Markeringsfarve4 2 13 3" xfId="43667" xr:uid="{00000000-0005-0000-0000-00001B6D0000}"/>
    <cellStyle name="40 % - Markeringsfarve4 2 14" xfId="21680" xr:uid="{00000000-0005-0000-0000-00001C6D0000}"/>
    <cellStyle name="40 % - Markeringsfarve4 2 15" xfId="36668" xr:uid="{00000000-0005-0000-0000-00001D6D0000}"/>
    <cellStyle name="40 % - Markeringsfarve4 2 16" xfId="53327" xr:uid="{00000000-0005-0000-0000-00001E6D0000}"/>
    <cellStyle name="40 % - Markeringsfarve4 2 2" xfId="3825" xr:uid="{00000000-0005-0000-0000-00001F6D0000}"/>
    <cellStyle name="40 % - Markeringsfarve4 2 2 10" xfId="5858" xr:uid="{00000000-0005-0000-0000-0000206D0000}"/>
    <cellStyle name="40 % - Markeringsfarve4 2 2 10 2" xfId="13777" xr:uid="{00000000-0005-0000-0000-0000216D0000}"/>
    <cellStyle name="40 % - Markeringsfarve4 2 2 10 2 2" xfId="30092" xr:uid="{00000000-0005-0000-0000-0000226D0000}"/>
    <cellStyle name="40 % - Markeringsfarve4 2 2 10 2 3" xfId="45056" xr:uid="{00000000-0005-0000-0000-0000236D0000}"/>
    <cellStyle name="40 % - Markeringsfarve4 2 2 10 3" xfId="23070" xr:uid="{00000000-0005-0000-0000-0000246D0000}"/>
    <cellStyle name="40 % - Markeringsfarve4 2 2 10 4" xfId="38057" xr:uid="{00000000-0005-0000-0000-0000256D0000}"/>
    <cellStyle name="40 % - Markeringsfarve4 2 2 11" xfId="12385" xr:uid="{00000000-0005-0000-0000-0000266D0000}"/>
    <cellStyle name="40 % - Markeringsfarve4 2 2 11 2" xfId="28705" xr:uid="{00000000-0005-0000-0000-0000276D0000}"/>
    <cellStyle name="40 % - Markeringsfarve4 2 2 11 3" xfId="43670" xr:uid="{00000000-0005-0000-0000-0000286D0000}"/>
    <cellStyle name="40 % - Markeringsfarve4 2 2 12" xfId="21683" xr:uid="{00000000-0005-0000-0000-0000296D0000}"/>
    <cellStyle name="40 % - Markeringsfarve4 2 2 13" xfId="36671" xr:uid="{00000000-0005-0000-0000-00002A6D0000}"/>
    <cellStyle name="40 % - Markeringsfarve4 2 2 14" xfId="53328" xr:uid="{00000000-0005-0000-0000-00002B6D0000}"/>
    <cellStyle name="40 % - Markeringsfarve4 2 2 2" xfId="3826" xr:uid="{00000000-0005-0000-0000-00002C6D0000}"/>
    <cellStyle name="40 % - Markeringsfarve4 2 2 2 2" xfId="3827" xr:uid="{00000000-0005-0000-0000-00002D6D0000}"/>
    <cellStyle name="40 % - Markeringsfarve4 2 2 2 2 2" xfId="3828" xr:uid="{00000000-0005-0000-0000-00002E6D0000}"/>
    <cellStyle name="40 % - Markeringsfarve4 2 2 2 2 2 2" xfId="7619" xr:uid="{00000000-0005-0000-0000-00002F6D0000}"/>
    <cellStyle name="40 % - Markeringsfarve4 2 2 2 2 2 2 2" xfId="15521" xr:uid="{00000000-0005-0000-0000-0000306D0000}"/>
    <cellStyle name="40 % - Markeringsfarve4 2 2 2 2 2 2 2 2" xfId="31836" xr:uid="{00000000-0005-0000-0000-0000316D0000}"/>
    <cellStyle name="40 % - Markeringsfarve4 2 2 2 2 2 2 2 3" xfId="46800" xr:uid="{00000000-0005-0000-0000-0000326D0000}"/>
    <cellStyle name="40 % - Markeringsfarve4 2 2 2 2 2 2 3" xfId="24814" xr:uid="{00000000-0005-0000-0000-0000336D0000}"/>
    <cellStyle name="40 % - Markeringsfarve4 2 2 2 2 2 2 4" xfId="39801" xr:uid="{00000000-0005-0000-0000-0000346D0000}"/>
    <cellStyle name="40 % - Markeringsfarve4 2 2 2 2 2 3" xfId="12388" xr:uid="{00000000-0005-0000-0000-0000356D0000}"/>
    <cellStyle name="40 % - Markeringsfarve4 2 2 2 2 2 3 2" xfId="28708" xr:uid="{00000000-0005-0000-0000-0000366D0000}"/>
    <cellStyle name="40 % - Markeringsfarve4 2 2 2 2 2 3 3" xfId="43673" xr:uid="{00000000-0005-0000-0000-0000376D0000}"/>
    <cellStyle name="40 % - Markeringsfarve4 2 2 2 2 2 4" xfId="21686" xr:uid="{00000000-0005-0000-0000-0000386D0000}"/>
    <cellStyle name="40 % - Markeringsfarve4 2 2 2 2 2 5" xfId="36674" xr:uid="{00000000-0005-0000-0000-0000396D0000}"/>
    <cellStyle name="40 % - Markeringsfarve4 2 2 2 2 3" xfId="6191" xr:uid="{00000000-0005-0000-0000-00003A6D0000}"/>
    <cellStyle name="40 % - Markeringsfarve4 2 2 2 2 3 2" xfId="14109" xr:uid="{00000000-0005-0000-0000-00003B6D0000}"/>
    <cellStyle name="40 % - Markeringsfarve4 2 2 2 2 3 2 2" xfId="30424" xr:uid="{00000000-0005-0000-0000-00003C6D0000}"/>
    <cellStyle name="40 % - Markeringsfarve4 2 2 2 2 3 2 3" xfId="45388" xr:uid="{00000000-0005-0000-0000-00003D6D0000}"/>
    <cellStyle name="40 % - Markeringsfarve4 2 2 2 2 3 3" xfId="23402" xr:uid="{00000000-0005-0000-0000-00003E6D0000}"/>
    <cellStyle name="40 % - Markeringsfarve4 2 2 2 2 3 4" xfId="38389" xr:uid="{00000000-0005-0000-0000-00003F6D0000}"/>
    <cellStyle name="40 % - Markeringsfarve4 2 2 2 2 4" xfId="12387" xr:uid="{00000000-0005-0000-0000-0000406D0000}"/>
    <cellStyle name="40 % - Markeringsfarve4 2 2 2 2 4 2" xfId="28707" xr:uid="{00000000-0005-0000-0000-0000416D0000}"/>
    <cellStyle name="40 % - Markeringsfarve4 2 2 2 2 4 3" xfId="43672" xr:uid="{00000000-0005-0000-0000-0000426D0000}"/>
    <cellStyle name="40 % - Markeringsfarve4 2 2 2 2 5" xfId="21685" xr:uid="{00000000-0005-0000-0000-0000436D0000}"/>
    <cellStyle name="40 % - Markeringsfarve4 2 2 2 2 6" xfId="36673" xr:uid="{00000000-0005-0000-0000-0000446D0000}"/>
    <cellStyle name="40 % - Markeringsfarve4 2 2 2 2 7" xfId="57132" xr:uid="{00000000-0005-0000-0000-0000456D0000}"/>
    <cellStyle name="40 % - Markeringsfarve4 2 2 2 3" xfId="3829" xr:uid="{00000000-0005-0000-0000-0000466D0000}"/>
    <cellStyle name="40 % - Markeringsfarve4 2 2 2 3 2" xfId="6849" xr:uid="{00000000-0005-0000-0000-0000476D0000}"/>
    <cellStyle name="40 % - Markeringsfarve4 2 2 2 3 2 2" xfId="14761" xr:uid="{00000000-0005-0000-0000-0000486D0000}"/>
    <cellStyle name="40 % - Markeringsfarve4 2 2 2 3 2 2 2" xfId="31076" xr:uid="{00000000-0005-0000-0000-0000496D0000}"/>
    <cellStyle name="40 % - Markeringsfarve4 2 2 2 3 2 2 3" xfId="46040" xr:uid="{00000000-0005-0000-0000-00004A6D0000}"/>
    <cellStyle name="40 % - Markeringsfarve4 2 2 2 3 2 3" xfId="24054" xr:uid="{00000000-0005-0000-0000-00004B6D0000}"/>
    <cellStyle name="40 % - Markeringsfarve4 2 2 2 3 2 4" xfId="39041" xr:uid="{00000000-0005-0000-0000-00004C6D0000}"/>
    <cellStyle name="40 % - Markeringsfarve4 2 2 2 3 3" xfId="12389" xr:uid="{00000000-0005-0000-0000-00004D6D0000}"/>
    <cellStyle name="40 % - Markeringsfarve4 2 2 2 3 3 2" xfId="28709" xr:uid="{00000000-0005-0000-0000-00004E6D0000}"/>
    <cellStyle name="40 % - Markeringsfarve4 2 2 2 3 3 3" xfId="43674" xr:uid="{00000000-0005-0000-0000-00004F6D0000}"/>
    <cellStyle name="40 % - Markeringsfarve4 2 2 2 3 4" xfId="21687" xr:uid="{00000000-0005-0000-0000-0000506D0000}"/>
    <cellStyle name="40 % - Markeringsfarve4 2 2 2 3 5" xfId="36675" xr:uid="{00000000-0005-0000-0000-0000516D0000}"/>
    <cellStyle name="40 % - Markeringsfarve4 2 2 2 4" xfId="3830" xr:uid="{00000000-0005-0000-0000-0000526D0000}"/>
    <cellStyle name="40 % - Markeringsfarve4 2 2 2 4 2" xfId="8225" xr:uid="{00000000-0005-0000-0000-0000536D0000}"/>
    <cellStyle name="40 % - Markeringsfarve4 2 2 2 4 2 2" xfId="16120" xr:uid="{00000000-0005-0000-0000-0000546D0000}"/>
    <cellStyle name="40 % - Markeringsfarve4 2 2 2 4 2 2 2" xfId="32435" xr:uid="{00000000-0005-0000-0000-0000556D0000}"/>
    <cellStyle name="40 % - Markeringsfarve4 2 2 2 4 2 2 3" xfId="47399" xr:uid="{00000000-0005-0000-0000-0000566D0000}"/>
    <cellStyle name="40 % - Markeringsfarve4 2 2 2 4 2 3" xfId="25413" xr:uid="{00000000-0005-0000-0000-0000576D0000}"/>
    <cellStyle name="40 % - Markeringsfarve4 2 2 2 4 2 4" xfId="40400" xr:uid="{00000000-0005-0000-0000-0000586D0000}"/>
    <cellStyle name="40 % - Markeringsfarve4 2 2 2 4 3" xfId="12390" xr:uid="{00000000-0005-0000-0000-0000596D0000}"/>
    <cellStyle name="40 % - Markeringsfarve4 2 2 2 4 3 2" xfId="28710" xr:uid="{00000000-0005-0000-0000-00005A6D0000}"/>
    <cellStyle name="40 % - Markeringsfarve4 2 2 2 4 3 3" xfId="43675" xr:uid="{00000000-0005-0000-0000-00005B6D0000}"/>
    <cellStyle name="40 % - Markeringsfarve4 2 2 2 4 4" xfId="21688" xr:uid="{00000000-0005-0000-0000-00005C6D0000}"/>
    <cellStyle name="40 % - Markeringsfarve4 2 2 2 4 5" xfId="36676" xr:uid="{00000000-0005-0000-0000-00005D6D0000}"/>
    <cellStyle name="40 % - Markeringsfarve4 2 2 2 5" xfId="5859" xr:uid="{00000000-0005-0000-0000-00005E6D0000}"/>
    <cellStyle name="40 % - Markeringsfarve4 2 2 2 5 2" xfId="13778" xr:uid="{00000000-0005-0000-0000-00005F6D0000}"/>
    <cellStyle name="40 % - Markeringsfarve4 2 2 2 5 2 2" xfId="30093" xr:uid="{00000000-0005-0000-0000-0000606D0000}"/>
    <cellStyle name="40 % - Markeringsfarve4 2 2 2 5 2 3" xfId="45057" xr:uid="{00000000-0005-0000-0000-0000616D0000}"/>
    <cellStyle name="40 % - Markeringsfarve4 2 2 2 5 3" xfId="23071" xr:uid="{00000000-0005-0000-0000-0000626D0000}"/>
    <cellStyle name="40 % - Markeringsfarve4 2 2 2 5 4" xfId="38058" xr:uid="{00000000-0005-0000-0000-0000636D0000}"/>
    <cellStyle name="40 % - Markeringsfarve4 2 2 2 6" xfId="12386" xr:uid="{00000000-0005-0000-0000-0000646D0000}"/>
    <cellStyle name="40 % - Markeringsfarve4 2 2 2 6 2" xfId="28706" xr:uid="{00000000-0005-0000-0000-0000656D0000}"/>
    <cellStyle name="40 % - Markeringsfarve4 2 2 2 6 3" xfId="43671" xr:uid="{00000000-0005-0000-0000-0000666D0000}"/>
    <cellStyle name="40 % - Markeringsfarve4 2 2 2 7" xfId="21684" xr:uid="{00000000-0005-0000-0000-0000676D0000}"/>
    <cellStyle name="40 % - Markeringsfarve4 2 2 2 8" xfId="36672" xr:uid="{00000000-0005-0000-0000-0000686D0000}"/>
    <cellStyle name="40 % - Markeringsfarve4 2 2 2 9" xfId="53965" xr:uid="{00000000-0005-0000-0000-0000696D0000}"/>
    <cellStyle name="40 % - Markeringsfarve4 2 2 3" xfId="3831" xr:uid="{00000000-0005-0000-0000-00006A6D0000}"/>
    <cellStyle name="40 % - Markeringsfarve4 2 2 3 2" xfId="3832" xr:uid="{00000000-0005-0000-0000-00006B6D0000}"/>
    <cellStyle name="40 % - Markeringsfarve4 2 2 3 2 2" xfId="3833" xr:uid="{00000000-0005-0000-0000-00006C6D0000}"/>
    <cellStyle name="40 % - Markeringsfarve4 2 2 3 2 2 2" xfId="7748" xr:uid="{00000000-0005-0000-0000-00006D6D0000}"/>
    <cellStyle name="40 % - Markeringsfarve4 2 2 3 2 2 2 2" xfId="15650" xr:uid="{00000000-0005-0000-0000-00006E6D0000}"/>
    <cellStyle name="40 % - Markeringsfarve4 2 2 3 2 2 2 2 2" xfId="31965" xr:uid="{00000000-0005-0000-0000-00006F6D0000}"/>
    <cellStyle name="40 % - Markeringsfarve4 2 2 3 2 2 2 2 3" xfId="46929" xr:uid="{00000000-0005-0000-0000-0000706D0000}"/>
    <cellStyle name="40 % - Markeringsfarve4 2 2 3 2 2 2 3" xfId="24943" xr:uid="{00000000-0005-0000-0000-0000716D0000}"/>
    <cellStyle name="40 % - Markeringsfarve4 2 2 3 2 2 2 4" xfId="39930" xr:uid="{00000000-0005-0000-0000-0000726D0000}"/>
    <cellStyle name="40 % - Markeringsfarve4 2 2 3 2 2 3" xfId="12393" xr:uid="{00000000-0005-0000-0000-0000736D0000}"/>
    <cellStyle name="40 % - Markeringsfarve4 2 2 3 2 2 3 2" xfId="28713" xr:uid="{00000000-0005-0000-0000-0000746D0000}"/>
    <cellStyle name="40 % - Markeringsfarve4 2 2 3 2 2 3 3" xfId="43678" xr:uid="{00000000-0005-0000-0000-0000756D0000}"/>
    <cellStyle name="40 % - Markeringsfarve4 2 2 3 2 2 4" xfId="21691" xr:uid="{00000000-0005-0000-0000-0000766D0000}"/>
    <cellStyle name="40 % - Markeringsfarve4 2 2 3 2 2 5" xfId="36679" xr:uid="{00000000-0005-0000-0000-0000776D0000}"/>
    <cellStyle name="40 % - Markeringsfarve4 2 2 3 2 3" xfId="6294" xr:uid="{00000000-0005-0000-0000-0000786D0000}"/>
    <cellStyle name="40 % - Markeringsfarve4 2 2 3 2 3 2" xfId="14212" xr:uid="{00000000-0005-0000-0000-0000796D0000}"/>
    <cellStyle name="40 % - Markeringsfarve4 2 2 3 2 3 2 2" xfId="30527" xr:uid="{00000000-0005-0000-0000-00007A6D0000}"/>
    <cellStyle name="40 % - Markeringsfarve4 2 2 3 2 3 2 3" xfId="45491" xr:uid="{00000000-0005-0000-0000-00007B6D0000}"/>
    <cellStyle name="40 % - Markeringsfarve4 2 2 3 2 3 3" xfId="23505" xr:uid="{00000000-0005-0000-0000-00007C6D0000}"/>
    <cellStyle name="40 % - Markeringsfarve4 2 2 3 2 3 4" xfId="38492" xr:uid="{00000000-0005-0000-0000-00007D6D0000}"/>
    <cellStyle name="40 % - Markeringsfarve4 2 2 3 2 4" xfId="12392" xr:uid="{00000000-0005-0000-0000-00007E6D0000}"/>
    <cellStyle name="40 % - Markeringsfarve4 2 2 3 2 4 2" xfId="28712" xr:uid="{00000000-0005-0000-0000-00007F6D0000}"/>
    <cellStyle name="40 % - Markeringsfarve4 2 2 3 2 4 3" xfId="43677" xr:uid="{00000000-0005-0000-0000-0000806D0000}"/>
    <cellStyle name="40 % - Markeringsfarve4 2 2 3 2 5" xfId="21690" xr:uid="{00000000-0005-0000-0000-0000816D0000}"/>
    <cellStyle name="40 % - Markeringsfarve4 2 2 3 2 6" xfId="36678" xr:uid="{00000000-0005-0000-0000-0000826D0000}"/>
    <cellStyle name="40 % - Markeringsfarve4 2 2 3 3" xfId="3834" xr:uid="{00000000-0005-0000-0000-0000836D0000}"/>
    <cellStyle name="40 % - Markeringsfarve4 2 2 3 3 2" xfId="6978" xr:uid="{00000000-0005-0000-0000-0000846D0000}"/>
    <cellStyle name="40 % - Markeringsfarve4 2 2 3 3 2 2" xfId="14890" xr:uid="{00000000-0005-0000-0000-0000856D0000}"/>
    <cellStyle name="40 % - Markeringsfarve4 2 2 3 3 2 2 2" xfId="31205" xr:uid="{00000000-0005-0000-0000-0000866D0000}"/>
    <cellStyle name="40 % - Markeringsfarve4 2 2 3 3 2 2 3" xfId="46169" xr:uid="{00000000-0005-0000-0000-0000876D0000}"/>
    <cellStyle name="40 % - Markeringsfarve4 2 2 3 3 2 3" xfId="24183" xr:uid="{00000000-0005-0000-0000-0000886D0000}"/>
    <cellStyle name="40 % - Markeringsfarve4 2 2 3 3 2 4" xfId="39170" xr:uid="{00000000-0005-0000-0000-0000896D0000}"/>
    <cellStyle name="40 % - Markeringsfarve4 2 2 3 3 3" xfId="12394" xr:uid="{00000000-0005-0000-0000-00008A6D0000}"/>
    <cellStyle name="40 % - Markeringsfarve4 2 2 3 3 3 2" xfId="28714" xr:uid="{00000000-0005-0000-0000-00008B6D0000}"/>
    <cellStyle name="40 % - Markeringsfarve4 2 2 3 3 3 3" xfId="43679" xr:uid="{00000000-0005-0000-0000-00008C6D0000}"/>
    <cellStyle name="40 % - Markeringsfarve4 2 2 3 3 4" xfId="21692" xr:uid="{00000000-0005-0000-0000-00008D6D0000}"/>
    <cellStyle name="40 % - Markeringsfarve4 2 2 3 3 5" xfId="36680" xr:uid="{00000000-0005-0000-0000-00008E6D0000}"/>
    <cellStyle name="40 % - Markeringsfarve4 2 2 3 4" xfId="3835" xr:uid="{00000000-0005-0000-0000-00008F6D0000}"/>
    <cellStyle name="40 % - Markeringsfarve4 2 2 3 4 2" xfId="8540" xr:uid="{00000000-0005-0000-0000-0000906D0000}"/>
    <cellStyle name="40 % - Markeringsfarve4 2 2 3 4 2 2" xfId="16427" xr:uid="{00000000-0005-0000-0000-0000916D0000}"/>
    <cellStyle name="40 % - Markeringsfarve4 2 2 3 4 2 2 2" xfId="32742" xr:uid="{00000000-0005-0000-0000-0000926D0000}"/>
    <cellStyle name="40 % - Markeringsfarve4 2 2 3 4 2 2 3" xfId="47706" xr:uid="{00000000-0005-0000-0000-0000936D0000}"/>
    <cellStyle name="40 % - Markeringsfarve4 2 2 3 4 2 3" xfId="25720" xr:uid="{00000000-0005-0000-0000-0000946D0000}"/>
    <cellStyle name="40 % - Markeringsfarve4 2 2 3 4 2 4" xfId="40707" xr:uid="{00000000-0005-0000-0000-0000956D0000}"/>
    <cellStyle name="40 % - Markeringsfarve4 2 2 3 4 3" xfId="12395" xr:uid="{00000000-0005-0000-0000-0000966D0000}"/>
    <cellStyle name="40 % - Markeringsfarve4 2 2 3 4 3 2" xfId="28715" xr:uid="{00000000-0005-0000-0000-0000976D0000}"/>
    <cellStyle name="40 % - Markeringsfarve4 2 2 3 4 3 3" xfId="43680" xr:uid="{00000000-0005-0000-0000-0000986D0000}"/>
    <cellStyle name="40 % - Markeringsfarve4 2 2 3 4 4" xfId="21693" xr:uid="{00000000-0005-0000-0000-0000996D0000}"/>
    <cellStyle name="40 % - Markeringsfarve4 2 2 3 4 5" xfId="36681" xr:uid="{00000000-0005-0000-0000-00009A6D0000}"/>
    <cellStyle name="40 % - Markeringsfarve4 2 2 3 5" xfId="5860" xr:uid="{00000000-0005-0000-0000-00009B6D0000}"/>
    <cellStyle name="40 % - Markeringsfarve4 2 2 3 5 2" xfId="13779" xr:uid="{00000000-0005-0000-0000-00009C6D0000}"/>
    <cellStyle name="40 % - Markeringsfarve4 2 2 3 5 2 2" xfId="30094" xr:uid="{00000000-0005-0000-0000-00009D6D0000}"/>
    <cellStyle name="40 % - Markeringsfarve4 2 2 3 5 2 3" xfId="45058" xr:uid="{00000000-0005-0000-0000-00009E6D0000}"/>
    <cellStyle name="40 % - Markeringsfarve4 2 2 3 5 3" xfId="23072" xr:uid="{00000000-0005-0000-0000-00009F6D0000}"/>
    <cellStyle name="40 % - Markeringsfarve4 2 2 3 5 4" xfId="38059" xr:uid="{00000000-0005-0000-0000-0000A06D0000}"/>
    <cellStyle name="40 % - Markeringsfarve4 2 2 3 6" xfId="12391" xr:uid="{00000000-0005-0000-0000-0000A16D0000}"/>
    <cellStyle name="40 % - Markeringsfarve4 2 2 3 6 2" xfId="28711" xr:uid="{00000000-0005-0000-0000-0000A26D0000}"/>
    <cellStyle name="40 % - Markeringsfarve4 2 2 3 6 3" xfId="43676" xr:uid="{00000000-0005-0000-0000-0000A36D0000}"/>
    <cellStyle name="40 % - Markeringsfarve4 2 2 3 7" xfId="21689" xr:uid="{00000000-0005-0000-0000-0000A46D0000}"/>
    <cellStyle name="40 % - Markeringsfarve4 2 2 3 8" xfId="36677" xr:uid="{00000000-0005-0000-0000-0000A56D0000}"/>
    <cellStyle name="40 % - Markeringsfarve4 2 2 3 9" xfId="56509" xr:uid="{00000000-0005-0000-0000-0000A66D0000}"/>
    <cellStyle name="40 % - Markeringsfarve4 2 2 4" xfId="3836" xr:uid="{00000000-0005-0000-0000-0000A76D0000}"/>
    <cellStyle name="40 % - Markeringsfarve4 2 2 4 2" xfId="3837" xr:uid="{00000000-0005-0000-0000-0000A86D0000}"/>
    <cellStyle name="40 % - Markeringsfarve4 2 2 4 2 2" xfId="3838" xr:uid="{00000000-0005-0000-0000-0000A96D0000}"/>
    <cellStyle name="40 % - Markeringsfarve4 2 2 4 2 2 2" xfId="7857" xr:uid="{00000000-0005-0000-0000-0000AA6D0000}"/>
    <cellStyle name="40 % - Markeringsfarve4 2 2 4 2 2 2 2" xfId="15759" xr:uid="{00000000-0005-0000-0000-0000AB6D0000}"/>
    <cellStyle name="40 % - Markeringsfarve4 2 2 4 2 2 2 2 2" xfId="32074" xr:uid="{00000000-0005-0000-0000-0000AC6D0000}"/>
    <cellStyle name="40 % - Markeringsfarve4 2 2 4 2 2 2 2 3" xfId="47038" xr:uid="{00000000-0005-0000-0000-0000AD6D0000}"/>
    <cellStyle name="40 % - Markeringsfarve4 2 2 4 2 2 2 3" xfId="25052" xr:uid="{00000000-0005-0000-0000-0000AE6D0000}"/>
    <cellStyle name="40 % - Markeringsfarve4 2 2 4 2 2 2 4" xfId="40039" xr:uid="{00000000-0005-0000-0000-0000AF6D0000}"/>
    <cellStyle name="40 % - Markeringsfarve4 2 2 4 2 2 3" xfId="12398" xr:uid="{00000000-0005-0000-0000-0000B06D0000}"/>
    <cellStyle name="40 % - Markeringsfarve4 2 2 4 2 2 3 2" xfId="28718" xr:uid="{00000000-0005-0000-0000-0000B16D0000}"/>
    <cellStyle name="40 % - Markeringsfarve4 2 2 4 2 2 3 3" xfId="43683" xr:uid="{00000000-0005-0000-0000-0000B26D0000}"/>
    <cellStyle name="40 % - Markeringsfarve4 2 2 4 2 2 4" xfId="21696" xr:uid="{00000000-0005-0000-0000-0000B36D0000}"/>
    <cellStyle name="40 % - Markeringsfarve4 2 2 4 2 2 5" xfId="36684" xr:uid="{00000000-0005-0000-0000-0000B46D0000}"/>
    <cellStyle name="40 % - Markeringsfarve4 2 2 4 2 3" xfId="6393" xr:uid="{00000000-0005-0000-0000-0000B56D0000}"/>
    <cellStyle name="40 % - Markeringsfarve4 2 2 4 2 3 2" xfId="14308" xr:uid="{00000000-0005-0000-0000-0000B66D0000}"/>
    <cellStyle name="40 % - Markeringsfarve4 2 2 4 2 3 2 2" xfId="30623" xr:uid="{00000000-0005-0000-0000-0000B76D0000}"/>
    <cellStyle name="40 % - Markeringsfarve4 2 2 4 2 3 2 3" xfId="45587" xr:uid="{00000000-0005-0000-0000-0000B86D0000}"/>
    <cellStyle name="40 % - Markeringsfarve4 2 2 4 2 3 3" xfId="23601" xr:uid="{00000000-0005-0000-0000-0000B96D0000}"/>
    <cellStyle name="40 % - Markeringsfarve4 2 2 4 2 3 4" xfId="38588" xr:uid="{00000000-0005-0000-0000-0000BA6D0000}"/>
    <cellStyle name="40 % - Markeringsfarve4 2 2 4 2 4" xfId="12397" xr:uid="{00000000-0005-0000-0000-0000BB6D0000}"/>
    <cellStyle name="40 % - Markeringsfarve4 2 2 4 2 4 2" xfId="28717" xr:uid="{00000000-0005-0000-0000-0000BC6D0000}"/>
    <cellStyle name="40 % - Markeringsfarve4 2 2 4 2 4 3" xfId="43682" xr:uid="{00000000-0005-0000-0000-0000BD6D0000}"/>
    <cellStyle name="40 % - Markeringsfarve4 2 2 4 2 5" xfId="21695" xr:uid="{00000000-0005-0000-0000-0000BE6D0000}"/>
    <cellStyle name="40 % - Markeringsfarve4 2 2 4 2 6" xfId="36683" xr:uid="{00000000-0005-0000-0000-0000BF6D0000}"/>
    <cellStyle name="40 % - Markeringsfarve4 2 2 4 3" xfId="3839" xr:uid="{00000000-0005-0000-0000-0000C06D0000}"/>
    <cellStyle name="40 % - Markeringsfarve4 2 2 4 3 2" xfId="7133" xr:uid="{00000000-0005-0000-0000-0000C16D0000}"/>
    <cellStyle name="40 % - Markeringsfarve4 2 2 4 3 2 2" xfId="15044" xr:uid="{00000000-0005-0000-0000-0000C26D0000}"/>
    <cellStyle name="40 % - Markeringsfarve4 2 2 4 3 2 2 2" xfId="31359" xr:uid="{00000000-0005-0000-0000-0000C36D0000}"/>
    <cellStyle name="40 % - Markeringsfarve4 2 2 4 3 2 2 3" xfId="46323" xr:uid="{00000000-0005-0000-0000-0000C46D0000}"/>
    <cellStyle name="40 % - Markeringsfarve4 2 2 4 3 2 3" xfId="24337" xr:uid="{00000000-0005-0000-0000-0000C56D0000}"/>
    <cellStyle name="40 % - Markeringsfarve4 2 2 4 3 2 4" xfId="39324" xr:uid="{00000000-0005-0000-0000-0000C66D0000}"/>
    <cellStyle name="40 % - Markeringsfarve4 2 2 4 3 3" xfId="12399" xr:uid="{00000000-0005-0000-0000-0000C76D0000}"/>
    <cellStyle name="40 % - Markeringsfarve4 2 2 4 3 3 2" xfId="28719" xr:uid="{00000000-0005-0000-0000-0000C86D0000}"/>
    <cellStyle name="40 % - Markeringsfarve4 2 2 4 3 3 3" xfId="43684" xr:uid="{00000000-0005-0000-0000-0000C96D0000}"/>
    <cellStyle name="40 % - Markeringsfarve4 2 2 4 3 4" xfId="21697" xr:uid="{00000000-0005-0000-0000-0000CA6D0000}"/>
    <cellStyle name="40 % - Markeringsfarve4 2 2 4 3 5" xfId="36685" xr:uid="{00000000-0005-0000-0000-0000CB6D0000}"/>
    <cellStyle name="40 % - Markeringsfarve4 2 2 4 4" xfId="3840" xr:uid="{00000000-0005-0000-0000-0000CC6D0000}"/>
    <cellStyle name="40 % - Markeringsfarve4 2 2 4 4 2" xfId="8191" xr:uid="{00000000-0005-0000-0000-0000CD6D0000}"/>
    <cellStyle name="40 % - Markeringsfarve4 2 2 4 4 2 2" xfId="16088" xr:uid="{00000000-0005-0000-0000-0000CE6D0000}"/>
    <cellStyle name="40 % - Markeringsfarve4 2 2 4 4 2 2 2" xfId="32403" xr:uid="{00000000-0005-0000-0000-0000CF6D0000}"/>
    <cellStyle name="40 % - Markeringsfarve4 2 2 4 4 2 2 3" xfId="47367" xr:uid="{00000000-0005-0000-0000-0000D06D0000}"/>
    <cellStyle name="40 % - Markeringsfarve4 2 2 4 4 2 3" xfId="25381" xr:uid="{00000000-0005-0000-0000-0000D16D0000}"/>
    <cellStyle name="40 % - Markeringsfarve4 2 2 4 4 2 4" xfId="40368" xr:uid="{00000000-0005-0000-0000-0000D26D0000}"/>
    <cellStyle name="40 % - Markeringsfarve4 2 2 4 4 3" xfId="12400" xr:uid="{00000000-0005-0000-0000-0000D36D0000}"/>
    <cellStyle name="40 % - Markeringsfarve4 2 2 4 4 3 2" xfId="28720" xr:uid="{00000000-0005-0000-0000-0000D46D0000}"/>
    <cellStyle name="40 % - Markeringsfarve4 2 2 4 4 3 3" xfId="43685" xr:uid="{00000000-0005-0000-0000-0000D56D0000}"/>
    <cellStyle name="40 % - Markeringsfarve4 2 2 4 4 4" xfId="21698" xr:uid="{00000000-0005-0000-0000-0000D66D0000}"/>
    <cellStyle name="40 % - Markeringsfarve4 2 2 4 4 5" xfId="36686" xr:uid="{00000000-0005-0000-0000-0000D76D0000}"/>
    <cellStyle name="40 % - Markeringsfarve4 2 2 4 5" xfId="5861" xr:uid="{00000000-0005-0000-0000-0000D86D0000}"/>
    <cellStyle name="40 % - Markeringsfarve4 2 2 4 5 2" xfId="13780" xr:uid="{00000000-0005-0000-0000-0000D96D0000}"/>
    <cellStyle name="40 % - Markeringsfarve4 2 2 4 5 2 2" xfId="30095" xr:uid="{00000000-0005-0000-0000-0000DA6D0000}"/>
    <cellStyle name="40 % - Markeringsfarve4 2 2 4 5 2 3" xfId="45059" xr:uid="{00000000-0005-0000-0000-0000DB6D0000}"/>
    <cellStyle name="40 % - Markeringsfarve4 2 2 4 5 3" xfId="23073" xr:uid="{00000000-0005-0000-0000-0000DC6D0000}"/>
    <cellStyle name="40 % - Markeringsfarve4 2 2 4 5 4" xfId="38060" xr:uid="{00000000-0005-0000-0000-0000DD6D0000}"/>
    <cellStyle name="40 % - Markeringsfarve4 2 2 4 6" xfId="12396" xr:uid="{00000000-0005-0000-0000-0000DE6D0000}"/>
    <cellStyle name="40 % - Markeringsfarve4 2 2 4 6 2" xfId="28716" xr:uid="{00000000-0005-0000-0000-0000DF6D0000}"/>
    <cellStyle name="40 % - Markeringsfarve4 2 2 4 6 3" xfId="43681" xr:uid="{00000000-0005-0000-0000-0000E06D0000}"/>
    <cellStyle name="40 % - Markeringsfarve4 2 2 4 7" xfId="21694" xr:uid="{00000000-0005-0000-0000-0000E16D0000}"/>
    <cellStyle name="40 % - Markeringsfarve4 2 2 4 8" xfId="36682" xr:uid="{00000000-0005-0000-0000-0000E26D0000}"/>
    <cellStyle name="40 % - Markeringsfarve4 2 2 5" xfId="3841" xr:uid="{00000000-0005-0000-0000-0000E36D0000}"/>
    <cellStyle name="40 % - Markeringsfarve4 2 2 5 2" xfId="3842" xr:uid="{00000000-0005-0000-0000-0000E46D0000}"/>
    <cellStyle name="40 % - Markeringsfarve4 2 2 5 2 2" xfId="3843" xr:uid="{00000000-0005-0000-0000-0000E56D0000}"/>
    <cellStyle name="40 % - Markeringsfarve4 2 2 5 2 2 2" xfId="7974" xr:uid="{00000000-0005-0000-0000-0000E66D0000}"/>
    <cellStyle name="40 % - Markeringsfarve4 2 2 5 2 2 2 2" xfId="15876" xr:uid="{00000000-0005-0000-0000-0000E76D0000}"/>
    <cellStyle name="40 % - Markeringsfarve4 2 2 5 2 2 2 2 2" xfId="32191" xr:uid="{00000000-0005-0000-0000-0000E86D0000}"/>
    <cellStyle name="40 % - Markeringsfarve4 2 2 5 2 2 2 2 3" xfId="47155" xr:uid="{00000000-0005-0000-0000-0000E96D0000}"/>
    <cellStyle name="40 % - Markeringsfarve4 2 2 5 2 2 2 3" xfId="25169" xr:uid="{00000000-0005-0000-0000-0000EA6D0000}"/>
    <cellStyle name="40 % - Markeringsfarve4 2 2 5 2 2 2 4" xfId="40156" xr:uid="{00000000-0005-0000-0000-0000EB6D0000}"/>
    <cellStyle name="40 % - Markeringsfarve4 2 2 5 2 2 3" xfId="12403" xr:uid="{00000000-0005-0000-0000-0000EC6D0000}"/>
    <cellStyle name="40 % - Markeringsfarve4 2 2 5 2 2 3 2" xfId="28723" xr:uid="{00000000-0005-0000-0000-0000ED6D0000}"/>
    <cellStyle name="40 % - Markeringsfarve4 2 2 5 2 2 3 3" xfId="43688" xr:uid="{00000000-0005-0000-0000-0000EE6D0000}"/>
    <cellStyle name="40 % - Markeringsfarve4 2 2 5 2 2 4" xfId="21701" xr:uid="{00000000-0005-0000-0000-0000EF6D0000}"/>
    <cellStyle name="40 % - Markeringsfarve4 2 2 5 2 2 5" xfId="36689" xr:uid="{00000000-0005-0000-0000-0000F06D0000}"/>
    <cellStyle name="40 % - Markeringsfarve4 2 2 5 2 3" xfId="6492" xr:uid="{00000000-0005-0000-0000-0000F16D0000}"/>
    <cellStyle name="40 % - Markeringsfarve4 2 2 5 2 3 2" xfId="14407" xr:uid="{00000000-0005-0000-0000-0000F26D0000}"/>
    <cellStyle name="40 % - Markeringsfarve4 2 2 5 2 3 2 2" xfId="30722" xr:uid="{00000000-0005-0000-0000-0000F36D0000}"/>
    <cellStyle name="40 % - Markeringsfarve4 2 2 5 2 3 2 3" xfId="45686" xr:uid="{00000000-0005-0000-0000-0000F46D0000}"/>
    <cellStyle name="40 % - Markeringsfarve4 2 2 5 2 3 3" xfId="23700" xr:uid="{00000000-0005-0000-0000-0000F56D0000}"/>
    <cellStyle name="40 % - Markeringsfarve4 2 2 5 2 3 4" xfId="38687" xr:uid="{00000000-0005-0000-0000-0000F66D0000}"/>
    <cellStyle name="40 % - Markeringsfarve4 2 2 5 2 4" xfId="12402" xr:uid="{00000000-0005-0000-0000-0000F76D0000}"/>
    <cellStyle name="40 % - Markeringsfarve4 2 2 5 2 4 2" xfId="28722" xr:uid="{00000000-0005-0000-0000-0000F86D0000}"/>
    <cellStyle name="40 % - Markeringsfarve4 2 2 5 2 4 3" xfId="43687" xr:uid="{00000000-0005-0000-0000-0000F96D0000}"/>
    <cellStyle name="40 % - Markeringsfarve4 2 2 5 2 5" xfId="21700" xr:uid="{00000000-0005-0000-0000-0000FA6D0000}"/>
    <cellStyle name="40 % - Markeringsfarve4 2 2 5 2 6" xfId="36688" xr:uid="{00000000-0005-0000-0000-0000FB6D0000}"/>
    <cellStyle name="40 % - Markeringsfarve4 2 2 5 3" xfId="3844" xr:uid="{00000000-0005-0000-0000-0000FC6D0000}"/>
    <cellStyle name="40 % - Markeringsfarve4 2 2 5 3 2" xfId="7250" xr:uid="{00000000-0005-0000-0000-0000FD6D0000}"/>
    <cellStyle name="40 % - Markeringsfarve4 2 2 5 3 2 2" xfId="15161" xr:uid="{00000000-0005-0000-0000-0000FE6D0000}"/>
    <cellStyle name="40 % - Markeringsfarve4 2 2 5 3 2 2 2" xfId="31476" xr:uid="{00000000-0005-0000-0000-0000FF6D0000}"/>
    <cellStyle name="40 % - Markeringsfarve4 2 2 5 3 2 2 3" xfId="46440" xr:uid="{00000000-0005-0000-0000-0000006E0000}"/>
    <cellStyle name="40 % - Markeringsfarve4 2 2 5 3 2 3" xfId="24454" xr:uid="{00000000-0005-0000-0000-0000016E0000}"/>
    <cellStyle name="40 % - Markeringsfarve4 2 2 5 3 2 4" xfId="39441" xr:uid="{00000000-0005-0000-0000-0000026E0000}"/>
    <cellStyle name="40 % - Markeringsfarve4 2 2 5 3 3" xfId="12404" xr:uid="{00000000-0005-0000-0000-0000036E0000}"/>
    <cellStyle name="40 % - Markeringsfarve4 2 2 5 3 3 2" xfId="28724" xr:uid="{00000000-0005-0000-0000-0000046E0000}"/>
    <cellStyle name="40 % - Markeringsfarve4 2 2 5 3 3 3" xfId="43689" xr:uid="{00000000-0005-0000-0000-0000056E0000}"/>
    <cellStyle name="40 % - Markeringsfarve4 2 2 5 3 4" xfId="21702" xr:uid="{00000000-0005-0000-0000-0000066E0000}"/>
    <cellStyle name="40 % - Markeringsfarve4 2 2 5 3 5" xfId="36690" xr:uid="{00000000-0005-0000-0000-0000076E0000}"/>
    <cellStyle name="40 % - Markeringsfarve4 2 2 5 4" xfId="3845" xr:uid="{00000000-0005-0000-0000-0000086E0000}"/>
    <cellStyle name="40 % - Markeringsfarve4 2 2 5 4 2" xfId="8144" xr:uid="{00000000-0005-0000-0000-0000096E0000}"/>
    <cellStyle name="40 % - Markeringsfarve4 2 2 5 4 2 2" xfId="16043" xr:uid="{00000000-0005-0000-0000-00000A6E0000}"/>
    <cellStyle name="40 % - Markeringsfarve4 2 2 5 4 2 2 2" xfId="32358" xr:uid="{00000000-0005-0000-0000-00000B6E0000}"/>
    <cellStyle name="40 % - Markeringsfarve4 2 2 5 4 2 2 3" xfId="47322" xr:uid="{00000000-0005-0000-0000-00000C6E0000}"/>
    <cellStyle name="40 % - Markeringsfarve4 2 2 5 4 2 3" xfId="25336" xr:uid="{00000000-0005-0000-0000-00000D6E0000}"/>
    <cellStyle name="40 % - Markeringsfarve4 2 2 5 4 2 4" xfId="40323" xr:uid="{00000000-0005-0000-0000-00000E6E0000}"/>
    <cellStyle name="40 % - Markeringsfarve4 2 2 5 4 3" xfId="12405" xr:uid="{00000000-0005-0000-0000-00000F6E0000}"/>
    <cellStyle name="40 % - Markeringsfarve4 2 2 5 4 3 2" xfId="28725" xr:uid="{00000000-0005-0000-0000-0000106E0000}"/>
    <cellStyle name="40 % - Markeringsfarve4 2 2 5 4 3 3" xfId="43690" xr:uid="{00000000-0005-0000-0000-0000116E0000}"/>
    <cellStyle name="40 % - Markeringsfarve4 2 2 5 4 4" xfId="21703" xr:uid="{00000000-0005-0000-0000-0000126E0000}"/>
    <cellStyle name="40 % - Markeringsfarve4 2 2 5 4 5" xfId="36691" xr:uid="{00000000-0005-0000-0000-0000136E0000}"/>
    <cellStyle name="40 % - Markeringsfarve4 2 2 5 5" xfId="5862" xr:uid="{00000000-0005-0000-0000-0000146E0000}"/>
    <cellStyle name="40 % - Markeringsfarve4 2 2 5 5 2" xfId="13781" xr:uid="{00000000-0005-0000-0000-0000156E0000}"/>
    <cellStyle name="40 % - Markeringsfarve4 2 2 5 5 2 2" xfId="30096" xr:uid="{00000000-0005-0000-0000-0000166E0000}"/>
    <cellStyle name="40 % - Markeringsfarve4 2 2 5 5 2 3" xfId="45060" xr:uid="{00000000-0005-0000-0000-0000176E0000}"/>
    <cellStyle name="40 % - Markeringsfarve4 2 2 5 5 3" xfId="23074" xr:uid="{00000000-0005-0000-0000-0000186E0000}"/>
    <cellStyle name="40 % - Markeringsfarve4 2 2 5 5 4" xfId="38061" xr:uid="{00000000-0005-0000-0000-0000196E0000}"/>
    <cellStyle name="40 % - Markeringsfarve4 2 2 5 6" xfId="12401" xr:uid="{00000000-0005-0000-0000-00001A6E0000}"/>
    <cellStyle name="40 % - Markeringsfarve4 2 2 5 6 2" xfId="28721" xr:uid="{00000000-0005-0000-0000-00001B6E0000}"/>
    <cellStyle name="40 % - Markeringsfarve4 2 2 5 6 3" xfId="43686" xr:uid="{00000000-0005-0000-0000-00001C6E0000}"/>
    <cellStyle name="40 % - Markeringsfarve4 2 2 5 7" xfId="21699" xr:uid="{00000000-0005-0000-0000-00001D6E0000}"/>
    <cellStyle name="40 % - Markeringsfarve4 2 2 5 8" xfId="36687" xr:uid="{00000000-0005-0000-0000-00001E6E0000}"/>
    <cellStyle name="40 % - Markeringsfarve4 2 2 6" xfId="3846" xr:uid="{00000000-0005-0000-0000-00001F6E0000}"/>
    <cellStyle name="40 % - Markeringsfarve4 2 2 6 2" xfId="3847" xr:uid="{00000000-0005-0000-0000-0000206E0000}"/>
    <cellStyle name="40 % - Markeringsfarve4 2 2 6 2 2" xfId="3848" xr:uid="{00000000-0005-0000-0000-0000216E0000}"/>
    <cellStyle name="40 % - Markeringsfarve4 2 2 6 2 2 2" xfId="8102" xr:uid="{00000000-0005-0000-0000-0000226E0000}"/>
    <cellStyle name="40 % - Markeringsfarve4 2 2 6 2 2 2 2" xfId="16004" xr:uid="{00000000-0005-0000-0000-0000236E0000}"/>
    <cellStyle name="40 % - Markeringsfarve4 2 2 6 2 2 2 2 2" xfId="32319" xr:uid="{00000000-0005-0000-0000-0000246E0000}"/>
    <cellStyle name="40 % - Markeringsfarve4 2 2 6 2 2 2 2 3" xfId="47283" xr:uid="{00000000-0005-0000-0000-0000256E0000}"/>
    <cellStyle name="40 % - Markeringsfarve4 2 2 6 2 2 2 3" xfId="25297" xr:uid="{00000000-0005-0000-0000-0000266E0000}"/>
    <cellStyle name="40 % - Markeringsfarve4 2 2 6 2 2 2 4" xfId="40284" xr:uid="{00000000-0005-0000-0000-0000276E0000}"/>
    <cellStyle name="40 % - Markeringsfarve4 2 2 6 2 2 3" xfId="12408" xr:uid="{00000000-0005-0000-0000-0000286E0000}"/>
    <cellStyle name="40 % - Markeringsfarve4 2 2 6 2 2 3 2" xfId="28728" xr:uid="{00000000-0005-0000-0000-0000296E0000}"/>
    <cellStyle name="40 % - Markeringsfarve4 2 2 6 2 2 3 3" xfId="43693" xr:uid="{00000000-0005-0000-0000-00002A6E0000}"/>
    <cellStyle name="40 % - Markeringsfarve4 2 2 6 2 2 4" xfId="21706" xr:uid="{00000000-0005-0000-0000-00002B6E0000}"/>
    <cellStyle name="40 % - Markeringsfarve4 2 2 6 2 2 5" xfId="36694" xr:uid="{00000000-0005-0000-0000-00002C6E0000}"/>
    <cellStyle name="40 % - Markeringsfarve4 2 2 6 2 3" xfId="6595" xr:uid="{00000000-0005-0000-0000-00002D6E0000}"/>
    <cellStyle name="40 % - Markeringsfarve4 2 2 6 2 3 2" xfId="14510" xr:uid="{00000000-0005-0000-0000-00002E6E0000}"/>
    <cellStyle name="40 % - Markeringsfarve4 2 2 6 2 3 2 2" xfId="30825" xr:uid="{00000000-0005-0000-0000-00002F6E0000}"/>
    <cellStyle name="40 % - Markeringsfarve4 2 2 6 2 3 2 3" xfId="45789" xr:uid="{00000000-0005-0000-0000-0000306E0000}"/>
    <cellStyle name="40 % - Markeringsfarve4 2 2 6 2 3 3" xfId="23803" xr:uid="{00000000-0005-0000-0000-0000316E0000}"/>
    <cellStyle name="40 % - Markeringsfarve4 2 2 6 2 3 4" xfId="38790" xr:uid="{00000000-0005-0000-0000-0000326E0000}"/>
    <cellStyle name="40 % - Markeringsfarve4 2 2 6 2 4" xfId="12407" xr:uid="{00000000-0005-0000-0000-0000336E0000}"/>
    <cellStyle name="40 % - Markeringsfarve4 2 2 6 2 4 2" xfId="28727" xr:uid="{00000000-0005-0000-0000-0000346E0000}"/>
    <cellStyle name="40 % - Markeringsfarve4 2 2 6 2 4 3" xfId="43692" xr:uid="{00000000-0005-0000-0000-0000356E0000}"/>
    <cellStyle name="40 % - Markeringsfarve4 2 2 6 2 5" xfId="21705" xr:uid="{00000000-0005-0000-0000-0000366E0000}"/>
    <cellStyle name="40 % - Markeringsfarve4 2 2 6 2 6" xfId="36693" xr:uid="{00000000-0005-0000-0000-0000376E0000}"/>
    <cellStyle name="40 % - Markeringsfarve4 2 2 6 3" xfId="3849" xr:uid="{00000000-0005-0000-0000-0000386E0000}"/>
    <cellStyle name="40 % - Markeringsfarve4 2 2 6 3 2" xfId="7379" xr:uid="{00000000-0005-0000-0000-0000396E0000}"/>
    <cellStyle name="40 % - Markeringsfarve4 2 2 6 3 2 2" xfId="15290" xr:uid="{00000000-0005-0000-0000-00003A6E0000}"/>
    <cellStyle name="40 % - Markeringsfarve4 2 2 6 3 2 2 2" xfId="31605" xr:uid="{00000000-0005-0000-0000-00003B6E0000}"/>
    <cellStyle name="40 % - Markeringsfarve4 2 2 6 3 2 2 3" xfId="46569" xr:uid="{00000000-0005-0000-0000-00003C6E0000}"/>
    <cellStyle name="40 % - Markeringsfarve4 2 2 6 3 2 3" xfId="24583" xr:uid="{00000000-0005-0000-0000-00003D6E0000}"/>
    <cellStyle name="40 % - Markeringsfarve4 2 2 6 3 2 4" xfId="39570" xr:uid="{00000000-0005-0000-0000-00003E6E0000}"/>
    <cellStyle name="40 % - Markeringsfarve4 2 2 6 3 3" xfId="12409" xr:uid="{00000000-0005-0000-0000-00003F6E0000}"/>
    <cellStyle name="40 % - Markeringsfarve4 2 2 6 3 3 2" xfId="28729" xr:uid="{00000000-0005-0000-0000-0000406E0000}"/>
    <cellStyle name="40 % - Markeringsfarve4 2 2 6 3 3 3" xfId="43694" xr:uid="{00000000-0005-0000-0000-0000416E0000}"/>
    <cellStyle name="40 % - Markeringsfarve4 2 2 6 3 4" xfId="21707" xr:uid="{00000000-0005-0000-0000-0000426E0000}"/>
    <cellStyle name="40 % - Markeringsfarve4 2 2 6 3 5" xfId="36695" xr:uid="{00000000-0005-0000-0000-0000436E0000}"/>
    <cellStyle name="40 % - Markeringsfarve4 2 2 6 4" xfId="3850" xr:uid="{00000000-0005-0000-0000-0000446E0000}"/>
    <cellStyle name="40 % - Markeringsfarve4 2 2 6 4 2" xfId="8485" xr:uid="{00000000-0005-0000-0000-0000456E0000}"/>
    <cellStyle name="40 % - Markeringsfarve4 2 2 6 4 2 2" xfId="16374" xr:uid="{00000000-0005-0000-0000-0000466E0000}"/>
    <cellStyle name="40 % - Markeringsfarve4 2 2 6 4 2 2 2" xfId="32689" xr:uid="{00000000-0005-0000-0000-0000476E0000}"/>
    <cellStyle name="40 % - Markeringsfarve4 2 2 6 4 2 2 3" xfId="47653" xr:uid="{00000000-0005-0000-0000-0000486E0000}"/>
    <cellStyle name="40 % - Markeringsfarve4 2 2 6 4 2 3" xfId="25667" xr:uid="{00000000-0005-0000-0000-0000496E0000}"/>
    <cellStyle name="40 % - Markeringsfarve4 2 2 6 4 2 4" xfId="40654" xr:uid="{00000000-0005-0000-0000-00004A6E0000}"/>
    <cellStyle name="40 % - Markeringsfarve4 2 2 6 4 3" xfId="12410" xr:uid="{00000000-0005-0000-0000-00004B6E0000}"/>
    <cellStyle name="40 % - Markeringsfarve4 2 2 6 4 3 2" xfId="28730" xr:uid="{00000000-0005-0000-0000-00004C6E0000}"/>
    <cellStyle name="40 % - Markeringsfarve4 2 2 6 4 3 3" xfId="43695" xr:uid="{00000000-0005-0000-0000-00004D6E0000}"/>
    <cellStyle name="40 % - Markeringsfarve4 2 2 6 4 4" xfId="21708" xr:uid="{00000000-0005-0000-0000-00004E6E0000}"/>
    <cellStyle name="40 % - Markeringsfarve4 2 2 6 4 5" xfId="36696" xr:uid="{00000000-0005-0000-0000-00004F6E0000}"/>
    <cellStyle name="40 % - Markeringsfarve4 2 2 6 5" xfId="5863" xr:uid="{00000000-0005-0000-0000-0000506E0000}"/>
    <cellStyle name="40 % - Markeringsfarve4 2 2 6 5 2" xfId="13782" xr:uid="{00000000-0005-0000-0000-0000516E0000}"/>
    <cellStyle name="40 % - Markeringsfarve4 2 2 6 5 2 2" xfId="30097" xr:uid="{00000000-0005-0000-0000-0000526E0000}"/>
    <cellStyle name="40 % - Markeringsfarve4 2 2 6 5 2 3" xfId="45061" xr:uid="{00000000-0005-0000-0000-0000536E0000}"/>
    <cellStyle name="40 % - Markeringsfarve4 2 2 6 5 3" xfId="23075" xr:uid="{00000000-0005-0000-0000-0000546E0000}"/>
    <cellStyle name="40 % - Markeringsfarve4 2 2 6 5 4" xfId="38062" xr:uid="{00000000-0005-0000-0000-0000556E0000}"/>
    <cellStyle name="40 % - Markeringsfarve4 2 2 6 6" xfId="12406" xr:uid="{00000000-0005-0000-0000-0000566E0000}"/>
    <cellStyle name="40 % - Markeringsfarve4 2 2 6 6 2" xfId="28726" xr:uid="{00000000-0005-0000-0000-0000576E0000}"/>
    <cellStyle name="40 % - Markeringsfarve4 2 2 6 6 3" xfId="43691" xr:uid="{00000000-0005-0000-0000-0000586E0000}"/>
    <cellStyle name="40 % - Markeringsfarve4 2 2 6 7" xfId="21704" xr:uid="{00000000-0005-0000-0000-0000596E0000}"/>
    <cellStyle name="40 % - Markeringsfarve4 2 2 6 8" xfId="36692" xr:uid="{00000000-0005-0000-0000-00005A6E0000}"/>
    <cellStyle name="40 % - Markeringsfarve4 2 2 7" xfId="3851" xr:uid="{00000000-0005-0000-0000-00005B6E0000}"/>
    <cellStyle name="40 % - Markeringsfarve4 2 2 7 2" xfId="3852" xr:uid="{00000000-0005-0000-0000-00005C6E0000}"/>
    <cellStyle name="40 % - Markeringsfarve4 2 2 7 2 2" xfId="7500" xr:uid="{00000000-0005-0000-0000-00005D6E0000}"/>
    <cellStyle name="40 % - Markeringsfarve4 2 2 7 2 2 2" xfId="15402" xr:uid="{00000000-0005-0000-0000-00005E6E0000}"/>
    <cellStyle name="40 % - Markeringsfarve4 2 2 7 2 2 2 2" xfId="31717" xr:uid="{00000000-0005-0000-0000-00005F6E0000}"/>
    <cellStyle name="40 % - Markeringsfarve4 2 2 7 2 2 2 3" xfId="46681" xr:uid="{00000000-0005-0000-0000-0000606E0000}"/>
    <cellStyle name="40 % - Markeringsfarve4 2 2 7 2 2 3" xfId="24695" xr:uid="{00000000-0005-0000-0000-0000616E0000}"/>
    <cellStyle name="40 % - Markeringsfarve4 2 2 7 2 2 4" xfId="39682" xr:uid="{00000000-0005-0000-0000-0000626E0000}"/>
    <cellStyle name="40 % - Markeringsfarve4 2 2 7 2 3" xfId="12412" xr:uid="{00000000-0005-0000-0000-0000636E0000}"/>
    <cellStyle name="40 % - Markeringsfarve4 2 2 7 2 3 2" xfId="28732" xr:uid="{00000000-0005-0000-0000-0000646E0000}"/>
    <cellStyle name="40 % - Markeringsfarve4 2 2 7 2 3 3" xfId="43697" xr:uid="{00000000-0005-0000-0000-0000656E0000}"/>
    <cellStyle name="40 % - Markeringsfarve4 2 2 7 2 4" xfId="21710" xr:uid="{00000000-0005-0000-0000-0000666E0000}"/>
    <cellStyle name="40 % - Markeringsfarve4 2 2 7 2 5" xfId="36698" xr:uid="{00000000-0005-0000-0000-0000676E0000}"/>
    <cellStyle name="40 % - Markeringsfarve4 2 2 7 3" xfId="6092" xr:uid="{00000000-0005-0000-0000-0000686E0000}"/>
    <cellStyle name="40 % - Markeringsfarve4 2 2 7 3 2" xfId="14010" xr:uid="{00000000-0005-0000-0000-0000696E0000}"/>
    <cellStyle name="40 % - Markeringsfarve4 2 2 7 3 2 2" xfId="30325" xr:uid="{00000000-0005-0000-0000-00006A6E0000}"/>
    <cellStyle name="40 % - Markeringsfarve4 2 2 7 3 2 3" xfId="45289" xr:uid="{00000000-0005-0000-0000-00006B6E0000}"/>
    <cellStyle name="40 % - Markeringsfarve4 2 2 7 3 3" xfId="23303" xr:uid="{00000000-0005-0000-0000-00006C6E0000}"/>
    <cellStyle name="40 % - Markeringsfarve4 2 2 7 3 4" xfId="38290" xr:uid="{00000000-0005-0000-0000-00006D6E0000}"/>
    <cellStyle name="40 % - Markeringsfarve4 2 2 7 4" xfId="12411" xr:uid="{00000000-0005-0000-0000-00006E6E0000}"/>
    <cellStyle name="40 % - Markeringsfarve4 2 2 7 4 2" xfId="28731" xr:uid="{00000000-0005-0000-0000-00006F6E0000}"/>
    <cellStyle name="40 % - Markeringsfarve4 2 2 7 4 3" xfId="43696" xr:uid="{00000000-0005-0000-0000-0000706E0000}"/>
    <cellStyle name="40 % - Markeringsfarve4 2 2 7 5" xfId="21709" xr:uid="{00000000-0005-0000-0000-0000716E0000}"/>
    <cellStyle name="40 % - Markeringsfarve4 2 2 7 6" xfId="36697" xr:uid="{00000000-0005-0000-0000-0000726E0000}"/>
    <cellStyle name="40 % - Markeringsfarve4 2 2 8" xfId="3853" xr:uid="{00000000-0005-0000-0000-0000736E0000}"/>
    <cellStyle name="40 % - Markeringsfarve4 2 2 8 2" xfId="6728" xr:uid="{00000000-0005-0000-0000-0000746E0000}"/>
    <cellStyle name="40 % - Markeringsfarve4 2 2 8 2 2" xfId="14640" xr:uid="{00000000-0005-0000-0000-0000756E0000}"/>
    <cellStyle name="40 % - Markeringsfarve4 2 2 8 2 2 2" xfId="30955" xr:uid="{00000000-0005-0000-0000-0000766E0000}"/>
    <cellStyle name="40 % - Markeringsfarve4 2 2 8 2 2 3" xfId="45919" xr:uid="{00000000-0005-0000-0000-0000776E0000}"/>
    <cellStyle name="40 % - Markeringsfarve4 2 2 8 2 3" xfId="23933" xr:uid="{00000000-0005-0000-0000-0000786E0000}"/>
    <cellStyle name="40 % - Markeringsfarve4 2 2 8 2 4" xfId="38920" xr:uid="{00000000-0005-0000-0000-0000796E0000}"/>
    <cellStyle name="40 % - Markeringsfarve4 2 2 8 3" xfId="12413" xr:uid="{00000000-0005-0000-0000-00007A6E0000}"/>
    <cellStyle name="40 % - Markeringsfarve4 2 2 8 3 2" xfId="28733" xr:uid="{00000000-0005-0000-0000-00007B6E0000}"/>
    <cellStyle name="40 % - Markeringsfarve4 2 2 8 3 3" xfId="43698" xr:uid="{00000000-0005-0000-0000-00007C6E0000}"/>
    <cellStyle name="40 % - Markeringsfarve4 2 2 8 4" xfId="21711" xr:uid="{00000000-0005-0000-0000-00007D6E0000}"/>
    <cellStyle name="40 % - Markeringsfarve4 2 2 8 5" xfId="36699" xr:uid="{00000000-0005-0000-0000-00007E6E0000}"/>
    <cellStyle name="40 % - Markeringsfarve4 2 2 9" xfId="3854" xr:uid="{00000000-0005-0000-0000-00007F6E0000}"/>
    <cellStyle name="40 % - Markeringsfarve4 2 2 9 2" xfId="8575" xr:uid="{00000000-0005-0000-0000-0000806E0000}"/>
    <cellStyle name="40 % - Markeringsfarve4 2 2 9 2 2" xfId="16459" xr:uid="{00000000-0005-0000-0000-0000816E0000}"/>
    <cellStyle name="40 % - Markeringsfarve4 2 2 9 2 2 2" xfId="32774" xr:uid="{00000000-0005-0000-0000-0000826E0000}"/>
    <cellStyle name="40 % - Markeringsfarve4 2 2 9 2 2 3" xfId="47738" xr:uid="{00000000-0005-0000-0000-0000836E0000}"/>
    <cellStyle name="40 % - Markeringsfarve4 2 2 9 2 3" xfId="25752" xr:uid="{00000000-0005-0000-0000-0000846E0000}"/>
    <cellStyle name="40 % - Markeringsfarve4 2 2 9 2 4" xfId="40739" xr:uid="{00000000-0005-0000-0000-0000856E0000}"/>
    <cellStyle name="40 % - Markeringsfarve4 2 2 9 3" xfId="12414" xr:uid="{00000000-0005-0000-0000-0000866E0000}"/>
    <cellStyle name="40 % - Markeringsfarve4 2 2 9 3 2" xfId="28734" xr:uid="{00000000-0005-0000-0000-0000876E0000}"/>
    <cellStyle name="40 % - Markeringsfarve4 2 2 9 3 3" xfId="43699" xr:uid="{00000000-0005-0000-0000-0000886E0000}"/>
    <cellStyle name="40 % - Markeringsfarve4 2 2 9 4" xfId="21712" xr:uid="{00000000-0005-0000-0000-0000896E0000}"/>
    <cellStyle name="40 % - Markeringsfarve4 2 2 9 5" xfId="36700" xr:uid="{00000000-0005-0000-0000-00008A6E0000}"/>
    <cellStyle name="40 % - Markeringsfarve4 2 3" xfId="3855" xr:uid="{00000000-0005-0000-0000-00008B6E0000}"/>
    <cellStyle name="40 % - Markeringsfarve4 2 3 10" xfId="5864" xr:uid="{00000000-0005-0000-0000-00008C6E0000}"/>
    <cellStyle name="40 % - Markeringsfarve4 2 3 10 2" xfId="13783" xr:uid="{00000000-0005-0000-0000-00008D6E0000}"/>
    <cellStyle name="40 % - Markeringsfarve4 2 3 10 2 2" xfId="30098" xr:uid="{00000000-0005-0000-0000-00008E6E0000}"/>
    <cellStyle name="40 % - Markeringsfarve4 2 3 10 2 3" xfId="45062" xr:uid="{00000000-0005-0000-0000-00008F6E0000}"/>
    <cellStyle name="40 % - Markeringsfarve4 2 3 10 3" xfId="23076" xr:uid="{00000000-0005-0000-0000-0000906E0000}"/>
    <cellStyle name="40 % - Markeringsfarve4 2 3 10 4" xfId="38063" xr:uid="{00000000-0005-0000-0000-0000916E0000}"/>
    <cellStyle name="40 % - Markeringsfarve4 2 3 11" xfId="12415" xr:uid="{00000000-0005-0000-0000-0000926E0000}"/>
    <cellStyle name="40 % - Markeringsfarve4 2 3 11 2" xfId="28735" xr:uid="{00000000-0005-0000-0000-0000936E0000}"/>
    <cellStyle name="40 % - Markeringsfarve4 2 3 11 3" xfId="43700" xr:uid="{00000000-0005-0000-0000-0000946E0000}"/>
    <cellStyle name="40 % - Markeringsfarve4 2 3 12" xfId="21713" xr:uid="{00000000-0005-0000-0000-0000956E0000}"/>
    <cellStyle name="40 % - Markeringsfarve4 2 3 13" xfId="36701" xr:uid="{00000000-0005-0000-0000-0000966E0000}"/>
    <cellStyle name="40 % - Markeringsfarve4 2 3 14" xfId="53329" xr:uid="{00000000-0005-0000-0000-0000976E0000}"/>
    <cellStyle name="40 % - Markeringsfarve4 2 3 2" xfId="3856" xr:uid="{00000000-0005-0000-0000-0000986E0000}"/>
    <cellStyle name="40 % - Markeringsfarve4 2 3 2 2" xfId="3857" xr:uid="{00000000-0005-0000-0000-0000996E0000}"/>
    <cellStyle name="40 % - Markeringsfarve4 2 3 2 2 2" xfId="3858" xr:uid="{00000000-0005-0000-0000-00009A6E0000}"/>
    <cellStyle name="40 % - Markeringsfarve4 2 3 2 2 2 2" xfId="7658" xr:uid="{00000000-0005-0000-0000-00009B6E0000}"/>
    <cellStyle name="40 % - Markeringsfarve4 2 3 2 2 2 2 2" xfId="15560" xr:uid="{00000000-0005-0000-0000-00009C6E0000}"/>
    <cellStyle name="40 % - Markeringsfarve4 2 3 2 2 2 2 2 2" xfId="31875" xr:uid="{00000000-0005-0000-0000-00009D6E0000}"/>
    <cellStyle name="40 % - Markeringsfarve4 2 3 2 2 2 2 2 3" xfId="46839" xr:uid="{00000000-0005-0000-0000-00009E6E0000}"/>
    <cellStyle name="40 % - Markeringsfarve4 2 3 2 2 2 2 3" xfId="24853" xr:uid="{00000000-0005-0000-0000-00009F6E0000}"/>
    <cellStyle name="40 % - Markeringsfarve4 2 3 2 2 2 2 4" xfId="39840" xr:uid="{00000000-0005-0000-0000-0000A06E0000}"/>
    <cellStyle name="40 % - Markeringsfarve4 2 3 2 2 2 3" xfId="12418" xr:uid="{00000000-0005-0000-0000-0000A16E0000}"/>
    <cellStyle name="40 % - Markeringsfarve4 2 3 2 2 2 3 2" xfId="28738" xr:uid="{00000000-0005-0000-0000-0000A26E0000}"/>
    <cellStyle name="40 % - Markeringsfarve4 2 3 2 2 2 3 3" xfId="43703" xr:uid="{00000000-0005-0000-0000-0000A36E0000}"/>
    <cellStyle name="40 % - Markeringsfarve4 2 3 2 2 2 4" xfId="21716" xr:uid="{00000000-0005-0000-0000-0000A46E0000}"/>
    <cellStyle name="40 % - Markeringsfarve4 2 3 2 2 2 5" xfId="36704" xr:uid="{00000000-0005-0000-0000-0000A56E0000}"/>
    <cellStyle name="40 % - Markeringsfarve4 2 3 2 2 3" xfId="6224" xr:uid="{00000000-0005-0000-0000-0000A66E0000}"/>
    <cellStyle name="40 % - Markeringsfarve4 2 3 2 2 3 2" xfId="14142" xr:uid="{00000000-0005-0000-0000-0000A76E0000}"/>
    <cellStyle name="40 % - Markeringsfarve4 2 3 2 2 3 2 2" xfId="30457" xr:uid="{00000000-0005-0000-0000-0000A86E0000}"/>
    <cellStyle name="40 % - Markeringsfarve4 2 3 2 2 3 2 3" xfId="45421" xr:uid="{00000000-0005-0000-0000-0000A96E0000}"/>
    <cellStyle name="40 % - Markeringsfarve4 2 3 2 2 3 3" xfId="23435" xr:uid="{00000000-0005-0000-0000-0000AA6E0000}"/>
    <cellStyle name="40 % - Markeringsfarve4 2 3 2 2 3 4" xfId="38422" xr:uid="{00000000-0005-0000-0000-0000AB6E0000}"/>
    <cellStyle name="40 % - Markeringsfarve4 2 3 2 2 4" xfId="12417" xr:uid="{00000000-0005-0000-0000-0000AC6E0000}"/>
    <cellStyle name="40 % - Markeringsfarve4 2 3 2 2 4 2" xfId="28737" xr:uid="{00000000-0005-0000-0000-0000AD6E0000}"/>
    <cellStyle name="40 % - Markeringsfarve4 2 3 2 2 4 3" xfId="43702" xr:uid="{00000000-0005-0000-0000-0000AE6E0000}"/>
    <cellStyle name="40 % - Markeringsfarve4 2 3 2 2 5" xfId="21715" xr:uid="{00000000-0005-0000-0000-0000AF6E0000}"/>
    <cellStyle name="40 % - Markeringsfarve4 2 3 2 2 6" xfId="36703" xr:uid="{00000000-0005-0000-0000-0000B06E0000}"/>
    <cellStyle name="40 % - Markeringsfarve4 2 3 2 2 7" xfId="57133" xr:uid="{00000000-0005-0000-0000-0000B16E0000}"/>
    <cellStyle name="40 % - Markeringsfarve4 2 3 2 3" xfId="3859" xr:uid="{00000000-0005-0000-0000-0000B26E0000}"/>
    <cellStyle name="40 % - Markeringsfarve4 2 3 2 3 2" xfId="6888" xr:uid="{00000000-0005-0000-0000-0000B36E0000}"/>
    <cellStyle name="40 % - Markeringsfarve4 2 3 2 3 2 2" xfId="14800" xr:uid="{00000000-0005-0000-0000-0000B46E0000}"/>
    <cellStyle name="40 % - Markeringsfarve4 2 3 2 3 2 2 2" xfId="31115" xr:uid="{00000000-0005-0000-0000-0000B56E0000}"/>
    <cellStyle name="40 % - Markeringsfarve4 2 3 2 3 2 2 3" xfId="46079" xr:uid="{00000000-0005-0000-0000-0000B66E0000}"/>
    <cellStyle name="40 % - Markeringsfarve4 2 3 2 3 2 3" xfId="24093" xr:uid="{00000000-0005-0000-0000-0000B76E0000}"/>
    <cellStyle name="40 % - Markeringsfarve4 2 3 2 3 2 4" xfId="39080" xr:uid="{00000000-0005-0000-0000-0000B86E0000}"/>
    <cellStyle name="40 % - Markeringsfarve4 2 3 2 3 3" xfId="12419" xr:uid="{00000000-0005-0000-0000-0000B96E0000}"/>
    <cellStyle name="40 % - Markeringsfarve4 2 3 2 3 3 2" xfId="28739" xr:uid="{00000000-0005-0000-0000-0000BA6E0000}"/>
    <cellStyle name="40 % - Markeringsfarve4 2 3 2 3 3 3" xfId="43704" xr:uid="{00000000-0005-0000-0000-0000BB6E0000}"/>
    <cellStyle name="40 % - Markeringsfarve4 2 3 2 3 4" xfId="21717" xr:uid="{00000000-0005-0000-0000-0000BC6E0000}"/>
    <cellStyle name="40 % - Markeringsfarve4 2 3 2 3 5" xfId="36705" xr:uid="{00000000-0005-0000-0000-0000BD6E0000}"/>
    <cellStyle name="40 % - Markeringsfarve4 2 3 2 4" xfId="3860" xr:uid="{00000000-0005-0000-0000-0000BE6E0000}"/>
    <cellStyle name="40 % - Markeringsfarve4 2 3 2 4 2" xfId="8428" xr:uid="{00000000-0005-0000-0000-0000BF6E0000}"/>
    <cellStyle name="40 % - Markeringsfarve4 2 3 2 4 2 2" xfId="16318" xr:uid="{00000000-0005-0000-0000-0000C06E0000}"/>
    <cellStyle name="40 % - Markeringsfarve4 2 3 2 4 2 2 2" xfId="32633" xr:uid="{00000000-0005-0000-0000-0000C16E0000}"/>
    <cellStyle name="40 % - Markeringsfarve4 2 3 2 4 2 2 3" xfId="47597" xr:uid="{00000000-0005-0000-0000-0000C26E0000}"/>
    <cellStyle name="40 % - Markeringsfarve4 2 3 2 4 2 3" xfId="25611" xr:uid="{00000000-0005-0000-0000-0000C36E0000}"/>
    <cellStyle name="40 % - Markeringsfarve4 2 3 2 4 2 4" xfId="40598" xr:uid="{00000000-0005-0000-0000-0000C46E0000}"/>
    <cellStyle name="40 % - Markeringsfarve4 2 3 2 4 3" xfId="12420" xr:uid="{00000000-0005-0000-0000-0000C56E0000}"/>
    <cellStyle name="40 % - Markeringsfarve4 2 3 2 4 3 2" xfId="28740" xr:uid="{00000000-0005-0000-0000-0000C66E0000}"/>
    <cellStyle name="40 % - Markeringsfarve4 2 3 2 4 3 3" xfId="43705" xr:uid="{00000000-0005-0000-0000-0000C76E0000}"/>
    <cellStyle name="40 % - Markeringsfarve4 2 3 2 4 4" xfId="21718" xr:uid="{00000000-0005-0000-0000-0000C86E0000}"/>
    <cellStyle name="40 % - Markeringsfarve4 2 3 2 4 5" xfId="36706" xr:uid="{00000000-0005-0000-0000-0000C96E0000}"/>
    <cellStyle name="40 % - Markeringsfarve4 2 3 2 5" xfId="5865" xr:uid="{00000000-0005-0000-0000-0000CA6E0000}"/>
    <cellStyle name="40 % - Markeringsfarve4 2 3 2 5 2" xfId="13784" xr:uid="{00000000-0005-0000-0000-0000CB6E0000}"/>
    <cellStyle name="40 % - Markeringsfarve4 2 3 2 5 2 2" xfId="30099" xr:uid="{00000000-0005-0000-0000-0000CC6E0000}"/>
    <cellStyle name="40 % - Markeringsfarve4 2 3 2 5 2 3" xfId="45063" xr:uid="{00000000-0005-0000-0000-0000CD6E0000}"/>
    <cellStyle name="40 % - Markeringsfarve4 2 3 2 5 3" xfId="23077" xr:uid="{00000000-0005-0000-0000-0000CE6E0000}"/>
    <cellStyle name="40 % - Markeringsfarve4 2 3 2 5 4" xfId="38064" xr:uid="{00000000-0005-0000-0000-0000CF6E0000}"/>
    <cellStyle name="40 % - Markeringsfarve4 2 3 2 6" xfId="12416" xr:uid="{00000000-0005-0000-0000-0000D06E0000}"/>
    <cellStyle name="40 % - Markeringsfarve4 2 3 2 6 2" xfId="28736" xr:uid="{00000000-0005-0000-0000-0000D16E0000}"/>
    <cellStyle name="40 % - Markeringsfarve4 2 3 2 6 3" xfId="43701" xr:uid="{00000000-0005-0000-0000-0000D26E0000}"/>
    <cellStyle name="40 % - Markeringsfarve4 2 3 2 7" xfId="21714" xr:uid="{00000000-0005-0000-0000-0000D36E0000}"/>
    <cellStyle name="40 % - Markeringsfarve4 2 3 2 8" xfId="36702" xr:uid="{00000000-0005-0000-0000-0000D46E0000}"/>
    <cellStyle name="40 % - Markeringsfarve4 2 3 2 9" xfId="53966" xr:uid="{00000000-0005-0000-0000-0000D56E0000}"/>
    <cellStyle name="40 % - Markeringsfarve4 2 3 3" xfId="3861" xr:uid="{00000000-0005-0000-0000-0000D66E0000}"/>
    <cellStyle name="40 % - Markeringsfarve4 2 3 3 2" xfId="3862" xr:uid="{00000000-0005-0000-0000-0000D76E0000}"/>
    <cellStyle name="40 % - Markeringsfarve4 2 3 3 2 2" xfId="3863" xr:uid="{00000000-0005-0000-0000-0000D86E0000}"/>
    <cellStyle name="40 % - Markeringsfarve4 2 3 3 2 2 2" xfId="7749" xr:uid="{00000000-0005-0000-0000-0000D96E0000}"/>
    <cellStyle name="40 % - Markeringsfarve4 2 3 3 2 2 2 2" xfId="15651" xr:uid="{00000000-0005-0000-0000-0000DA6E0000}"/>
    <cellStyle name="40 % - Markeringsfarve4 2 3 3 2 2 2 2 2" xfId="31966" xr:uid="{00000000-0005-0000-0000-0000DB6E0000}"/>
    <cellStyle name="40 % - Markeringsfarve4 2 3 3 2 2 2 2 3" xfId="46930" xr:uid="{00000000-0005-0000-0000-0000DC6E0000}"/>
    <cellStyle name="40 % - Markeringsfarve4 2 3 3 2 2 2 3" xfId="24944" xr:uid="{00000000-0005-0000-0000-0000DD6E0000}"/>
    <cellStyle name="40 % - Markeringsfarve4 2 3 3 2 2 2 4" xfId="39931" xr:uid="{00000000-0005-0000-0000-0000DE6E0000}"/>
    <cellStyle name="40 % - Markeringsfarve4 2 3 3 2 2 3" xfId="12423" xr:uid="{00000000-0005-0000-0000-0000DF6E0000}"/>
    <cellStyle name="40 % - Markeringsfarve4 2 3 3 2 2 3 2" xfId="28743" xr:uid="{00000000-0005-0000-0000-0000E06E0000}"/>
    <cellStyle name="40 % - Markeringsfarve4 2 3 3 2 2 3 3" xfId="43708" xr:uid="{00000000-0005-0000-0000-0000E16E0000}"/>
    <cellStyle name="40 % - Markeringsfarve4 2 3 3 2 2 4" xfId="21721" xr:uid="{00000000-0005-0000-0000-0000E26E0000}"/>
    <cellStyle name="40 % - Markeringsfarve4 2 3 3 2 2 5" xfId="36709" xr:uid="{00000000-0005-0000-0000-0000E36E0000}"/>
    <cellStyle name="40 % - Markeringsfarve4 2 3 3 2 3" xfId="6295" xr:uid="{00000000-0005-0000-0000-0000E46E0000}"/>
    <cellStyle name="40 % - Markeringsfarve4 2 3 3 2 3 2" xfId="14213" xr:uid="{00000000-0005-0000-0000-0000E56E0000}"/>
    <cellStyle name="40 % - Markeringsfarve4 2 3 3 2 3 2 2" xfId="30528" xr:uid="{00000000-0005-0000-0000-0000E66E0000}"/>
    <cellStyle name="40 % - Markeringsfarve4 2 3 3 2 3 2 3" xfId="45492" xr:uid="{00000000-0005-0000-0000-0000E76E0000}"/>
    <cellStyle name="40 % - Markeringsfarve4 2 3 3 2 3 3" xfId="23506" xr:uid="{00000000-0005-0000-0000-0000E86E0000}"/>
    <cellStyle name="40 % - Markeringsfarve4 2 3 3 2 3 4" xfId="38493" xr:uid="{00000000-0005-0000-0000-0000E96E0000}"/>
    <cellStyle name="40 % - Markeringsfarve4 2 3 3 2 4" xfId="12422" xr:uid="{00000000-0005-0000-0000-0000EA6E0000}"/>
    <cellStyle name="40 % - Markeringsfarve4 2 3 3 2 4 2" xfId="28742" xr:uid="{00000000-0005-0000-0000-0000EB6E0000}"/>
    <cellStyle name="40 % - Markeringsfarve4 2 3 3 2 4 3" xfId="43707" xr:uid="{00000000-0005-0000-0000-0000EC6E0000}"/>
    <cellStyle name="40 % - Markeringsfarve4 2 3 3 2 5" xfId="21720" xr:uid="{00000000-0005-0000-0000-0000ED6E0000}"/>
    <cellStyle name="40 % - Markeringsfarve4 2 3 3 2 6" xfId="36708" xr:uid="{00000000-0005-0000-0000-0000EE6E0000}"/>
    <cellStyle name="40 % - Markeringsfarve4 2 3 3 3" xfId="3864" xr:uid="{00000000-0005-0000-0000-0000EF6E0000}"/>
    <cellStyle name="40 % - Markeringsfarve4 2 3 3 3 2" xfId="6979" xr:uid="{00000000-0005-0000-0000-0000F06E0000}"/>
    <cellStyle name="40 % - Markeringsfarve4 2 3 3 3 2 2" xfId="14891" xr:uid="{00000000-0005-0000-0000-0000F16E0000}"/>
    <cellStyle name="40 % - Markeringsfarve4 2 3 3 3 2 2 2" xfId="31206" xr:uid="{00000000-0005-0000-0000-0000F26E0000}"/>
    <cellStyle name="40 % - Markeringsfarve4 2 3 3 3 2 2 3" xfId="46170" xr:uid="{00000000-0005-0000-0000-0000F36E0000}"/>
    <cellStyle name="40 % - Markeringsfarve4 2 3 3 3 2 3" xfId="24184" xr:uid="{00000000-0005-0000-0000-0000F46E0000}"/>
    <cellStyle name="40 % - Markeringsfarve4 2 3 3 3 2 4" xfId="39171" xr:uid="{00000000-0005-0000-0000-0000F56E0000}"/>
    <cellStyle name="40 % - Markeringsfarve4 2 3 3 3 3" xfId="12424" xr:uid="{00000000-0005-0000-0000-0000F66E0000}"/>
    <cellStyle name="40 % - Markeringsfarve4 2 3 3 3 3 2" xfId="28744" xr:uid="{00000000-0005-0000-0000-0000F76E0000}"/>
    <cellStyle name="40 % - Markeringsfarve4 2 3 3 3 3 3" xfId="43709" xr:uid="{00000000-0005-0000-0000-0000F86E0000}"/>
    <cellStyle name="40 % - Markeringsfarve4 2 3 3 3 4" xfId="21722" xr:uid="{00000000-0005-0000-0000-0000F96E0000}"/>
    <cellStyle name="40 % - Markeringsfarve4 2 3 3 3 5" xfId="36710" xr:uid="{00000000-0005-0000-0000-0000FA6E0000}"/>
    <cellStyle name="40 % - Markeringsfarve4 2 3 3 4" xfId="3865" xr:uid="{00000000-0005-0000-0000-0000FB6E0000}"/>
    <cellStyle name="40 % - Markeringsfarve4 2 3 3 4 2" xfId="8658" xr:uid="{00000000-0005-0000-0000-0000FC6E0000}"/>
    <cellStyle name="40 % - Markeringsfarve4 2 3 3 4 2 2" xfId="16539" xr:uid="{00000000-0005-0000-0000-0000FD6E0000}"/>
    <cellStyle name="40 % - Markeringsfarve4 2 3 3 4 2 2 2" xfId="32854" xr:uid="{00000000-0005-0000-0000-0000FE6E0000}"/>
    <cellStyle name="40 % - Markeringsfarve4 2 3 3 4 2 2 3" xfId="47818" xr:uid="{00000000-0005-0000-0000-0000FF6E0000}"/>
    <cellStyle name="40 % - Markeringsfarve4 2 3 3 4 2 3" xfId="25832" xr:uid="{00000000-0005-0000-0000-0000006F0000}"/>
    <cellStyle name="40 % - Markeringsfarve4 2 3 3 4 2 4" xfId="40819" xr:uid="{00000000-0005-0000-0000-0000016F0000}"/>
    <cellStyle name="40 % - Markeringsfarve4 2 3 3 4 3" xfId="12425" xr:uid="{00000000-0005-0000-0000-0000026F0000}"/>
    <cellStyle name="40 % - Markeringsfarve4 2 3 3 4 3 2" xfId="28745" xr:uid="{00000000-0005-0000-0000-0000036F0000}"/>
    <cellStyle name="40 % - Markeringsfarve4 2 3 3 4 3 3" xfId="43710" xr:uid="{00000000-0005-0000-0000-0000046F0000}"/>
    <cellStyle name="40 % - Markeringsfarve4 2 3 3 4 4" xfId="21723" xr:uid="{00000000-0005-0000-0000-0000056F0000}"/>
    <cellStyle name="40 % - Markeringsfarve4 2 3 3 4 5" xfId="36711" xr:uid="{00000000-0005-0000-0000-0000066F0000}"/>
    <cellStyle name="40 % - Markeringsfarve4 2 3 3 5" xfId="5866" xr:uid="{00000000-0005-0000-0000-0000076F0000}"/>
    <cellStyle name="40 % - Markeringsfarve4 2 3 3 5 2" xfId="13785" xr:uid="{00000000-0005-0000-0000-0000086F0000}"/>
    <cellStyle name="40 % - Markeringsfarve4 2 3 3 5 2 2" xfId="30100" xr:uid="{00000000-0005-0000-0000-0000096F0000}"/>
    <cellStyle name="40 % - Markeringsfarve4 2 3 3 5 2 3" xfId="45064" xr:uid="{00000000-0005-0000-0000-00000A6F0000}"/>
    <cellStyle name="40 % - Markeringsfarve4 2 3 3 5 3" xfId="23078" xr:uid="{00000000-0005-0000-0000-00000B6F0000}"/>
    <cellStyle name="40 % - Markeringsfarve4 2 3 3 5 4" xfId="38065" xr:uid="{00000000-0005-0000-0000-00000C6F0000}"/>
    <cellStyle name="40 % - Markeringsfarve4 2 3 3 6" xfId="12421" xr:uid="{00000000-0005-0000-0000-00000D6F0000}"/>
    <cellStyle name="40 % - Markeringsfarve4 2 3 3 6 2" xfId="28741" xr:uid="{00000000-0005-0000-0000-00000E6F0000}"/>
    <cellStyle name="40 % - Markeringsfarve4 2 3 3 6 3" xfId="43706" xr:uid="{00000000-0005-0000-0000-00000F6F0000}"/>
    <cellStyle name="40 % - Markeringsfarve4 2 3 3 7" xfId="21719" xr:uid="{00000000-0005-0000-0000-0000106F0000}"/>
    <cellStyle name="40 % - Markeringsfarve4 2 3 3 8" xfId="36707" xr:uid="{00000000-0005-0000-0000-0000116F0000}"/>
    <cellStyle name="40 % - Markeringsfarve4 2 3 3 9" xfId="56510" xr:uid="{00000000-0005-0000-0000-0000126F0000}"/>
    <cellStyle name="40 % - Markeringsfarve4 2 3 4" xfId="3866" xr:uid="{00000000-0005-0000-0000-0000136F0000}"/>
    <cellStyle name="40 % - Markeringsfarve4 2 3 4 2" xfId="3867" xr:uid="{00000000-0005-0000-0000-0000146F0000}"/>
    <cellStyle name="40 % - Markeringsfarve4 2 3 4 2 2" xfId="3868" xr:uid="{00000000-0005-0000-0000-0000156F0000}"/>
    <cellStyle name="40 % - Markeringsfarve4 2 3 4 2 2 2" xfId="7896" xr:uid="{00000000-0005-0000-0000-0000166F0000}"/>
    <cellStyle name="40 % - Markeringsfarve4 2 3 4 2 2 2 2" xfId="15798" xr:uid="{00000000-0005-0000-0000-0000176F0000}"/>
    <cellStyle name="40 % - Markeringsfarve4 2 3 4 2 2 2 2 2" xfId="32113" xr:uid="{00000000-0005-0000-0000-0000186F0000}"/>
    <cellStyle name="40 % - Markeringsfarve4 2 3 4 2 2 2 2 3" xfId="47077" xr:uid="{00000000-0005-0000-0000-0000196F0000}"/>
    <cellStyle name="40 % - Markeringsfarve4 2 3 4 2 2 2 3" xfId="25091" xr:uid="{00000000-0005-0000-0000-00001A6F0000}"/>
    <cellStyle name="40 % - Markeringsfarve4 2 3 4 2 2 2 4" xfId="40078" xr:uid="{00000000-0005-0000-0000-00001B6F0000}"/>
    <cellStyle name="40 % - Markeringsfarve4 2 3 4 2 2 3" xfId="12428" xr:uid="{00000000-0005-0000-0000-00001C6F0000}"/>
    <cellStyle name="40 % - Markeringsfarve4 2 3 4 2 2 3 2" xfId="28748" xr:uid="{00000000-0005-0000-0000-00001D6F0000}"/>
    <cellStyle name="40 % - Markeringsfarve4 2 3 4 2 2 3 3" xfId="43713" xr:uid="{00000000-0005-0000-0000-00001E6F0000}"/>
    <cellStyle name="40 % - Markeringsfarve4 2 3 4 2 2 4" xfId="21726" xr:uid="{00000000-0005-0000-0000-00001F6F0000}"/>
    <cellStyle name="40 % - Markeringsfarve4 2 3 4 2 2 5" xfId="36714" xr:uid="{00000000-0005-0000-0000-0000206F0000}"/>
    <cellStyle name="40 % - Markeringsfarve4 2 3 4 2 3" xfId="6426" xr:uid="{00000000-0005-0000-0000-0000216F0000}"/>
    <cellStyle name="40 % - Markeringsfarve4 2 3 4 2 3 2" xfId="14341" xr:uid="{00000000-0005-0000-0000-0000226F0000}"/>
    <cellStyle name="40 % - Markeringsfarve4 2 3 4 2 3 2 2" xfId="30656" xr:uid="{00000000-0005-0000-0000-0000236F0000}"/>
    <cellStyle name="40 % - Markeringsfarve4 2 3 4 2 3 2 3" xfId="45620" xr:uid="{00000000-0005-0000-0000-0000246F0000}"/>
    <cellStyle name="40 % - Markeringsfarve4 2 3 4 2 3 3" xfId="23634" xr:uid="{00000000-0005-0000-0000-0000256F0000}"/>
    <cellStyle name="40 % - Markeringsfarve4 2 3 4 2 3 4" xfId="38621" xr:uid="{00000000-0005-0000-0000-0000266F0000}"/>
    <cellStyle name="40 % - Markeringsfarve4 2 3 4 2 4" xfId="12427" xr:uid="{00000000-0005-0000-0000-0000276F0000}"/>
    <cellStyle name="40 % - Markeringsfarve4 2 3 4 2 4 2" xfId="28747" xr:uid="{00000000-0005-0000-0000-0000286F0000}"/>
    <cellStyle name="40 % - Markeringsfarve4 2 3 4 2 4 3" xfId="43712" xr:uid="{00000000-0005-0000-0000-0000296F0000}"/>
    <cellStyle name="40 % - Markeringsfarve4 2 3 4 2 5" xfId="21725" xr:uid="{00000000-0005-0000-0000-00002A6F0000}"/>
    <cellStyle name="40 % - Markeringsfarve4 2 3 4 2 6" xfId="36713" xr:uid="{00000000-0005-0000-0000-00002B6F0000}"/>
    <cellStyle name="40 % - Markeringsfarve4 2 3 4 3" xfId="3869" xr:uid="{00000000-0005-0000-0000-00002C6F0000}"/>
    <cellStyle name="40 % - Markeringsfarve4 2 3 4 3 2" xfId="7172" xr:uid="{00000000-0005-0000-0000-00002D6F0000}"/>
    <cellStyle name="40 % - Markeringsfarve4 2 3 4 3 2 2" xfId="15083" xr:uid="{00000000-0005-0000-0000-00002E6F0000}"/>
    <cellStyle name="40 % - Markeringsfarve4 2 3 4 3 2 2 2" xfId="31398" xr:uid="{00000000-0005-0000-0000-00002F6F0000}"/>
    <cellStyle name="40 % - Markeringsfarve4 2 3 4 3 2 2 3" xfId="46362" xr:uid="{00000000-0005-0000-0000-0000306F0000}"/>
    <cellStyle name="40 % - Markeringsfarve4 2 3 4 3 2 3" xfId="24376" xr:uid="{00000000-0005-0000-0000-0000316F0000}"/>
    <cellStyle name="40 % - Markeringsfarve4 2 3 4 3 2 4" xfId="39363" xr:uid="{00000000-0005-0000-0000-0000326F0000}"/>
    <cellStyle name="40 % - Markeringsfarve4 2 3 4 3 3" xfId="12429" xr:uid="{00000000-0005-0000-0000-0000336F0000}"/>
    <cellStyle name="40 % - Markeringsfarve4 2 3 4 3 3 2" xfId="28749" xr:uid="{00000000-0005-0000-0000-0000346F0000}"/>
    <cellStyle name="40 % - Markeringsfarve4 2 3 4 3 3 3" xfId="43714" xr:uid="{00000000-0005-0000-0000-0000356F0000}"/>
    <cellStyle name="40 % - Markeringsfarve4 2 3 4 3 4" xfId="21727" xr:uid="{00000000-0005-0000-0000-0000366F0000}"/>
    <cellStyle name="40 % - Markeringsfarve4 2 3 4 3 5" xfId="36715" xr:uid="{00000000-0005-0000-0000-0000376F0000}"/>
    <cellStyle name="40 % - Markeringsfarve4 2 3 4 4" xfId="3870" xr:uid="{00000000-0005-0000-0000-0000386F0000}"/>
    <cellStyle name="40 % - Markeringsfarve4 2 3 4 4 2" xfId="8383" xr:uid="{00000000-0005-0000-0000-0000396F0000}"/>
    <cellStyle name="40 % - Markeringsfarve4 2 3 4 4 2 2" xfId="16276" xr:uid="{00000000-0005-0000-0000-00003A6F0000}"/>
    <cellStyle name="40 % - Markeringsfarve4 2 3 4 4 2 2 2" xfId="32591" xr:uid="{00000000-0005-0000-0000-00003B6F0000}"/>
    <cellStyle name="40 % - Markeringsfarve4 2 3 4 4 2 2 3" xfId="47555" xr:uid="{00000000-0005-0000-0000-00003C6F0000}"/>
    <cellStyle name="40 % - Markeringsfarve4 2 3 4 4 2 3" xfId="25569" xr:uid="{00000000-0005-0000-0000-00003D6F0000}"/>
    <cellStyle name="40 % - Markeringsfarve4 2 3 4 4 2 4" xfId="40556" xr:uid="{00000000-0005-0000-0000-00003E6F0000}"/>
    <cellStyle name="40 % - Markeringsfarve4 2 3 4 4 3" xfId="12430" xr:uid="{00000000-0005-0000-0000-00003F6F0000}"/>
    <cellStyle name="40 % - Markeringsfarve4 2 3 4 4 3 2" xfId="28750" xr:uid="{00000000-0005-0000-0000-0000406F0000}"/>
    <cellStyle name="40 % - Markeringsfarve4 2 3 4 4 3 3" xfId="43715" xr:uid="{00000000-0005-0000-0000-0000416F0000}"/>
    <cellStyle name="40 % - Markeringsfarve4 2 3 4 4 4" xfId="21728" xr:uid="{00000000-0005-0000-0000-0000426F0000}"/>
    <cellStyle name="40 % - Markeringsfarve4 2 3 4 4 5" xfId="36716" xr:uid="{00000000-0005-0000-0000-0000436F0000}"/>
    <cellStyle name="40 % - Markeringsfarve4 2 3 4 5" xfId="5867" xr:uid="{00000000-0005-0000-0000-0000446F0000}"/>
    <cellStyle name="40 % - Markeringsfarve4 2 3 4 5 2" xfId="13786" xr:uid="{00000000-0005-0000-0000-0000456F0000}"/>
    <cellStyle name="40 % - Markeringsfarve4 2 3 4 5 2 2" xfId="30101" xr:uid="{00000000-0005-0000-0000-0000466F0000}"/>
    <cellStyle name="40 % - Markeringsfarve4 2 3 4 5 2 3" xfId="45065" xr:uid="{00000000-0005-0000-0000-0000476F0000}"/>
    <cellStyle name="40 % - Markeringsfarve4 2 3 4 5 3" xfId="23079" xr:uid="{00000000-0005-0000-0000-0000486F0000}"/>
    <cellStyle name="40 % - Markeringsfarve4 2 3 4 5 4" xfId="38066" xr:uid="{00000000-0005-0000-0000-0000496F0000}"/>
    <cellStyle name="40 % - Markeringsfarve4 2 3 4 6" xfId="12426" xr:uid="{00000000-0005-0000-0000-00004A6F0000}"/>
    <cellStyle name="40 % - Markeringsfarve4 2 3 4 6 2" xfId="28746" xr:uid="{00000000-0005-0000-0000-00004B6F0000}"/>
    <cellStyle name="40 % - Markeringsfarve4 2 3 4 6 3" xfId="43711" xr:uid="{00000000-0005-0000-0000-00004C6F0000}"/>
    <cellStyle name="40 % - Markeringsfarve4 2 3 4 7" xfId="21724" xr:uid="{00000000-0005-0000-0000-00004D6F0000}"/>
    <cellStyle name="40 % - Markeringsfarve4 2 3 4 8" xfId="36712" xr:uid="{00000000-0005-0000-0000-00004E6F0000}"/>
    <cellStyle name="40 % - Markeringsfarve4 2 3 5" xfId="3871" xr:uid="{00000000-0005-0000-0000-00004F6F0000}"/>
    <cellStyle name="40 % - Markeringsfarve4 2 3 5 2" xfId="3872" xr:uid="{00000000-0005-0000-0000-0000506F0000}"/>
    <cellStyle name="40 % - Markeringsfarve4 2 3 5 2 2" xfId="3873" xr:uid="{00000000-0005-0000-0000-0000516F0000}"/>
    <cellStyle name="40 % - Markeringsfarve4 2 3 5 2 2 2" xfId="8013" xr:uid="{00000000-0005-0000-0000-0000526F0000}"/>
    <cellStyle name="40 % - Markeringsfarve4 2 3 5 2 2 2 2" xfId="15915" xr:uid="{00000000-0005-0000-0000-0000536F0000}"/>
    <cellStyle name="40 % - Markeringsfarve4 2 3 5 2 2 2 2 2" xfId="32230" xr:uid="{00000000-0005-0000-0000-0000546F0000}"/>
    <cellStyle name="40 % - Markeringsfarve4 2 3 5 2 2 2 2 3" xfId="47194" xr:uid="{00000000-0005-0000-0000-0000556F0000}"/>
    <cellStyle name="40 % - Markeringsfarve4 2 3 5 2 2 2 3" xfId="25208" xr:uid="{00000000-0005-0000-0000-0000566F0000}"/>
    <cellStyle name="40 % - Markeringsfarve4 2 3 5 2 2 2 4" xfId="40195" xr:uid="{00000000-0005-0000-0000-0000576F0000}"/>
    <cellStyle name="40 % - Markeringsfarve4 2 3 5 2 2 3" xfId="12433" xr:uid="{00000000-0005-0000-0000-0000586F0000}"/>
    <cellStyle name="40 % - Markeringsfarve4 2 3 5 2 2 3 2" xfId="28753" xr:uid="{00000000-0005-0000-0000-0000596F0000}"/>
    <cellStyle name="40 % - Markeringsfarve4 2 3 5 2 2 3 3" xfId="43718" xr:uid="{00000000-0005-0000-0000-00005A6F0000}"/>
    <cellStyle name="40 % - Markeringsfarve4 2 3 5 2 2 4" xfId="21731" xr:uid="{00000000-0005-0000-0000-00005B6F0000}"/>
    <cellStyle name="40 % - Markeringsfarve4 2 3 5 2 2 5" xfId="36719" xr:uid="{00000000-0005-0000-0000-00005C6F0000}"/>
    <cellStyle name="40 % - Markeringsfarve4 2 3 5 2 3" xfId="6525" xr:uid="{00000000-0005-0000-0000-00005D6F0000}"/>
    <cellStyle name="40 % - Markeringsfarve4 2 3 5 2 3 2" xfId="14440" xr:uid="{00000000-0005-0000-0000-00005E6F0000}"/>
    <cellStyle name="40 % - Markeringsfarve4 2 3 5 2 3 2 2" xfId="30755" xr:uid="{00000000-0005-0000-0000-00005F6F0000}"/>
    <cellStyle name="40 % - Markeringsfarve4 2 3 5 2 3 2 3" xfId="45719" xr:uid="{00000000-0005-0000-0000-0000606F0000}"/>
    <cellStyle name="40 % - Markeringsfarve4 2 3 5 2 3 3" xfId="23733" xr:uid="{00000000-0005-0000-0000-0000616F0000}"/>
    <cellStyle name="40 % - Markeringsfarve4 2 3 5 2 3 4" xfId="38720" xr:uid="{00000000-0005-0000-0000-0000626F0000}"/>
    <cellStyle name="40 % - Markeringsfarve4 2 3 5 2 4" xfId="12432" xr:uid="{00000000-0005-0000-0000-0000636F0000}"/>
    <cellStyle name="40 % - Markeringsfarve4 2 3 5 2 4 2" xfId="28752" xr:uid="{00000000-0005-0000-0000-0000646F0000}"/>
    <cellStyle name="40 % - Markeringsfarve4 2 3 5 2 4 3" xfId="43717" xr:uid="{00000000-0005-0000-0000-0000656F0000}"/>
    <cellStyle name="40 % - Markeringsfarve4 2 3 5 2 5" xfId="21730" xr:uid="{00000000-0005-0000-0000-0000666F0000}"/>
    <cellStyle name="40 % - Markeringsfarve4 2 3 5 2 6" xfId="36718" xr:uid="{00000000-0005-0000-0000-0000676F0000}"/>
    <cellStyle name="40 % - Markeringsfarve4 2 3 5 3" xfId="3874" xr:uid="{00000000-0005-0000-0000-0000686F0000}"/>
    <cellStyle name="40 % - Markeringsfarve4 2 3 5 3 2" xfId="7289" xr:uid="{00000000-0005-0000-0000-0000696F0000}"/>
    <cellStyle name="40 % - Markeringsfarve4 2 3 5 3 2 2" xfId="15200" xr:uid="{00000000-0005-0000-0000-00006A6F0000}"/>
    <cellStyle name="40 % - Markeringsfarve4 2 3 5 3 2 2 2" xfId="31515" xr:uid="{00000000-0005-0000-0000-00006B6F0000}"/>
    <cellStyle name="40 % - Markeringsfarve4 2 3 5 3 2 2 3" xfId="46479" xr:uid="{00000000-0005-0000-0000-00006C6F0000}"/>
    <cellStyle name="40 % - Markeringsfarve4 2 3 5 3 2 3" xfId="24493" xr:uid="{00000000-0005-0000-0000-00006D6F0000}"/>
    <cellStyle name="40 % - Markeringsfarve4 2 3 5 3 2 4" xfId="39480" xr:uid="{00000000-0005-0000-0000-00006E6F0000}"/>
    <cellStyle name="40 % - Markeringsfarve4 2 3 5 3 3" xfId="12434" xr:uid="{00000000-0005-0000-0000-00006F6F0000}"/>
    <cellStyle name="40 % - Markeringsfarve4 2 3 5 3 3 2" xfId="28754" xr:uid="{00000000-0005-0000-0000-0000706F0000}"/>
    <cellStyle name="40 % - Markeringsfarve4 2 3 5 3 3 3" xfId="43719" xr:uid="{00000000-0005-0000-0000-0000716F0000}"/>
    <cellStyle name="40 % - Markeringsfarve4 2 3 5 3 4" xfId="21732" xr:uid="{00000000-0005-0000-0000-0000726F0000}"/>
    <cellStyle name="40 % - Markeringsfarve4 2 3 5 3 5" xfId="36720" xr:uid="{00000000-0005-0000-0000-0000736F0000}"/>
    <cellStyle name="40 % - Markeringsfarve4 2 3 5 4" xfId="3875" xr:uid="{00000000-0005-0000-0000-0000746F0000}"/>
    <cellStyle name="40 % - Markeringsfarve4 2 3 5 4 2" xfId="8618" xr:uid="{00000000-0005-0000-0000-0000756F0000}"/>
    <cellStyle name="40 % - Markeringsfarve4 2 3 5 4 2 2" xfId="16501" xr:uid="{00000000-0005-0000-0000-0000766F0000}"/>
    <cellStyle name="40 % - Markeringsfarve4 2 3 5 4 2 2 2" xfId="32816" xr:uid="{00000000-0005-0000-0000-0000776F0000}"/>
    <cellStyle name="40 % - Markeringsfarve4 2 3 5 4 2 2 3" xfId="47780" xr:uid="{00000000-0005-0000-0000-0000786F0000}"/>
    <cellStyle name="40 % - Markeringsfarve4 2 3 5 4 2 3" xfId="25794" xr:uid="{00000000-0005-0000-0000-0000796F0000}"/>
    <cellStyle name="40 % - Markeringsfarve4 2 3 5 4 2 4" xfId="40781" xr:uid="{00000000-0005-0000-0000-00007A6F0000}"/>
    <cellStyle name="40 % - Markeringsfarve4 2 3 5 4 3" xfId="12435" xr:uid="{00000000-0005-0000-0000-00007B6F0000}"/>
    <cellStyle name="40 % - Markeringsfarve4 2 3 5 4 3 2" xfId="28755" xr:uid="{00000000-0005-0000-0000-00007C6F0000}"/>
    <cellStyle name="40 % - Markeringsfarve4 2 3 5 4 3 3" xfId="43720" xr:uid="{00000000-0005-0000-0000-00007D6F0000}"/>
    <cellStyle name="40 % - Markeringsfarve4 2 3 5 4 4" xfId="21733" xr:uid="{00000000-0005-0000-0000-00007E6F0000}"/>
    <cellStyle name="40 % - Markeringsfarve4 2 3 5 4 5" xfId="36721" xr:uid="{00000000-0005-0000-0000-00007F6F0000}"/>
    <cellStyle name="40 % - Markeringsfarve4 2 3 5 5" xfId="5868" xr:uid="{00000000-0005-0000-0000-0000806F0000}"/>
    <cellStyle name="40 % - Markeringsfarve4 2 3 5 5 2" xfId="13787" xr:uid="{00000000-0005-0000-0000-0000816F0000}"/>
    <cellStyle name="40 % - Markeringsfarve4 2 3 5 5 2 2" xfId="30102" xr:uid="{00000000-0005-0000-0000-0000826F0000}"/>
    <cellStyle name="40 % - Markeringsfarve4 2 3 5 5 2 3" xfId="45066" xr:uid="{00000000-0005-0000-0000-0000836F0000}"/>
    <cellStyle name="40 % - Markeringsfarve4 2 3 5 5 3" xfId="23080" xr:uid="{00000000-0005-0000-0000-0000846F0000}"/>
    <cellStyle name="40 % - Markeringsfarve4 2 3 5 5 4" xfId="38067" xr:uid="{00000000-0005-0000-0000-0000856F0000}"/>
    <cellStyle name="40 % - Markeringsfarve4 2 3 5 6" xfId="12431" xr:uid="{00000000-0005-0000-0000-0000866F0000}"/>
    <cellStyle name="40 % - Markeringsfarve4 2 3 5 6 2" xfId="28751" xr:uid="{00000000-0005-0000-0000-0000876F0000}"/>
    <cellStyle name="40 % - Markeringsfarve4 2 3 5 6 3" xfId="43716" xr:uid="{00000000-0005-0000-0000-0000886F0000}"/>
    <cellStyle name="40 % - Markeringsfarve4 2 3 5 7" xfId="21729" xr:uid="{00000000-0005-0000-0000-0000896F0000}"/>
    <cellStyle name="40 % - Markeringsfarve4 2 3 5 8" xfId="36717" xr:uid="{00000000-0005-0000-0000-00008A6F0000}"/>
    <cellStyle name="40 % - Markeringsfarve4 2 3 6" xfId="3876" xr:uid="{00000000-0005-0000-0000-00008B6F0000}"/>
    <cellStyle name="40 % - Markeringsfarve4 2 3 6 2" xfId="3877" xr:uid="{00000000-0005-0000-0000-00008C6F0000}"/>
    <cellStyle name="40 % - Markeringsfarve4 2 3 6 2 2" xfId="3878" xr:uid="{00000000-0005-0000-0000-00008D6F0000}"/>
    <cellStyle name="40 % - Markeringsfarve4 2 3 6 2 2 2" xfId="8103" xr:uid="{00000000-0005-0000-0000-00008E6F0000}"/>
    <cellStyle name="40 % - Markeringsfarve4 2 3 6 2 2 2 2" xfId="16005" xr:uid="{00000000-0005-0000-0000-00008F6F0000}"/>
    <cellStyle name="40 % - Markeringsfarve4 2 3 6 2 2 2 2 2" xfId="32320" xr:uid="{00000000-0005-0000-0000-0000906F0000}"/>
    <cellStyle name="40 % - Markeringsfarve4 2 3 6 2 2 2 2 3" xfId="47284" xr:uid="{00000000-0005-0000-0000-0000916F0000}"/>
    <cellStyle name="40 % - Markeringsfarve4 2 3 6 2 2 2 3" xfId="25298" xr:uid="{00000000-0005-0000-0000-0000926F0000}"/>
    <cellStyle name="40 % - Markeringsfarve4 2 3 6 2 2 2 4" xfId="40285" xr:uid="{00000000-0005-0000-0000-0000936F0000}"/>
    <cellStyle name="40 % - Markeringsfarve4 2 3 6 2 2 3" xfId="12438" xr:uid="{00000000-0005-0000-0000-0000946F0000}"/>
    <cellStyle name="40 % - Markeringsfarve4 2 3 6 2 2 3 2" xfId="28758" xr:uid="{00000000-0005-0000-0000-0000956F0000}"/>
    <cellStyle name="40 % - Markeringsfarve4 2 3 6 2 2 3 3" xfId="43723" xr:uid="{00000000-0005-0000-0000-0000966F0000}"/>
    <cellStyle name="40 % - Markeringsfarve4 2 3 6 2 2 4" xfId="21736" xr:uid="{00000000-0005-0000-0000-0000976F0000}"/>
    <cellStyle name="40 % - Markeringsfarve4 2 3 6 2 2 5" xfId="36724" xr:uid="{00000000-0005-0000-0000-0000986F0000}"/>
    <cellStyle name="40 % - Markeringsfarve4 2 3 6 2 3" xfId="6596" xr:uid="{00000000-0005-0000-0000-0000996F0000}"/>
    <cellStyle name="40 % - Markeringsfarve4 2 3 6 2 3 2" xfId="14511" xr:uid="{00000000-0005-0000-0000-00009A6F0000}"/>
    <cellStyle name="40 % - Markeringsfarve4 2 3 6 2 3 2 2" xfId="30826" xr:uid="{00000000-0005-0000-0000-00009B6F0000}"/>
    <cellStyle name="40 % - Markeringsfarve4 2 3 6 2 3 2 3" xfId="45790" xr:uid="{00000000-0005-0000-0000-00009C6F0000}"/>
    <cellStyle name="40 % - Markeringsfarve4 2 3 6 2 3 3" xfId="23804" xr:uid="{00000000-0005-0000-0000-00009D6F0000}"/>
    <cellStyle name="40 % - Markeringsfarve4 2 3 6 2 3 4" xfId="38791" xr:uid="{00000000-0005-0000-0000-00009E6F0000}"/>
    <cellStyle name="40 % - Markeringsfarve4 2 3 6 2 4" xfId="12437" xr:uid="{00000000-0005-0000-0000-00009F6F0000}"/>
    <cellStyle name="40 % - Markeringsfarve4 2 3 6 2 4 2" xfId="28757" xr:uid="{00000000-0005-0000-0000-0000A06F0000}"/>
    <cellStyle name="40 % - Markeringsfarve4 2 3 6 2 4 3" xfId="43722" xr:uid="{00000000-0005-0000-0000-0000A16F0000}"/>
    <cellStyle name="40 % - Markeringsfarve4 2 3 6 2 5" xfId="21735" xr:uid="{00000000-0005-0000-0000-0000A26F0000}"/>
    <cellStyle name="40 % - Markeringsfarve4 2 3 6 2 6" xfId="36723" xr:uid="{00000000-0005-0000-0000-0000A36F0000}"/>
    <cellStyle name="40 % - Markeringsfarve4 2 3 6 3" xfId="3879" xr:uid="{00000000-0005-0000-0000-0000A46F0000}"/>
    <cellStyle name="40 % - Markeringsfarve4 2 3 6 3 2" xfId="7380" xr:uid="{00000000-0005-0000-0000-0000A56F0000}"/>
    <cellStyle name="40 % - Markeringsfarve4 2 3 6 3 2 2" xfId="15291" xr:uid="{00000000-0005-0000-0000-0000A66F0000}"/>
    <cellStyle name="40 % - Markeringsfarve4 2 3 6 3 2 2 2" xfId="31606" xr:uid="{00000000-0005-0000-0000-0000A76F0000}"/>
    <cellStyle name="40 % - Markeringsfarve4 2 3 6 3 2 2 3" xfId="46570" xr:uid="{00000000-0005-0000-0000-0000A86F0000}"/>
    <cellStyle name="40 % - Markeringsfarve4 2 3 6 3 2 3" xfId="24584" xr:uid="{00000000-0005-0000-0000-0000A96F0000}"/>
    <cellStyle name="40 % - Markeringsfarve4 2 3 6 3 2 4" xfId="39571" xr:uid="{00000000-0005-0000-0000-0000AA6F0000}"/>
    <cellStyle name="40 % - Markeringsfarve4 2 3 6 3 3" xfId="12439" xr:uid="{00000000-0005-0000-0000-0000AB6F0000}"/>
    <cellStyle name="40 % - Markeringsfarve4 2 3 6 3 3 2" xfId="28759" xr:uid="{00000000-0005-0000-0000-0000AC6F0000}"/>
    <cellStyle name="40 % - Markeringsfarve4 2 3 6 3 3 3" xfId="43724" xr:uid="{00000000-0005-0000-0000-0000AD6F0000}"/>
    <cellStyle name="40 % - Markeringsfarve4 2 3 6 3 4" xfId="21737" xr:uid="{00000000-0005-0000-0000-0000AE6F0000}"/>
    <cellStyle name="40 % - Markeringsfarve4 2 3 6 3 5" xfId="36725" xr:uid="{00000000-0005-0000-0000-0000AF6F0000}"/>
    <cellStyle name="40 % - Markeringsfarve4 2 3 6 4" xfId="3880" xr:uid="{00000000-0005-0000-0000-0000B06F0000}"/>
    <cellStyle name="40 % - Markeringsfarve4 2 3 6 4 2" xfId="8342" xr:uid="{00000000-0005-0000-0000-0000B16F0000}"/>
    <cellStyle name="40 % - Markeringsfarve4 2 3 6 4 2 2" xfId="16236" xr:uid="{00000000-0005-0000-0000-0000B26F0000}"/>
    <cellStyle name="40 % - Markeringsfarve4 2 3 6 4 2 2 2" xfId="32551" xr:uid="{00000000-0005-0000-0000-0000B36F0000}"/>
    <cellStyle name="40 % - Markeringsfarve4 2 3 6 4 2 2 3" xfId="47515" xr:uid="{00000000-0005-0000-0000-0000B46F0000}"/>
    <cellStyle name="40 % - Markeringsfarve4 2 3 6 4 2 3" xfId="25529" xr:uid="{00000000-0005-0000-0000-0000B56F0000}"/>
    <cellStyle name="40 % - Markeringsfarve4 2 3 6 4 2 4" xfId="40516" xr:uid="{00000000-0005-0000-0000-0000B66F0000}"/>
    <cellStyle name="40 % - Markeringsfarve4 2 3 6 4 3" xfId="12440" xr:uid="{00000000-0005-0000-0000-0000B76F0000}"/>
    <cellStyle name="40 % - Markeringsfarve4 2 3 6 4 3 2" xfId="28760" xr:uid="{00000000-0005-0000-0000-0000B86F0000}"/>
    <cellStyle name="40 % - Markeringsfarve4 2 3 6 4 3 3" xfId="43725" xr:uid="{00000000-0005-0000-0000-0000B96F0000}"/>
    <cellStyle name="40 % - Markeringsfarve4 2 3 6 4 4" xfId="21738" xr:uid="{00000000-0005-0000-0000-0000BA6F0000}"/>
    <cellStyle name="40 % - Markeringsfarve4 2 3 6 4 5" xfId="36726" xr:uid="{00000000-0005-0000-0000-0000BB6F0000}"/>
    <cellStyle name="40 % - Markeringsfarve4 2 3 6 5" xfId="5869" xr:uid="{00000000-0005-0000-0000-0000BC6F0000}"/>
    <cellStyle name="40 % - Markeringsfarve4 2 3 6 5 2" xfId="13788" xr:uid="{00000000-0005-0000-0000-0000BD6F0000}"/>
    <cellStyle name="40 % - Markeringsfarve4 2 3 6 5 2 2" xfId="30103" xr:uid="{00000000-0005-0000-0000-0000BE6F0000}"/>
    <cellStyle name="40 % - Markeringsfarve4 2 3 6 5 2 3" xfId="45067" xr:uid="{00000000-0005-0000-0000-0000BF6F0000}"/>
    <cellStyle name="40 % - Markeringsfarve4 2 3 6 5 3" xfId="23081" xr:uid="{00000000-0005-0000-0000-0000C06F0000}"/>
    <cellStyle name="40 % - Markeringsfarve4 2 3 6 5 4" xfId="38068" xr:uid="{00000000-0005-0000-0000-0000C16F0000}"/>
    <cellStyle name="40 % - Markeringsfarve4 2 3 6 6" xfId="12436" xr:uid="{00000000-0005-0000-0000-0000C26F0000}"/>
    <cellStyle name="40 % - Markeringsfarve4 2 3 6 6 2" xfId="28756" xr:uid="{00000000-0005-0000-0000-0000C36F0000}"/>
    <cellStyle name="40 % - Markeringsfarve4 2 3 6 6 3" xfId="43721" xr:uid="{00000000-0005-0000-0000-0000C46F0000}"/>
    <cellStyle name="40 % - Markeringsfarve4 2 3 6 7" xfId="21734" xr:uid="{00000000-0005-0000-0000-0000C56F0000}"/>
    <cellStyle name="40 % - Markeringsfarve4 2 3 6 8" xfId="36722" xr:uid="{00000000-0005-0000-0000-0000C66F0000}"/>
    <cellStyle name="40 % - Markeringsfarve4 2 3 7" xfId="3881" xr:uid="{00000000-0005-0000-0000-0000C76F0000}"/>
    <cellStyle name="40 % - Markeringsfarve4 2 3 7 2" xfId="3882" xr:uid="{00000000-0005-0000-0000-0000C86F0000}"/>
    <cellStyle name="40 % - Markeringsfarve4 2 3 7 2 2" xfId="7539" xr:uid="{00000000-0005-0000-0000-0000C96F0000}"/>
    <cellStyle name="40 % - Markeringsfarve4 2 3 7 2 2 2" xfId="15441" xr:uid="{00000000-0005-0000-0000-0000CA6F0000}"/>
    <cellStyle name="40 % - Markeringsfarve4 2 3 7 2 2 2 2" xfId="31756" xr:uid="{00000000-0005-0000-0000-0000CB6F0000}"/>
    <cellStyle name="40 % - Markeringsfarve4 2 3 7 2 2 2 3" xfId="46720" xr:uid="{00000000-0005-0000-0000-0000CC6F0000}"/>
    <cellStyle name="40 % - Markeringsfarve4 2 3 7 2 2 3" xfId="24734" xr:uid="{00000000-0005-0000-0000-0000CD6F0000}"/>
    <cellStyle name="40 % - Markeringsfarve4 2 3 7 2 2 4" xfId="39721" xr:uid="{00000000-0005-0000-0000-0000CE6F0000}"/>
    <cellStyle name="40 % - Markeringsfarve4 2 3 7 2 3" xfId="12442" xr:uid="{00000000-0005-0000-0000-0000CF6F0000}"/>
    <cellStyle name="40 % - Markeringsfarve4 2 3 7 2 3 2" xfId="28762" xr:uid="{00000000-0005-0000-0000-0000D06F0000}"/>
    <cellStyle name="40 % - Markeringsfarve4 2 3 7 2 3 3" xfId="43727" xr:uid="{00000000-0005-0000-0000-0000D16F0000}"/>
    <cellStyle name="40 % - Markeringsfarve4 2 3 7 2 4" xfId="21740" xr:uid="{00000000-0005-0000-0000-0000D26F0000}"/>
    <cellStyle name="40 % - Markeringsfarve4 2 3 7 2 5" xfId="36728" xr:uid="{00000000-0005-0000-0000-0000D36F0000}"/>
    <cellStyle name="40 % - Markeringsfarve4 2 3 7 3" xfId="6125" xr:uid="{00000000-0005-0000-0000-0000D46F0000}"/>
    <cellStyle name="40 % - Markeringsfarve4 2 3 7 3 2" xfId="14043" xr:uid="{00000000-0005-0000-0000-0000D56F0000}"/>
    <cellStyle name="40 % - Markeringsfarve4 2 3 7 3 2 2" xfId="30358" xr:uid="{00000000-0005-0000-0000-0000D66F0000}"/>
    <cellStyle name="40 % - Markeringsfarve4 2 3 7 3 2 3" xfId="45322" xr:uid="{00000000-0005-0000-0000-0000D76F0000}"/>
    <cellStyle name="40 % - Markeringsfarve4 2 3 7 3 3" xfId="23336" xr:uid="{00000000-0005-0000-0000-0000D86F0000}"/>
    <cellStyle name="40 % - Markeringsfarve4 2 3 7 3 4" xfId="38323" xr:uid="{00000000-0005-0000-0000-0000D96F0000}"/>
    <cellStyle name="40 % - Markeringsfarve4 2 3 7 4" xfId="12441" xr:uid="{00000000-0005-0000-0000-0000DA6F0000}"/>
    <cellStyle name="40 % - Markeringsfarve4 2 3 7 4 2" xfId="28761" xr:uid="{00000000-0005-0000-0000-0000DB6F0000}"/>
    <cellStyle name="40 % - Markeringsfarve4 2 3 7 4 3" xfId="43726" xr:uid="{00000000-0005-0000-0000-0000DC6F0000}"/>
    <cellStyle name="40 % - Markeringsfarve4 2 3 7 5" xfId="21739" xr:uid="{00000000-0005-0000-0000-0000DD6F0000}"/>
    <cellStyle name="40 % - Markeringsfarve4 2 3 7 6" xfId="36727" xr:uid="{00000000-0005-0000-0000-0000DE6F0000}"/>
    <cellStyle name="40 % - Markeringsfarve4 2 3 8" xfId="3883" xr:uid="{00000000-0005-0000-0000-0000DF6F0000}"/>
    <cellStyle name="40 % - Markeringsfarve4 2 3 8 2" xfId="6767" xr:uid="{00000000-0005-0000-0000-0000E06F0000}"/>
    <cellStyle name="40 % - Markeringsfarve4 2 3 8 2 2" xfId="14679" xr:uid="{00000000-0005-0000-0000-0000E16F0000}"/>
    <cellStyle name="40 % - Markeringsfarve4 2 3 8 2 2 2" xfId="30994" xr:uid="{00000000-0005-0000-0000-0000E26F0000}"/>
    <cellStyle name="40 % - Markeringsfarve4 2 3 8 2 2 3" xfId="45958" xr:uid="{00000000-0005-0000-0000-0000E36F0000}"/>
    <cellStyle name="40 % - Markeringsfarve4 2 3 8 2 3" xfId="23972" xr:uid="{00000000-0005-0000-0000-0000E46F0000}"/>
    <cellStyle name="40 % - Markeringsfarve4 2 3 8 2 4" xfId="38959" xr:uid="{00000000-0005-0000-0000-0000E56F0000}"/>
    <cellStyle name="40 % - Markeringsfarve4 2 3 8 3" xfId="12443" xr:uid="{00000000-0005-0000-0000-0000E66F0000}"/>
    <cellStyle name="40 % - Markeringsfarve4 2 3 8 3 2" xfId="28763" xr:uid="{00000000-0005-0000-0000-0000E76F0000}"/>
    <cellStyle name="40 % - Markeringsfarve4 2 3 8 3 3" xfId="43728" xr:uid="{00000000-0005-0000-0000-0000E86F0000}"/>
    <cellStyle name="40 % - Markeringsfarve4 2 3 8 4" xfId="21741" xr:uid="{00000000-0005-0000-0000-0000E96F0000}"/>
    <cellStyle name="40 % - Markeringsfarve4 2 3 8 5" xfId="36729" xr:uid="{00000000-0005-0000-0000-0000EA6F0000}"/>
    <cellStyle name="40 % - Markeringsfarve4 2 3 9" xfId="3884" xr:uid="{00000000-0005-0000-0000-0000EB6F0000}"/>
    <cellStyle name="40 % - Markeringsfarve4 2 3 9 2" xfId="8708" xr:uid="{00000000-0005-0000-0000-0000EC6F0000}"/>
    <cellStyle name="40 % - Markeringsfarve4 2 3 9 2 2" xfId="16585" xr:uid="{00000000-0005-0000-0000-0000ED6F0000}"/>
    <cellStyle name="40 % - Markeringsfarve4 2 3 9 2 2 2" xfId="32900" xr:uid="{00000000-0005-0000-0000-0000EE6F0000}"/>
    <cellStyle name="40 % - Markeringsfarve4 2 3 9 2 2 3" xfId="47864" xr:uid="{00000000-0005-0000-0000-0000EF6F0000}"/>
    <cellStyle name="40 % - Markeringsfarve4 2 3 9 2 3" xfId="25878" xr:uid="{00000000-0005-0000-0000-0000F06F0000}"/>
    <cellStyle name="40 % - Markeringsfarve4 2 3 9 2 4" xfId="40865" xr:uid="{00000000-0005-0000-0000-0000F16F0000}"/>
    <cellStyle name="40 % - Markeringsfarve4 2 3 9 3" xfId="12444" xr:uid="{00000000-0005-0000-0000-0000F26F0000}"/>
    <cellStyle name="40 % - Markeringsfarve4 2 3 9 3 2" xfId="28764" xr:uid="{00000000-0005-0000-0000-0000F36F0000}"/>
    <cellStyle name="40 % - Markeringsfarve4 2 3 9 3 3" xfId="43729" xr:uid="{00000000-0005-0000-0000-0000F46F0000}"/>
    <cellStyle name="40 % - Markeringsfarve4 2 3 9 4" xfId="21742" xr:uid="{00000000-0005-0000-0000-0000F56F0000}"/>
    <cellStyle name="40 % - Markeringsfarve4 2 3 9 5" xfId="36730" xr:uid="{00000000-0005-0000-0000-0000F66F0000}"/>
    <cellStyle name="40 % - Markeringsfarve4 2 4" xfId="3885" xr:uid="{00000000-0005-0000-0000-0000F76F0000}"/>
    <cellStyle name="40 % - Markeringsfarve4 2 4 2" xfId="3886" xr:uid="{00000000-0005-0000-0000-0000F86F0000}"/>
    <cellStyle name="40 % - Markeringsfarve4 2 4 2 2" xfId="3887" xr:uid="{00000000-0005-0000-0000-0000F96F0000}"/>
    <cellStyle name="40 % - Markeringsfarve4 2 4 2 2 2" xfId="7580" xr:uid="{00000000-0005-0000-0000-0000FA6F0000}"/>
    <cellStyle name="40 % - Markeringsfarve4 2 4 2 2 2 2" xfId="15482" xr:uid="{00000000-0005-0000-0000-0000FB6F0000}"/>
    <cellStyle name="40 % - Markeringsfarve4 2 4 2 2 2 2 2" xfId="31797" xr:uid="{00000000-0005-0000-0000-0000FC6F0000}"/>
    <cellStyle name="40 % - Markeringsfarve4 2 4 2 2 2 2 3" xfId="46761" xr:uid="{00000000-0005-0000-0000-0000FD6F0000}"/>
    <cellStyle name="40 % - Markeringsfarve4 2 4 2 2 2 3" xfId="24775" xr:uid="{00000000-0005-0000-0000-0000FE6F0000}"/>
    <cellStyle name="40 % - Markeringsfarve4 2 4 2 2 2 4" xfId="39762" xr:uid="{00000000-0005-0000-0000-0000FF6F0000}"/>
    <cellStyle name="40 % - Markeringsfarve4 2 4 2 2 3" xfId="12447" xr:uid="{00000000-0005-0000-0000-000000700000}"/>
    <cellStyle name="40 % - Markeringsfarve4 2 4 2 2 3 2" xfId="28767" xr:uid="{00000000-0005-0000-0000-000001700000}"/>
    <cellStyle name="40 % - Markeringsfarve4 2 4 2 2 3 3" xfId="43732" xr:uid="{00000000-0005-0000-0000-000002700000}"/>
    <cellStyle name="40 % - Markeringsfarve4 2 4 2 2 4" xfId="21745" xr:uid="{00000000-0005-0000-0000-000003700000}"/>
    <cellStyle name="40 % - Markeringsfarve4 2 4 2 2 5" xfId="36733" xr:uid="{00000000-0005-0000-0000-000004700000}"/>
    <cellStyle name="40 % - Markeringsfarve4 2 4 2 3" xfId="6158" xr:uid="{00000000-0005-0000-0000-000005700000}"/>
    <cellStyle name="40 % - Markeringsfarve4 2 4 2 3 2" xfId="14076" xr:uid="{00000000-0005-0000-0000-000006700000}"/>
    <cellStyle name="40 % - Markeringsfarve4 2 4 2 3 2 2" xfId="30391" xr:uid="{00000000-0005-0000-0000-000007700000}"/>
    <cellStyle name="40 % - Markeringsfarve4 2 4 2 3 2 3" xfId="45355" xr:uid="{00000000-0005-0000-0000-000008700000}"/>
    <cellStyle name="40 % - Markeringsfarve4 2 4 2 3 3" xfId="23369" xr:uid="{00000000-0005-0000-0000-000009700000}"/>
    <cellStyle name="40 % - Markeringsfarve4 2 4 2 3 4" xfId="38356" xr:uid="{00000000-0005-0000-0000-00000A700000}"/>
    <cellStyle name="40 % - Markeringsfarve4 2 4 2 4" xfId="12446" xr:uid="{00000000-0005-0000-0000-00000B700000}"/>
    <cellStyle name="40 % - Markeringsfarve4 2 4 2 4 2" xfId="28766" xr:uid="{00000000-0005-0000-0000-00000C700000}"/>
    <cellStyle name="40 % - Markeringsfarve4 2 4 2 4 3" xfId="43731" xr:uid="{00000000-0005-0000-0000-00000D700000}"/>
    <cellStyle name="40 % - Markeringsfarve4 2 4 2 5" xfId="21744" xr:uid="{00000000-0005-0000-0000-00000E700000}"/>
    <cellStyle name="40 % - Markeringsfarve4 2 4 2 6" xfId="36732" xr:uid="{00000000-0005-0000-0000-00000F700000}"/>
    <cellStyle name="40 % - Markeringsfarve4 2 4 2 7" xfId="57131" xr:uid="{00000000-0005-0000-0000-000010700000}"/>
    <cellStyle name="40 % - Markeringsfarve4 2 4 3" xfId="3888" xr:uid="{00000000-0005-0000-0000-000011700000}"/>
    <cellStyle name="40 % - Markeringsfarve4 2 4 3 2" xfId="6810" xr:uid="{00000000-0005-0000-0000-000012700000}"/>
    <cellStyle name="40 % - Markeringsfarve4 2 4 3 2 2" xfId="14722" xr:uid="{00000000-0005-0000-0000-000013700000}"/>
    <cellStyle name="40 % - Markeringsfarve4 2 4 3 2 2 2" xfId="31037" xr:uid="{00000000-0005-0000-0000-000014700000}"/>
    <cellStyle name="40 % - Markeringsfarve4 2 4 3 2 2 3" xfId="46001" xr:uid="{00000000-0005-0000-0000-000015700000}"/>
    <cellStyle name="40 % - Markeringsfarve4 2 4 3 2 3" xfId="24015" xr:uid="{00000000-0005-0000-0000-000016700000}"/>
    <cellStyle name="40 % - Markeringsfarve4 2 4 3 2 4" xfId="39002" xr:uid="{00000000-0005-0000-0000-000017700000}"/>
    <cellStyle name="40 % - Markeringsfarve4 2 4 3 3" xfId="12448" xr:uid="{00000000-0005-0000-0000-000018700000}"/>
    <cellStyle name="40 % - Markeringsfarve4 2 4 3 3 2" xfId="28768" xr:uid="{00000000-0005-0000-0000-000019700000}"/>
    <cellStyle name="40 % - Markeringsfarve4 2 4 3 3 3" xfId="43733" xr:uid="{00000000-0005-0000-0000-00001A700000}"/>
    <cellStyle name="40 % - Markeringsfarve4 2 4 3 4" xfId="21746" xr:uid="{00000000-0005-0000-0000-00001B700000}"/>
    <cellStyle name="40 % - Markeringsfarve4 2 4 3 5" xfId="36734" xr:uid="{00000000-0005-0000-0000-00001C700000}"/>
    <cellStyle name="40 % - Markeringsfarve4 2 4 4" xfId="3889" xr:uid="{00000000-0005-0000-0000-00001D700000}"/>
    <cellStyle name="40 % - Markeringsfarve4 2 4 4 2" xfId="8574" xr:uid="{00000000-0005-0000-0000-00001E700000}"/>
    <cellStyle name="40 % - Markeringsfarve4 2 4 4 2 2" xfId="16458" xr:uid="{00000000-0005-0000-0000-00001F700000}"/>
    <cellStyle name="40 % - Markeringsfarve4 2 4 4 2 2 2" xfId="32773" xr:uid="{00000000-0005-0000-0000-000020700000}"/>
    <cellStyle name="40 % - Markeringsfarve4 2 4 4 2 2 3" xfId="47737" xr:uid="{00000000-0005-0000-0000-000021700000}"/>
    <cellStyle name="40 % - Markeringsfarve4 2 4 4 2 3" xfId="25751" xr:uid="{00000000-0005-0000-0000-000022700000}"/>
    <cellStyle name="40 % - Markeringsfarve4 2 4 4 2 4" xfId="40738" xr:uid="{00000000-0005-0000-0000-000023700000}"/>
    <cellStyle name="40 % - Markeringsfarve4 2 4 4 3" xfId="12449" xr:uid="{00000000-0005-0000-0000-000024700000}"/>
    <cellStyle name="40 % - Markeringsfarve4 2 4 4 3 2" xfId="28769" xr:uid="{00000000-0005-0000-0000-000025700000}"/>
    <cellStyle name="40 % - Markeringsfarve4 2 4 4 3 3" xfId="43734" xr:uid="{00000000-0005-0000-0000-000026700000}"/>
    <cellStyle name="40 % - Markeringsfarve4 2 4 4 4" xfId="21747" xr:uid="{00000000-0005-0000-0000-000027700000}"/>
    <cellStyle name="40 % - Markeringsfarve4 2 4 4 5" xfId="36735" xr:uid="{00000000-0005-0000-0000-000028700000}"/>
    <cellStyle name="40 % - Markeringsfarve4 2 4 5" xfId="5870" xr:uid="{00000000-0005-0000-0000-000029700000}"/>
    <cellStyle name="40 % - Markeringsfarve4 2 4 5 2" xfId="13789" xr:uid="{00000000-0005-0000-0000-00002A700000}"/>
    <cellStyle name="40 % - Markeringsfarve4 2 4 5 2 2" xfId="30104" xr:uid="{00000000-0005-0000-0000-00002B700000}"/>
    <cellStyle name="40 % - Markeringsfarve4 2 4 5 2 3" xfId="45068" xr:uid="{00000000-0005-0000-0000-00002C700000}"/>
    <cellStyle name="40 % - Markeringsfarve4 2 4 5 3" xfId="23082" xr:uid="{00000000-0005-0000-0000-00002D700000}"/>
    <cellStyle name="40 % - Markeringsfarve4 2 4 5 4" xfId="38069" xr:uid="{00000000-0005-0000-0000-00002E700000}"/>
    <cellStyle name="40 % - Markeringsfarve4 2 4 6" xfId="12445" xr:uid="{00000000-0005-0000-0000-00002F700000}"/>
    <cellStyle name="40 % - Markeringsfarve4 2 4 6 2" xfId="28765" xr:uid="{00000000-0005-0000-0000-000030700000}"/>
    <cellStyle name="40 % - Markeringsfarve4 2 4 6 3" xfId="43730" xr:uid="{00000000-0005-0000-0000-000031700000}"/>
    <cellStyle name="40 % - Markeringsfarve4 2 4 7" xfId="21743" xr:uid="{00000000-0005-0000-0000-000032700000}"/>
    <cellStyle name="40 % - Markeringsfarve4 2 4 8" xfId="36731" xr:uid="{00000000-0005-0000-0000-000033700000}"/>
    <cellStyle name="40 % - Markeringsfarve4 2 4 9" xfId="53964" xr:uid="{00000000-0005-0000-0000-000034700000}"/>
    <cellStyle name="40 % - Markeringsfarve4 2 5" xfId="3890" xr:uid="{00000000-0005-0000-0000-000035700000}"/>
    <cellStyle name="40 % - Markeringsfarve4 2 5 2" xfId="3891" xr:uid="{00000000-0005-0000-0000-000036700000}"/>
    <cellStyle name="40 % - Markeringsfarve4 2 5 2 2" xfId="3892" xr:uid="{00000000-0005-0000-0000-000037700000}"/>
    <cellStyle name="40 % - Markeringsfarve4 2 5 2 2 2" xfId="7747" xr:uid="{00000000-0005-0000-0000-000038700000}"/>
    <cellStyle name="40 % - Markeringsfarve4 2 5 2 2 2 2" xfId="15649" xr:uid="{00000000-0005-0000-0000-000039700000}"/>
    <cellStyle name="40 % - Markeringsfarve4 2 5 2 2 2 2 2" xfId="31964" xr:uid="{00000000-0005-0000-0000-00003A700000}"/>
    <cellStyle name="40 % - Markeringsfarve4 2 5 2 2 2 2 3" xfId="46928" xr:uid="{00000000-0005-0000-0000-00003B700000}"/>
    <cellStyle name="40 % - Markeringsfarve4 2 5 2 2 2 3" xfId="24942" xr:uid="{00000000-0005-0000-0000-00003C700000}"/>
    <cellStyle name="40 % - Markeringsfarve4 2 5 2 2 2 4" xfId="39929" xr:uid="{00000000-0005-0000-0000-00003D700000}"/>
    <cellStyle name="40 % - Markeringsfarve4 2 5 2 2 3" xfId="12452" xr:uid="{00000000-0005-0000-0000-00003E700000}"/>
    <cellStyle name="40 % - Markeringsfarve4 2 5 2 2 3 2" xfId="28772" xr:uid="{00000000-0005-0000-0000-00003F700000}"/>
    <cellStyle name="40 % - Markeringsfarve4 2 5 2 2 3 3" xfId="43737" xr:uid="{00000000-0005-0000-0000-000040700000}"/>
    <cellStyle name="40 % - Markeringsfarve4 2 5 2 2 4" xfId="21750" xr:uid="{00000000-0005-0000-0000-000041700000}"/>
    <cellStyle name="40 % - Markeringsfarve4 2 5 2 2 5" xfId="36738" xr:uid="{00000000-0005-0000-0000-000042700000}"/>
    <cellStyle name="40 % - Markeringsfarve4 2 5 2 3" xfId="6293" xr:uid="{00000000-0005-0000-0000-000043700000}"/>
    <cellStyle name="40 % - Markeringsfarve4 2 5 2 3 2" xfId="14211" xr:uid="{00000000-0005-0000-0000-000044700000}"/>
    <cellStyle name="40 % - Markeringsfarve4 2 5 2 3 2 2" xfId="30526" xr:uid="{00000000-0005-0000-0000-000045700000}"/>
    <cellStyle name="40 % - Markeringsfarve4 2 5 2 3 2 3" xfId="45490" xr:uid="{00000000-0005-0000-0000-000046700000}"/>
    <cellStyle name="40 % - Markeringsfarve4 2 5 2 3 3" xfId="23504" xr:uid="{00000000-0005-0000-0000-000047700000}"/>
    <cellStyle name="40 % - Markeringsfarve4 2 5 2 3 4" xfId="38491" xr:uid="{00000000-0005-0000-0000-000048700000}"/>
    <cellStyle name="40 % - Markeringsfarve4 2 5 2 4" xfId="12451" xr:uid="{00000000-0005-0000-0000-000049700000}"/>
    <cellStyle name="40 % - Markeringsfarve4 2 5 2 4 2" xfId="28771" xr:uid="{00000000-0005-0000-0000-00004A700000}"/>
    <cellStyle name="40 % - Markeringsfarve4 2 5 2 4 3" xfId="43736" xr:uid="{00000000-0005-0000-0000-00004B700000}"/>
    <cellStyle name="40 % - Markeringsfarve4 2 5 2 5" xfId="21749" xr:uid="{00000000-0005-0000-0000-00004C700000}"/>
    <cellStyle name="40 % - Markeringsfarve4 2 5 2 6" xfId="36737" xr:uid="{00000000-0005-0000-0000-00004D700000}"/>
    <cellStyle name="40 % - Markeringsfarve4 2 5 3" xfId="3893" xr:uid="{00000000-0005-0000-0000-00004E700000}"/>
    <cellStyle name="40 % - Markeringsfarve4 2 5 3 2" xfId="6977" xr:uid="{00000000-0005-0000-0000-00004F700000}"/>
    <cellStyle name="40 % - Markeringsfarve4 2 5 3 2 2" xfId="14889" xr:uid="{00000000-0005-0000-0000-000050700000}"/>
    <cellStyle name="40 % - Markeringsfarve4 2 5 3 2 2 2" xfId="31204" xr:uid="{00000000-0005-0000-0000-000051700000}"/>
    <cellStyle name="40 % - Markeringsfarve4 2 5 3 2 2 3" xfId="46168" xr:uid="{00000000-0005-0000-0000-000052700000}"/>
    <cellStyle name="40 % - Markeringsfarve4 2 5 3 2 3" xfId="24182" xr:uid="{00000000-0005-0000-0000-000053700000}"/>
    <cellStyle name="40 % - Markeringsfarve4 2 5 3 2 4" xfId="39169" xr:uid="{00000000-0005-0000-0000-000054700000}"/>
    <cellStyle name="40 % - Markeringsfarve4 2 5 3 3" xfId="12453" xr:uid="{00000000-0005-0000-0000-000055700000}"/>
    <cellStyle name="40 % - Markeringsfarve4 2 5 3 3 2" xfId="28773" xr:uid="{00000000-0005-0000-0000-000056700000}"/>
    <cellStyle name="40 % - Markeringsfarve4 2 5 3 3 3" xfId="43738" xr:uid="{00000000-0005-0000-0000-000057700000}"/>
    <cellStyle name="40 % - Markeringsfarve4 2 5 3 4" xfId="21751" xr:uid="{00000000-0005-0000-0000-000058700000}"/>
    <cellStyle name="40 % - Markeringsfarve4 2 5 3 5" xfId="36739" xr:uid="{00000000-0005-0000-0000-000059700000}"/>
    <cellStyle name="40 % - Markeringsfarve4 2 5 4" xfId="3894" xr:uid="{00000000-0005-0000-0000-00005A700000}"/>
    <cellStyle name="40 % - Markeringsfarve4 2 5 4 2" xfId="8224" xr:uid="{00000000-0005-0000-0000-00005B700000}"/>
    <cellStyle name="40 % - Markeringsfarve4 2 5 4 2 2" xfId="16119" xr:uid="{00000000-0005-0000-0000-00005C700000}"/>
    <cellStyle name="40 % - Markeringsfarve4 2 5 4 2 2 2" xfId="32434" xr:uid="{00000000-0005-0000-0000-00005D700000}"/>
    <cellStyle name="40 % - Markeringsfarve4 2 5 4 2 2 3" xfId="47398" xr:uid="{00000000-0005-0000-0000-00005E700000}"/>
    <cellStyle name="40 % - Markeringsfarve4 2 5 4 2 3" xfId="25412" xr:uid="{00000000-0005-0000-0000-00005F700000}"/>
    <cellStyle name="40 % - Markeringsfarve4 2 5 4 2 4" xfId="40399" xr:uid="{00000000-0005-0000-0000-000060700000}"/>
    <cellStyle name="40 % - Markeringsfarve4 2 5 4 3" xfId="12454" xr:uid="{00000000-0005-0000-0000-000061700000}"/>
    <cellStyle name="40 % - Markeringsfarve4 2 5 4 3 2" xfId="28774" xr:uid="{00000000-0005-0000-0000-000062700000}"/>
    <cellStyle name="40 % - Markeringsfarve4 2 5 4 3 3" xfId="43739" xr:uid="{00000000-0005-0000-0000-000063700000}"/>
    <cellStyle name="40 % - Markeringsfarve4 2 5 4 4" xfId="21752" xr:uid="{00000000-0005-0000-0000-000064700000}"/>
    <cellStyle name="40 % - Markeringsfarve4 2 5 4 5" xfId="36740" xr:uid="{00000000-0005-0000-0000-000065700000}"/>
    <cellStyle name="40 % - Markeringsfarve4 2 5 5" xfId="5871" xr:uid="{00000000-0005-0000-0000-000066700000}"/>
    <cellStyle name="40 % - Markeringsfarve4 2 5 5 2" xfId="13790" xr:uid="{00000000-0005-0000-0000-000067700000}"/>
    <cellStyle name="40 % - Markeringsfarve4 2 5 5 2 2" xfId="30105" xr:uid="{00000000-0005-0000-0000-000068700000}"/>
    <cellStyle name="40 % - Markeringsfarve4 2 5 5 2 3" xfId="45069" xr:uid="{00000000-0005-0000-0000-000069700000}"/>
    <cellStyle name="40 % - Markeringsfarve4 2 5 5 3" xfId="23083" xr:uid="{00000000-0005-0000-0000-00006A700000}"/>
    <cellStyle name="40 % - Markeringsfarve4 2 5 5 4" xfId="38070" xr:uid="{00000000-0005-0000-0000-00006B700000}"/>
    <cellStyle name="40 % - Markeringsfarve4 2 5 6" xfId="12450" xr:uid="{00000000-0005-0000-0000-00006C700000}"/>
    <cellStyle name="40 % - Markeringsfarve4 2 5 6 2" xfId="28770" xr:uid="{00000000-0005-0000-0000-00006D700000}"/>
    <cellStyle name="40 % - Markeringsfarve4 2 5 6 3" xfId="43735" xr:uid="{00000000-0005-0000-0000-00006E700000}"/>
    <cellStyle name="40 % - Markeringsfarve4 2 5 7" xfId="21748" xr:uid="{00000000-0005-0000-0000-00006F700000}"/>
    <cellStyle name="40 % - Markeringsfarve4 2 5 8" xfId="36736" xr:uid="{00000000-0005-0000-0000-000070700000}"/>
    <cellStyle name="40 % - Markeringsfarve4 2 5 9" xfId="56508" xr:uid="{00000000-0005-0000-0000-000071700000}"/>
    <cellStyle name="40 % - Markeringsfarve4 2 6" xfId="3895" xr:uid="{00000000-0005-0000-0000-000072700000}"/>
    <cellStyle name="40 % - Markeringsfarve4 2 6 2" xfId="3896" xr:uid="{00000000-0005-0000-0000-000073700000}"/>
    <cellStyle name="40 % - Markeringsfarve4 2 6 2 2" xfId="3897" xr:uid="{00000000-0005-0000-0000-000074700000}"/>
    <cellStyle name="40 % - Markeringsfarve4 2 6 2 2 2" xfId="7818" xr:uid="{00000000-0005-0000-0000-000075700000}"/>
    <cellStyle name="40 % - Markeringsfarve4 2 6 2 2 2 2" xfId="15720" xr:uid="{00000000-0005-0000-0000-000076700000}"/>
    <cellStyle name="40 % - Markeringsfarve4 2 6 2 2 2 2 2" xfId="32035" xr:uid="{00000000-0005-0000-0000-000077700000}"/>
    <cellStyle name="40 % - Markeringsfarve4 2 6 2 2 2 2 3" xfId="46999" xr:uid="{00000000-0005-0000-0000-000078700000}"/>
    <cellStyle name="40 % - Markeringsfarve4 2 6 2 2 2 3" xfId="25013" xr:uid="{00000000-0005-0000-0000-000079700000}"/>
    <cellStyle name="40 % - Markeringsfarve4 2 6 2 2 2 4" xfId="40000" xr:uid="{00000000-0005-0000-0000-00007A700000}"/>
    <cellStyle name="40 % - Markeringsfarve4 2 6 2 2 3" xfId="12457" xr:uid="{00000000-0005-0000-0000-00007B700000}"/>
    <cellStyle name="40 % - Markeringsfarve4 2 6 2 2 3 2" xfId="28777" xr:uid="{00000000-0005-0000-0000-00007C700000}"/>
    <cellStyle name="40 % - Markeringsfarve4 2 6 2 2 3 3" xfId="43742" xr:uid="{00000000-0005-0000-0000-00007D700000}"/>
    <cellStyle name="40 % - Markeringsfarve4 2 6 2 2 4" xfId="21755" xr:uid="{00000000-0005-0000-0000-00007E700000}"/>
    <cellStyle name="40 % - Markeringsfarve4 2 6 2 2 5" xfId="36743" xr:uid="{00000000-0005-0000-0000-00007F700000}"/>
    <cellStyle name="40 % - Markeringsfarve4 2 6 2 3" xfId="6360" xr:uid="{00000000-0005-0000-0000-000080700000}"/>
    <cellStyle name="40 % - Markeringsfarve4 2 6 2 3 2" xfId="14275" xr:uid="{00000000-0005-0000-0000-000081700000}"/>
    <cellStyle name="40 % - Markeringsfarve4 2 6 2 3 2 2" xfId="30590" xr:uid="{00000000-0005-0000-0000-000082700000}"/>
    <cellStyle name="40 % - Markeringsfarve4 2 6 2 3 2 3" xfId="45554" xr:uid="{00000000-0005-0000-0000-000083700000}"/>
    <cellStyle name="40 % - Markeringsfarve4 2 6 2 3 3" xfId="23568" xr:uid="{00000000-0005-0000-0000-000084700000}"/>
    <cellStyle name="40 % - Markeringsfarve4 2 6 2 3 4" xfId="38555" xr:uid="{00000000-0005-0000-0000-000085700000}"/>
    <cellStyle name="40 % - Markeringsfarve4 2 6 2 4" xfId="12456" xr:uid="{00000000-0005-0000-0000-000086700000}"/>
    <cellStyle name="40 % - Markeringsfarve4 2 6 2 4 2" xfId="28776" xr:uid="{00000000-0005-0000-0000-000087700000}"/>
    <cellStyle name="40 % - Markeringsfarve4 2 6 2 4 3" xfId="43741" xr:uid="{00000000-0005-0000-0000-000088700000}"/>
    <cellStyle name="40 % - Markeringsfarve4 2 6 2 5" xfId="21754" xr:uid="{00000000-0005-0000-0000-000089700000}"/>
    <cellStyle name="40 % - Markeringsfarve4 2 6 2 6" xfId="36742" xr:uid="{00000000-0005-0000-0000-00008A700000}"/>
    <cellStyle name="40 % - Markeringsfarve4 2 6 3" xfId="3898" xr:uid="{00000000-0005-0000-0000-00008B700000}"/>
    <cellStyle name="40 % - Markeringsfarve4 2 6 3 2" xfId="7094" xr:uid="{00000000-0005-0000-0000-00008C700000}"/>
    <cellStyle name="40 % - Markeringsfarve4 2 6 3 2 2" xfId="15005" xr:uid="{00000000-0005-0000-0000-00008D700000}"/>
    <cellStyle name="40 % - Markeringsfarve4 2 6 3 2 2 2" xfId="31320" xr:uid="{00000000-0005-0000-0000-00008E700000}"/>
    <cellStyle name="40 % - Markeringsfarve4 2 6 3 2 2 3" xfId="46284" xr:uid="{00000000-0005-0000-0000-00008F700000}"/>
    <cellStyle name="40 % - Markeringsfarve4 2 6 3 2 3" xfId="24298" xr:uid="{00000000-0005-0000-0000-000090700000}"/>
    <cellStyle name="40 % - Markeringsfarve4 2 6 3 2 4" xfId="39285" xr:uid="{00000000-0005-0000-0000-000091700000}"/>
    <cellStyle name="40 % - Markeringsfarve4 2 6 3 3" xfId="12458" xr:uid="{00000000-0005-0000-0000-000092700000}"/>
    <cellStyle name="40 % - Markeringsfarve4 2 6 3 3 2" xfId="28778" xr:uid="{00000000-0005-0000-0000-000093700000}"/>
    <cellStyle name="40 % - Markeringsfarve4 2 6 3 3 3" xfId="43743" xr:uid="{00000000-0005-0000-0000-000094700000}"/>
    <cellStyle name="40 % - Markeringsfarve4 2 6 3 4" xfId="21756" xr:uid="{00000000-0005-0000-0000-000095700000}"/>
    <cellStyle name="40 % - Markeringsfarve4 2 6 3 5" xfId="36744" xr:uid="{00000000-0005-0000-0000-000096700000}"/>
    <cellStyle name="40 % - Markeringsfarve4 2 6 4" xfId="3899" xr:uid="{00000000-0005-0000-0000-000097700000}"/>
    <cellStyle name="40 % - Markeringsfarve4 2 6 4 2" xfId="8526" xr:uid="{00000000-0005-0000-0000-000098700000}"/>
    <cellStyle name="40 % - Markeringsfarve4 2 6 4 2 2" xfId="16414" xr:uid="{00000000-0005-0000-0000-000099700000}"/>
    <cellStyle name="40 % - Markeringsfarve4 2 6 4 2 2 2" xfId="32729" xr:uid="{00000000-0005-0000-0000-00009A700000}"/>
    <cellStyle name="40 % - Markeringsfarve4 2 6 4 2 2 3" xfId="47693" xr:uid="{00000000-0005-0000-0000-00009B700000}"/>
    <cellStyle name="40 % - Markeringsfarve4 2 6 4 2 3" xfId="25707" xr:uid="{00000000-0005-0000-0000-00009C700000}"/>
    <cellStyle name="40 % - Markeringsfarve4 2 6 4 2 4" xfId="40694" xr:uid="{00000000-0005-0000-0000-00009D700000}"/>
    <cellStyle name="40 % - Markeringsfarve4 2 6 4 3" xfId="12459" xr:uid="{00000000-0005-0000-0000-00009E700000}"/>
    <cellStyle name="40 % - Markeringsfarve4 2 6 4 3 2" xfId="28779" xr:uid="{00000000-0005-0000-0000-00009F700000}"/>
    <cellStyle name="40 % - Markeringsfarve4 2 6 4 3 3" xfId="43744" xr:uid="{00000000-0005-0000-0000-0000A0700000}"/>
    <cellStyle name="40 % - Markeringsfarve4 2 6 4 4" xfId="21757" xr:uid="{00000000-0005-0000-0000-0000A1700000}"/>
    <cellStyle name="40 % - Markeringsfarve4 2 6 4 5" xfId="36745" xr:uid="{00000000-0005-0000-0000-0000A2700000}"/>
    <cellStyle name="40 % - Markeringsfarve4 2 6 5" xfId="5872" xr:uid="{00000000-0005-0000-0000-0000A3700000}"/>
    <cellStyle name="40 % - Markeringsfarve4 2 6 5 2" xfId="13791" xr:uid="{00000000-0005-0000-0000-0000A4700000}"/>
    <cellStyle name="40 % - Markeringsfarve4 2 6 5 2 2" xfId="30106" xr:uid="{00000000-0005-0000-0000-0000A5700000}"/>
    <cellStyle name="40 % - Markeringsfarve4 2 6 5 2 3" xfId="45070" xr:uid="{00000000-0005-0000-0000-0000A6700000}"/>
    <cellStyle name="40 % - Markeringsfarve4 2 6 5 3" xfId="23084" xr:uid="{00000000-0005-0000-0000-0000A7700000}"/>
    <cellStyle name="40 % - Markeringsfarve4 2 6 5 4" xfId="38071" xr:uid="{00000000-0005-0000-0000-0000A8700000}"/>
    <cellStyle name="40 % - Markeringsfarve4 2 6 6" xfId="12455" xr:uid="{00000000-0005-0000-0000-0000A9700000}"/>
    <cellStyle name="40 % - Markeringsfarve4 2 6 6 2" xfId="28775" xr:uid="{00000000-0005-0000-0000-0000AA700000}"/>
    <cellStyle name="40 % - Markeringsfarve4 2 6 6 3" xfId="43740" xr:uid="{00000000-0005-0000-0000-0000AB700000}"/>
    <cellStyle name="40 % - Markeringsfarve4 2 6 7" xfId="21753" xr:uid="{00000000-0005-0000-0000-0000AC700000}"/>
    <cellStyle name="40 % - Markeringsfarve4 2 6 8" xfId="36741" xr:uid="{00000000-0005-0000-0000-0000AD700000}"/>
    <cellStyle name="40 % - Markeringsfarve4 2 7" xfId="3900" xr:uid="{00000000-0005-0000-0000-0000AE700000}"/>
    <cellStyle name="40 % - Markeringsfarve4 2 7 2" xfId="3901" xr:uid="{00000000-0005-0000-0000-0000AF700000}"/>
    <cellStyle name="40 % - Markeringsfarve4 2 7 2 2" xfId="3902" xr:uid="{00000000-0005-0000-0000-0000B0700000}"/>
    <cellStyle name="40 % - Markeringsfarve4 2 7 2 2 2" xfId="7935" xr:uid="{00000000-0005-0000-0000-0000B1700000}"/>
    <cellStyle name="40 % - Markeringsfarve4 2 7 2 2 2 2" xfId="15837" xr:uid="{00000000-0005-0000-0000-0000B2700000}"/>
    <cellStyle name="40 % - Markeringsfarve4 2 7 2 2 2 2 2" xfId="32152" xr:uid="{00000000-0005-0000-0000-0000B3700000}"/>
    <cellStyle name="40 % - Markeringsfarve4 2 7 2 2 2 2 3" xfId="47116" xr:uid="{00000000-0005-0000-0000-0000B4700000}"/>
    <cellStyle name="40 % - Markeringsfarve4 2 7 2 2 2 3" xfId="25130" xr:uid="{00000000-0005-0000-0000-0000B5700000}"/>
    <cellStyle name="40 % - Markeringsfarve4 2 7 2 2 2 4" xfId="40117" xr:uid="{00000000-0005-0000-0000-0000B6700000}"/>
    <cellStyle name="40 % - Markeringsfarve4 2 7 2 2 3" xfId="12462" xr:uid="{00000000-0005-0000-0000-0000B7700000}"/>
    <cellStyle name="40 % - Markeringsfarve4 2 7 2 2 3 2" xfId="28782" xr:uid="{00000000-0005-0000-0000-0000B8700000}"/>
    <cellStyle name="40 % - Markeringsfarve4 2 7 2 2 3 3" xfId="43747" xr:uid="{00000000-0005-0000-0000-0000B9700000}"/>
    <cellStyle name="40 % - Markeringsfarve4 2 7 2 2 4" xfId="21760" xr:uid="{00000000-0005-0000-0000-0000BA700000}"/>
    <cellStyle name="40 % - Markeringsfarve4 2 7 2 2 5" xfId="36748" xr:uid="{00000000-0005-0000-0000-0000BB700000}"/>
    <cellStyle name="40 % - Markeringsfarve4 2 7 2 3" xfId="6459" xr:uid="{00000000-0005-0000-0000-0000BC700000}"/>
    <cellStyle name="40 % - Markeringsfarve4 2 7 2 3 2" xfId="14374" xr:uid="{00000000-0005-0000-0000-0000BD700000}"/>
    <cellStyle name="40 % - Markeringsfarve4 2 7 2 3 2 2" xfId="30689" xr:uid="{00000000-0005-0000-0000-0000BE700000}"/>
    <cellStyle name="40 % - Markeringsfarve4 2 7 2 3 2 3" xfId="45653" xr:uid="{00000000-0005-0000-0000-0000BF700000}"/>
    <cellStyle name="40 % - Markeringsfarve4 2 7 2 3 3" xfId="23667" xr:uid="{00000000-0005-0000-0000-0000C0700000}"/>
    <cellStyle name="40 % - Markeringsfarve4 2 7 2 3 4" xfId="38654" xr:uid="{00000000-0005-0000-0000-0000C1700000}"/>
    <cellStyle name="40 % - Markeringsfarve4 2 7 2 4" xfId="12461" xr:uid="{00000000-0005-0000-0000-0000C2700000}"/>
    <cellStyle name="40 % - Markeringsfarve4 2 7 2 4 2" xfId="28781" xr:uid="{00000000-0005-0000-0000-0000C3700000}"/>
    <cellStyle name="40 % - Markeringsfarve4 2 7 2 4 3" xfId="43746" xr:uid="{00000000-0005-0000-0000-0000C4700000}"/>
    <cellStyle name="40 % - Markeringsfarve4 2 7 2 5" xfId="21759" xr:uid="{00000000-0005-0000-0000-0000C5700000}"/>
    <cellStyle name="40 % - Markeringsfarve4 2 7 2 6" xfId="36747" xr:uid="{00000000-0005-0000-0000-0000C6700000}"/>
    <cellStyle name="40 % - Markeringsfarve4 2 7 3" xfId="3903" xr:uid="{00000000-0005-0000-0000-0000C7700000}"/>
    <cellStyle name="40 % - Markeringsfarve4 2 7 3 2" xfId="7211" xr:uid="{00000000-0005-0000-0000-0000C8700000}"/>
    <cellStyle name="40 % - Markeringsfarve4 2 7 3 2 2" xfId="15122" xr:uid="{00000000-0005-0000-0000-0000C9700000}"/>
    <cellStyle name="40 % - Markeringsfarve4 2 7 3 2 2 2" xfId="31437" xr:uid="{00000000-0005-0000-0000-0000CA700000}"/>
    <cellStyle name="40 % - Markeringsfarve4 2 7 3 2 2 3" xfId="46401" xr:uid="{00000000-0005-0000-0000-0000CB700000}"/>
    <cellStyle name="40 % - Markeringsfarve4 2 7 3 2 3" xfId="24415" xr:uid="{00000000-0005-0000-0000-0000CC700000}"/>
    <cellStyle name="40 % - Markeringsfarve4 2 7 3 2 4" xfId="39402" xr:uid="{00000000-0005-0000-0000-0000CD700000}"/>
    <cellStyle name="40 % - Markeringsfarve4 2 7 3 3" xfId="12463" xr:uid="{00000000-0005-0000-0000-0000CE700000}"/>
    <cellStyle name="40 % - Markeringsfarve4 2 7 3 3 2" xfId="28783" xr:uid="{00000000-0005-0000-0000-0000CF700000}"/>
    <cellStyle name="40 % - Markeringsfarve4 2 7 3 3 3" xfId="43748" xr:uid="{00000000-0005-0000-0000-0000D0700000}"/>
    <cellStyle name="40 % - Markeringsfarve4 2 7 3 4" xfId="21761" xr:uid="{00000000-0005-0000-0000-0000D1700000}"/>
    <cellStyle name="40 % - Markeringsfarve4 2 7 3 5" xfId="36749" xr:uid="{00000000-0005-0000-0000-0000D2700000}"/>
    <cellStyle name="40 % - Markeringsfarve4 2 7 4" xfId="3904" xr:uid="{00000000-0005-0000-0000-0000D3700000}"/>
    <cellStyle name="40 % - Markeringsfarve4 2 7 4 2" xfId="8176" xr:uid="{00000000-0005-0000-0000-0000D4700000}"/>
    <cellStyle name="40 % - Markeringsfarve4 2 7 4 2 2" xfId="16074" xr:uid="{00000000-0005-0000-0000-0000D5700000}"/>
    <cellStyle name="40 % - Markeringsfarve4 2 7 4 2 2 2" xfId="32389" xr:uid="{00000000-0005-0000-0000-0000D6700000}"/>
    <cellStyle name="40 % - Markeringsfarve4 2 7 4 2 2 3" xfId="47353" xr:uid="{00000000-0005-0000-0000-0000D7700000}"/>
    <cellStyle name="40 % - Markeringsfarve4 2 7 4 2 3" xfId="25367" xr:uid="{00000000-0005-0000-0000-0000D8700000}"/>
    <cellStyle name="40 % - Markeringsfarve4 2 7 4 2 4" xfId="40354" xr:uid="{00000000-0005-0000-0000-0000D9700000}"/>
    <cellStyle name="40 % - Markeringsfarve4 2 7 4 3" xfId="12464" xr:uid="{00000000-0005-0000-0000-0000DA700000}"/>
    <cellStyle name="40 % - Markeringsfarve4 2 7 4 3 2" xfId="28784" xr:uid="{00000000-0005-0000-0000-0000DB700000}"/>
    <cellStyle name="40 % - Markeringsfarve4 2 7 4 3 3" xfId="43749" xr:uid="{00000000-0005-0000-0000-0000DC700000}"/>
    <cellStyle name="40 % - Markeringsfarve4 2 7 4 4" xfId="21762" xr:uid="{00000000-0005-0000-0000-0000DD700000}"/>
    <cellStyle name="40 % - Markeringsfarve4 2 7 4 5" xfId="36750" xr:uid="{00000000-0005-0000-0000-0000DE700000}"/>
    <cellStyle name="40 % - Markeringsfarve4 2 7 5" xfId="5873" xr:uid="{00000000-0005-0000-0000-0000DF700000}"/>
    <cellStyle name="40 % - Markeringsfarve4 2 7 5 2" xfId="13792" xr:uid="{00000000-0005-0000-0000-0000E0700000}"/>
    <cellStyle name="40 % - Markeringsfarve4 2 7 5 2 2" xfId="30107" xr:uid="{00000000-0005-0000-0000-0000E1700000}"/>
    <cellStyle name="40 % - Markeringsfarve4 2 7 5 2 3" xfId="45071" xr:uid="{00000000-0005-0000-0000-0000E2700000}"/>
    <cellStyle name="40 % - Markeringsfarve4 2 7 5 3" xfId="23085" xr:uid="{00000000-0005-0000-0000-0000E3700000}"/>
    <cellStyle name="40 % - Markeringsfarve4 2 7 5 4" xfId="38072" xr:uid="{00000000-0005-0000-0000-0000E4700000}"/>
    <cellStyle name="40 % - Markeringsfarve4 2 7 6" xfId="12460" xr:uid="{00000000-0005-0000-0000-0000E5700000}"/>
    <cellStyle name="40 % - Markeringsfarve4 2 7 6 2" xfId="28780" xr:uid="{00000000-0005-0000-0000-0000E6700000}"/>
    <cellStyle name="40 % - Markeringsfarve4 2 7 6 3" xfId="43745" xr:uid="{00000000-0005-0000-0000-0000E7700000}"/>
    <cellStyle name="40 % - Markeringsfarve4 2 7 7" xfId="21758" xr:uid="{00000000-0005-0000-0000-0000E8700000}"/>
    <cellStyle name="40 % - Markeringsfarve4 2 7 8" xfId="36746" xr:uid="{00000000-0005-0000-0000-0000E9700000}"/>
    <cellStyle name="40 % - Markeringsfarve4 2 8" xfId="3905" xr:uid="{00000000-0005-0000-0000-0000EA700000}"/>
    <cellStyle name="40 % - Markeringsfarve4 2 8 2" xfId="3906" xr:uid="{00000000-0005-0000-0000-0000EB700000}"/>
    <cellStyle name="40 % - Markeringsfarve4 2 8 2 2" xfId="3907" xr:uid="{00000000-0005-0000-0000-0000EC700000}"/>
    <cellStyle name="40 % - Markeringsfarve4 2 8 2 2 2" xfId="8101" xr:uid="{00000000-0005-0000-0000-0000ED700000}"/>
    <cellStyle name="40 % - Markeringsfarve4 2 8 2 2 2 2" xfId="16003" xr:uid="{00000000-0005-0000-0000-0000EE700000}"/>
    <cellStyle name="40 % - Markeringsfarve4 2 8 2 2 2 2 2" xfId="32318" xr:uid="{00000000-0005-0000-0000-0000EF700000}"/>
    <cellStyle name="40 % - Markeringsfarve4 2 8 2 2 2 2 3" xfId="47282" xr:uid="{00000000-0005-0000-0000-0000F0700000}"/>
    <cellStyle name="40 % - Markeringsfarve4 2 8 2 2 2 3" xfId="25296" xr:uid="{00000000-0005-0000-0000-0000F1700000}"/>
    <cellStyle name="40 % - Markeringsfarve4 2 8 2 2 2 4" xfId="40283" xr:uid="{00000000-0005-0000-0000-0000F2700000}"/>
    <cellStyle name="40 % - Markeringsfarve4 2 8 2 2 3" xfId="12467" xr:uid="{00000000-0005-0000-0000-0000F3700000}"/>
    <cellStyle name="40 % - Markeringsfarve4 2 8 2 2 3 2" xfId="28787" xr:uid="{00000000-0005-0000-0000-0000F4700000}"/>
    <cellStyle name="40 % - Markeringsfarve4 2 8 2 2 3 3" xfId="43752" xr:uid="{00000000-0005-0000-0000-0000F5700000}"/>
    <cellStyle name="40 % - Markeringsfarve4 2 8 2 2 4" xfId="21765" xr:uid="{00000000-0005-0000-0000-0000F6700000}"/>
    <cellStyle name="40 % - Markeringsfarve4 2 8 2 2 5" xfId="36753" xr:uid="{00000000-0005-0000-0000-0000F7700000}"/>
    <cellStyle name="40 % - Markeringsfarve4 2 8 2 3" xfId="6594" xr:uid="{00000000-0005-0000-0000-0000F8700000}"/>
    <cellStyle name="40 % - Markeringsfarve4 2 8 2 3 2" xfId="14509" xr:uid="{00000000-0005-0000-0000-0000F9700000}"/>
    <cellStyle name="40 % - Markeringsfarve4 2 8 2 3 2 2" xfId="30824" xr:uid="{00000000-0005-0000-0000-0000FA700000}"/>
    <cellStyle name="40 % - Markeringsfarve4 2 8 2 3 2 3" xfId="45788" xr:uid="{00000000-0005-0000-0000-0000FB700000}"/>
    <cellStyle name="40 % - Markeringsfarve4 2 8 2 3 3" xfId="23802" xr:uid="{00000000-0005-0000-0000-0000FC700000}"/>
    <cellStyle name="40 % - Markeringsfarve4 2 8 2 3 4" xfId="38789" xr:uid="{00000000-0005-0000-0000-0000FD700000}"/>
    <cellStyle name="40 % - Markeringsfarve4 2 8 2 4" xfId="12466" xr:uid="{00000000-0005-0000-0000-0000FE700000}"/>
    <cellStyle name="40 % - Markeringsfarve4 2 8 2 4 2" xfId="28786" xr:uid="{00000000-0005-0000-0000-0000FF700000}"/>
    <cellStyle name="40 % - Markeringsfarve4 2 8 2 4 3" xfId="43751" xr:uid="{00000000-0005-0000-0000-000000710000}"/>
    <cellStyle name="40 % - Markeringsfarve4 2 8 2 5" xfId="21764" xr:uid="{00000000-0005-0000-0000-000001710000}"/>
    <cellStyle name="40 % - Markeringsfarve4 2 8 2 6" xfId="36752" xr:uid="{00000000-0005-0000-0000-000002710000}"/>
    <cellStyle name="40 % - Markeringsfarve4 2 8 3" xfId="3908" xr:uid="{00000000-0005-0000-0000-000003710000}"/>
    <cellStyle name="40 % - Markeringsfarve4 2 8 3 2" xfId="7378" xr:uid="{00000000-0005-0000-0000-000004710000}"/>
    <cellStyle name="40 % - Markeringsfarve4 2 8 3 2 2" xfId="15289" xr:uid="{00000000-0005-0000-0000-000005710000}"/>
    <cellStyle name="40 % - Markeringsfarve4 2 8 3 2 2 2" xfId="31604" xr:uid="{00000000-0005-0000-0000-000006710000}"/>
    <cellStyle name="40 % - Markeringsfarve4 2 8 3 2 2 3" xfId="46568" xr:uid="{00000000-0005-0000-0000-000007710000}"/>
    <cellStyle name="40 % - Markeringsfarve4 2 8 3 2 3" xfId="24582" xr:uid="{00000000-0005-0000-0000-000008710000}"/>
    <cellStyle name="40 % - Markeringsfarve4 2 8 3 2 4" xfId="39569" xr:uid="{00000000-0005-0000-0000-000009710000}"/>
    <cellStyle name="40 % - Markeringsfarve4 2 8 3 3" xfId="12468" xr:uid="{00000000-0005-0000-0000-00000A710000}"/>
    <cellStyle name="40 % - Markeringsfarve4 2 8 3 3 2" xfId="28788" xr:uid="{00000000-0005-0000-0000-00000B710000}"/>
    <cellStyle name="40 % - Markeringsfarve4 2 8 3 3 3" xfId="43753" xr:uid="{00000000-0005-0000-0000-00000C710000}"/>
    <cellStyle name="40 % - Markeringsfarve4 2 8 3 4" xfId="21766" xr:uid="{00000000-0005-0000-0000-00000D710000}"/>
    <cellStyle name="40 % - Markeringsfarve4 2 8 3 5" xfId="36754" xr:uid="{00000000-0005-0000-0000-00000E710000}"/>
    <cellStyle name="40 % - Markeringsfarve4 2 8 4" xfId="3909" xr:uid="{00000000-0005-0000-0000-00000F710000}"/>
    <cellStyle name="40 % - Markeringsfarve4 2 8 4 2" xfId="6650" xr:uid="{00000000-0005-0000-0000-000010710000}"/>
    <cellStyle name="40 % - Markeringsfarve4 2 8 4 2 2" xfId="14564" xr:uid="{00000000-0005-0000-0000-000011710000}"/>
    <cellStyle name="40 % - Markeringsfarve4 2 8 4 2 2 2" xfId="30879" xr:uid="{00000000-0005-0000-0000-000012710000}"/>
    <cellStyle name="40 % - Markeringsfarve4 2 8 4 2 2 3" xfId="45843" xr:uid="{00000000-0005-0000-0000-000013710000}"/>
    <cellStyle name="40 % - Markeringsfarve4 2 8 4 2 3" xfId="23857" xr:uid="{00000000-0005-0000-0000-000014710000}"/>
    <cellStyle name="40 % - Markeringsfarve4 2 8 4 2 4" xfId="38844" xr:uid="{00000000-0005-0000-0000-000015710000}"/>
    <cellStyle name="40 % - Markeringsfarve4 2 8 4 3" xfId="12469" xr:uid="{00000000-0005-0000-0000-000016710000}"/>
    <cellStyle name="40 % - Markeringsfarve4 2 8 4 3 2" xfId="28789" xr:uid="{00000000-0005-0000-0000-000017710000}"/>
    <cellStyle name="40 % - Markeringsfarve4 2 8 4 3 3" xfId="43754" xr:uid="{00000000-0005-0000-0000-000018710000}"/>
    <cellStyle name="40 % - Markeringsfarve4 2 8 4 4" xfId="21767" xr:uid="{00000000-0005-0000-0000-000019710000}"/>
    <cellStyle name="40 % - Markeringsfarve4 2 8 4 5" xfId="36755" xr:uid="{00000000-0005-0000-0000-00001A710000}"/>
    <cellStyle name="40 % - Markeringsfarve4 2 8 5" xfId="5874" xr:uid="{00000000-0005-0000-0000-00001B710000}"/>
    <cellStyle name="40 % - Markeringsfarve4 2 8 5 2" xfId="13793" xr:uid="{00000000-0005-0000-0000-00001C710000}"/>
    <cellStyle name="40 % - Markeringsfarve4 2 8 5 2 2" xfId="30108" xr:uid="{00000000-0005-0000-0000-00001D710000}"/>
    <cellStyle name="40 % - Markeringsfarve4 2 8 5 2 3" xfId="45072" xr:uid="{00000000-0005-0000-0000-00001E710000}"/>
    <cellStyle name="40 % - Markeringsfarve4 2 8 5 3" xfId="23086" xr:uid="{00000000-0005-0000-0000-00001F710000}"/>
    <cellStyle name="40 % - Markeringsfarve4 2 8 5 4" xfId="38073" xr:uid="{00000000-0005-0000-0000-000020710000}"/>
    <cellStyle name="40 % - Markeringsfarve4 2 8 6" xfId="12465" xr:uid="{00000000-0005-0000-0000-000021710000}"/>
    <cellStyle name="40 % - Markeringsfarve4 2 8 6 2" xfId="28785" xr:uid="{00000000-0005-0000-0000-000022710000}"/>
    <cellStyle name="40 % - Markeringsfarve4 2 8 6 3" xfId="43750" xr:uid="{00000000-0005-0000-0000-000023710000}"/>
    <cellStyle name="40 % - Markeringsfarve4 2 8 7" xfId="21763" xr:uid="{00000000-0005-0000-0000-000024710000}"/>
    <cellStyle name="40 % - Markeringsfarve4 2 8 8" xfId="36751" xr:uid="{00000000-0005-0000-0000-000025710000}"/>
    <cellStyle name="40 % - Markeringsfarve4 2 9" xfId="3910" xr:uid="{00000000-0005-0000-0000-000026710000}"/>
    <cellStyle name="40 % - Markeringsfarve4 2 9 2" xfId="3911" xr:uid="{00000000-0005-0000-0000-000027710000}"/>
    <cellStyle name="40 % - Markeringsfarve4 2 9 2 2" xfId="7461" xr:uid="{00000000-0005-0000-0000-000028710000}"/>
    <cellStyle name="40 % - Markeringsfarve4 2 9 2 2 2" xfId="15363" xr:uid="{00000000-0005-0000-0000-000029710000}"/>
    <cellStyle name="40 % - Markeringsfarve4 2 9 2 2 2 2" xfId="31678" xr:uid="{00000000-0005-0000-0000-00002A710000}"/>
    <cellStyle name="40 % - Markeringsfarve4 2 9 2 2 2 3" xfId="46642" xr:uid="{00000000-0005-0000-0000-00002B710000}"/>
    <cellStyle name="40 % - Markeringsfarve4 2 9 2 2 3" xfId="24656" xr:uid="{00000000-0005-0000-0000-00002C710000}"/>
    <cellStyle name="40 % - Markeringsfarve4 2 9 2 2 4" xfId="39643" xr:uid="{00000000-0005-0000-0000-00002D710000}"/>
    <cellStyle name="40 % - Markeringsfarve4 2 9 2 3" xfId="12471" xr:uid="{00000000-0005-0000-0000-00002E710000}"/>
    <cellStyle name="40 % - Markeringsfarve4 2 9 2 3 2" xfId="28791" xr:uid="{00000000-0005-0000-0000-00002F710000}"/>
    <cellStyle name="40 % - Markeringsfarve4 2 9 2 3 3" xfId="43756" xr:uid="{00000000-0005-0000-0000-000030710000}"/>
    <cellStyle name="40 % - Markeringsfarve4 2 9 2 4" xfId="21769" xr:uid="{00000000-0005-0000-0000-000031710000}"/>
    <cellStyle name="40 % - Markeringsfarve4 2 9 2 5" xfId="36757" xr:uid="{00000000-0005-0000-0000-000032710000}"/>
    <cellStyle name="40 % - Markeringsfarve4 2 9 3" xfId="6059" xr:uid="{00000000-0005-0000-0000-000033710000}"/>
    <cellStyle name="40 % - Markeringsfarve4 2 9 3 2" xfId="13977" xr:uid="{00000000-0005-0000-0000-000034710000}"/>
    <cellStyle name="40 % - Markeringsfarve4 2 9 3 2 2" xfId="30292" xr:uid="{00000000-0005-0000-0000-000035710000}"/>
    <cellStyle name="40 % - Markeringsfarve4 2 9 3 2 3" xfId="45256" xr:uid="{00000000-0005-0000-0000-000036710000}"/>
    <cellStyle name="40 % - Markeringsfarve4 2 9 3 3" xfId="23270" xr:uid="{00000000-0005-0000-0000-000037710000}"/>
    <cellStyle name="40 % - Markeringsfarve4 2 9 3 4" xfId="38257" xr:uid="{00000000-0005-0000-0000-000038710000}"/>
    <cellStyle name="40 % - Markeringsfarve4 2 9 4" xfId="12470" xr:uid="{00000000-0005-0000-0000-000039710000}"/>
    <cellStyle name="40 % - Markeringsfarve4 2 9 4 2" xfId="28790" xr:uid="{00000000-0005-0000-0000-00003A710000}"/>
    <cellStyle name="40 % - Markeringsfarve4 2 9 4 3" xfId="43755" xr:uid="{00000000-0005-0000-0000-00003B710000}"/>
    <cellStyle name="40 % - Markeringsfarve4 2 9 5" xfId="21768" xr:uid="{00000000-0005-0000-0000-00003C710000}"/>
    <cellStyle name="40 % - Markeringsfarve4 2 9 6" xfId="36756" xr:uid="{00000000-0005-0000-0000-00003D710000}"/>
    <cellStyle name="40 % - Markeringsfarve4 3" xfId="3912" xr:uid="{00000000-0005-0000-0000-00003E710000}"/>
    <cellStyle name="40 % - Markeringsfarve4 3 10" xfId="3913" xr:uid="{00000000-0005-0000-0000-00003F710000}"/>
    <cellStyle name="40 % - Markeringsfarve4 3 10 2" xfId="6674" xr:uid="{00000000-0005-0000-0000-000040710000}"/>
    <cellStyle name="40 % - Markeringsfarve4 3 10 2 2" xfId="14587" xr:uid="{00000000-0005-0000-0000-000041710000}"/>
    <cellStyle name="40 % - Markeringsfarve4 3 10 2 2 2" xfId="30902" xr:uid="{00000000-0005-0000-0000-000042710000}"/>
    <cellStyle name="40 % - Markeringsfarve4 3 10 2 2 3" xfId="45866" xr:uid="{00000000-0005-0000-0000-000043710000}"/>
    <cellStyle name="40 % - Markeringsfarve4 3 10 2 3" xfId="23880" xr:uid="{00000000-0005-0000-0000-000044710000}"/>
    <cellStyle name="40 % - Markeringsfarve4 3 10 2 4" xfId="38867" xr:uid="{00000000-0005-0000-0000-000045710000}"/>
    <cellStyle name="40 % - Markeringsfarve4 3 10 3" xfId="12473" xr:uid="{00000000-0005-0000-0000-000046710000}"/>
    <cellStyle name="40 % - Markeringsfarve4 3 10 3 2" xfId="28793" xr:uid="{00000000-0005-0000-0000-000047710000}"/>
    <cellStyle name="40 % - Markeringsfarve4 3 10 3 3" xfId="43758" xr:uid="{00000000-0005-0000-0000-000048710000}"/>
    <cellStyle name="40 % - Markeringsfarve4 3 10 4" xfId="21771" xr:uid="{00000000-0005-0000-0000-000049710000}"/>
    <cellStyle name="40 % - Markeringsfarve4 3 10 5" xfId="36759" xr:uid="{00000000-0005-0000-0000-00004A710000}"/>
    <cellStyle name="40 % - Markeringsfarve4 3 11" xfId="3914" xr:uid="{00000000-0005-0000-0000-00004B710000}"/>
    <cellStyle name="40 % - Markeringsfarve4 3 11 2" xfId="8476" xr:uid="{00000000-0005-0000-0000-00004C710000}"/>
    <cellStyle name="40 % - Markeringsfarve4 3 11 2 2" xfId="16365" xr:uid="{00000000-0005-0000-0000-00004D710000}"/>
    <cellStyle name="40 % - Markeringsfarve4 3 11 2 2 2" xfId="32680" xr:uid="{00000000-0005-0000-0000-00004E710000}"/>
    <cellStyle name="40 % - Markeringsfarve4 3 11 2 2 3" xfId="47644" xr:uid="{00000000-0005-0000-0000-00004F710000}"/>
    <cellStyle name="40 % - Markeringsfarve4 3 11 2 3" xfId="25658" xr:uid="{00000000-0005-0000-0000-000050710000}"/>
    <cellStyle name="40 % - Markeringsfarve4 3 11 2 4" xfId="40645" xr:uid="{00000000-0005-0000-0000-000051710000}"/>
    <cellStyle name="40 % - Markeringsfarve4 3 11 3" xfId="12474" xr:uid="{00000000-0005-0000-0000-000052710000}"/>
    <cellStyle name="40 % - Markeringsfarve4 3 11 3 2" xfId="28794" xr:uid="{00000000-0005-0000-0000-000053710000}"/>
    <cellStyle name="40 % - Markeringsfarve4 3 11 3 3" xfId="43759" xr:uid="{00000000-0005-0000-0000-000054710000}"/>
    <cellStyle name="40 % - Markeringsfarve4 3 11 4" xfId="21772" xr:uid="{00000000-0005-0000-0000-000055710000}"/>
    <cellStyle name="40 % - Markeringsfarve4 3 11 5" xfId="36760" xr:uid="{00000000-0005-0000-0000-000056710000}"/>
    <cellStyle name="40 % - Markeringsfarve4 3 12" xfId="5875" xr:uid="{00000000-0005-0000-0000-000057710000}"/>
    <cellStyle name="40 % - Markeringsfarve4 3 12 2" xfId="13794" xr:uid="{00000000-0005-0000-0000-000058710000}"/>
    <cellStyle name="40 % - Markeringsfarve4 3 12 2 2" xfId="30109" xr:uid="{00000000-0005-0000-0000-000059710000}"/>
    <cellStyle name="40 % - Markeringsfarve4 3 12 2 3" xfId="45073" xr:uid="{00000000-0005-0000-0000-00005A710000}"/>
    <cellStyle name="40 % - Markeringsfarve4 3 12 3" xfId="23087" xr:uid="{00000000-0005-0000-0000-00005B710000}"/>
    <cellStyle name="40 % - Markeringsfarve4 3 12 4" xfId="38074" xr:uid="{00000000-0005-0000-0000-00005C710000}"/>
    <cellStyle name="40 % - Markeringsfarve4 3 13" xfId="12472" xr:uid="{00000000-0005-0000-0000-00005D710000}"/>
    <cellStyle name="40 % - Markeringsfarve4 3 13 2" xfId="28792" xr:uid="{00000000-0005-0000-0000-00005E710000}"/>
    <cellStyle name="40 % - Markeringsfarve4 3 13 3" xfId="43757" xr:uid="{00000000-0005-0000-0000-00005F710000}"/>
    <cellStyle name="40 % - Markeringsfarve4 3 14" xfId="21770" xr:uid="{00000000-0005-0000-0000-000060710000}"/>
    <cellStyle name="40 % - Markeringsfarve4 3 15" xfId="36758" xr:uid="{00000000-0005-0000-0000-000061710000}"/>
    <cellStyle name="40 % - Markeringsfarve4 3 16" xfId="53330" xr:uid="{00000000-0005-0000-0000-000062710000}"/>
    <cellStyle name="40 % - Markeringsfarve4 3 2" xfId="3915" xr:uid="{00000000-0005-0000-0000-000063710000}"/>
    <cellStyle name="40 % - Markeringsfarve4 3 2 10" xfId="5876" xr:uid="{00000000-0005-0000-0000-000064710000}"/>
    <cellStyle name="40 % - Markeringsfarve4 3 2 10 2" xfId="13795" xr:uid="{00000000-0005-0000-0000-000065710000}"/>
    <cellStyle name="40 % - Markeringsfarve4 3 2 10 2 2" xfId="30110" xr:uid="{00000000-0005-0000-0000-000066710000}"/>
    <cellStyle name="40 % - Markeringsfarve4 3 2 10 2 3" xfId="45074" xr:uid="{00000000-0005-0000-0000-000067710000}"/>
    <cellStyle name="40 % - Markeringsfarve4 3 2 10 3" xfId="23088" xr:uid="{00000000-0005-0000-0000-000068710000}"/>
    <cellStyle name="40 % - Markeringsfarve4 3 2 10 4" xfId="38075" xr:uid="{00000000-0005-0000-0000-000069710000}"/>
    <cellStyle name="40 % - Markeringsfarve4 3 2 11" xfId="12475" xr:uid="{00000000-0005-0000-0000-00006A710000}"/>
    <cellStyle name="40 % - Markeringsfarve4 3 2 11 2" xfId="28795" xr:uid="{00000000-0005-0000-0000-00006B710000}"/>
    <cellStyle name="40 % - Markeringsfarve4 3 2 11 3" xfId="43760" xr:uid="{00000000-0005-0000-0000-00006C710000}"/>
    <cellStyle name="40 % - Markeringsfarve4 3 2 12" xfId="21773" xr:uid="{00000000-0005-0000-0000-00006D710000}"/>
    <cellStyle name="40 % - Markeringsfarve4 3 2 13" xfId="36761" xr:uid="{00000000-0005-0000-0000-00006E710000}"/>
    <cellStyle name="40 % - Markeringsfarve4 3 2 14" xfId="53967" xr:uid="{00000000-0005-0000-0000-00006F710000}"/>
    <cellStyle name="40 % - Markeringsfarve4 3 2 2" xfId="3916" xr:uid="{00000000-0005-0000-0000-000070710000}"/>
    <cellStyle name="40 % - Markeringsfarve4 3 2 2 2" xfId="3917" xr:uid="{00000000-0005-0000-0000-000071710000}"/>
    <cellStyle name="40 % - Markeringsfarve4 3 2 2 2 2" xfId="3918" xr:uid="{00000000-0005-0000-0000-000072710000}"/>
    <cellStyle name="40 % - Markeringsfarve4 3 2 2 2 2 2" xfId="7607" xr:uid="{00000000-0005-0000-0000-000073710000}"/>
    <cellStyle name="40 % - Markeringsfarve4 3 2 2 2 2 2 2" xfId="15509" xr:uid="{00000000-0005-0000-0000-000074710000}"/>
    <cellStyle name="40 % - Markeringsfarve4 3 2 2 2 2 2 2 2" xfId="31824" xr:uid="{00000000-0005-0000-0000-000075710000}"/>
    <cellStyle name="40 % - Markeringsfarve4 3 2 2 2 2 2 2 3" xfId="46788" xr:uid="{00000000-0005-0000-0000-000076710000}"/>
    <cellStyle name="40 % - Markeringsfarve4 3 2 2 2 2 2 3" xfId="24802" xr:uid="{00000000-0005-0000-0000-000077710000}"/>
    <cellStyle name="40 % - Markeringsfarve4 3 2 2 2 2 2 4" xfId="39789" xr:uid="{00000000-0005-0000-0000-000078710000}"/>
    <cellStyle name="40 % - Markeringsfarve4 3 2 2 2 2 3" xfId="12478" xr:uid="{00000000-0005-0000-0000-000079710000}"/>
    <cellStyle name="40 % - Markeringsfarve4 3 2 2 2 2 3 2" xfId="28798" xr:uid="{00000000-0005-0000-0000-00007A710000}"/>
    <cellStyle name="40 % - Markeringsfarve4 3 2 2 2 2 3 3" xfId="43763" xr:uid="{00000000-0005-0000-0000-00007B710000}"/>
    <cellStyle name="40 % - Markeringsfarve4 3 2 2 2 2 4" xfId="21776" xr:uid="{00000000-0005-0000-0000-00007C710000}"/>
    <cellStyle name="40 % - Markeringsfarve4 3 2 2 2 2 5" xfId="36764" xr:uid="{00000000-0005-0000-0000-00007D710000}"/>
    <cellStyle name="40 % - Markeringsfarve4 3 2 2 2 3" xfId="6181" xr:uid="{00000000-0005-0000-0000-00007E710000}"/>
    <cellStyle name="40 % - Markeringsfarve4 3 2 2 2 3 2" xfId="14099" xr:uid="{00000000-0005-0000-0000-00007F710000}"/>
    <cellStyle name="40 % - Markeringsfarve4 3 2 2 2 3 2 2" xfId="30414" xr:uid="{00000000-0005-0000-0000-000080710000}"/>
    <cellStyle name="40 % - Markeringsfarve4 3 2 2 2 3 2 3" xfId="45378" xr:uid="{00000000-0005-0000-0000-000081710000}"/>
    <cellStyle name="40 % - Markeringsfarve4 3 2 2 2 3 3" xfId="23392" xr:uid="{00000000-0005-0000-0000-000082710000}"/>
    <cellStyle name="40 % - Markeringsfarve4 3 2 2 2 3 4" xfId="38379" xr:uid="{00000000-0005-0000-0000-000083710000}"/>
    <cellStyle name="40 % - Markeringsfarve4 3 2 2 2 4" xfId="12477" xr:uid="{00000000-0005-0000-0000-000084710000}"/>
    <cellStyle name="40 % - Markeringsfarve4 3 2 2 2 4 2" xfId="28797" xr:uid="{00000000-0005-0000-0000-000085710000}"/>
    <cellStyle name="40 % - Markeringsfarve4 3 2 2 2 4 3" xfId="43762" xr:uid="{00000000-0005-0000-0000-000086710000}"/>
    <cellStyle name="40 % - Markeringsfarve4 3 2 2 2 5" xfId="21775" xr:uid="{00000000-0005-0000-0000-000087710000}"/>
    <cellStyle name="40 % - Markeringsfarve4 3 2 2 2 6" xfId="36763" xr:uid="{00000000-0005-0000-0000-000088710000}"/>
    <cellStyle name="40 % - Markeringsfarve4 3 2 2 3" xfId="3919" xr:uid="{00000000-0005-0000-0000-000089710000}"/>
    <cellStyle name="40 % - Markeringsfarve4 3 2 2 3 2" xfId="6837" xr:uid="{00000000-0005-0000-0000-00008A710000}"/>
    <cellStyle name="40 % - Markeringsfarve4 3 2 2 3 2 2" xfId="14749" xr:uid="{00000000-0005-0000-0000-00008B710000}"/>
    <cellStyle name="40 % - Markeringsfarve4 3 2 2 3 2 2 2" xfId="31064" xr:uid="{00000000-0005-0000-0000-00008C710000}"/>
    <cellStyle name="40 % - Markeringsfarve4 3 2 2 3 2 2 3" xfId="46028" xr:uid="{00000000-0005-0000-0000-00008D710000}"/>
    <cellStyle name="40 % - Markeringsfarve4 3 2 2 3 2 3" xfId="24042" xr:uid="{00000000-0005-0000-0000-00008E710000}"/>
    <cellStyle name="40 % - Markeringsfarve4 3 2 2 3 2 4" xfId="39029" xr:uid="{00000000-0005-0000-0000-00008F710000}"/>
    <cellStyle name="40 % - Markeringsfarve4 3 2 2 3 3" xfId="12479" xr:uid="{00000000-0005-0000-0000-000090710000}"/>
    <cellStyle name="40 % - Markeringsfarve4 3 2 2 3 3 2" xfId="28799" xr:uid="{00000000-0005-0000-0000-000091710000}"/>
    <cellStyle name="40 % - Markeringsfarve4 3 2 2 3 3 3" xfId="43764" xr:uid="{00000000-0005-0000-0000-000092710000}"/>
    <cellStyle name="40 % - Markeringsfarve4 3 2 2 3 4" xfId="21777" xr:uid="{00000000-0005-0000-0000-000093710000}"/>
    <cellStyle name="40 % - Markeringsfarve4 3 2 2 3 5" xfId="36765" xr:uid="{00000000-0005-0000-0000-000094710000}"/>
    <cellStyle name="40 % - Markeringsfarve4 3 2 2 4" xfId="3920" xr:uid="{00000000-0005-0000-0000-000095710000}"/>
    <cellStyle name="40 % - Markeringsfarve4 3 2 2 4 2" xfId="8425" xr:uid="{00000000-0005-0000-0000-000096710000}"/>
    <cellStyle name="40 % - Markeringsfarve4 3 2 2 4 2 2" xfId="16315" xr:uid="{00000000-0005-0000-0000-000097710000}"/>
    <cellStyle name="40 % - Markeringsfarve4 3 2 2 4 2 2 2" xfId="32630" xr:uid="{00000000-0005-0000-0000-000098710000}"/>
    <cellStyle name="40 % - Markeringsfarve4 3 2 2 4 2 2 3" xfId="47594" xr:uid="{00000000-0005-0000-0000-000099710000}"/>
    <cellStyle name="40 % - Markeringsfarve4 3 2 2 4 2 3" xfId="25608" xr:uid="{00000000-0005-0000-0000-00009A710000}"/>
    <cellStyle name="40 % - Markeringsfarve4 3 2 2 4 2 4" xfId="40595" xr:uid="{00000000-0005-0000-0000-00009B710000}"/>
    <cellStyle name="40 % - Markeringsfarve4 3 2 2 4 3" xfId="12480" xr:uid="{00000000-0005-0000-0000-00009C710000}"/>
    <cellStyle name="40 % - Markeringsfarve4 3 2 2 4 3 2" xfId="28800" xr:uid="{00000000-0005-0000-0000-00009D710000}"/>
    <cellStyle name="40 % - Markeringsfarve4 3 2 2 4 3 3" xfId="43765" xr:uid="{00000000-0005-0000-0000-00009E710000}"/>
    <cellStyle name="40 % - Markeringsfarve4 3 2 2 4 4" xfId="21778" xr:uid="{00000000-0005-0000-0000-00009F710000}"/>
    <cellStyle name="40 % - Markeringsfarve4 3 2 2 4 5" xfId="36766" xr:uid="{00000000-0005-0000-0000-0000A0710000}"/>
    <cellStyle name="40 % - Markeringsfarve4 3 2 2 5" xfId="5877" xr:uid="{00000000-0005-0000-0000-0000A1710000}"/>
    <cellStyle name="40 % - Markeringsfarve4 3 2 2 5 2" xfId="13796" xr:uid="{00000000-0005-0000-0000-0000A2710000}"/>
    <cellStyle name="40 % - Markeringsfarve4 3 2 2 5 2 2" xfId="30111" xr:uid="{00000000-0005-0000-0000-0000A3710000}"/>
    <cellStyle name="40 % - Markeringsfarve4 3 2 2 5 2 3" xfId="45075" xr:uid="{00000000-0005-0000-0000-0000A4710000}"/>
    <cellStyle name="40 % - Markeringsfarve4 3 2 2 5 3" xfId="23089" xr:uid="{00000000-0005-0000-0000-0000A5710000}"/>
    <cellStyle name="40 % - Markeringsfarve4 3 2 2 5 4" xfId="38076" xr:uid="{00000000-0005-0000-0000-0000A6710000}"/>
    <cellStyle name="40 % - Markeringsfarve4 3 2 2 6" xfId="12476" xr:uid="{00000000-0005-0000-0000-0000A7710000}"/>
    <cellStyle name="40 % - Markeringsfarve4 3 2 2 6 2" xfId="28796" xr:uid="{00000000-0005-0000-0000-0000A8710000}"/>
    <cellStyle name="40 % - Markeringsfarve4 3 2 2 6 3" xfId="43761" xr:uid="{00000000-0005-0000-0000-0000A9710000}"/>
    <cellStyle name="40 % - Markeringsfarve4 3 2 2 7" xfId="21774" xr:uid="{00000000-0005-0000-0000-0000AA710000}"/>
    <cellStyle name="40 % - Markeringsfarve4 3 2 2 8" xfId="36762" xr:uid="{00000000-0005-0000-0000-0000AB710000}"/>
    <cellStyle name="40 % - Markeringsfarve4 3 2 2 9" xfId="57134" xr:uid="{00000000-0005-0000-0000-0000AC710000}"/>
    <cellStyle name="40 % - Markeringsfarve4 3 2 3" xfId="3921" xr:uid="{00000000-0005-0000-0000-0000AD710000}"/>
    <cellStyle name="40 % - Markeringsfarve4 3 2 3 2" xfId="3922" xr:uid="{00000000-0005-0000-0000-0000AE710000}"/>
    <cellStyle name="40 % - Markeringsfarve4 3 2 3 2 2" xfId="3923" xr:uid="{00000000-0005-0000-0000-0000AF710000}"/>
    <cellStyle name="40 % - Markeringsfarve4 3 2 3 2 2 2" xfId="7751" xr:uid="{00000000-0005-0000-0000-0000B0710000}"/>
    <cellStyle name="40 % - Markeringsfarve4 3 2 3 2 2 2 2" xfId="15653" xr:uid="{00000000-0005-0000-0000-0000B1710000}"/>
    <cellStyle name="40 % - Markeringsfarve4 3 2 3 2 2 2 2 2" xfId="31968" xr:uid="{00000000-0005-0000-0000-0000B2710000}"/>
    <cellStyle name="40 % - Markeringsfarve4 3 2 3 2 2 2 2 3" xfId="46932" xr:uid="{00000000-0005-0000-0000-0000B3710000}"/>
    <cellStyle name="40 % - Markeringsfarve4 3 2 3 2 2 2 3" xfId="24946" xr:uid="{00000000-0005-0000-0000-0000B4710000}"/>
    <cellStyle name="40 % - Markeringsfarve4 3 2 3 2 2 2 4" xfId="39933" xr:uid="{00000000-0005-0000-0000-0000B5710000}"/>
    <cellStyle name="40 % - Markeringsfarve4 3 2 3 2 2 3" xfId="12483" xr:uid="{00000000-0005-0000-0000-0000B6710000}"/>
    <cellStyle name="40 % - Markeringsfarve4 3 2 3 2 2 3 2" xfId="28803" xr:uid="{00000000-0005-0000-0000-0000B7710000}"/>
    <cellStyle name="40 % - Markeringsfarve4 3 2 3 2 2 3 3" xfId="43768" xr:uid="{00000000-0005-0000-0000-0000B8710000}"/>
    <cellStyle name="40 % - Markeringsfarve4 3 2 3 2 2 4" xfId="21781" xr:uid="{00000000-0005-0000-0000-0000B9710000}"/>
    <cellStyle name="40 % - Markeringsfarve4 3 2 3 2 2 5" xfId="36769" xr:uid="{00000000-0005-0000-0000-0000BA710000}"/>
    <cellStyle name="40 % - Markeringsfarve4 3 2 3 2 3" xfId="6297" xr:uid="{00000000-0005-0000-0000-0000BB710000}"/>
    <cellStyle name="40 % - Markeringsfarve4 3 2 3 2 3 2" xfId="14215" xr:uid="{00000000-0005-0000-0000-0000BC710000}"/>
    <cellStyle name="40 % - Markeringsfarve4 3 2 3 2 3 2 2" xfId="30530" xr:uid="{00000000-0005-0000-0000-0000BD710000}"/>
    <cellStyle name="40 % - Markeringsfarve4 3 2 3 2 3 2 3" xfId="45494" xr:uid="{00000000-0005-0000-0000-0000BE710000}"/>
    <cellStyle name="40 % - Markeringsfarve4 3 2 3 2 3 3" xfId="23508" xr:uid="{00000000-0005-0000-0000-0000BF710000}"/>
    <cellStyle name="40 % - Markeringsfarve4 3 2 3 2 3 4" xfId="38495" xr:uid="{00000000-0005-0000-0000-0000C0710000}"/>
    <cellStyle name="40 % - Markeringsfarve4 3 2 3 2 4" xfId="12482" xr:uid="{00000000-0005-0000-0000-0000C1710000}"/>
    <cellStyle name="40 % - Markeringsfarve4 3 2 3 2 4 2" xfId="28802" xr:uid="{00000000-0005-0000-0000-0000C2710000}"/>
    <cellStyle name="40 % - Markeringsfarve4 3 2 3 2 4 3" xfId="43767" xr:uid="{00000000-0005-0000-0000-0000C3710000}"/>
    <cellStyle name="40 % - Markeringsfarve4 3 2 3 2 5" xfId="21780" xr:uid="{00000000-0005-0000-0000-0000C4710000}"/>
    <cellStyle name="40 % - Markeringsfarve4 3 2 3 2 6" xfId="36768" xr:uid="{00000000-0005-0000-0000-0000C5710000}"/>
    <cellStyle name="40 % - Markeringsfarve4 3 2 3 3" xfId="3924" xr:uid="{00000000-0005-0000-0000-0000C6710000}"/>
    <cellStyle name="40 % - Markeringsfarve4 3 2 3 3 2" xfId="6981" xr:uid="{00000000-0005-0000-0000-0000C7710000}"/>
    <cellStyle name="40 % - Markeringsfarve4 3 2 3 3 2 2" xfId="14893" xr:uid="{00000000-0005-0000-0000-0000C8710000}"/>
    <cellStyle name="40 % - Markeringsfarve4 3 2 3 3 2 2 2" xfId="31208" xr:uid="{00000000-0005-0000-0000-0000C9710000}"/>
    <cellStyle name="40 % - Markeringsfarve4 3 2 3 3 2 2 3" xfId="46172" xr:uid="{00000000-0005-0000-0000-0000CA710000}"/>
    <cellStyle name="40 % - Markeringsfarve4 3 2 3 3 2 3" xfId="24186" xr:uid="{00000000-0005-0000-0000-0000CB710000}"/>
    <cellStyle name="40 % - Markeringsfarve4 3 2 3 3 2 4" xfId="39173" xr:uid="{00000000-0005-0000-0000-0000CC710000}"/>
    <cellStyle name="40 % - Markeringsfarve4 3 2 3 3 3" xfId="12484" xr:uid="{00000000-0005-0000-0000-0000CD710000}"/>
    <cellStyle name="40 % - Markeringsfarve4 3 2 3 3 3 2" xfId="28804" xr:uid="{00000000-0005-0000-0000-0000CE710000}"/>
    <cellStyle name="40 % - Markeringsfarve4 3 2 3 3 3 3" xfId="43769" xr:uid="{00000000-0005-0000-0000-0000CF710000}"/>
    <cellStyle name="40 % - Markeringsfarve4 3 2 3 3 4" xfId="21782" xr:uid="{00000000-0005-0000-0000-0000D0710000}"/>
    <cellStyle name="40 % - Markeringsfarve4 3 2 3 3 5" xfId="36770" xr:uid="{00000000-0005-0000-0000-0000D1710000}"/>
    <cellStyle name="40 % - Markeringsfarve4 3 2 3 4" xfId="3925" xr:uid="{00000000-0005-0000-0000-0000D2710000}"/>
    <cellStyle name="40 % - Markeringsfarve4 3 2 3 4 2" xfId="8650" xr:uid="{00000000-0005-0000-0000-0000D3710000}"/>
    <cellStyle name="40 % - Markeringsfarve4 3 2 3 4 2 2" xfId="16531" xr:uid="{00000000-0005-0000-0000-0000D4710000}"/>
    <cellStyle name="40 % - Markeringsfarve4 3 2 3 4 2 2 2" xfId="32846" xr:uid="{00000000-0005-0000-0000-0000D5710000}"/>
    <cellStyle name="40 % - Markeringsfarve4 3 2 3 4 2 2 3" xfId="47810" xr:uid="{00000000-0005-0000-0000-0000D6710000}"/>
    <cellStyle name="40 % - Markeringsfarve4 3 2 3 4 2 3" xfId="25824" xr:uid="{00000000-0005-0000-0000-0000D7710000}"/>
    <cellStyle name="40 % - Markeringsfarve4 3 2 3 4 2 4" xfId="40811" xr:uid="{00000000-0005-0000-0000-0000D8710000}"/>
    <cellStyle name="40 % - Markeringsfarve4 3 2 3 4 3" xfId="12485" xr:uid="{00000000-0005-0000-0000-0000D9710000}"/>
    <cellStyle name="40 % - Markeringsfarve4 3 2 3 4 3 2" xfId="28805" xr:uid="{00000000-0005-0000-0000-0000DA710000}"/>
    <cellStyle name="40 % - Markeringsfarve4 3 2 3 4 3 3" xfId="43770" xr:uid="{00000000-0005-0000-0000-0000DB710000}"/>
    <cellStyle name="40 % - Markeringsfarve4 3 2 3 4 4" xfId="21783" xr:uid="{00000000-0005-0000-0000-0000DC710000}"/>
    <cellStyle name="40 % - Markeringsfarve4 3 2 3 4 5" xfId="36771" xr:uid="{00000000-0005-0000-0000-0000DD710000}"/>
    <cellStyle name="40 % - Markeringsfarve4 3 2 3 5" xfId="5878" xr:uid="{00000000-0005-0000-0000-0000DE710000}"/>
    <cellStyle name="40 % - Markeringsfarve4 3 2 3 5 2" xfId="13797" xr:uid="{00000000-0005-0000-0000-0000DF710000}"/>
    <cellStyle name="40 % - Markeringsfarve4 3 2 3 5 2 2" xfId="30112" xr:uid="{00000000-0005-0000-0000-0000E0710000}"/>
    <cellStyle name="40 % - Markeringsfarve4 3 2 3 5 2 3" xfId="45076" xr:uid="{00000000-0005-0000-0000-0000E1710000}"/>
    <cellStyle name="40 % - Markeringsfarve4 3 2 3 5 3" xfId="23090" xr:uid="{00000000-0005-0000-0000-0000E2710000}"/>
    <cellStyle name="40 % - Markeringsfarve4 3 2 3 5 4" xfId="38077" xr:uid="{00000000-0005-0000-0000-0000E3710000}"/>
    <cellStyle name="40 % - Markeringsfarve4 3 2 3 6" xfId="12481" xr:uid="{00000000-0005-0000-0000-0000E4710000}"/>
    <cellStyle name="40 % - Markeringsfarve4 3 2 3 6 2" xfId="28801" xr:uid="{00000000-0005-0000-0000-0000E5710000}"/>
    <cellStyle name="40 % - Markeringsfarve4 3 2 3 6 3" xfId="43766" xr:uid="{00000000-0005-0000-0000-0000E6710000}"/>
    <cellStyle name="40 % - Markeringsfarve4 3 2 3 7" xfId="21779" xr:uid="{00000000-0005-0000-0000-0000E7710000}"/>
    <cellStyle name="40 % - Markeringsfarve4 3 2 3 8" xfId="36767" xr:uid="{00000000-0005-0000-0000-0000E8710000}"/>
    <cellStyle name="40 % - Markeringsfarve4 3 2 4" xfId="3926" xr:uid="{00000000-0005-0000-0000-0000E9710000}"/>
    <cellStyle name="40 % - Markeringsfarve4 3 2 4 2" xfId="3927" xr:uid="{00000000-0005-0000-0000-0000EA710000}"/>
    <cellStyle name="40 % - Markeringsfarve4 3 2 4 2 2" xfId="3928" xr:uid="{00000000-0005-0000-0000-0000EB710000}"/>
    <cellStyle name="40 % - Markeringsfarve4 3 2 4 2 2 2" xfId="7845" xr:uid="{00000000-0005-0000-0000-0000EC710000}"/>
    <cellStyle name="40 % - Markeringsfarve4 3 2 4 2 2 2 2" xfId="15747" xr:uid="{00000000-0005-0000-0000-0000ED710000}"/>
    <cellStyle name="40 % - Markeringsfarve4 3 2 4 2 2 2 2 2" xfId="32062" xr:uid="{00000000-0005-0000-0000-0000EE710000}"/>
    <cellStyle name="40 % - Markeringsfarve4 3 2 4 2 2 2 2 3" xfId="47026" xr:uid="{00000000-0005-0000-0000-0000EF710000}"/>
    <cellStyle name="40 % - Markeringsfarve4 3 2 4 2 2 2 3" xfId="25040" xr:uid="{00000000-0005-0000-0000-0000F0710000}"/>
    <cellStyle name="40 % - Markeringsfarve4 3 2 4 2 2 2 4" xfId="40027" xr:uid="{00000000-0005-0000-0000-0000F1710000}"/>
    <cellStyle name="40 % - Markeringsfarve4 3 2 4 2 2 3" xfId="12488" xr:uid="{00000000-0005-0000-0000-0000F2710000}"/>
    <cellStyle name="40 % - Markeringsfarve4 3 2 4 2 2 3 2" xfId="28808" xr:uid="{00000000-0005-0000-0000-0000F3710000}"/>
    <cellStyle name="40 % - Markeringsfarve4 3 2 4 2 2 3 3" xfId="43773" xr:uid="{00000000-0005-0000-0000-0000F4710000}"/>
    <cellStyle name="40 % - Markeringsfarve4 3 2 4 2 2 4" xfId="21786" xr:uid="{00000000-0005-0000-0000-0000F5710000}"/>
    <cellStyle name="40 % - Markeringsfarve4 3 2 4 2 2 5" xfId="36774" xr:uid="{00000000-0005-0000-0000-0000F6710000}"/>
    <cellStyle name="40 % - Markeringsfarve4 3 2 4 2 3" xfId="6383" xr:uid="{00000000-0005-0000-0000-0000F7710000}"/>
    <cellStyle name="40 % - Markeringsfarve4 3 2 4 2 3 2" xfId="14298" xr:uid="{00000000-0005-0000-0000-0000F8710000}"/>
    <cellStyle name="40 % - Markeringsfarve4 3 2 4 2 3 2 2" xfId="30613" xr:uid="{00000000-0005-0000-0000-0000F9710000}"/>
    <cellStyle name="40 % - Markeringsfarve4 3 2 4 2 3 2 3" xfId="45577" xr:uid="{00000000-0005-0000-0000-0000FA710000}"/>
    <cellStyle name="40 % - Markeringsfarve4 3 2 4 2 3 3" xfId="23591" xr:uid="{00000000-0005-0000-0000-0000FB710000}"/>
    <cellStyle name="40 % - Markeringsfarve4 3 2 4 2 3 4" xfId="38578" xr:uid="{00000000-0005-0000-0000-0000FC710000}"/>
    <cellStyle name="40 % - Markeringsfarve4 3 2 4 2 4" xfId="12487" xr:uid="{00000000-0005-0000-0000-0000FD710000}"/>
    <cellStyle name="40 % - Markeringsfarve4 3 2 4 2 4 2" xfId="28807" xr:uid="{00000000-0005-0000-0000-0000FE710000}"/>
    <cellStyle name="40 % - Markeringsfarve4 3 2 4 2 4 3" xfId="43772" xr:uid="{00000000-0005-0000-0000-0000FF710000}"/>
    <cellStyle name="40 % - Markeringsfarve4 3 2 4 2 5" xfId="21785" xr:uid="{00000000-0005-0000-0000-000000720000}"/>
    <cellStyle name="40 % - Markeringsfarve4 3 2 4 2 6" xfId="36773" xr:uid="{00000000-0005-0000-0000-000001720000}"/>
    <cellStyle name="40 % - Markeringsfarve4 3 2 4 3" xfId="3929" xr:uid="{00000000-0005-0000-0000-000002720000}"/>
    <cellStyle name="40 % - Markeringsfarve4 3 2 4 3 2" xfId="7121" xr:uid="{00000000-0005-0000-0000-000003720000}"/>
    <cellStyle name="40 % - Markeringsfarve4 3 2 4 3 2 2" xfId="15032" xr:uid="{00000000-0005-0000-0000-000004720000}"/>
    <cellStyle name="40 % - Markeringsfarve4 3 2 4 3 2 2 2" xfId="31347" xr:uid="{00000000-0005-0000-0000-000005720000}"/>
    <cellStyle name="40 % - Markeringsfarve4 3 2 4 3 2 2 3" xfId="46311" xr:uid="{00000000-0005-0000-0000-000006720000}"/>
    <cellStyle name="40 % - Markeringsfarve4 3 2 4 3 2 3" xfId="24325" xr:uid="{00000000-0005-0000-0000-000007720000}"/>
    <cellStyle name="40 % - Markeringsfarve4 3 2 4 3 2 4" xfId="39312" xr:uid="{00000000-0005-0000-0000-000008720000}"/>
    <cellStyle name="40 % - Markeringsfarve4 3 2 4 3 3" xfId="12489" xr:uid="{00000000-0005-0000-0000-000009720000}"/>
    <cellStyle name="40 % - Markeringsfarve4 3 2 4 3 3 2" xfId="28809" xr:uid="{00000000-0005-0000-0000-00000A720000}"/>
    <cellStyle name="40 % - Markeringsfarve4 3 2 4 3 3 3" xfId="43774" xr:uid="{00000000-0005-0000-0000-00000B720000}"/>
    <cellStyle name="40 % - Markeringsfarve4 3 2 4 3 4" xfId="21787" xr:uid="{00000000-0005-0000-0000-00000C720000}"/>
    <cellStyle name="40 % - Markeringsfarve4 3 2 4 3 5" xfId="36775" xr:uid="{00000000-0005-0000-0000-00000D720000}"/>
    <cellStyle name="40 % - Markeringsfarve4 3 2 4 4" xfId="3930" xr:uid="{00000000-0005-0000-0000-00000E720000}"/>
    <cellStyle name="40 % - Markeringsfarve4 3 2 4 4 2" xfId="8375" xr:uid="{00000000-0005-0000-0000-00000F720000}"/>
    <cellStyle name="40 % - Markeringsfarve4 3 2 4 4 2 2" xfId="16268" xr:uid="{00000000-0005-0000-0000-000010720000}"/>
    <cellStyle name="40 % - Markeringsfarve4 3 2 4 4 2 2 2" xfId="32583" xr:uid="{00000000-0005-0000-0000-000011720000}"/>
    <cellStyle name="40 % - Markeringsfarve4 3 2 4 4 2 2 3" xfId="47547" xr:uid="{00000000-0005-0000-0000-000012720000}"/>
    <cellStyle name="40 % - Markeringsfarve4 3 2 4 4 2 3" xfId="25561" xr:uid="{00000000-0005-0000-0000-000013720000}"/>
    <cellStyle name="40 % - Markeringsfarve4 3 2 4 4 2 4" xfId="40548" xr:uid="{00000000-0005-0000-0000-000014720000}"/>
    <cellStyle name="40 % - Markeringsfarve4 3 2 4 4 3" xfId="12490" xr:uid="{00000000-0005-0000-0000-000015720000}"/>
    <cellStyle name="40 % - Markeringsfarve4 3 2 4 4 3 2" xfId="28810" xr:uid="{00000000-0005-0000-0000-000016720000}"/>
    <cellStyle name="40 % - Markeringsfarve4 3 2 4 4 3 3" xfId="43775" xr:uid="{00000000-0005-0000-0000-000017720000}"/>
    <cellStyle name="40 % - Markeringsfarve4 3 2 4 4 4" xfId="21788" xr:uid="{00000000-0005-0000-0000-000018720000}"/>
    <cellStyle name="40 % - Markeringsfarve4 3 2 4 4 5" xfId="36776" xr:uid="{00000000-0005-0000-0000-000019720000}"/>
    <cellStyle name="40 % - Markeringsfarve4 3 2 4 5" xfId="5879" xr:uid="{00000000-0005-0000-0000-00001A720000}"/>
    <cellStyle name="40 % - Markeringsfarve4 3 2 4 5 2" xfId="13798" xr:uid="{00000000-0005-0000-0000-00001B720000}"/>
    <cellStyle name="40 % - Markeringsfarve4 3 2 4 5 2 2" xfId="30113" xr:uid="{00000000-0005-0000-0000-00001C720000}"/>
    <cellStyle name="40 % - Markeringsfarve4 3 2 4 5 2 3" xfId="45077" xr:uid="{00000000-0005-0000-0000-00001D720000}"/>
    <cellStyle name="40 % - Markeringsfarve4 3 2 4 5 3" xfId="23091" xr:uid="{00000000-0005-0000-0000-00001E720000}"/>
    <cellStyle name="40 % - Markeringsfarve4 3 2 4 5 4" xfId="38078" xr:uid="{00000000-0005-0000-0000-00001F720000}"/>
    <cellStyle name="40 % - Markeringsfarve4 3 2 4 6" xfId="12486" xr:uid="{00000000-0005-0000-0000-000020720000}"/>
    <cellStyle name="40 % - Markeringsfarve4 3 2 4 6 2" xfId="28806" xr:uid="{00000000-0005-0000-0000-000021720000}"/>
    <cellStyle name="40 % - Markeringsfarve4 3 2 4 6 3" xfId="43771" xr:uid="{00000000-0005-0000-0000-000022720000}"/>
    <cellStyle name="40 % - Markeringsfarve4 3 2 4 7" xfId="21784" xr:uid="{00000000-0005-0000-0000-000023720000}"/>
    <cellStyle name="40 % - Markeringsfarve4 3 2 4 8" xfId="36772" xr:uid="{00000000-0005-0000-0000-000024720000}"/>
    <cellStyle name="40 % - Markeringsfarve4 3 2 5" xfId="3931" xr:uid="{00000000-0005-0000-0000-000025720000}"/>
    <cellStyle name="40 % - Markeringsfarve4 3 2 5 2" xfId="3932" xr:uid="{00000000-0005-0000-0000-000026720000}"/>
    <cellStyle name="40 % - Markeringsfarve4 3 2 5 2 2" xfId="3933" xr:uid="{00000000-0005-0000-0000-000027720000}"/>
    <cellStyle name="40 % - Markeringsfarve4 3 2 5 2 2 2" xfId="7962" xr:uid="{00000000-0005-0000-0000-000028720000}"/>
    <cellStyle name="40 % - Markeringsfarve4 3 2 5 2 2 2 2" xfId="15864" xr:uid="{00000000-0005-0000-0000-000029720000}"/>
    <cellStyle name="40 % - Markeringsfarve4 3 2 5 2 2 2 2 2" xfId="32179" xr:uid="{00000000-0005-0000-0000-00002A720000}"/>
    <cellStyle name="40 % - Markeringsfarve4 3 2 5 2 2 2 2 3" xfId="47143" xr:uid="{00000000-0005-0000-0000-00002B720000}"/>
    <cellStyle name="40 % - Markeringsfarve4 3 2 5 2 2 2 3" xfId="25157" xr:uid="{00000000-0005-0000-0000-00002C720000}"/>
    <cellStyle name="40 % - Markeringsfarve4 3 2 5 2 2 2 4" xfId="40144" xr:uid="{00000000-0005-0000-0000-00002D720000}"/>
    <cellStyle name="40 % - Markeringsfarve4 3 2 5 2 2 3" xfId="12493" xr:uid="{00000000-0005-0000-0000-00002E720000}"/>
    <cellStyle name="40 % - Markeringsfarve4 3 2 5 2 2 3 2" xfId="28813" xr:uid="{00000000-0005-0000-0000-00002F720000}"/>
    <cellStyle name="40 % - Markeringsfarve4 3 2 5 2 2 3 3" xfId="43778" xr:uid="{00000000-0005-0000-0000-000030720000}"/>
    <cellStyle name="40 % - Markeringsfarve4 3 2 5 2 2 4" xfId="21791" xr:uid="{00000000-0005-0000-0000-000031720000}"/>
    <cellStyle name="40 % - Markeringsfarve4 3 2 5 2 2 5" xfId="36779" xr:uid="{00000000-0005-0000-0000-000032720000}"/>
    <cellStyle name="40 % - Markeringsfarve4 3 2 5 2 3" xfId="6482" xr:uid="{00000000-0005-0000-0000-000033720000}"/>
    <cellStyle name="40 % - Markeringsfarve4 3 2 5 2 3 2" xfId="14397" xr:uid="{00000000-0005-0000-0000-000034720000}"/>
    <cellStyle name="40 % - Markeringsfarve4 3 2 5 2 3 2 2" xfId="30712" xr:uid="{00000000-0005-0000-0000-000035720000}"/>
    <cellStyle name="40 % - Markeringsfarve4 3 2 5 2 3 2 3" xfId="45676" xr:uid="{00000000-0005-0000-0000-000036720000}"/>
    <cellStyle name="40 % - Markeringsfarve4 3 2 5 2 3 3" xfId="23690" xr:uid="{00000000-0005-0000-0000-000037720000}"/>
    <cellStyle name="40 % - Markeringsfarve4 3 2 5 2 3 4" xfId="38677" xr:uid="{00000000-0005-0000-0000-000038720000}"/>
    <cellStyle name="40 % - Markeringsfarve4 3 2 5 2 4" xfId="12492" xr:uid="{00000000-0005-0000-0000-000039720000}"/>
    <cellStyle name="40 % - Markeringsfarve4 3 2 5 2 4 2" xfId="28812" xr:uid="{00000000-0005-0000-0000-00003A720000}"/>
    <cellStyle name="40 % - Markeringsfarve4 3 2 5 2 4 3" xfId="43777" xr:uid="{00000000-0005-0000-0000-00003B720000}"/>
    <cellStyle name="40 % - Markeringsfarve4 3 2 5 2 5" xfId="21790" xr:uid="{00000000-0005-0000-0000-00003C720000}"/>
    <cellStyle name="40 % - Markeringsfarve4 3 2 5 2 6" xfId="36778" xr:uid="{00000000-0005-0000-0000-00003D720000}"/>
    <cellStyle name="40 % - Markeringsfarve4 3 2 5 3" xfId="3934" xr:uid="{00000000-0005-0000-0000-00003E720000}"/>
    <cellStyle name="40 % - Markeringsfarve4 3 2 5 3 2" xfId="7238" xr:uid="{00000000-0005-0000-0000-00003F720000}"/>
    <cellStyle name="40 % - Markeringsfarve4 3 2 5 3 2 2" xfId="15149" xr:uid="{00000000-0005-0000-0000-000040720000}"/>
    <cellStyle name="40 % - Markeringsfarve4 3 2 5 3 2 2 2" xfId="31464" xr:uid="{00000000-0005-0000-0000-000041720000}"/>
    <cellStyle name="40 % - Markeringsfarve4 3 2 5 3 2 2 3" xfId="46428" xr:uid="{00000000-0005-0000-0000-000042720000}"/>
    <cellStyle name="40 % - Markeringsfarve4 3 2 5 3 2 3" xfId="24442" xr:uid="{00000000-0005-0000-0000-000043720000}"/>
    <cellStyle name="40 % - Markeringsfarve4 3 2 5 3 2 4" xfId="39429" xr:uid="{00000000-0005-0000-0000-000044720000}"/>
    <cellStyle name="40 % - Markeringsfarve4 3 2 5 3 3" xfId="12494" xr:uid="{00000000-0005-0000-0000-000045720000}"/>
    <cellStyle name="40 % - Markeringsfarve4 3 2 5 3 3 2" xfId="28814" xr:uid="{00000000-0005-0000-0000-000046720000}"/>
    <cellStyle name="40 % - Markeringsfarve4 3 2 5 3 3 3" xfId="43779" xr:uid="{00000000-0005-0000-0000-000047720000}"/>
    <cellStyle name="40 % - Markeringsfarve4 3 2 5 3 4" xfId="21792" xr:uid="{00000000-0005-0000-0000-000048720000}"/>
    <cellStyle name="40 % - Markeringsfarve4 3 2 5 3 5" xfId="36780" xr:uid="{00000000-0005-0000-0000-000049720000}"/>
    <cellStyle name="40 % - Markeringsfarve4 3 2 5 4" xfId="3935" xr:uid="{00000000-0005-0000-0000-00004A720000}"/>
    <cellStyle name="40 % - Markeringsfarve4 3 2 5 4 2" xfId="8610" xr:uid="{00000000-0005-0000-0000-00004B720000}"/>
    <cellStyle name="40 % - Markeringsfarve4 3 2 5 4 2 2" xfId="16493" xr:uid="{00000000-0005-0000-0000-00004C720000}"/>
    <cellStyle name="40 % - Markeringsfarve4 3 2 5 4 2 2 2" xfId="32808" xr:uid="{00000000-0005-0000-0000-00004D720000}"/>
    <cellStyle name="40 % - Markeringsfarve4 3 2 5 4 2 2 3" xfId="47772" xr:uid="{00000000-0005-0000-0000-00004E720000}"/>
    <cellStyle name="40 % - Markeringsfarve4 3 2 5 4 2 3" xfId="25786" xr:uid="{00000000-0005-0000-0000-00004F720000}"/>
    <cellStyle name="40 % - Markeringsfarve4 3 2 5 4 2 4" xfId="40773" xr:uid="{00000000-0005-0000-0000-000050720000}"/>
    <cellStyle name="40 % - Markeringsfarve4 3 2 5 4 3" xfId="12495" xr:uid="{00000000-0005-0000-0000-000051720000}"/>
    <cellStyle name="40 % - Markeringsfarve4 3 2 5 4 3 2" xfId="28815" xr:uid="{00000000-0005-0000-0000-000052720000}"/>
    <cellStyle name="40 % - Markeringsfarve4 3 2 5 4 3 3" xfId="43780" xr:uid="{00000000-0005-0000-0000-000053720000}"/>
    <cellStyle name="40 % - Markeringsfarve4 3 2 5 4 4" xfId="21793" xr:uid="{00000000-0005-0000-0000-000054720000}"/>
    <cellStyle name="40 % - Markeringsfarve4 3 2 5 4 5" xfId="36781" xr:uid="{00000000-0005-0000-0000-000055720000}"/>
    <cellStyle name="40 % - Markeringsfarve4 3 2 5 5" xfId="5880" xr:uid="{00000000-0005-0000-0000-000056720000}"/>
    <cellStyle name="40 % - Markeringsfarve4 3 2 5 5 2" xfId="13799" xr:uid="{00000000-0005-0000-0000-000057720000}"/>
    <cellStyle name="40 % - Markeringsfarve4 3 2 5 5 2 2" xfId="30114" xr:uid="{00000000-0005-0000-0000-000058720000}"/>
    <cellStyle name="40 % - Markeringsfarve4 3 2 5 5 2 3" xfId="45078" xr:uid="{00000000-0005-0000-0000-000059720000}"/>
    <cellStyle name="40 % - Markeringsfarve4 3 2 5 5 3" xfId="23092" xr:uid="{00000000-0005-0000-0000-00005A720000}"/>
    <cellStyle name="40 % - Markeringsfarve4 3 2 5 5 4" xfId="38079" xr:uid="{00000000-0005-0000-0000-00005B720000}"/>
    <cellStyle name="40 % - Markeringsfarve4 3 2 5 6" xfId="12491" xr:uid="{00000000-0005-0000-0000-00005C720000}"/>
    <cellStyle name="40 % - Markeringsfarve4 3 2 5 6 2" xfId="28811" xr:uid="{00000000-0005-0000-0000-00005D720000}"/>
    <cellStyle name="40 % - Markeringsfarve4 3 2 5 6 3" xfId="43776" xr:uid="{00000000-0005-0000-0000-00005E720000}"/>
    <cellStyle name="40 % - Markeringsfarve4 3 2 5 7" xfId="21789" xr:uid="{00000000-0005-0000-0000-00005F720000}"/>
    <cellStyle name="40 % - Markeringsfarve4 3 2 5 8" xfId="36777" xr:uid="{00000000-0005-0000-0000-000060720000}"/>
    <cellStyle name="40 % - Markeringsfarve4 3 2 6" xfId="3936" xr:uid="{00000000-0005-0000-0000-000061720000}"/>
    <cellStyle name="40 % - Markeringsfarve4 3 2 6 2" xfId="3937" xr:uid="{00000000-0005-0000-0000-000062720000}"/>
    <cellStyle name="40 % - Markeringsfarve4 3 2 6 2 2" xfId="3938" xr:uid="{00000000-0005-0000-0000-000063720000}"/>
    <cellStyle name="40 % - Markeringsfarve4 3 2 6 2 2 2" xfId="8105" xr:uid="{00000000-0005-0000-0000-000064720000}"/>
    <cellStyle name="40 % - Markeringsfarve4 3 2 6 2 2 2 2" xfId="16007" xr:uid="{00000000-0005-0000-0000-000065720000}"/>
    <cellStyle name="40 % - Markeringsfarve4 3 2 6 2 2 2 2 2" xfId="32322" xr:uid="{00000000-0005-0000-0000-000066720000}"/>
    <cellStyle name="40 % - Markeringsfarve4 3 2 6 2 2 2 2 3" xfId="47286" xr:uid="{00000000-0005-0000-0000-000067720000}"/>
    <cellStyle name="40 % - Markeringsfarve4 3 2 6 2 2 2 3" xfId="25300" xr:uid="{00000000-0005-0000-0000-000068720000}"/>
    <cellStyle name="40 % - Markeringsfarve4 3 2 6 2 2 2 4" xfId="40287" xr:uid="{00000000-0005-0000-0000-000069720000}"/>
    <cellStyle name="40 % - Markeringsfarve4 3 2 6 2 2 3" xfId="12498" xr:uid="{00000000-0005-0000-0000-00006A720000}"/>
    <cellStyle name="40 % - Markeringsfarve4 3 2 6 2 2 3 2" xfId="28818" xr:uid="{00000000-0005-0000-0000-00006B720000}"/>
    <cellStyle name="40 % - Markeringsfarve4 3 2 6 2 2 3 3" xfId="43783" xr:uid="{00000000-0005-0000-0000-00006C720000}"/>
    <cellStyle name="40 % - Markeringsfarve4 3 2 6 2 2 4" xfId="21796" xr:uid="{00000000-0005-0000-0000-00006D720000}"/>
    <cellStyle name="40 % - Markeringsfarve4 3 2 6 2 2 5" xfId="36784" xr:uid="{00000000-0005-0000-0000-00006E720000}"/>
    <cellStyle name="40 % - Markeringsfarve4 3 2 6 2 3" xfId="6598" xr:uid="{00000000-0005-0000-0000-00006F720000}"/>
    <cellStyle name="40 % - Markeringsfarve4 3 2 6 2 3 2" xfId="14513" xr:uid="{00000000-0005-0000-0000-000070720000}"/>
    <cellStyle name="40 % - Markeringsfarve4 3 2 6 2 3 2 2" xfId="30828" xr:uid="{00000000-0005-0000-0000-000071720000}"/>
    <cellStyle name="40 % - Markeringsfarve4 3 2 6 2 3 2 3" xfId="45792" xr:uid="{00000000-0005-0000-0000-000072720000}"/>
    <cellStyle name="40 % - Markeringsfarve4 3 2 6 2 3 3" xfId="23806" xr:uid="{00000000-0005-0000-0000-000073720000}"/>
    <cellStyle name="40 % - Markeringsfarve4 3 2 6 2 3 4" xfId="38793" xr:uid="{00000000-0005-0000-0000-000074720000}"/>
    <cellStyle name="40 % - Markeringsfarve4 3 2 6 2 4" xfId="12497" xr:uid="{00000000-0005-0000-0000-000075720000}"/>
    <cellStyle name="40 % - Markeringsfarve4 3 2 6 2 4 2" xfId="28817" xr:uid="{00000000-0005-0000-0000-000076720000}"/>
    <cellStyle name="40 % - Markeringsfarve4 3 2 6 2 4 3" xfId="43782" xr:uid="{00000000-0005-0000-0000-000077720000}"/>
    <cellStyle name="40 % - Markeringsfarve4 3 2 6 2 5" xfId="21795" xr:uid="{00000000-0005-0000-0000-000078720000}"/>
    <cellStyle name="40 % - Markeringsfarve4 3 2 6 2 6" xfId="36783" xr:uid="{00000000-0005-0000-0000-000079720000}"/>
    <cellStyle name="40 % - Markeringsfarve4 3 2 6 3" xfId="3939" xr:uid="{00000000-0005-0000-0000-00007A720000}"/>
    <cellStyle name="40 % - Markeringsfarve4 3 2 6 3 2" xfId="7382" xr:uid="{00000000-0005-0000-0000-00007B720000}"/>
    <cellStyle name="40 % - Markeringsfarve4 3 2 6 3 2 2" xfId="15293" xr:uid="{00000000-0005-0000-0000-00007C720000}"/>
    <cellStyle name="40 % - Markeringsfarve4 3 2 6 3 2 2 2" xfId="31608" xr:uid="{00000000-0005-0000-0000-00007D720000}"/>
    <cellStyle name="40 % - Markeringsfarve4 3 2 6 3 2 2 3" xfId="46572" xr:uid="{00000000-0005-0000-0000-00007E720000}"/>
    <cellStyle name="40 % - Markeringsfarve4 3 2 6 3 2 3" xfId="24586" xr:uid="{00000000-0005-0000-0000-00007F720000}"/>
    <cellStyle name="40 % - Markeringsfarve4 3 2 6 3 2 4" xfId="39573" xr:uid="{00000000-0005-0000-0000-000080720000}"/>
    <cellStyle name="40 % - Markeringsfarve4 3 2 6 3 3" xfId="12499" xr:uid="{00000000-0005-0000-0000-000081720000}"/>
    <cellStyle name="40 % - Markeringsfarve4 3 2 6 3 3 2" xfId="28819" xr:uid="{00000000-0005-0000-0000-000082720000}"/>
    <cellStyle name="40 % - Markeringsfarve4 3 2 6 3 3 3" xfId="43784" xr:uid="{00000000-0005-0000-0000-000083720000}"/>
    <cellStyle name="40 % - Markeringsfarve4 3 2 6 3 4" xfId="21797" xr:uid="{00000000-0005-0000-0000-000084720000}"/>
    <cellStyle name="40 % - Markeringsfarve4 3 2 6 3 5" xfId="36785" xr:uid="{00000000-0005-0000-0000-000085720000}"/>
    <cellStyle name="40 % - Markeringsfarve4 3 2 6 4" xfId="3940" xr:uid="{00000000-0005-0000-0000-000086720000}"/>
    <cellStyle name="40 % - Markeringsfarve4 3 2 6 4 2" xfId="8333" xr:uid="{00000000-0005-0000-0000-000087720000}"/>
    <cellStyle name="40 % - Markeringsfarve4 3 2 6 4 2 2" xfId="16227" xr:uid="{00000000-0005-0000-0000-000088720000}"/>
    <cellStyle name="40 % - Markeringsfarve4 3 2 6 4 2 2 2" xfId="32542" xr:uid="{00000000-0005-0000-0000-000089720000}"/>
    <cellStyle name="40 % - Markeringsfarve4 3 2 6 4 2 2 3" xfId="47506" xr:uid="{00000000-0005-0000-0000-00008A720000}"/>
    <cellStyle name="40 % - Markeringsfarve4 3 2 6 4 2 3" xfId="25520" xr:uid="{00000000-0005-0000-0000-00008B720000}"/>
    <cellStyle name="40 % - Markeringsfarve4 3 2 6 4 2 4" xfId="40507" xr:uid="{00000000-0005-0000-0000-00008C720000}"/>
    <cellStyle name="40 % - Markeringsfarve4 3 2 6 4 3" xfId="12500" xr:uid="{00000000-0005-0000-0000-00008D720000}"/>
    <cellStyle name="40 % - Markeringsfarve4 3 2 6 4 3 2" xfId="28820" xr:uid="{00000000-0005-0000-0000-00008E720000}"/>
    <cellStyle name="40 % - Markeringsfarve4 3 2 6 4 3 3" xfId="43785" xr:uid="{00000000-0005-0000-0000-00008F720000}"/>
    <cellStyle name="40 % - Markeringsfarve4 3 2 6 4 4" xfId="21798" xr:uid="{00000000-0005-0000-0000-000090720000}"/>
    <cellStyle name="40 % - Markeringsfarve4 3 2 6 4 5" xfId="36786" xr:uid="{00000000-0005-0000-0000-000091720000}"/>
    <cellStyle name="40 % - Markeringsfarve4 3 2 6 5" xfId="5881" xr:uid="{00000000-0005-0000-0000-000092720000}"/>
    <cellStyle name="40 % - Markeringsfarve4 3 2 6 5 2" xfId="13800" xr:uid="{00000000-0005-0000-0000-000093720000}"/>
    <cellStyle name="40 % - Markeringsfarve4 3 2 6 5 2 2" xfId="30115" xr:uid="{00000000-0005-0000-0000-000094720000}"/>
    <cellStyle name="40 % - Markeringsfarve4 3 2 6 5 2 3" xfId="45079" xr:uid="{00000000-0005-0000-0000-000095720000}"/>
    <cellStyle name="40 % - Markeringsfarve4 3 2 6 5 3" xfId="23093" xr:uid="{00000000-0005-0000-0000-000096720000}"/>
    <cellStyle name="40 % - Markeringsfarve4 3 2 6 5 4" xfId="38080" xr:uid="{00000000-0005-0000-0000-000097720000}"/>
    <cellStyle name="40 % - Markeringsfarve4 3 2 6 6" xfId="12496" xr:uid="{00000000-0005-0000-0000-000098720000}"/>
    <cellStyle name="40 % - Markeringsfarve4 3 2 6 6 2" xfId="28816" xr:uid="{00000000-0005-0000-0000-000099720000}"/>
    <cellStyle name="40 % - Markeringsfarve4 3 2 6 6 3" xfId="43781" xr:uid="{00000000-0005-0000-0000-00009A720000}"/>
    <cellStyle name="40 % - Markeringsfarve4 3 2 6 7" xfId="21794" xr:uid="{00000000-0005-0000-0000-00009B720000}"/>
    <cellStyle name="40 % - Markeringsfarve4 3 2 6 8" xfId="36782" xr:uid="{00000000-0005-0000-0000-00009C720000}"/>
    <cellStyle name="40 % - Markeringsfarve4 3 2 7" xfId="3941" xr:uid="{00000000-0005-0000-0000-00009D720000}"/>
    <cellStyle name="40 % - Markeringsfarve4 3 2 7 2" xfId="3942" xr:uid="{00000000-0005-0000-0000-00009E720000}"/>
    <cellStyle name="40 % - Markeringsfarve4 3 2 7 2 2" xfId="7488" xr:uid="{00000000-0005-0000-0000-00009F720000}"/>
    <cellStyle name="40 % - Markeringsfarve4 3 2 7 2 2 2" xfId="15390" xr:uid="{00000000-0005-0000-0000-0000A0720000}"/>
    <cellStyle name="40 % - Markeringsfarve4 3 2 7 2 2 2 2" xfId="31705" xr:uid="{00000000-0005-0000-0000-0000A1720000}"/>
    <cellStyle name="40 % - Markeringsfarve4 3 2 7 2 2 2 3" xfId="46669" xr:uid="{00000000-0005-0000-0000-0000A2720000}"/>
    <cellStyle name="40 % - Markeringsfarve4 3 2 7 2 2 3" xfId="24683" xr:uid="{00000000-0005-0000-0000-0000A3720000}"/>
    <cellStyle name="40 % - Markeringsfarve4 3 2 7 2 2 4" xfId="39670" xr:uid="{00000000-0005-0000-0000-0000A4720000}"/>
    <cellStyle name="40 % - Markeringsfarve4 3 2 7 2 3" xfId="12502" xr:uid="{00000000-0005-0000-0000-0000A5720000}"/>
    <cellStyle name="40 % - Markeringsfarve4 3 2 7 2 3 2" xfId="28822" xr:uid="{00000000-0005-0000-0000-0000A6720000}"/>
    <cellStyle name="40 % - Markeringsfarve4 3 2 7 2 3 3" xfId="43787" xr:uid="{00000000-0005-0000-0000-0000A7720000}"/>
    <cellStyle name="40 % - Markeringsfarve4 3 2 7 2 4" xfId="21800" xr:uid="{00000000-0005-0000-0000-0000A8720000}"/>
    <cellStyle name="40 % - Markeringsfarve4 3 2 7 2 5" xfId="36788" xr:uid="{00000000-0005-0000-0000-0000A9720000}"/>
    <cellStyle name="40 % - Markeringsfarve4 3 2 7 3" xfId="6082" xr:uid="{00000000-0005-0000-0000-0000AA720000}"/>
    <cellStyle name="40 % - Markeringsfarve4 3 2 7 3 2" xfId="14000" xr:uid="{00000000-0005-0000-0000-0000AB720000}"/>
    <cellStyle name="40 % - Markeringsfarve4 3 2 7 3 2 2" xfId="30315" xr:uid="{00000000-0005-0000-0000-0000AC720000}"/>
    <cellStyle name="40 % - Markeringsfarve4 3 2 7 3 2 3" xfId="45279" xr:uid="{00000000-0005-0000-0000-0000AD720000}"/>
    <cellStyle name="40 % - Markeringsfarve4 3 2 7 3 3" xfId="23293" xr:uid="{00000000-0005-0000-0000-0000AE720000}"/>
    <cellStyle name="40 % - Markeringsfarve4 3 2 7 3 4" xfId="38280" xr:uid="{00000000-0005-0000-0000-0000AF720000}"/>
    <cellStyle name="40 % - Markeringsfarve4 3 2 7 4" xfId="12501" xr:uid="{00000000-0005-0000-0000-0000B0720000}"/>
    <cellStyle name="40 % - Markeringsfarve4 3 2 7 4 2" xfId="28821" xr:uid="{00000000-0005-0000-0000-0000B1720000}"/>
    <cellStyle name="40 % - Markeringsfarve4 3 2 7 4 3" xfId="43786" xr:uid="{00000000-0005-0000-0000-0000B2720000}"/>
    <cellStyle name="40 % - Markeringsfarve4 3 2 7 5" xfId="21799" xr:uid="{00000000-0005-0000-0000-0000B3720000}"/>
    <cellStyle name="40 % - Markeringsfarve4 3 2 7 6" xfId="36787" xr:uid="{00000000-0005-0000-0000-0000B4720000}"/>
    <cellStyle name="40 % - Markeringsfarve4 3 2 8" xfId="3943" xr:uid="{00000000-0005-0000-0000-0000B5720000}"/>
    <cellStyle name="40 % - Markeringsfarve4 3 2 8 2" xfId="6716" xr:uid="{00000000-0005-0000-0000-0000B6720000}"/>
    <cellStyle name="40 % - Markeringsfarve4 3 2 8 2 2" xfId="14628" xr:uid="{00000000-0005-0000-0000-0000B7720000}"/>
    <cellStyle name="40 % - Markeringsfarve4 3 2 8 2 2 2" xfId="30943" xr:uid="{00000000-0005-0000-0000-0000B8720000}"/>
    <cellStyle name="40 % - Markeringsfarve4 3 2 8 2 2 3" xfId="45907" xr:uid="{00000000-0005-0000-0000-0000B9720000}"/>
    <cellStyle name="40 % - Markeringsfarve4 3 2 8 2 3" xfId="23921" xr:uid="{00000000-0005-0000-0000-0000BA720000}"/>
    <cellStyle name="40 % - Markeringsfarve4 3 2 8 2 4" xfId="38908" xr:uid="{00000000-0005-0000-0000-0000BB720000}"/>
    <cellStyle name="40 % - Markeringsfarve4 3 2 8 3" xfId="12503" xr:uid="{00000000-0005-0000-0000-0000BC720000}"/>
    <cellStyle name="40 % - Markeringsfarve4 3 2 8 3 2" xfId="28823" xr:uid="{00000000-0005-0000-0000-0000BD720000}"/>
    <cellStyle name="40 % - Markeringsfarve4 3 2 8 3 3" xfId="43788" xr:uid="{00000000-0005-0000-0000-0000BE720000}"/>
    <cellStyle name="40 % - Markeringsfarve4 3 2 8 4" xfId="21801" xr:uid="{00000000-0005-0000-0000-0000BF720000}"/>
    <cellStyle name="40 % - Markeringsfarve4 3 2 8 5" xfId="36789" xr:uid="{00000000-0005-0000-0000-0000C0720000}"/>
    <cellStyle name="40 % - Markeringsfarve4 3 2 9" xfId="3944" xr:uid="{00000000-0005-0000-0000-0000C1720000}"/>
    <cellStyle name="40 % - Markeringsfarve4 3 2 9 2" xfId="8705" xr:uid="{00000000-0005-0000-0000-0000C2720000}"/>
    <cellStyle name="40 % - Markeringsfarve4 3 2 9 2 2" xfId="16582" xr:uid="{00000000-0005-0000-0000-0000C3720000}"/>
    <cellStyle name="40 % - Markeringsfarve4 3 2 9 2 2 2" xfId="32897" xr:uid="{00000000-0005-0000-0000-0000C4720000}"/>
    <cellStyle name="40 % - Markeringsfarve4 3 2 9 2 2 3" xfId="47861" xr:uid="{00000000-0005-0000-0000-0000C5720000}"/>
    <cellStyle name="40 % - Markeringsfarve4 3 2 9 2 3" xfId="25875" xr:uid="{00000000-0005-0000-0000-0000C6720000}"/>
    <cellStyle name="40 % - Markeringsfarve4 3 2 9 2 4" xfId="40862" xr:uid="{00000000-0005-0000-0000-0000C7720000}"/>
    <cellStyle name="40 % - Markeringsfarve4 3 2 9 3" xfId="12504" xr:uid="{00000000-0005-0000-0000-0000C8720000}"/>
    <cellStyle name="40 % - Markeringsfarve4 3 2 9 3 2" xfId="28824" xr:uid="{00000000-0005-0000-0000-0000C9720000}"/>
    <cellStyle name="40 % - Markeringsfarve4 3 2 9 3 3" xfId="43789" xr:uid="{00000000-0005-0000-0000-0000CA720000}"/>
    <cellStyle name="40 % - Markeringsfarve4 3 2 9 4" xfId="21802" xr:uid="{00000000-0005-0000-0000-0000CB720000}"/>
    <cellStyle name="40 % - Markeringsfarve4 3 2 9 5" xfId="36790" xr:uid="{00000000-0005-0000-0000-0000CC720000}"/>
    <cellStyle name="40 % - Markeringsfarve4 3 3" xfId="3945" xr:uid="{00000000-0005-0000-0000-0000CD720000}"/>
    <cellStyle name="40 % - Markeringsfarve4 3 3 10" xfId="5882" xr:uid="{00000000-0005-0000-0000-0000CE720000}"/>
    <cellStyle name="40 % - Markeringsfarve4 3 3 10 2" xfId="13801" xr:uid="{00000000-0005-0000-0000-0000CF720000}"/>
    <cellStyle name="40 % - Markeringsfarve4 3 3 10 2 2" xfId="30116" xr:uid="{00000000-0005-0000-0000-0000D0720000}"/>
    <cellStyle name="40 % - Markeringsfarve4 3 3 10 2 3" xfId="45080" xr:uid="{00000000-0005-0000-0000-0000D1720000}"/>
    <cellStyle name="40 % - Markeringsfarve4 3 3 10 3" xfId="23094" xr:uid="{00000000-0005-0000-0000-0000D2720000}"/>
    <cellStyle name="40 % - Markeringsfarve4 3 3 10 4" xfId="38081" xr:uid="{00000000-0005-0000-0000-0000D3720000}"/>
    <cellStyle name="40 % - Markeringsfarve4 3 3 11" xfId="12505" xr:uid="{00000000-0005-0000-0000-0000D4720000}"/>
    <cellStyle name="40 % - Markeringsfarve4 3 3 11 2" xfId="28825" xr:uid="{00000000-0005-0000-0000-0000D5720000}"/>
    <cellStyle name="40 % - Markeringsfarve4 3 3 11 3" xfId="43790" xr:uid="{00000000-0005-0000-0000-0000D6720000}"/>
    <cellStyle name="40 % - Markeringsfarve4 3 3 12" xfId="21803" xr:uid="{00000000-0005-0000-0000-0000D7720000}"/>
    <cellStyle name="40 % - Markeringsfarve4 3 3 13" xfId="36791" xr:uid="{00000000-0005-0000-0000-0000D8720000}"/>
    <cellStyle name="40 % - Markeringsfarve4 3 3 14" xfId="56511" xr:uid="{00000000-0005-0000-0000-0000D9720000}"/>
    <cellStyle name="40 % - Markeringsfarve4 3 3 2" xfId="3946" xr:uid="{00000000-0005-0000-0000-0000DA720000}"/>
    <cellStyle name="40 % - Markeringsfarve4 3 3 2 2" xfId="3947" xr:uid="{00000000-0005-0000-0000-0000DB720000}"/>
    <cellStyle name="40 % - Markeringsfarve4 3 3 2 2 2" xfId="3948" xr:uid="{00000000-0005-0000-0000-0000DC720000}"/>
    <cellStyle name="40 % - Markeringsfarve4 3 3 2 2 2 2" xfId="7646" xr:uid="{00000000-0005-0000-0000-0000DD720000}"/>
    <cellStyle name="40 % - Markeringsfarve4 3 3 2 2 2 2 2" xfId="15548" xr:uid="{00000000-0005-0000-0000-0000DE720000}"/>
    <cellStyle name="40 % - Markeringsfarve4 3 3 2 2 2 2 2 2" xfId="31863" xr:uid="{00000000-0005-0000-0000-0000DF720000}"/>
    <cellStyle name="40 % - Markeringsfarve4 3 3 2 2 2 2 2 3" xfId="46827" xr:uid="{00000000-0005-0000-0000-0000E0720000}"/>
    <cellStyle name="40 % - Markeringsfarve4 3 3 2 2 2 2 3" xfId="24841" xr:uid="{00000000-0005-0000-0000-0000E1720000}"/>
    <cellStyle name="40 % - Markeringsfarve4 3 3 2 2 2 2 4" xfId="39828" xr:uid="{00000000-0005-0000-0000-0000E2720000}"/>
    <cellStyle name="40 % - Markeringsfarve4 3 3 2 2 2 3" xfId="12508" xr:uid="{00000000-0005-0000-0000-0000E3720000}"/>
    <cellStyle name="40 % - Markeringsfarve4 3 3 2 2 2 3 2" xfId="28828" xr:uid="{00000000-0005-0000-0000-0000E4720000}"/>
    <cellStyle name="40 % - Markeringsfarve4 3 3 2 2 2 3 3" xfId="43793" xr:uid="{00000000-0005-0000-0000-0000E5720000}"/>
    <cellStyle name="40 % - Markeringsfarve4 3 3 2 2 2 4" xfId="21806" xr:uid="{00000000-0005-0000-0000-0000E6720000}"/>
    <cellStyle name="40 % - Markeringsfarve4 3 3 2 2 2 5" xfId="36794" xr:uid="{00000000-0005-0000-0000-0000E7720000}"/>
    <cellStyle name="40 % - Markeringsfarve4 3 3 2 2 3" xfId="6214" xr:uid="{00000000-0005-0000-0000-0000E8720000}"/>
    <cellStyle name="40 % - Markeringsfarve4 3 3 2 2 3 2" xfId="14132" xr:uid="{00000000-0005-0000-0000-0000E9720000}"/>
    <cellStyle name="40 % - Markeringsfarve4 3 3 2 2 3 2 2" xfId="30447" xr:uid="{00000000-0005-0000-0000-0000EA720000}"/>
    <cellStyle name="40 % - Markeringsfarve4 3 3 2 2 3 2 3" xfId="45411" xr:uid="{00000000-0005-0000-0000-0000EB720000}"/>
    <cellStyle name="40 % - Markeringsfarve4 3 3 2 2 3 3" xfId="23425" xr:uid="{00000000-0005-0000-0000-0000EC720000}"/>
    <cellStyle name="40 % - Markeringsfarve4 3 3 2 2 3 4" xfId="38412" xr:uid="{00000000-0005-0000-0000-0000ED720000}"/>
    <cellStyle name="40 % - Markeringsfarve4 3 3 2 2 4" xfId="12507" xr:uid="{00000000-0005-0000-0000-0000EE720000}"/>
    <cellStyle name="40 % - Markeringsfarve4 3 3 2 2 4 2" xfId="28827" xr:uid="{00000000-0005-0000-0000-0000EF720000}"/>
    <cellStyle name="40 % - Markeringsfarve4 3 3 2 2 4 3" xfId="43792" xr:uid="{00000000-0005-0000-0000-0000F0720000}"/>
    <cellStyle name="40 % - Markeringsfarve4 3 3 2 2 5" xfId="21805" xr:uid="{00000000-0005-0000-0000-0000F1720000}"/>
    <cellStyle name="40 % - Markeringsfarve4 3 3 2 2 6" xfId="36793" xr:uid="{00000000-0005-0000-0000-0000F2720000}"/>
    <cellStyle name="40 % - Markeringsfarve4 3 3 2 3" xfId="3949" xr:uid="{00000000-0005-0000-0000-0000F3720000}"/>
    <cellStyle name="40 % - Markeringsfarve4 3 3 2 3 2" xfId="6876" xr:uid="{00000000-0005-0000-0000-0000F4720000}"/>
    <cellStyle name="40 % - Markeringsfarve4 3 3 2 3 2 2" xfId="14788" xr:uid="{00000000-0005-0000-0000-0000F5720000}"/>
    <cellStyle name="40 % - Markeringsfarve4 3 3 2 3 2 2 2" xfId="31103" xr:uid="{00000000-0005-0000-0000-0000F6720000}"/>
    <cellStyle name="40 % - Markeringsfarve4 3 3 2 3 2 2 3" xfId="46067" xr:uid="{00000000-0005-0000-0000-0000F7720000}"/>
    <cellStyle name="40 % - Markeringsfarve4 3 3 2 3 2 3" xfId="24081" xr:uid="{00000000-0005-0000-0000-0000F8720000}"/>
    <cellStyle name="40 % - Markeringsfarve4 3 3 2 3 2 4" xfId="39068" xr:uid="{00000000-0005-0000-0000-0000F9720000}"/>
    <cellStyle name="40 % - Markeringsfarve4 3 3 2 3 3" xfId="12509" xr:uid="{00000000-0005-0000-0000-0000FA720000}"/>
    <cellStyle name="40 % - Markeringsfarve4 3 3 2 3 3 2" xfId="28829" xr:uid="{00000000-0005-0000-0000-0000FB720000}"/>
    <cellStyle name="40 % - Markeringsfarve4 3 3 2 3 3 3" xfId="43794" xr:uid="{00000000-0005-0000-0000-0000FC720000}"/>
    <cellStyle name="40 % - Markeringsfarve4 3 3 2 3 4" xfId="21807" xr:uid="{00000000-0005-0000-0000-0000FD720000}"/>
    <cellStyle name="40 % - Markeringsfarve4 3 3 2 3 5" xfId="36795" xr:uid="{00000000-0005-0000-0000-0000FE720000}"/>
    <cellStyle name="40 % - Markeringsfarve4 3 3 2 4" xfId="3950" xr:uid="{00000000-0005-0000-0000-0000FF720000}"/>
    <cellStyle name="40 % - Markeringsfarve4 3 3 2 4 2" xfId="8221" xr:uid="{00000000-0005-0000-0000-000000730000}"/>
    <cellStyle name="40 % - Markeringsfarve4 3 3 2 4 2 2" xfId="16116" xr:uid="{00000000-0005-0000-0000-000001730000}"/>
    <cellStyle name="40 % - Markeringsfarve4 3 3 2 4 2 2 2" xfId="32431" xr:uid="{00000000-0005-0000-0000-000002730000}"/>
    <cellStyle name="40 % - Markeringsfarve4 3 3 2 4 2 2 3" xfId="47395" xr:uid="{00000000-0005-0000-0000-000003730000}"/>
    <cellStyle name="40 % - Markeringsfarve4 3 3 2 4 2 3" xfId="25409" xr:uid="{00000000-0005-0000-0000-000004730000}"/>
    <cellStyle name="40 % - Markeringsfarve4 3 3 2 4 2 4" xfId="40396" xr:uid="{00000000-0005-0000-0000-000005730000}"/>
    <cellStyle name="40 % - Markeringsfarve4 3 3 2 4 3" xfId="12510" xr:uid="{00000000-0005-0000-0000-000006730000}"/>
    <cellStyle name="40 % - Markeringsfarve4 3 3 2 4 3 2" xfId="28830" xr:uid="{00000000-0005-0000-0000-000007730000}"/>
    <cellStyle name="40 % - Markeringsfarve4 3 3 2 4 3 3" xfId="43795" xr:uid="{00000000-0005-0000-0000-000008730000}"/>
    <cellStyle name="40 % - Markeringsfarve4 3 3 2 4 4" xfId="21808" xr:uid="{00000000-0005-0000-0000-000009730000}"/>
    <cellStyle name="40 % - Markeringsfarve4 3 3 2 4 5" xfId="36796" xr:uid="{00000000-0005-0000-0000-00000A730000}"/>
    <cellStyle name="40 % - Markeringsfarve4 3 3 2 5" xfId="5883" xr:uid="{00000000-0005-0000-0000-00000B730000}"/>
    <cellStyle name="40 % - Markeringsfarve4 3 3 2 5 2" xfId="13802" xr:uid="{00000000-0005-0000-0000-00000C730000}"/>
    <cellStyle name="40 % - Markeringsfarve4 3 3 2 5 2 2" xfId="30117" xr:uid="{00000000-0005-0000-0000-00000D730000}"/>
    <cellStyle name="40 % - Markeringsfarve4 3 3 2 5 2 3" xfId="45081" xr:uid="{00000000-0005-0000-0000-00000E730000}"/>
    <cellStyle name="40 % - Markeringsfarve4 3 3 2 5 3" xfId="23095" xr:uid="{00000000-0005-0000-0000-00000F730000}"/>
    <cellStyle name="40 % - Markeringsfarve4 3 3 2 5 4" xfId="38082" xr:uid="{00000000-0005-0000-0000-000010730000}"/>
    <cellStyle name="40 % - Markeringsfarve4 3 3 2 6" xfId="12506" xr:uid="{00000000-0005-0000-0000-000011730000}"/>
    <cellStyle name="40 % - Markeringsfarve4 3 3 2 6 2" xfId="28826" xr:uid="{00000000-0005-0000-0000-000012730000}"/>
    <cellStyle name="40 % - Markeringsfarve4 3 3 2 6 3" xfId="43791" xr:uid="{00000000-0005-0000-0000-000013730000}"/>
    <cellStyle name="40 % - Markeringsfarve4 3 3 2 7" xfId="21804" xr:uid="{00000000-0005-0000-0000-000014730000}"/>
    <cellStyle name="40 % - Markeringsfarve4 3 3 2 8" xfId="36792" xr:uid="{00000000-0005-0000-0000-000015730000}"/>
    <cellStyle name="40 % - Markeringsfarve4 3 3 3" xfId="3951" xr:uid="{00000000-0005-0000-0000-000016730000}"/>
    <cellStyle name="40 % - Markeringsfarve4 3 3 3 2" xfId="3952" xr:uid="{00000000-0005-0000-0000-000017730000}"/>
    <cellStyle name="40 % - Markeringsfarve4 3 3 3 2 2" xfId="3953" xr:uid="{00000000-0005-0000-0000-000018730000}"/>
    <cellStyle name="40 % - Markeringsfarve4 3 3 3 2 2 2" xfId="7752" xr:uid="{00000000-0005-0000-0000-000019730000}"/>
    <cellStyle name="40 % - Markeringsfarve4 3 3 3 2 2 2 2" xfId="15654" xr:uid="{00000000-0005-0000-0000-00001A730000}"/>
    <cellStyle name="40 % - Markeringsfarve4 3 3 3 2 2 2 2 2" xfId="31969" xr:uid="{00000000-0005-0000-0000-00001B730000}"/>
    <cellStyle name="40 % - Markeringsfarve4 3 3 3 2 2 2 2 3" xfId="46933" xr:uid="{00000000-0005-0000-0000-00001C730000}"/>
    <cellStyle name="40 % - Markeringsfarve4 3 3 3 2 2 2 3" xfId="24947" xr:uid="{00000000-0005-0000-0000-00001D730000}"/>
    <cellStyle name="40 % - Markeringsfarve4 3 3 3 2 2 2 4" xfId="39934" xr:uid="{00000000-0005-0000-0000-00001E730000}"/>
    <cellStyle name="40 % - Markeringsfarve4 3 3 3 2 2 3" xfId="12513" xr:uid="{00000000-0005-0000-0000-00001F730000}"/>
    <cellStyle name="40 % - Markeringsfarve4 3 3 3 2 2 3 2" xfId="28833" xr:uid="{00000000-0005-0000-0000-000020730000}"/>
    <cellStyle name="40 % - Markeringsfarve4 3 3 3 2 2 3 3" xfId="43798" xr:uid="{00000000-0005-0000-0000-000021730000}"/>
    <cellStyle name="40 % - Markeringsfarve4 3 3 3 2 2 4" xfId="21811" xr:uid="{00000000-0005-0000-0000-000022730000}"/>
    <cellStyle name="40 % - Markeringsfarve4 3 3 3 2 2 5" xfId="36799" xr:uid="{00000000-0005-0000-0000-000023730000}"/>
    <cellStyle name="40 % - Markeringsfarve4 3 3 3 2 3" xfId="6298" xr:uid="{00000000-0005-0000-0000-000024730000}"/>
    <cellStyle name="40 % - Markeringsfarve4 3 3 3 2 3 2" xfId="14216" xr:uid="{00000000-0005-0000-0000-000025730000}"/>
    <cellStyle name="40 % - Markeringsfarve4 3 3 3 2 3 2 2" xfId="30531" xr:uid="{00000000-0005-0000-0000-000026730000}"/>
    <cellStyle name="40 % - Markeringsfarve4 3 3 3 2 3 2 3" xfId="45495" xr:uid="{00000000-0005-0000-0000-000027730000}"/>
    <cellStyle name="40 % - Markeringsfarve4 3 3 3 2 3 3" xfId="23509" xr:uid="{00000000-0005-0000-0000-000028730000}"/>
    <cellStyle name="40 % - Markeringsfarve4 3 3 3 2 3 4" xfId="38496" xr:uid="{00000000-0005-0000-0000-000029730000}"/>
    <cellStyle name="40 % - Markeringsfarve4 3 3 3 2 4" xfId="12512" xr:uid="{00000000-0005-0000-0000-00002A730000}"/>
    <cellStyle name="40 % - Markeringsfarve4 3 3 3 2 4 2" xfId="28832" xr:uid="{00000000-0005-0000-0000-00002B730000}"/>
    <cellStyle name="40 % - Markeringsfarve4 3 3 3 2 4 3" xfId="43797" xr:uid="{00000000-0005-0000-0000-00002C730000}"/>
    <cellStyle name="40 % - Markeringsfarve4 3 3 3 2 5" xfId="21810" xr:uid="{00000000-0005-0000-0000-00002D730000}"/>
    <cellStyle name="40 % - Markeringsfarve4 3 3 3 2 6" xfId="36798" xr:uid="{00000000-0005-0000-0000-00002E730000}"/>
    <cellStyle name="40 % - Markeringsfarve4 3 3 3 3" xfId="3954" xr:uid="{00000000-0005-0000-0000-00002F730000}"/>
    <cellStyle name="40 % - Markeringsfarve4 3 3 3 3 2" xfId="6982" xr:uid="{00000000-0005-0000-0000-000030730000}"/>
    <cellStyle name="40 % - Markeringsfarve4 3 3 3 3 2 2" xfId="14894" xr:uid="{00000000-0005-0000-0000-000031730000}"/>
    <cellStyle name="40 % - Markeringsfarve4 3 3 3 3 2 2 2" xfId="31209" xr:uid="{00000000-0005-0000-0000-000032730000}"/>
    <cellStyle name="40 % - Markeringsfarve4 3 3 3 3 2 2 3" xfId="46173" xr:uid="{00000000-0005-0000-0000-000033730000}"/>
    <cellStyle name="40 % - Markeringsfarve4 3 3 3 3 2 3" xfId="24187" xr:uid="{00000000-0005-0000-0000-000034730000}"/>
    <cellStyle name="40 % - Markeringsfarve4 3 3 3 3 2 4" xfId="39174" xr:uid="{00000000-0005-0000-0000-000035730000}"/>
    <cellStyle name="40 % - Markeringsfarve4 3 3 3 3 3" xfId="12514" xr:uid="{00000000-0005-0000-0000-000036730000}"/>
    <cellStyle name="40 % - Markeringsfarve4 3 3 3 3 3 2" xfId="28834" xr:uid="{00000000-0005-0000-0000-000037730000}"/>
    <cellStyle name="40 % - Markeringsfarve4 3 3 3 3 3 3" xfId="43799" xr:uid="{00000000-0005-0000-0000-000038730000}"/>
    <cellStyle name="40 % - Markeringsfarve4 3 3 3 3 4" xfId="21812" xr:uid="{00000000-0005-0000-0000-000039730000}"/>
    <cellStyle name="40 % - Markeringsfarve4 3 3 3 3 5" xfId="36800" xr:uid="{00000000-0005-0000-0000-00003A730000}"/>
    <cellStyle name="40 % - Markeringsfarve4 3 3 3 4" xfId="3955" xr:uid="{00000000-0005-0000-0000-00003B730000}"/>
    <cellStyle name="40 % - Markeringsfarve4 3 3 3 4 2" xfId="8518" xr:uid="{00000000-0005-0000-0000-00003C730000}"/>
    <cellStyle name="40 % - Markeringsfarve4 3 3 3 4 2 2" xfId="16406" xr:uid="{00000000-0005-0000-0000-00003D730000}"/>
    <cellStyle name="40 % - Markeringsfarve4 3 3 3 4 2 2 2" xfId="32721" xr:uid="{00000000-0005-0000-0000-00003E730000}"/>
    <cellStyle name="40 % - Markeringsfarve4 3 3 3 4 2 2 3" xfId="47685" xr:uid="{00000000-0005-0000-0000-00003F730000}"/>
    <cellStyle name="40 % - Markeringsfarve4 3 3 3 4 2 3" xfId="25699" xr:uid="{00000000-0005-0000-0000-000040730000}"/>
    <cellStyle name="40 % - Markeringsfarve4 3 3 3 4 2 4" xfId="40686" xr:uid="{00000000-0005-0000-0000-000041730000}"/>
    <cellStyle name="40 % - Markeringsfarve4 3 3 3 4 3" xfId="12515" xr:uid="{00000000-0005-0000-0000-000042730000}"/>
    <cellStyle name="40 % - Markeringsfarve4 3 3 3 4 3 2" xfId="28835" xr:uid="{00000000-0005-0000-0000-000043730000}"/>
    <cellStyle name="40 % - Markeringsfarve4 3 3 3 4 3 3" xfId="43800" xr:uid="{00000000-0005-0000-0000-000044730000}"/>
    <cellStyle name="40 % - Markeringsfarve4 3 3 3 4 4" xfId="21813" xr:uid="{00000000-0005-0000-0000-000045730000}"/>
    <cellStyle name="40 % - Markeringsfarve4 3 3 3 4 5" xfId="36801" xr:uid="{00000000-0005-0000-0000-000046730000}"/>
    <cellStyle name="40 % - Markeringsfarve4 3 3 3 5" xfId="5884" xr:uid="{00000000-0005-0000-0000-000047730000}"/>
    <cellStyle name="40 % - Markeringsfarve4 3 3 3 5 2" xfId="13803" xr:uid="{00000000-0005-0000-0000-000048730000}"/>
    <cellStyle name="40 % - Markeringsfarve4 3 3 3 5 2 2" xfId="30118" xr:uid="{00000000-0005-0000-0000-000049730000}"/>
    <cellStyle name="40 % - Markeringsfarve4 3 3 3 5 2 3" xfId="45082" xr:uid="{00000000-0005-0000-0000-00004A730000}"/>
    <cellStyle name="40 % - Markeringsfarve4 3 3 3 5 3" xfId="23096" xr:uid="{00000000-0005-0000-0000-00004B730000}"/>
    <cellStyle name="40 % - Markeringsfarve4 3 3 3 5 4" xfId="38083" xr:uid="{00000000-0005-0000-0000-00004C730000}"/>
    <cellStyle name="40 % - Markeringsfarve4 3 3 3 6" xfId="12511" xr:uid="{00000000-0005-0000-0000-00004D730000}"/>
    <cellStyle name="40 % - Markeringsfarve4 3 3 3 6 2" xfId="28831" xr:uid="{00000000-0005-0000-0000-00004E730000}"/>
    <cellStyle name="40 % - Markeringsfarve4 3 3 3 6 3" xfId="43796" xr:uid="{00000000-0005-0000-0000-00004F730000}"/>
    <cellStyle name="40 % - Markeringsfarve4 3 3 3 7" xfId="21809" xr:uid="{00000000-0005-0000-0000-000050730000}"/>
    <cellStyle name="40 % - Markeringsfarve4 3 3 3 8" xfId="36797" xr:uid="{00000000-0005-0000-0000-000051730000}"/>
    <cellStyle name="40 % - Markeringsfarve4 3 3 4" xfId="3956" xr:uid="{00000000-0005-0000-0000-000052730000}"/>
    <cellStyle name="40 % - Markeringsfarve4 3 3 4 2" xfId="3957" xr:uid="{00000000-0005-0000-0000-000053730000}"/>
    <cellStyle name="40 % - Markeringsfarve4 3 3 4 2 2" xfId="3958" xr:uid="{00000000-0005-0000-0000-000054730000}"/>
    <cellStyle name="40 % - Markeringsfarve4 3 3 4 2 2 2" xfId="7884" xr:uid="{00000000-0005-0000-0000-000055730000}"/>
    <cellStyle name="40 % - Markeringsfarve4 3 3 4 2 2 2 2" xfId="15786" xr:uid="{00000000-0005-0000-0000-000056730000}"/>
    <cellStyle name="40 % - Markeringsfarve4 3 3 4 2 2 2 2 2" xfId="32101" xr:uid="{00000000-0005-0000-0000-000057730000}"/>
    <cellStyle name="40 % - Markeringsfarve4 3 3 4 2 2 2 2 3" xfId="47065" xr:uid="{00000000-0005-0000-0000-000058730000}"/>
    <cellStyle name="40 % - Markeringsfarve4 3 3 4 2 2 2 3" xfId="25079" xr:uid="{00000000-0005-0000-0000-000059730000}"/>
    <cellStyle name="40 % - Markeringsfarve4 3 3 4 2 2 2 4" xfId="40066" xr:uid="{00000000-0005-0000-0000-00005A730000}"/>
    <cellStyle name="40 % - Markeringsfarve4 3 3 4 2 2 3" xfId="12518" xr:uid="{00000000-0005-0000-0000-00005B730000}"/>
    <cellStyle name="40 % - Markeringsfarve4 3 3 4 2 2 3 2" xfId="28838" xr:uid="{00000000-0005-0000-0000-00005C730000}"/>
    <cellStyle name="40 % - Markeringsfarve4 3 3 4 2 2 3 3" xfId="43803" xr:uid="{00000000-0005-0000-0000-00005D730000}"/>
    <cellStyle name="40 % - Markeringsfarve4 3 3 4 2 2 4" xfId="21816" xr:uid="{00000000-0005-0000-0000-00005E730000}"/>
    <cellStyle name="40 % - Markeringsfarve4 3 3 4 2 2 5" xfId="36804" xr:uid="{00000000-0005-0000-0000-00005F730000}"/>
    <cellStyle name="40 % - Markeringsfarve4 3 3 4 2 3" xfId="6416" xr:uid="{00000000-0005-0000-0000-000060730000}"/>
    <cellStyle name="40 % - Markeringsfarve4 3 3 4 2 3 2" xfId="14331" xr:uid="{00000000-0005-0000-0000-000061730000}"/>
    <cellStyle name="40 % - Markeringsfarve4 3 3 4 2 3 2 2" xfId="30646" xr:uid="{00000000-0005-0000-0000-000062730000}"/>
    <cellStyle name="40 % - Markeringsfarve4 3 3 4 2 3 2 3" xfId="45610" xr:uid="{00000000-0005-0000-0000-000063730000}"/>
    <cellStyle name="40 % - Markeringsfarve4 3 3 4 2 3 3" xfId="23624" xr:uid="{00000000-0005-0000-0000-000064730000}"/>
    <cellStyle name="40 % - Markeringsfarve4 3 3 4 2 3 4" xfId="38611" xr:uid="{00000000-0005-0000-0000-000065730000}"/>
    <cellStyle name="40 % - Markeringsfarve4 3 3 4 2 4" xfId="12517" xr:uid="{00000000-0005-0000-0000-000066730000}"/>
    <cellStyle name="40 % - Markeringsfarve4 3 3 4 2 4 2" xfId="28837" xr:uid="{00000000-0005-0000-0000-000067730000}"/>
    <cellStyle name="40 % - Markeringsfarve4 3 3 4 2 4 3" xfId="43802" xr:uid="{00000000-0005-0000-0000-000068730000}"/>
    <cellStyle name="40 % - Markeringsfarve4 3 3 4 2 5" xfId="21815" xr:uid="{00000000-0005-0000-0000-000069730000}"/>
    <cellStyle name="40 % - Markeringsfarve4 3 3 4 2 6" xfId="36803" xr:uid="{00000000-0005-0000-0000-00006A730000}"/>
    <cellStyle name="40 % - Markeringsfarve4 3 3 4 3" xfId="3959" xr:uid="{00000000-0005-0000-0000-00006B730000}"/>
    <cellStyle name="40 % - Markeringsfarve4 3 3 4 3 2" xfId="7160" xr:uid="{00000000-0005-0000-0000-00006C730000}"/>
    <cellStyle name="40 % - Markeringsfarve4 3 3 4 3 2 2" xfId="15071" xr:uid="{00000000-0005-0000-0000-00006D730000}"/>
    <cellStyle name="40 % - Markeringsfarve4 3 3 4 3 2 2 2" xfId="31386" xr:uid="{00000000-0005-0000-0000-00006E730000}"/>
    <cellStyle name="40 % - Markeringsfarve4 3 3 4 3 2 2 3" xfId="46350" xr:uid="{00000000-0005-0000-0000-00006F730000}"/>
    <cellStyle name="40 % - Markeringsfarve4 3 3 4 3 2 3" xfId="24364" xr:uid="{00000000-0005-0000-0000-000070730000}"/>
    <cellStyle name="40 % - Markeringsfarve4 3 3 4 3 2 4" xfId="39351" xr:uid="{00000000-0005-0000-0000-000071730000}"/>
    <cellStyle name="40 % - Markeringsfarve4 3 3 4 3 3" xfId="12519" xr:uid="{00000000-0005-0000-0000-000072730000}"/>
    <cellStyle name="40 % - Markeringsfarve4 3 3 4 3 3 2" xfId="28839" xr:uid="{00000000-0005-0000-0000-000073730000}"/>
    <cellStyle name="40 % - Markeringsfarve4 3 3 4 3 3 3" xfId="43804" xr:uid="{00000000-0005-0000-0000-000074730000}"/>
    <cellStyle name="40 % - Markeringsfarve4 3 3 4 3 4" xfId="21817" xr:uid="{00000000-0005-0000-0000-000075730000}"/>
    <cellStyle name="40 % - Markeringsfarve4 3 3 4 3 5" xfId="36805" xr:uid="{00000000-0005-0000-0000-000076730000}"/>
    <cellStyle name="40 % - Markeringsfarve4 3 3 4 4" xfId="3960" xr:uid="{00000000-0005-0000-0000-000077730000}"/>
    <cellStyle name="40 % - Markeringsfarve4 3 3 4 4 2" xfId="8167" xr:uid="{00000000-0005-0000-0000-000078730000}"/>
    <cellStyle name="40 % - Markeringsfarve4 3 3 4 4 2 2" xfId="16065" xr:uid="{00000000-0005-0000-0000-000079730000}"/>
    <cellStyle name="40 % - Markeringsfarve4 3 3 4 4 2 2 2" xfId="32380" xr:uid="{00000000-0005-0000-0000-00007A730000}"/>
    <cellStyle name="40 % - Markeringsfarve4 3 3 4 4 2 2 3" xfId="47344" xr:uid="{00000000-0005-0000-0000-00007B730000}"/>
    <cellStyle name="40 % - Markeringsfarve4 3 3 4 4 2 3" xfId="25358" xr:uid="{00000000-0005-0000-0000-00007C730000}"/>
    <cellStyle name="40 % - Markeringsfarve4 3 3 4 4 2 4" xfId="40345" xr:uid="{00000000-0005-0000-0000-00007D730000}"/>
    <cellStyle name="40 % - Markeringsfarve4 3 3 4 4 3" xfId="12520" xr:uid="{00000000-0005-0000-0000-00007E730000}"/>
    <cellStyle name="40 % - Markeringsfarve4 3 3 4 4 3 2" xfId="28840" xr:uid="{00000000-0005-0000-0000-00007F730000}"/>
    <cellStyle name="40 % - Markeringsfarve4 3 3 4 4 3 3" xfId="43805" xr:uid="{00000000-0005-0000-0000-000080730000}"/>
    <cellStyle name="40 % - Markeringsfarve4 3 3 4 4 4" xfId="21818" xr:uid="{00000000-0005-0000-0000-000081730000}"/>
    <cellStyle name="40 % - Markeringsfarve4 3 3 4 4 5" xfId="36806" xr:uid="{00000000-0005-0000-0000-000082730000}"/>
    <cellStyle name="40 % - Markeringsfarve4 3 3 4 5" xfId="5885" xr:uid="{00000000-0005-0000-0000-000083730000}"/>
    <cellStyle name="40 % - Markeringsfarve4 3 3 4 5 2" xfId="13804" xr:uid="{00000000-0005-0000-0000-000084730000}"/>
    <cellStyle name="40 % - Markeringsfarve4 3 3 4 5 2 2" xfId="30119" xr:uid="{00000000-0005-0000-0000-000085730000}"/>
    <cellStyle name="40 % - Markeringsfarve4 3 3 4 5 2 3" xfId="45083" xr:uid="{00000000-0005-0000-0000-000086730000}"/>
    <cellStyle name="40 % - Markeringsfarve4 3 3 4 5 3" xfId="23097" xr:uid="{00000000-0005-0000-0000-000087730000}"/>
    <cellStyle name="40 % - Markeringsfarve4 3 3 4 5 4" xfId="38084" xr:uid="{00000000-0005-0000-0000-000088730000}"/>
    <cellStyle name="40 % - Markeringsfarve4 3 3 4 6" xfId="12516" xr:uid="{00000000-0005-0000-0000-000089730000}"/>
    <cellStyle name="40 % - Markeringsfarve4 3 3 4 6 2" xfId="28836" xr:uid="{00000000-0005-0000-0000-00008A730000}"/>
    <cellStyle name="40 % - Markeringsfarve4 3 3 4 6 3" xfId="43801" xr:uid="{00000000-0005-0000-0000-00008B730000}"/>
    <cellStyle name="40 % - Markeringsfarve4 3 3 4 7" xfId="21814" xr:uid="{00000000-0005-0000-0000-00008C730000}"/>
    <cellStyle name="40 % - Markeringsfarve4 3 3 4 8" xfId="36802" xr:uid="{00000000-0005-0000-0000-00008D730000}"/>
    <cellStyle name="40 % - Markeringsfarve4 3 3 5" xfId="3961" xr:uid="{00000000-0005-0000-0000-00008E730000}"/>
    <cellStyle name="40 % - Markeringsfarve4 3 3 5 2" xfId="3962" xr:uid="{00000000-0005-0000-0000-00008F730000}"/>
    <cellStyle name="40 % - Markeringsfarve4 3 3 5 2 2" xfId="3963" xr:uid="{00000000-0005-0000-0000-000090730000}"/>
    <cellStyle name="40 % - Markeringsfarve4 3 3 5 2 2 2" xfId="8001" xr:uid="{00000000-0005-0000-0000-000091730000}"/>
    <cellStyle name="40 % - Markeringsfarve4 3 3 5 2 2 2 2" xfId="15903" xr:uid="{00000000-0005-0000-0000-000092730000}"/>
    <cellStyle name="40 % - Markeringsfarve4 3 3 5 2 2 2 2 2" xfId="32218" xr:uid="{00000000-0005-0000-0000-000093730000}"/>
    <cellStyle name="40 % - Markeringsfarve4 3 3 5 2 2 2 2 3" xfId="47182" xr:uid="{00000000-0005-0000-0000-000094730000}"/>
    <cellStyle name="40 % - Markeringsfarve4 3 3 5 2 2 2 3" xfId="25196" xr:uid="{00000000-0005-0000-0000-000095730000}"/>
    <cellStyle name="40 % - Markeringsfarve4 3 3 5 2 2 2 4" xfId="40183" xr:uid="{00000000-0005-0000-0000-000096730000}"/>
    <cellStyle name="40 % - Markeringsfarve4 3 3 5 2 2 3" xfId="12523" xr:uid="{00000000-0005-0000-0000-000097730000}"/>
    <cellStyle name="40 % - Markeringsfarve4 3 3 5 2 2 3 2" xfId="28843" xr:uid="{00000000-0005-0000-0000-000098730000}"/>
    <cellStyle name="40 % - Markeringsfarve4 3 3 5 2 2 3 3" xfId="43808" xr:uid="{00000000-0005-0000-0000-000099730000}"/>
    <cellStyle name="40 % - Markeringsfarve4 3 3 5 2 2 4" xfId="21821" xr:uid="{00000000-0005-0000-0000-00009A730000}"/>
    <cellStyle name="40 % - Markeringsfarve4 3 3 5 2 2 5" xfId="36809" xr:uid="{00000000-0005-0000-0000-00009B730000}"/>
    <cellStyle name="40 % - Markeringsfarve4 3 3 5 2 3" xfId="6515" xr:uid="{00000000-0005-0000-0000-00009C730000}"/>
    <cellStyle name="40 % - Markeringsfarve4 3 3 5 2 3 2" xfId="14430" xr:uid="{00000000-0005-0000-0000-00009D730000}"/>
    <cellStyle name="40 % - Markeringsfarve4 3 3 5 2 3 2 2" xfId="30745" xr:uid="{00000000-0005-0000-0000-00009E730000}"/>
    <cellStyle name="40 % - Markeringsfarve4 3 3 5 2 3 2 3" xfId="45709" xr:uid="{00000000-0005-0000-0000-00009F730000}"/>
    <cellStyle name="40 % - Markeringsfarve4 3 3 5 2 3 3" xfId="23723" xr:uid="{00000000-0005-0000-0000-0000A0730000}"/>
    <cellStyle name="40 % - Markeringsfarve4 3 3 5 2 3 4" xfId="38710" xr:uid="{00000000-0005-0000-0000-0000A1730000}"/>
    <cellStyle name="40 % - Markeringsfarve4 3 3 5 2 4" xfId="12522" xr:uid="{00000000-0005-0000-0000-0000A2730000}"/>
    <cellStyle name="40 % - Markeringsfarve4 3 3 5 2 4 2" xfId="28842" xr:uid="{00000000-0005-0000-0000-0000A3730000}"/>
    <cellStyle name="40 % - Markeringsfarve4 3 3 5 2 4 3" xfId="43807" xr:uid="{00000000-0005-0000-0000-0000A4730000}"/>
    <cellStyle name="40 % - Markeringsfarve4 3 3 5 2 5" xfId="21820" xr:uid="{00000000-0005-0000-0000-0000A5730000}"/>
    <cellStyle name="40 % - Markeringsfarve4 3 3 5 2 6" xfId="36808" xr:uid="{00000000-0005-0000-0000-0000A6730000}"/>
    <cellStyle name="40 % - Markeringsfarve4 3 3 5 3" xfId="3964" xr:uid="{00000000-0005-0000-0000-0000A7730000}"/>
    <cellStyle name="40 % - Markeringsfarve4 3 3 5 3 2" xfId="7277" xr:uid="{00000000-0005-0000-0000-0000A8730000}"/>
    <cellStyle name="40 % - Markeringsfarve4 3 3 5 3 2 2" xfId="15188" xr:uid="{00000000-0005-0000-0000-0000A9730000}"/>
    <cellStyle name="40 % - Markeringsfarve4 3 3 5 3 2 2 2" xfId="31503" xr:uid="{00000000-0005-0000-0000-0000AA730000}"/>
    <cellStyle name="40 % - Markeringsfarve4 3 3 5 3 2 2 3" xfId="46467" xr:uid="{00000000-0005-0000-0000-0000AB730000}"/>
    <cellStyle name="40 % - Markeringsfarve4 3 3 5 3 2 3" xfId="24481" xr:uid="{00000000-0005-0000-0000-0000AC730000}"/>
    <cellStyle name="40 % - Markeringsfarve4 3 3 5 3 2 4" xfId="39468" xr:uid="{00000000-0005-0000-0000-0000AD730000}"/>
    <cellStyle name="40 % - Markeringsfarve4 3 3 5 3 3" xfId="12524" xr:uid="{00000000-0005-0000-0000-0000AE730000}"/>
    <cellStyle name="40 % - Markeringsfarve4 3 3 5 3 3 2" xfId="28844" xr:uid="{00000000-0005-0000-0000-0000AF730000}"/>
    <cellStyle name="40 % - Markeringsfarve4 3 3 5 3 3 3" xfId="43809" xr:uid="{00000000-0005-0000-0000-0000B0730000}"/>
    <cellStyle name="40 % - Markeringsfarve4 3 3 5 3 4" xfId="21822" xr:uid="{00000000-0005-0000-0000-0000B1730000}"/>
    <cellStyle name="40 % - Markeringsfarve4 3 3 5 3 5" xfId="36810" xr:uid="{00000000-0005-0000-0000-0000B2730000}"/>
    <cellStyle name="40 % - Markeringsfarve4 3 3 5 4" xfId="3965" xr:uid="{00000000-0005-0000-0000-0000B3730000}"/>
    <cellStyle name="40 % - Markeringsfarve4 3 3 5 4 2" xfId="8504" xr:uid="{00000000-0005-0000-0000-0000B4730000}"/>
    <cellStyle name="40 % - Markeringsfarve4 3 3 5 4 2 2" xfId="16392" xr:uid="{00000000-0005-0000-0000-0000B5730000}"/>
    <cellStyle name="40 % - Markeringsfarve4 3 3 5 4 2 2 2" xfId="32707" xr:uid="{00000000-0005-0000-0000-0000B6730000}"/>
    <cellStyle name="40 % - Markeringsfarve4 3 3 5 4 2 2 3" xfId="47671" xr:uid="{00000000-0005-0000-0000-0000B7730000}"/>
    <cellStyle name="40 % - Markeringsfarve4 3 3 5 4 2 3" xfId="25685" xr:uid="{00000000-0005-0000-0000-0000B8730000}"/>
    <cellStyle name="40 % - Markeringsfarve4 3 3 5 4 2 4" xfId="40672" xr:uid="{00000000-0005-0000-0000-0000B9730000}"/>
    <cellStyle name="40 % - Markeringsfarve4 3 3 5 4 3" xfId="12525" xr:uid="{00000000-0005-0000-0000-0000BA730000}"/>
    <cellStyle name="40 % - Markeringsfarve4 3 3 5 4 3 2" xfId="28845" xr:uid="{00000000-0005-0000-0000-0000BB730000}"/>
    <cellStyle name="40 % - Markeringsfarve4 3 3 5 4 3 3" xfId="43810" xr:uid="{00000000-0005-0000-0000-0000BC730000}"/>
    <cellStyle name="40 % - Markeringsfarve4 3 3 5 4 4" xfId="21823" xr:uid="{00000000-0005-0000-0000-0000BD730000}"/>
    <cellStyle name="40 % - Markeringsfarve4 3 3 5 4 5" xfId="36811" xr:uid="{00000000-0005-0000-0000-0000BE730000}"/>
    <cellStyle name="40 % - Markeringsfarve4 3 3 5 5" xfId="5886" xr:uid="{00000000-0005-0000-0000-0000BF730000}"/>
    <cellStyle name="40 % - Markeringsfarve4 3 3 5 5 2" xfId="13805" xr:uid="{00000000-0005-0000-0000-0000C0730000}"/>
    <cellStyle name="40 % - Markeringsfarve4 3 3 5 5 2 2" xfId="30120" xr:uid="{00000000-0005-0000-0000-0000C1730000}"/>
    <cellStyle name="40 % - Markeringsfarve4 3 3 5 5 2 3" xfId="45084" xr:uid="{00000000-0005-0000-0000-0000C2730000}"/>
    <cellStyle name="40 % - Markeringsfarve4 3 3 5 5 3" xfId="23098" xr:uid="{00000000-0005-0000-0000-0000C3730000}"/>
    <cellStyle name="40 % - Markeringsfarve4 3 3 5 5 4" xfId="38085" xr:uid="{00000000-0005-0000-0000-0000C4730000}"/>
    <cellStyle name="40 % - Markeringsfarve4 3 3 5 6" xfId="12521" xr:uid="{00000000-0005-0000-0000-0000C5730000}"/>
    <cellStyle name="40 % - Markeringsfarve4 3 3 5 6 2" xfId="28841" xr:uid="{00000000-0005-0000-0000-0000C6730000}"/>
    <cellStyle name="40 % - Markeringsfarve4 3 3 5 6 3" xfId="43806" xr:uid="{00000000-0005-0000-0000-0000C7730000}"/>
    <cellStyle name="40 % - Markeringsfarve4 3 3 5 7" xfId="21819" xr:uid="{00000000-0005-0000-0000-0000C8730000}"/>
    <cellStyle name="40 % - Markeringsfarve4 3 3 5 8" xfId="36807" xr:uid="{00000000-0005-0000-0000-0000C9730000}"/>
    <cellStyle name="40 % - Markeringsfarve4 3 3 6" xfId="3966" xr:uid="{00000000-0005-0000-0000-0000CA730000}"/>
    <cellStyle name="40 % - Markeringsfarve4 3 3 6 2" xfId="3967" xr:uid="{00000000-0005-0000-0000-0000CB730000}"/>
    <cellStyle name="40 % - Markeringsfarve4 3 3 6 2 2" xfId="3968" xr:uid="{00000000-0005-0000-0000-0000CC730000}"/>
    <cellStyle name="40 % - Markeringsfarve4 3 3 6 2 2 2" xfId="8106" xr:uid="{00000000-0005-0000-0000-0000CD730000}"/>
    <cellStyle name="40 % - Markeringsfarve4 3 3 6 2 2 2 2" xfId="16008" xr:uid="{00000000-0005-0000-0000-0000CE730000}"/>
    <cellStyle name="40 % - Markeringsfarve4 3 3 6 2 2 2 2 2" xfId="32323" xr:uid="{00000000-0005-0000-0000-0000CF730000}"/>
    <cellStyle name="40 % - Markeringsfarve4 3 3 6 2 2 2 2 3" xfId="47287" xr:uid="{00000000-0005-0000-0000-0000D0730000}"/>
    <cellStyle name="40 % - Markeringsfarve4 3 3 6 2 2 2 3" xfId="25301" xr:uid="{00000000-0005-0000-0000-0000D1730000}"/>
    <cellStyle name="40 % - Markeringsfarve4 3 3 6 2 2 2 4" xfId="40288" xr:uid="{00000000-0005-0000-0000-0000D2730000}"/>
    <cellStyle name="40 % - Markeringsfarve4 3 3 6 2 2 3" xfId="12528" xr:uid="{00000000-0005-0000-0000-0000D3730000}"/>
    <cellStyle name="40 % - Markeringsfarve4 3 3 6 2 2 3 2" xfId="28848" xr:uid="{00000000-0005-0000-0000-0000D4730000}"/>
    <cellStyle name="40 % - Markeringsfarve4 3 3 6 2 2 3 3" xfId="43813" xr:uid="{00000000-0005-0000-0000-0000D5730000}"/>
    <cellStyle name="40 % - Markeringsfarve4 3 3 6 2 2 4" xfId="21826" xr:uid="{00000000-0005-0000-0000-0000D6730000}"/>
    <cellStyle name="40 % - Markeringsfarve4 3 3 6 2 2 5" xfId="36814" xr:uid="{00000000-0005-0000-0000-0000D7730000}"/>
    <cellStyle name="40 % - Markeringsfarve4 3 3 6 2 3" xfId="6599" xr:uid="{00000000-0005-0000-0000-0000D8730000}"/>
    <cellStyle name="40 % - Markeringsfarve4 3 3 6 2 3 2" xfId="14514" xr:uid="{00000000-0005-0000-0000-0000D9730000}"/>
    <cellStyle name="40 % - Markeringsfarve4 3 3 6 2 3 2 2" xfId="30829" xr:uid="{00000000-0005-0000-0000-0000DA730000}"/>
    <cellStyle name="40 % - Markeringsfarve4 3 3 6 2 3 2 3" xfId="45793" xr:uid="{00000000-0005-0000-0000-0000DB730000}"/>
    <cellStyle name="40 % - Markeringsfarve4 3 3 6 2 3 3" xfId="23807" xr:uid="{00000000-0005-0000-0000-0000DC730000}"/>
    <cellStyle name="40 % - Markeringsfarve4 3 3 6 2 3 4" xfId="38794" xr:uid="{00000000-0005-0000-0000-0000DD730000}"/>
    <cellStyle name="40 % - Markeringsfarve4 3 3 6 2 4" xfId="12527" xr:uid="{00000000-0005-0000-0000-0000DE730000}"/>
    <cellStyle name="40 % - Markeringsfarve4 3 3 6 2 4 2" xfId="28847" xr:uid="{00000000-0005-0000-0000-0000DF730000}"/>
    <cellStyle name="40 % - Markeringsfarve4 3 3 6 2 4 3" xfId="43812" xr:uid="{00000000-0005-0000-0000-0000E0730000}"/>
    <cellStyle name="40 % - Markeringsfarve4 3 3 6 2 5" xfId="21825" xr:uid="{00000000-0005-0000-0000-0000E1730000}"/>
    <cellStyle name="40 % - Markeringsfarve4 3 3 6 2 6" xfId="36813" xr:uid="{00000000-0005-0000-0000-0000E2730000}"/>
    <cellStyle name="40 % - Markeringsfarve4 3 3 6 3" xfId="3969" xr:uid="{00000000-0005-0000-0000-0000E3730000}"/>
    <cellStyle name="40 % - Markeringsfarve4 3 3 6 3 2" xfId="7383" xr:uid="{00000000-0005-0000-0000-0000E4730000}"/>
    <cellStyle name="40 % - Markeringsfarve4 3 3 6 3 2 2" xfId="15294" xr:uid="{00000000-0005-0000-0000-0000E5730000}"/>
    <cellStyle name="40 % - Markeringsfarve4 3 3 6 3 2 2 2" xfId="31609" xr:uid="{00000000-0005-0000-0000-0000E6730000}"/>
    <cellStyle name="40 % - Markeringsfarve4 3 3 6 3 2 2 3" xfId="46573" xr:uid="{00000000-0005-0000-0000-0000E7730000}"/>
    <cellStyle name="40 % - Markeringsfarve4 3 3 6 3 2 3" xfId="24587" xr:uid="{00000000-0005-0000-0000-0000E8730000}"/>
    <cellStyle name="40 % - Markeringsfarve4 3 3 6 3 2 4" xfId="39574" xr:uid="{00000000-0005-0000-0000-0000E9730000}"/>
    <cellStyle name="40 % - Markeringsfarve4 3 3 6 3 3" xfId="12529" xr:uid="{00000000-0005-0000-0000-0000EA730000}"/>
    <cellStyle name="40 % - Markeringsfarve4 3 3 6 3 3 2" xfId="28849" xr:uid="{00000000-0005-0000-0000-0000EB730000}"/>
    <cellStyle name="40 % - Markeringsfarve4 3 3 6 3 3 3" xfId="43814" xr:uid="{00000000-0005-0000-0000-0000EC730000}"/>
    <cellStyle name="40 % - Markeringsfarve4 3 3 6 3 4" xfId="21827" xr:uid="{00000000-0005-0000-0000-0000ED730000}"/>
    <cellStyle name="40 % - Markeringsfarve4 3 3 6 3 5" xfId="36815" xr:uid="{00000000-0005-0000-0000-0000EE730000}"/>
    <cellStyle name="40 % - Markeringsfarve4 3 3 6 4" xfId="3970" xr:uid="{00000000-0005-0000-0000-0000EF730000}"/>
    <cellStyle name="40 % - Markeringsfarve4 3 3 6 4 2" xfId="8707" xr:uid="{00000000-0005-0000-0000-0000F0730000}"/>
    <cellStyle name="40 % - Markeringsfarve4 3 3 6 4 2 2" xfId="16584" xr:uid="{00000000-0005-0000-0000-0000F1730000}"/>
    <cellStyle name="40 % - Markeringsfarve4 3 3 6 4 2 2 2" xfId="32899" xr:uid="{00000000-0005-0000-0000-0000F2730000}"/>
    <cellStyle name="40 % - Markeringsfarve4 3 3 6 4 2 2 3" xfId="47863" xr:uid="{00000000-0005-0000-0000-0000F3730000}"/>
    <cellStyle name="40 % - Markeringsfarve4 3 3 6 4 2 3" xfId="25877" xr:uid="{00000000-0005-0000-0000-0000F4730000}"/>
    <cellStyle name="40 % - Markeringsfarve4 3 3 6 4 2 4" xfId="40864" xr:uid="{00000000-0005-0000-0000-0000F5730000}"/>
    <cellStyle name="40 % - Markeringsfarve4 3 3 6 4 3" xfId="12530" xr:uid="{00000000-0005-0000-0000-0000F6730000}"/>
    <cellStyle name="40 % - Markeringsfarve4 3 3 6 4 3 2" xfId="28850" xr:uid="{00000000-0005-0000-0000-0000F7730000}"/>
    <cellStyle name="40 % - Markeringsfarve4 3 3 6 4 3 3" xfId="43815" xr:uid="{00000000-0005-0000-0000-0000F8730000}"/>
    <cellStyle name="40 % - Markeringsfarve4 3 3 6 4 4" xfId="21828" xr:uid="{00000000-0005-0000-0000-0000F9730000}"/>
    <cellStyle name="40 % - Markeringsfarve4 3 3 6 4 5" xfId="36816" xr:uid="{00000000-0005-0000-0000-0000FA730000}"/>
    <cellStyle name="40 % - Markeringsfarve4 3 3 6 5" xfId="5887" xr:uid="{00000000-0005-0000-0000-0000FB730000}"/>
    <cellStyle name="40 % - Markeringsfarve4 3 3 6 5 2" xfId="13806" xr:uid="{00000000-0005-0000-0000-0000FC730000}"/>
    <cellStyle name="40 % - Markeringsfarve4 3 3 6 5 2 2" xfId="30121" xr:uid="{00000000-0005-0000-0000-0000FD730000}"/>
    <cellStyle name="40 % - Markeringsfarve4 3 3 6 5 2 3" xfId="45085" xr:uid="{00000000-0005-0000-0000-0000FE730000}"/>
    <cellStyle name="40 % - Markeringsfarve4 3 3 6 5 3" xfId="23099" xr:uid="{00000000-0005-0000-0000-0000FF730000}"/>
    <cellStyle name="40 % - Markeringsfarve4 3 3 6 5 4" xfId="38086" xr:uid="{00000000-0005-0000-0000-000000740000}"/>
    <cellStyle name="40 % - Markeringsfarve4 3 3 6 6" xfId="12526" xr:uid="{00000000-0005-0000-0000-000001740000}"/>
    <cellStyle name="40 % - Markeringsfarve4 3 3 6 6 2" xfId="28846" xr:uid="{00000000-0005-0000-0000-000002740000}"/>
    <cellStyle name="40 % - Markeringsfarve4 3 3 6 6 3" xfId="43811" xr:uid="{00000000-0005-0000-0000-000003740000}"/>
    <cellStyle name="40 % - Markeringsfarve4 3 3 6 7" xfId="21824" xr:uid="{00000000-0005-0000-0000-000004740000}"/>
    <cellStyle name="40 % - Markeringsfarve4 3 3 6 8" xfId="36812" xr:uid="{00000000-0005-0000-0000-000005740000}"/>
    <cellStyle name="40 % - Markeringsfarve4 3 3 7" xfId="3971" xr:uid="{00000000-0005-0000-0000-000006740000}"/>
    <cellStyle name="40 % - Markeringsfarve4 3 3 7 2" xfId="3972" xr:uid="{00000000-0005-0000-0000-000007740000}"/>
    <cellStyle name="40 % - Markeringsfarve4 3 3 7 2 2" xfId="7527" xr:uid="{00000000-0005-0000-0000-000008740000}"/>
    <cellStyle name="40 % - Markeringsfarve4 3 3 7 2 2 2" xfId="15429" xr:uid="{00000000-0005-0000-0000-000009740000}"/>
    <cellStyle name="40 % - Markeringsfarve4 3 3 7 2 2 2 2" xfId="31744" xr:uid="{00000000-0005-0000-0000-00000A740000}"/>
    <cellStyle name="40 % - Markeringsfarve4 3 3 7 2 2 2 3" xfId="46708" xr:uid="{00000000-0005-0000-0000-00000B740000}"/>
    <cellStyle name="40 % - Markeringsfarve4 3 3 7 2 2 3" xfId="24722" xr:uid="{00000000-0005-0000-0000-00000C740000}"/>
    <cellStyle name="40 % - Markeringsfarve4 3 3 7 2 2 4" xfId="39709" xr:uid="{00000000-0005-0000-0000-00000D740000}"/>
    <cellStyle name="40 % - Markeringsfarve4 3 3 7 2 3" xfId="12532" xr:uid="{00000000-0005-0000-0000-00000E740000}"/>
    <cellStyle name="40 % - Markeringsfarve4 3 3 7 2 3 2" xfId="28852" xr:uid="{00000000-0005-0000-0000-00000F740000}"/>
    <cellStyle name="40 % - Markeringsfarve4 3 3 7 2 3 3" xfId="43817" xr:uid="{00000000-0005-0000-0000-000010740000}"/>
    <cellStyle name="40 % - Markeringsfarve4 3 3 7 2 4" xfId="21830" xr:uid="{00000000-0005-0000-0000-000011740000}"/>
    <cellStyle name="40 % - Markeringsfarve4 3 3 7 2 5" xfId="36818" xr:uid="{00000000-0005-0000-0000-000012740000}"/>
    <cellStyle name="40 % - Markeringsfarve4 3 3 7 3" xfId="6115" xr:uid="{00000000-0005-0000-0000-000013740000}"/>
    <cellStyle name="40 % - Markeringsfarve4 3 3 7 3 2" xfId="14033" xr:uid="{00000000-0005-0000-0000-000014740000}"/>
    <cellStyle name="40 % - Markeringsfarve4 3 3 7 3 2 2" xfId="30348" xr:uid="{00000000-0005-0000-0000-000015740000}"/>
    <cellStyle name="40 % - Markeringsfarve4 3 3 7 3 2 3" xfId="45312" xr:uid="{00000000-0005-0000-0000-000016740000}"/>
    <cellStyle name="40 % - Markeringsfarve4 3 3 7 3 3" xfId="23326" xr:uid="{00000000-0005-0000-0000-000017740000}"/>
    <cellStyle name="40 % - Markeringsfarve4 3 3 7 3 4" xfId="38313" xr:uid="{00000000-0005-0000-0000-000018740000}"/>
    <cellStyle name="40 % - Markeringsfarve4 3 3 7 4" xfId="12531" xr:uid="{00000000-0005-0000-0000-000019740000}"/>
    <cellStyle name="40 % - Markeringsfarve4 3 3 7 4 2" xfId="28851" xr:uid="{00000000-0005-0000-0000-00001A740000}"/>
    <cellStyle name="40 % - Markeringsfarve4 3 3 7 4 3" xfId="43816" xr:uid="{00000000-0005-0000-0000-00001B740000}"/>
    <cellStyle name="40 % - Markeringsfarve4 3 3 7 5" xfId="21829" xr:uid="{00000000-0005-0000-0000-00001C740000}"/>
    <cellStyle name="40 % - Markeringsfarve4 3 3 7 6" xfId="36817" xr:uid="{00000000-0005-0000-0000-00001D740000}"/>
    <cellStyle name="40 % - Markeringsfarve4 3 3 8" xfId="3973" xr:uid="{00000000-0005-0000-0000-00001E740000}"/>
    <cellStyle name="40 % - Markeringsfarve4 3 3 8 2" xfId="6755" xr:uid="{00000000-0005-0000-0000-00001F740000}"/>
    <cellStyle name="40 % - Markeringsfarve4 3 3 8 2 2" xfId="14667" xr:uid="{00000000-0005-0000-0000-000020740000}"/>
    <cellStyle name="40 % - Markeringsfarve4 3 3 8 2 2 2" xfId="30982" xr:uid="{00000000-0005-0000-0000-000021740000}"/>
    <cellStyle name="40 % - Markeringsfarve4 3 3 8 2 2 3" xfId="45946" xr:uid="{00000000-0005-0000-0000-000022740000}"/>
    <cellStyle name="40 % - Markeringsfarve4 3 3 8 2 3" xfId="23960" xr:uid="{00000000-0005-0000-0000-000023740000}"/>
    <cellStyle name="40 % - Markeringsfarve4 3 3 8 2 4" xfId="38947" xr:uid="{00000000-0005-0000-0000-000024740000}"/>
    <cellStyle name="40 % - Markeringsfarve4 3 3 8 3" xfId="12533" xr:uid="{00000000-0005-0000-0000-000025740000}"/>
    <cellStyle name="40 % - Markeringsfarve4 3 3 8 3 2" xfId="28853" xr:uid="{00000000-0005-0000-0000-000026740000}"/>
    <cellStyle name="40 % - Markeringsfarve4 3 3 8 3 3" xfId="43818" xr:uid="{00000000-0005-0000-0000-000027740000}"/>
    <cellStyle name="40 % - Markeringsfarve4 3 3 8 4" xfId="21831" xr:uid="{00000000-0005-0000-0000-000028740000}"/>
    <cellStyle name="40 % - Markeringsfarve4 3 3 8 5" xfId="36819" xr:uid="{00000000-0005-0000-0000-000029740000}"/>
    <cellStyle name="40 % - Markeringsfarve4 3 3 9" xfId="3974" xr:uid="{00000000-0005-0000-0000-00002A740000}"/>
    <cellStyle name="40 % - Markeringsfarve4 3 3 9 2" xfId="8571" xr:uid="{00000000-0005-0000-0000-00002B740000}"/>
    <cellStyle name="40 % - Markeringsfarve4 3 3 9 2 2" xfId="16455" xr:uid="{00000000-0005-0000-0000-00002C740000}"/>
    <cellStyle name="40 % - Markeringsfarve4 3 3 9 2 2 2" xfId="32770" xr:uid="{00000000-0005-0000-0000-00002D740000}"/>
    <cellStyle name="40 % - Markeringsfarve4 3 3 9 2 2 3" xfId="47734" xr:uid="{00000000-0005-0000-0000-00002E740000}"/>
    <cellStyle name="40 % - Markeringsfarve4 3 3 9 2 3" xfId="25748" xr:uid="{00000000-0005-0000-0000-00002F740000}"/>
    <cellStyle name="40 % - Markeringsfarve4 3 3 9 2 4" xfId="40735" xr:uid="{00000000-0005-0000-0000-000030740000}"/>
    <cellStyle name="40 % - Markeringsfarve4 3 3 9 3" xfId="12534" xr:uid="{00000000-0005-0000-0000-000031740000}"/>
    <cellStyle name="40 % - Markeringsfarve4 3 3 9 3 2" xfId="28854" xr:uid="{00000000-0005-0000-0000-000032740000}"/>
    <cellStyle name="40 % - Markeringsfarve4 3 3 9 3 3" xfId="43819" xr:uid="{00000000-0005-0000-0000-000033740000}"/>
    <cellStyle name="40 % - Markeringsfarve4 3 3 9 4" xfId="21832" xr:uid="{00000000-0005-0000-0000-000034740000}"/>
    <cellStyle name="40 % - Markeringsfarve4 3 3 9 5" xfId="36820" xr:uid="{00000000-0005-0000-0000-000035740000}"/>
    <cellStyle name="40 % - Markeringsfarve4 3 4" xfId="3975" xr:uid="{00000000-0005-0000-0000-000036740000}"/>
    <cellStyle name="40 % - Markeringsfarve4 3 4 2" xfId="3976" xr:uid="{00000000-0005-0000-0000-000037740000}"/>
    <cellStyle name="40 % - Markeringsfarve4 3 4 2 2" xfId="3977" xr:uid="{00000000-0005-0000-0000-000038740000}"/>
    <cellStyle name="40 % - Markeringsfarve4 3 4 2 2 2" xfId="7568" xr:uid="{00000000-0005-0000-0000-000039740000}"/>
    <cellStyle name="40 % - Markeringsfarve4 3 4 2 2 2 2" xfId="15470" xr:uid="{00000000-0005-0000-0000-00003A740000}"/>
    <cellStyle name="40 % - Markeringsfarve4 3 4 2 2 2 2 2" xfId="31785" xr:uid="{00000000-0005-0000-0000-00003B740000}"/>
    <cellStyle name="40 % - Markeringsfarve4 3 4 2 2 2 2 3" xfId="46749" xr:uid="{00000000-0005-0000-0000-00003C740000}"/>
    <cellStyle name="40 % - Markeringsfarve4 3 4 2 2 2 3" xfId="24763" xr:uid="{00000000-0005-0000-0000-00003D740000}"/>
    <cellStyle name="40 % - Markeringsfarve4 3 4 2 2 2 4" xfId="39750" xr:uid="{00000000-0005-0000-0000-00003E740000}"/>
    <cellStyle name="40 % - Markeringsfarve4 3 4 2 2 3" xfId="12537" xr:uid="{00000000-0005-0000-0000-00003F740000}"/>
    <cellStyle name="40 % - Markeringsfarve4 3 4 2 2 3 2" xfId="28857" xr:uid="{00000000-0005-0000-0000-000040740000}"/>
    <cellStyle name="40 % - Markeringsfarve4 3 4 2 2 3 3" xfId="43822" xr:uid="{00000000-0005-0000-0000-000041740000}"/>
    <cellStyle name="40 % - Markeringsfarve4 3 4 2 2 4" xfId="21835" xr:uid="{00000000-0005-0000-0000-000042740000}"/>
    <cellStyle name="40 % - Markeringsfarve4 3 4 2 2 5" xfId="36823" xr:uid="{00000000-0005-0000-0000-000043740000}"/>
    <cellStyle name="40 % - Markeringsfarve4 3 4 2 3" xfId="6148" xr:uid="{00000000-0005-0000-0000-000044740000}"/>
    <cellStyle name="40 % - Markeringsfarve4 3 4 2 3 2" xfId="14066" xr:uid="{00000000-0005-0000-0000-000045740000}"/>
    <cellStyle name="40 % - Markeringsfarve4 3 4 2 3 2 2" xfId="30381" xr:uid="{00000000-0005-0000-0000-000046740000}"/>
    <cellStyle name="40 % - Markeringsfarve4 3 4 2 3 2 3" xfId="45345" xr:uid="{00000000-0005-0000-0000-000047740000}"/>
    <cellStyle name="40 % - Markeringsfarve4 3 4 2 3 3" xfId="23359" xr:uid="{00000000-0005-0000-0000-000048740000}"/>
    <cellStyle name="40 % - Markeringsfarve4 3 4 2 3 4" xfId="38346" xr:uid="{00000000-0005-0000-0000-000049740000}"/>
    <cellStyle name="40 % - Markeringsfarve4 3 4 2 4" xfId="12536" xr:uid="{00000000-0005-0000-0000-00004A740000}"/>
    <cellStyle name="40 % - Markeringsfarve4 3 4 2 4 2" xfId="28856" xr:uid="{00000000-0005-0000-0000-00004B740000}"/>
    <cellStyle name="40 % - Markeringsfarve4 3 4 2 4 3" xfId="43821" xr:uid="{00000000-0005-0000-0000-00004C740000}"/>
    <cellStyle name="40 % - Markeringsfarve4 3 4 2 5" xfId="21834" xr:uid="{00000000-0005-0000-0000-00004D740000}"/>
    <cellStyle name="40 % - Markeringsfarve4 3 4 2 6" xfId="36822" xr:uid="{00000000-0005-0000-0000-00004E740000}"/>
    <cellStyle name="40 % - Markeringsfarve4 3 4 3" xfId="3978" xr:uid="{00000000-0005-0000-0000-00004F740000}"/>
    <cellStyle name="40 % - Markeringsfarve4 3 4 3 2" xfId="6798" xr:uid="{00000000-0005-0000-0000-000050740000}"/>
    <cellStyle name="40 % - Markeringsfarve4 3 4 3 2 2" xfId="14710" xr:uid="{00000000-0005-0000-0000-000051740000}"/>
    <cellStyle name="40 % - Markeringsfarve4 3 4 3 2 2 2" xfId="31025" xr:uid="{00000000-0005-0000-0000-000052740000}"/>
    <cellStyle name="40 % - Markeringsfarve4 3 4 3 2 2 3" xfId="45989" xr:uid="{00000000-0005-0000-0000-000053740000}"/>
    <cellStyle name="40 % - Markeringsfarve4 3 4 3 2 3" xfId="24003" xr:uid="{00000000-0005-0000-0000-000054740000}"/>
    <cellStyle name="40 % - Markeringsfarve4 3 4 3 2 4" xfId="38990" xr:uid="{00000000-0005-0000-0000-000055740000}"/>
    <cellStyle name="40 % - Markeringsfarve4 3 4 3 3" xfId="12538" xr:uid="{00000000-0005-0000-0000-000056740000}"/>
    <cellStyle name="40 % - Markeringsfarve4 3 4 3 3 2" xfId="28858" xr:uid="{00000000-0005-0000-0000-000057740000}"/>
    <cellStyle name="40 % - Markeringsfarve4 3 4 3 3 3" xfId="43823" xr:uid="{00000000-0005-0000-0000-000058740000}"/>
    <cellStyle name="40 % - Markeringsfarve4 3 4 3 4" xfId="21836" xr:uid="{00000000-0005-0000-0000-000059740000}"/>
    <cellStyle name="40 % - Markeringsfarve4 3 4 3 5" xfId="36824" xr:uid="{00000000-0005-0000-0000-00005A740000}"/>
    <cellStyle name="40 % - Markeringsfarve4 3 4 4" xfId="3979" xr:uid="{00000000-0005-0000-0000-00005B740000}"/>
    <cellStyle name="40 % - Markeringsfarve4 3 4 4 2" xfId="8427" xr:uid="{00000000-0005-0000-0000-00005C740000}"/>
    <cellStyle name="40 % - Markeringsfarve4 3 4 4 2 2" xfId="16317" xr:uid="{00000000-0005-0000-0000-00005D740000}"/>
    <cellStyle name="40 % - Markeringsfarve4 3 4 4 2 2 2" xfId="32632" xr:uid="{00000000-0005-0000-0000-00005E740000}"/>
    <cellStyle name="40 % - Markeringsfarve4 3 4 4 2 2 3" xfId="47596" xr:uid="{00000000-0005-0000-0000-00005F740000}"/>
    <cellStyle name="40 % - Markeringsfarve4 3 4 4 2 3" xfId="25610" xr:uid="{00000000-0005-0000-0000-000060740000}"/>
    <cellStyle name="40 % - Markeringsfarve4 3 4 4 2 4" xfId="40597" xr:uid="{00000000-0005-0000-0000-000061740000}"/>
    <cellStyle name="40 % - Markeringsfarve4 3 4 4 3" xfId="12539" xr:uid="{00000000-0005-0000-0000-000062740000}"/>
    <cellStyle name="40 % - Markeringsfarve4 3 4 4 3 2" xfId="28859" xr:uid="{00000000-0005-0000-0000-000063740000}"/>
    <cellStyle name="40 % - Markeringsfarve4 3 4 4 3 3" xfId="43824" xr:uid="{00000000-0005-0000-0000-000064740000}"/>
    <cellStyle name="40 % - Markeringsfarve4 3 4 4 4" xfId="21837" xr:uid="{00000000-0005-0000-0000-000065740000}"/>
    <cellStyle name="40 % - Markeringsfarve4 3 4 4 5" xfId="36825" xr:uid="{00000000-0005-0000-0000-000066740000}"/>
    <cellStyle name="40 % - Markeringsfarve4 3 4 5" xfId="5888" xr:uid="{00000000-0005-0000-0000-000067740000}"/>
    <cellStyle name="40 % - Markeringsfarve4 3 4 5 2" xfId="13807" xr:uid="{00000000-0005-0000-0000-000068740000}"/>
    <cellStyle name="40 % - Markeringsfarve4 3 4 5 2 2" xfId="30122" xr:uid="{00000000-0005-0000-0000-000069740000}"/>
    <cellStyle name="40 % - Markeringsfarve4 3 4 5 2 3" xfId="45086" xr:uid="{00000000-0005-0000-0000-00006A740000}"/>
    <cellStyle name="40 % - Markeringsfarve4 3 4 5 3" xfId="23100" xr:uid="{00000000-0005-0000-0000-00006B740000}"/>
    <cellStyle name="40 % - Markeringsfarve4 3 4 5 4" xfId="38087" xr:uid="{00000000-0005-0000-0000-00006C740000}"/>
    <cellStyle name="40 % - Markeringsfarve4 3 4 6" xfId="12535" xr:uid="{00000000-0005-0000-0000-00006D740000}"/>
    <cellStyle name="40 % - Markeringsfarve4 3 4 6 2" xfId="28855" xr:uid="{00000000-0005-0000-0000-00006E740000}"/>
    <cellStyle name="40 % - Markeringsfarve4 3 4 6 3" xfId="43820" xr:uid="{00000000-0005-0000-0000-00006F740000}"/>
    <cellStyle name="40 % - Markeringsfarve4 3 4 7" xfId="21833" xr:uid="{00000000-0005-0000-0000-000070740000}"/>
    <cellStyle name="40 % - Markeringsfarve4 3 4 8" xfId="36821" xr:uid="{00000000-0005-0000-0000-000071740000}"/>
    <cellStyle name="40 % - Markeringsfarve4 3 5" xfId="3980" xr:uid="{00000000-0005-0000-0000-000072740000}"/>
    <cellStyle name="40 % - Markeringsfarve4 3 5 2" xfId="3981" xr:uid="{00000000-0005-0000-0000-000073740000}"/>
    <cellStyle name="40 % - Markeringsfarve4 3 5 2 2" xfId="3982" xr:uid="{00000000-0005-0000-0000-000074740000}"/>
    <cellStyle name="40 % - Markeringsfarve4 3 5 2 2 2" xfId="7750" xr:uid="{00000000-0005-0000-0000-000075740000}"/>
    <cellStyle name="40 % - Markeringsfarve4 3 5 2 2 2 2" xfId="15652" xr:uid="{00000000-0005-0000-0000-000076740000}"/>
    <cellStyle name="40 % - Markeringsfarve4 3 5 2 2 2 2 2" xfId="31967" xr:uid="{00000000-0005-0000-0000-000077740000}"/>
    <cellStyle name="40 % - Markeringsfarve4 3 5 2 2 2 2 3" xfId="46931" xr:uid="{00000000-0005-0000-0000-000078740000}"/>
    <cellStyle name="40 % - Markeringsfarve4 3 5 2 2 2 3" xfId="24945" xr:uid="{00000000-0005-0000-0000-000079740000}"/>
    <cellStyle name="40 % - Markeringsfarve4 3 5 2 2 2 4" xfId="39932" xr:uid="{00000000-0005-0000-0000-00007A740000}"/>
    <cellStyle name="40 % - Markeringsfarve4 3 5 2 2 3" xfId="12542" xr:uid="{00000000-0005-0000-0000-00007B740000}"/>
    <cellStyle name="40 % - Markeringsfarve4 3 5 2 2 3 2" xfId="28862" xr:uid="{00000000-0005-0000-0000-00007C740000}"/>
    <cellStyle name="40 % - Markeringsfarve4 3 5 2 2 3 3" xfId="43827" xr:uid="{00000000-0005-0000-0000-00007D740000}"/>
    <cellStyle name="40 % - Markeringsfarve4 3 5 2 2 4" xfId="21840" xr:uid="{00000000-0005-0000-0000-00007E740000}"/>
    <cellStyle name="40 % - Markeringsfarve4 3 5 2 2 5" xfId="36828" xr:uid="{00000000-0005-0000-0000-00007F740000}"/>
    <cellStyle name="40 % - Markeringsfarve4 3 5 2 3" xfId="6296" xr:uid="{00000000-0005-0000-0000-000080740000}"/>
    <cellStyle name="40 % - Markeringsfarve4 3 5 2 3 2" xfId="14214" xr:uid="{00000000-0005-0000-0000-000081740000}"/>
    <cellStyle name="40 % - Markeringsfarve4 3 5 2 3 2 2" xfId="30529" xr:uid="{00000000-0005-0000-0000-000082740000}"/>
    <cellStyle name="40 % - Markeringsfarve4 3 5 2 3 2 3" xfId="45493" xr:uid="{00000000-0005-0000-0000-000083740000}"/>
    <cellStyle name="40 % - Markeringsfarve4 3 5 2 3 3" xfId="23507" xr:uid="{00000000-0005-0000-0000-000084740000}"/>
    <cellStyle name="40 % - Markeringsfarve4 3 5 2 3 4" xfId="38494" xr:uid="{00000000-0005-0000-0000-000085740000}"/>
    <cellStyle name="40 % - Markeringsfarve4 3 5 2 4" xfId="12541" xr:uid="{00000000-0005-0000-0000-000086740000}"/>
    <cellStyle name="40 % - Markeringsfarve4 3 5 2 4 2" xfId="28861" xr:uid="{00000000-0005-0000-0000-000087740000}"/>
    <cellStyle name="40 % - Markeringsfarve4 3 5 2 4 3" xfId="43826" xr:uid="{00000000-0005-0000-0000-000088740000}"/>
    <cellStyle name="40 % - Markeringsfarve4 3 5 2 5" xfId="21839" xr:uid="{00000000-0005-0000-0000-000089740000}"/>
    <cellStyle name="40 % - Markeringsfarve4 3 5 2 6" xfId="36827" xr:uid="{00000000-0005-0000-0000-00008A740000}"/>
    <cellStyle name="40 % - Markeringsfarve4 3 5 3" xfId="3983" xr:uid="{00000000-0005-0000-0000-00008B740000}"/>
    <cellStyle name="40 % - Markeringsfarve4 3 5 3 2" xfId="6980" xr:uid="{00000000-0005-0000-0000-00008C740000}"/>
    <cellStyle name="40 % - Markeringsfarve4 3 5 3 2 2" xfId="14892" xr:uid="{00000000-0005-0000-0000-00008D740000}"/>
    <cellStyle name="40 % - Markeringsfarve4 3 5 3 2 2 2" xfId="31207" xr:uid="{00000000-0005-0000-0000-00008E740000}"/>
    <cellStyle name="40 % - Markeringsfarve4 3 5 3 2 2 3" xfId="46171" xr:uid="{00000000-0005-0000-0000-00008F740000}"/>
    <cellStyle name="40 % - Markeringsfarve4 3 5 3 2 3" xfId="24185" xr:uid="{00000000-0005-0000-0000-000090740000}"/>
    <cellStyle name="40 % - Markeringsfarve4 3 5 3 2 4" xfId="39172" xr:uid="{00000000-0005-0000-0000-000091740000}"/>
    <cellStyle name="40 % - Markeringsfarve4 3 5 3 3" xfId="12543" xr:uid="{00000000-0005-0000-0000-000092740000}"/>
    <cellStyle name="40 % - Markeringsfarve4 3 5 3 3 2" xfId="28863" xr:uid="{00000000-0005-0000-0000-000093740000}"/>
    <cellStyle name="40 % - Markeringsfarve4 3 5 3 3 3" xfId="43828" xr:uid="{00000000-0005-0000-0000-000094740000}"/>
    <cellStyle name="40 % - Markeringsfarve4 3 5 3 4" xfId="21841" xr:uid="{00000000-0005-0000-0000-000095740000}"/>
    <cellStyle name="40 % - Markeringsfarve4 3 5 3 5" xfId="36829" xr:uid="{00000000-0005-0000-0000-000096740000}"/>
    <cellStyle name="40 % - Markeringsfarve4 3 5 4" xfId="3984" xr:uid="{00000000-0005-0000-0000-000097740000}"/>
    <cellStyle name="40 % - Markeringsfarve4 3 5 4 2" xfId="8678" xr:uid="{00000000-0005-0000-0000-000098740000}"/>
    <cellStyle name="40 % - Markeringsfarve4 3 5 4 2 2" xfId="16558" xr:uid="{00000000-0005-0000-0000-000099740000}"/>
    <cellStyle name="40 % - Markeringsfarve4 3 5 4 2 2 2" xfId="32873" xr:uid="{00000000-0005-0000-0000-00009A740000}"/>
    <cellStyle name="40 % - Markeringsfarve4 3 5 4 2 2 3" xfId="47837" xr:uid="{00000000-0005-0000-0000-00009B740000}"/>
    <cellStyle name="40 % - Markeringsfarve4 3 5 4 2 3" xfId="25851" xr:uid="{00000000-0005-0000-0000-00009C740000}"/>
    <cellStyle name="40 % - Markeringsfarve4 3 5 4 2 4" xfId="40838" xr:uid="{00000000-0005-0000-0000-00009D740000}"/>
    <cellStyle name="40 % - Markeringsfarve4 3 5 4 3" xfId="12544" xr:uid="{00000000-0005-0000-0000-00009E740000}"/>
    <cellStyle name="40 % - Markeringsfarve4 3 5 4 3 2" xfId="28864" xr:uid="{00000000-0005-0000-0000-00009F740000}"/>
    <cellStyle name="40 % - Markeringsfarve4 3 5 4 3 3" xfId="43829" xr:uid="{00000000-0005-0000-0000-0000A0740000}"/>
    <cellStyle name="40 % - Markeringsfarve4 3 5 4 4" xfId="21842" xr:uid="{00000000-0005-0000-0000-0000A1740000}"/>
    <cellStyle name="40 % - Markeringsfarve4 3 5 4 5" xfId="36830" xr:uid="{00000000-0005-0000-0000-0000A2740000}"/>
    <cellStyle name="40 % - Markeringsfarve4 3 5 5" xfId="5889" xr:uid="{00000000-0005-0000-0000-0000A3740000}"/>
    <cellStyle name="40 % - Markeringsfarve4 3 5 5 2" xfId="13808" xr:uid="{00000000-0005-0000-0000-0000A4740000}"/>
    <cellStyle name="40 % - Markeringsfarve4 3 5 5 2 2" xfId="30123" xr:uid="{00000000-0005-0000-0000-0000A5740000}"/>
    <cellStyle name="40 % - Markeringsfarve4 3 5 5 2 3" xfId="45087" xr:uid="{00000000-0005-0000-0000-0000A6740000}"/>
    <cellStyle name="40 % - Markeringsfarve4 3 5 5 3" xfId="23101" xr:uid="{00000000-0005-0000-0000-0000A7740000}"/>
    <cellStyle name="40 % - Markeringsfarve4 3 5 5 4" xfId="38088" xr:uid="{00000000-0005-0000-0000-0000A8740000}"/>
    <cellStyle name="40 % - Markeringsfarve4 3 5 6" xfId="12540" xr:uid="{00000000-0005-0000-0000-0000A9740000}"/>
    <cellStyle name="40 % - Markeringsfarve4 3 5 6 2" xfId="28860" xr:uid="{00000000-0005-0000-0000-0000AA740000}"/>
    <cellStyle name="40 % - Markeringsfarve4 3 5 6 3" xfId="43825" xr:uid="{00000000-0005-0000-0000-0000AB740000}"/>
    <cellStyle name="40 % - Markeringsfarve4 3 5 7" xfId="21838" xr:uid="{00000000-0005-0000-0000-0000AC740000}"/>
    <cellStyle name="40 % - Markeringsfarve4 3 5 8" xfId="36826" xr:uid="{00000000-0005-0000-0000-0000AD740000}"/>
    <cellStyle name="40 % - Markeringsfarve4 3 6" xfId="3985" xr:uid="{00000000-0005-0000-0000-0000AE740000}"/>
    <cellStyle name="40 % - Markeringsfarve4 3 6 2" xfId="3986" xr:uid="{00000000-0005-0000-0000-0000AF740000}"/>
    <cellStyle name="40 % - Markeringsfarve4 3 6 2 2" xfId="3987" xr:uid="{00000000-0005-0000-0000-0000B0740000}"/>
    <cellStyle name="40 % - Markeringsfarve4 3 6 2 2 2" xfId="7806" xr:uid="{00000000-0005-0000-0000-0000B1740000}"/>
    <cellStyle name="40 % - Markeringsfarve4 3 6 2 2 2 2" xfId="15708" xr:uid="{00000000-0005-0000-0000-0000B2740000}"/>
    <cellStyle name="40 % - Markeringsfarve4 3 6 2 2 2 2 2" xfId="32023" xr:uid="{00000000-0005-0000-0000-0000B3740000}"/>
    <cellStyle name="40 % - Markeringsfarve4 3 6 2 2 2 2 3" xfId="46987" xr:uid="{00000000-0005-0000-0000-0000B4740000}"/>
    <cellStyle name="40 % - Markeringsfarve4 3 6 2 2 2 3" xfId="25001" xr:uid="{00000000-0005-0000-0000-0000B5740000}"/>
    <cellStyle name="40 % - Markeringsfarve4 3 6 2 2 2 4" xfId="39988" xr:uid="{00000000-0005-0000-0000-0000B6740000}"/>
    <cellStyle name="40 % - Markeringsfarve4 3 6 2 2 3" xfId="12547" xr:uid="{00000000-0005-0000-0000-0000B7740000}"/>
    <cellStyle name="40 % - Markeringsfarve4 3 6 2 2 3 2" xfId="28867" xr:uid="{00000000-0005-0000-0000-0000B8740000}"/>
    <cellStyle name="40 % - Markeringsfarve4 3 6 2 2 3 3" xfId="43832" xr:uid="{00000000-0005-0000-0000-0000B9740000}"/>
    <cellStyle name="40 % - Markeringsfarve4 3 6 2 2 4" xfId="21845" xr:uid="{00000000-0005-0000-0000-0000BA740000}"/>
    <cellStyle name="40 % - Markeringsfarve4 3 6 2 2 5" xfId="36833" xr:uid="{00000000-0005-0000-0000-0000BB740000}"/>
    <cellStyle name="40 % - Markeringsfarve4 3 6 2 3" xfId="6350" xr:uid="{00000000-0005-0000-0000-0000BC740000}"/>
    <cellStyle name="40 % - Markeringsfarve4 3 6 2 3 2" xfId="14265" xr:uid="{00000000-0005-0000-0000-0000BD740000}"/>
    <cellStyle name="40 % - Markeringsfarve4 3 6 2 3 2 2" xfId="30580" xr:uid="{00000000-0005-0000-0000-0000BE740000}"/>
    <cellStyle name="40 % - Markeringsfarve4 3 6 2 3 2 3" xfId="45544" xr:uid="{00000000-0005-0000-0000-0000BF740000}"/>
    <cellStyle name="40 % - Markeringsfarve4 3 6 2 3 3" xfId="23558" xr:uid="{00000000-0005-0000-0000-0000C0740000}"/>
    <cellStyle name="40 % - Markeringsfarve4 3 6 2 3 4" xfId="38545" xr:uid="{00000000-0005-0000-0000-0000C1740000}"/>
    <cellStyle name="40 % - Markeringsfarve4 3 6 2 4" xfId="12546" xr:uid="{00000000-0005-0000-0000-0000C2740000}"/>
    <cellStyle name="40 % - Markeringsfarve4 3 6 2 4 2" xfId="28866" xr:uid="{00000000-0005-0000-0000-0000C3740000}"/>
    <cellStyle name="40 % - Markeringsfarve4 3 6 2 4 3" xfId="43831" xr:uid="{00000000-0005-0000-0000-0000C4740000}"/>
    <cellStyle name="40 % - Markeringsfarve4 3 6 2 5" xfId="21844" xr:uid="{00000000-0005-0000-0000-0000C5740000}"/>
    <cellStyle name="40 % - Markeringsfarve4 3 6 2 6" xfId="36832" xr:uid="{00000000-0005-0000-0000-0000C6740000}"/>
    <cellStyle name="40 % - Markeringsfarve4 3 6 3" xfId="3988" xr:uid="{00000000-0005-0000-0000-0000C7740000}"/>
    <cellStyle name="40 % - Markeringsfarve4 3 6 3 2" xfId="7082" xr:uid="{00000000-0005-0000-0000-0000C8740000}"/>
    <cellStyle name="40 % - Markeringsfarve4 3 6 3 2 2" xfId="14993" xr:uid="{00000000-0005-0000-0000-0000C9740000}"/>
    <cellStyle name="40 % - Markeringsfarve4 3 6 3 2 2 2" xfId="31308" xr:uid="{00000000-0005-0000-0000-0000CA740000}"/>
    <cellStyle name="40 % - Markeringsfarve4 3 6 3 2 2 3" xfId="46272" xr:uid="{00000000-0005-0000-0000-0000CB740000}"/>
    <cellStyle name="40 % - Markeringsfarve4 3 6 3 2 3" xfId="24286" xr:uid="{00000000-0005-0000-0000-0000CC740000}"/>
    <cellStyle name="40 % - Markeringsfarve4 3 6 3 2 4" xfId="39273" xr:uid="{00000000-0005-0000-0000-0000CD740000}"/>
    <cellStyle name="40 % - Markeringsfarve4 3 6 3 3" xfId="12548" xr:uid="{00000000-0005-0000-0000-0000CE740000}"/>
    <cellStyle name="40 % - Markeringsfarve4 3 6 3 3 2" xfId="28868" xr:uid="{00000000-0005-0000-0000-0000CF740000}"/>
    <cellStyle name="40 % - Markeringsfarve4 3 6 3 3 3" xfId="43833" xr:uid="{00000000-0005-0000-0000-0000D0740000}"/>
    <cellStyle name="40 % - Markeringsfarve4 3 6 3 4" xfId="21846" xr:uid="{00000000-0005-0000-0000-0000D1740000}"/>
    <cellStyle name="40 % - Markeringsfarve4 3 6 3 5" xfId="36834" xr:uid="{00000000-0005-0000-0000-0000D2740000}"/>
    <cellStyle name="40 % - Markeringsfarve4 3 6 4" xfId="3989" xr:uid="{00000000-0005-0000-0000-0000D3740000}"/>
    <cellStyle name="40 % - Markeringsfarve4 3 6 4 2" xfId="8402" xr:uid="{00000000-0005-0000-0000-0000D4740000}"/>
    <cellStyle name="40 % - Markeringsfarve4 3 6 4 2 2" xfId="16294" xr:uid="{00000000-0005-0000-0000-0000D5740000}"/>
    <cellStyle name="40 % - Markeringsfarve4 3 6 4 2 2 2" xfId="32609" xr:uid="{00000000-0005-0000-0000-0000D6740000}"/>
    <cellStyle name="40 % - Markeringsfarve4 3 6 4 2 2 3" xfId="47573" xr:uid="{00000000-0005-0000-0000-0000D7740000}"/>
    <cellStyle name="40 % - Markeringsfarve4 3 6 4 2 3" xfId="25587" xr:uid="{00000000-0005-0000-0000-0000D8740000}"/>
    <cellStyle name="40 % - Markeringsfarve4 3 6 4 2 4" xfId="40574" xr:uid="{00000000-0005-0000-0000-0000D9740000}"/>
    <cellStyle name="40 % - Markeringsfarve4 3 6 4 3" xfId="12549" xr:uid="{00000000-0005-0000-0000-0000DA740000}"/>
    <cellStyle name="40 % - Markeringsfarve4 3 6 4 3 2" xfId="28869" xr:uid="{00000000-0005-0000-0000-0000DB740000}"/>
    <cellStyle name="40 % - Markeringsfarve4 3 6 4 3 3" xfId="43834" xr:uid="{00000000-0005-0000-0000-0000DC740000}"/>
    <cellStyle name="40 % - Markeringsfarve4 3 6 4 4" xfId="21847" xr:uid="{00000000-0005-0000-0000-0000DD740000}"/>
    <cellStyle name="40 % - Markeringsfarve4 3 6 4 5" xfId="36835" xr:uid="{00000000-0005-0000-0000-0000DE740000}"/>
    <cellStyle name="40 % - Markeringsfarve4 3 6 5" xfId="5890" xr:uid="{00000000-0005-0000-0000-0000DF740000}"/>
    <cellStyle name="40 % - Markeringsfarve4 3 6 5 2" xfId="13809" xr:uid="{00000000-0005-0000-0000-0000E0740000}"/>
    <cellStyle name="40 % - Markeringsfarve4 3 6 5 2 2" xfId="30124" xr:uid="{00000000-0005-0000-0000-0000E1740000}"/>
    <cellStyle name="40 % - Markeringsfarve4 3 6 5 2 3" xfId="45088" xr:uid="{00000000-0005-0000-0000-0000E2740000}"/>
    <cellStyle name="40 % - Markeringsfarve4 3 6 5 3" xfId="23102" xr:uid="{00000000-0005-0000-0000-0000E3740000}"/>
    <cellStyle name="40 % - Markeringsfarve4 3 6 5 4" xfId="38089" xr:uid="{00000000-0005-0000-0000-0000E4740000}"/>
    <cellStyle name="40 % - Markeringsfarve4 3 6 6" xfId="12545" xr:uid="{00000000-0005-0000-0000-0000E5740000}"/>
    <cellStyle name="40 % - Markeringsfarve4 3 6 6 2" xfId="28865" xr:uid="{00000000-0005-0000-0000-0000E6740000}"/>
    <cellStyle name="40 % - Markeringsfarve4 3 6 6 3" xfId="43830" xr:uid="{00000000-0005-0000-0000-0000E7740000}"/>
    <cellStyle name="40 % - Markeringsfarve4 3 6 7" xfId="21843" xr:uid="{00000000-0005-0000-0000-0000E8740000}"/>
    <cellStyle name="40 % - Markeringsfarve4 3 6 8" xfId="36831" xr:uid="{00000000-0005-0000-0000-0000E9740000}"/>
    <cellStyle name="40 % - Markeringsfarve4 3 7" xfId="3990" xr:uid="{00000000-0005-0000-0000-0000EA740000}"/>
    <cellStyle name="40 % - Markeringsfarve4 3 7 2" xfId="3991" xr:uid="{00000000-0005-0000-0000-0000EB740000}"/>
    <cellStyle name="40 % - Markeringsfarve4 3 7 2 2" xfId="3992" xr:uid="{00000000-0005-0000-0000-0000EC740000}"/>
    <cellStyle name="40 % - Markeringsfarve4 3 7 2 2 2" xfId="7923" xr:uid="{00000000-0005-0000-0000-0000ED740000}"/>
    <cellStyle name="40 % - Markeringsfarve4 3 7 2 2 2 2" xfId="15825" xr:uid="{00000000-0005-0000-0000-0000EE740000}"/>
    <cellStyle name="40 % - Markeringsfarve4 3 7 2 2 2 2 2" xfId="32140" xr:uid="{00000000-0005-0000-0000-0000EF740000}"/>
    <cellStyle name="40 % - Markeringsfarve4 3 7 2 2 2 2 3" xfId="47104" xr:uid="{00000000-0005-0000-0000-0000F0740000}"/>
    <cellStyle name="40 % - Markeringsfarve4 3 7 2 2 2 3" xfId="25118" xr:uid="{00000000-0005-0000-0000-0000F1740000}"/>
    <cellStyle name="40 % - Markeringsfarve4 3 7 2 2 2 4" xfId="40105" xr:uid="{00000000-0005-0000-0000-0000F2740000}"/>
    <cellStyle name="40 % - Markeringsfarve4 3 7 2 2 3" xfId="12552" xr:uid="{00000000-0005-0000-0000-0000F3740000}"/>
    <cellStyle name="40 % - Markeringsfarve4 3 7 2 2 3 2" xfId="28872" xr:uid="{00000000-0005-0000-0000-0000F4740000}"/>
    <cellStyle name="40 % - Markeringsfarve4 3 7 2 2 3 3" xfId="43837" xr:uid="{00000000-0005-0000-0000-0000F5740000}"/>
    <cellStyle name="40 % - Markeringsfarve4 3 7 2 2 4" xfId="21850" xr:uid="{00000000-0005-0000-0000-0000F6740000}"/>
    <cellStyle name="40 % - Markeringsfarve4 3 7 2 2 5" xfId="36838" xr:uid="{00000000-0005-0000-0000-0000F7740000}"/>
    <cellStyle name="40 % - Markeringsfarve4 3 7 2 3" xfId="6449" xr:uid="{00000000-0005-0000-0000-0000F8740000}"/>
    <cellStyle name="40 % - Markeringsfarve4 3 7 2 3 2" xfId="14364" xr:uid="{00000000-0005-0000-0000-0000F9740000}"/>
    <cellStyle name="40 % - Markeringsfarve4 3 7 2 3 2 2" xfId="30679" xr:uid="{00000000-0005-0000-0000-0000FA740000}"/>
    <cellStyle name="40 % - Markeringsfarve4 3 7 2 3 2 3" xfId="45643" xr:uid="{00000000-0005-0000-0000-0000FB740000}"/>
    <cellStyle name="40 % - Markeringsfarve4 3 7 2 3 3" xfId="23657" xr:uid="{00000000-0005-0000-0000-0000FC740000}"/>
    <cellStyle name="40 % - Markeringsfarve4 3 7 2 3 4" xfId="38644" xr:uid="{00000000-0005-0000-0000-0000FD740000}"/>
    <cellStyle name="40 % - Markeringsfarve4 3 7 2 4" xfId="12551" xr:uid="{00000000-0005-0000-0000-0000FE740000}"/>
    <cellStyle name="40 % - Markeringsfarve4 3 7 2 4 2" xfId="28871" xr:uid="{00000000-0005-0000-0000-0000FF740000}"/>
    <cellStyle name="40 % - Markeringsfarve4 3 7 2 4 3" xfId="43836" xr:uid="{00000000-0005-0000-0000-000000750000}"/>
    <cellStyle name="40 % - Markeringsfarve4 3 7 2 5" xfId="21849" xr:uid="{00000000-0005-0000-0000-000001750000}"/>
    <cellStyle name="40 % - Markeringsfarve4 3 7 2 6" xfId="36837" xr:uid="{00000000-0005-0000-0000-000002750000}"/>
    <cellStyle name="40 % - Markeringsfarve4 3 7 3" xfId="3993" xr:uid="{00000000-0005-0000-0000-000003750000}"/>
    <cellStyle name="40 % - Markeringsfarve4 3 7 3 2" xfId="7199" xr:uid="{00000000-0005-0000-0000-000004750000}"/>
    <cellStyle name="40 % - Markeringsfarve4 3 7 3 2 2" xfId="15110" xr:uid="{00000000-0005-0000-0000-000005750000}"/>
    <cellStyle name="40 % - Markeringsfarve4 3 7 3 2 2 2" xfId="31425" xr:uid="{00000000-0005-0000-0000-000006750000}"/>
    <cellStyle name="40 % - Markeringsfarve4 3 7 3 2 2 3" xfId="46389" xr:uid="{00000000-0005-0000-0000-000007750000}"/>
    <cellStyle name="40 % - Markeringsfarve4 3 7 3 2 3" xfId="24403" xr:uid="{00000000-0005-0000-0000-000008750000}"/>
    <cellStyle name="40 % - Markeringsfarve4 3 7 3 2 4" xfId="39390" xr:uid="{00000000-0005-0000-0000-000009750000}"/>
    <cellStyle name="40 % - Markeringsfarve4 3 7 3 3" xfId="12553" xr:uid="{00000000-0005-0000-0000-00000A750000}"/>
    <cellStyle name="40 % - Markeringsfarve4 3 7 3 3 2" xfId="28873" xr:uid="{00000000-0005-0000-0000-00000B750000}"/>
    <cellStyle name="40 % - Markeringsfarve4 3 7 3 3 3" xfId="43838" xr:uid="{00000000-0005-0000-0000-00000C750000}"/>
    <cellStyle name="40 % - Markeringsfarve4 3 7 3 4" xfId="21851" xr:uid="{00000000-0005-0000-0000-00000D750000}"/>
    <cellStyle name="40 % - Markeringsfarve4 3 7 3 5" xfId="36839" xr:uid="{00000000-0005-0000-0000-00000E750000}"/>
    <cellStyle name="40 % - Markeringsfarve4 3 7 4" xfId="3994" xr:uid="{00000000-0005-0000-0000-00000F750000}"/>
    <cellStyle name="40 % - Markeringsfarve4 3 7 4 2" xfId="8636" xr:uid="{00000000-0005-0000-0000-000010750000}"/>
    <cellStyle name="40 % - Markeringsfarve4 3 7 4 2 2" xfId="16518" xr:uid="{00000000-0005-0000-0000-000011750000}"/>
    <cellStyle name="40 % - Markeringsfarve4 3 7 4 2 2 2" xfId="32833" xr:uid="{00000000-0005-0000-0000-000012750000}"/>
    <cellStyle name="40 % - Markeringsfarve4 3 7 4 2 2 3" xfId="47797" xr:uid="{00000000-0005-0000-0000-000013750000}"/>
    <cellStyle name="40 % - Markeringsfarve4 3 7 4 2 3" xfId="25811" xr:uid="{00000000-0005-0000-0000-000014750000}"/>
    <cellStyle name="40 % - Markeringsfarve4 3 7 4 2 4" xfId="40798" xr:uid="{00000000-0005-0000-0000-000015750000}"/>
    <cellStyle name="40 % - Markeringsfarve4 3 7 4 3" xfId="12554" xr:uid="{00000000-0005-0000-0000-000016750000}"/>
    <cellStyle name="40 % - Markeringsfarve4 3 7 4 3 2" xfId="28874" xr:uid="{00000000-0005-0000-0000-000017750000}"/>
    <cellStyle name="40 % - Markeringsfarve4 3 7 4 3 3" xfId="43839" xr:uid="{00000000-0005-0000-0000-000018750000}"/>
    <cellStyle name="40 % - Markeringsfarve4 3 7 4 4" xfId="21852" xr:uid="{00000000-0005-0000-0000-000019750000}"/>
    <cellStyle name="40 % - Markeringsfarve4 3 7 4 5" xfId="36840" xr:uid="{00000000-0005-0000-0000-00001A750000}"/>
    <cellStyle name="40 % - Markeringsfarve4 3 7 5" xfId="5891" xr:uid="{00000000-0005-0000-0000-00001B750000}"/>
    <cellStyle name="40 % - Markeringsfarve4 3 7 5 2" xfId="13810" xr:uid="{00000000-0005-0000-0000-00001C750000}"/>
    <cellStyle name="40 % - Markeringsfarve4 3 7 5 2 2" xfId="30125" xr:uid="{00000000-0005-0000-0000-00001D750000}"/>
    <cellStyle name="40 % - Markeringsfarve4 3 7 5 2 3" xfId="45089" xr:uid="{00000000-0005-0000-0000-00001E750000}"/>
    <cellStyle name="40 % - Markeringsfarve4 3 7 5 3" xfId="23103" xr:uid="{00000000-0005-0000-0000-00001F750000}"/>
    <cellStyle name="40 % - Markeringsfarve4 3 7 5 4" xfId="38090" xr:uid="{00000000-0005-0000-0000-000020750000}"/>
    <cellStyle name="40 % - Markeringsfarve4 3 7 6" xfId="12550" xr:uid="{00000000-0005-0000-0000-000021750000}"/>
    <cellStyle name="40 % - Markeringsfarve4 3 7 6 2" xfId="28870" xr:uid="{00000000-0005-0000-0000-000022750000}"/>
    <cellStyle name="40 % - Markeringsfarve4 3 7 6 3" xfId="43835" xr:uid="{00000000-0005-0000-0000-000023750000}"/>
    <cellStyle name="40 % - Markeringsfarve4 3 7 7" xfId="21848" xr:uid="{00000000-0005-0000-0000-000024750000}"/>
    <cellStyle name="40 % - Markeringsfarve4 3 7 8" xfId="36836" xr:uid="{00000000-0005-0000-0000-000025750000}"/>
    <cellStyle name="40 % - Markeringsfarve4 3 8" xfId="3995" xr:uid="{00000000-0005-0000-0000-000026750000}"/>
    <cellStyle name="40 % - Markeringsfarve4 3 8 2" xfId="3996" xr:uid="{00000000-0005-0000-0000-000027750000}"/>
    <cellStyle name="40 % - Markeringsfarve4 3 8 2 2" xfId="3997" xr:uid="{00000000-0005-0000-0000-000028750000}"/>
    <cellStyle name="40 % - Markeringsfarve4 3 8 2 2 2" xfId="8104" xr:uid="{00000000-0005-0000-0000-000029750000}"/>
    <cellStyle name="40 % - Markeringsfarve4 3 8 2 2 2 2" xfId="16006" xr:uid="{00000000-0005-0000-0000-00002A750000}"/>
    <cellStyle name="40 % - Markeringsfarve4 3 8 2 2 2 2 2" xfId="32321" xr:uid="{00000000-0005-0000-0000-00002B750000}"/>
    <cellStyle name="40 % - Markeringsfarve4 3 8 2 2 2 2 3" xfId="47285" xr:uid="{00000000-0005-0000-0000-00002C750000}"/>
    <cellStyle name="40 % - Markeringsfarve4 3 8 2 2 2 3" xfId="25299" xr:uid="{00000000-0005-0000-0000-00002D750000}"/>
    <cellStyle name="40 % - Markeringsfarve4 3 8 2 2 2 4" xfId="40286" xr:uid="{00000000-0005-0000-0000-00002E750000}"/>
    <cellStyle name="40 % - Markeringsfarve4 3 8 2 2 3" xfId="12557" xr:uid="{00000000-0005-0000-0000-00002F750000}"/>
    <cellStyle name="40 % - Markeringsfarve4 3 8 2 2 3 2" xfId="28877" xr:uid="{00000000-0005-0000-0000-000030750000}"/>
    <cellStyle name="40 % - Markeringsfarve4 3 8 2 2 3 3" xfId="43842" xr:uid="{00000000-0005-0000-0000-000031750000}"/>
    <cellStyle name="40 % - Markeringsfarve4 3 8 2 2 4" xfId="21855" xr:uid="{00000000-0005-0000-0000-000032750000}"/>
    <cellStyle name="40 % - Markeringsfarve4 3 8 2 2 5" xfId="36843" xr:uid="{00000000-0005-0000-0000-000033750000}"/>
    <cellStyle name="40 % - Markeringsfarve4 3 8 2 3" xfId="6597" xr:uid="{00000000-0005-0000-0000-000034750000}"/>
    <cellStyle name="40 % - Markeringsfarve4 3 8 2 3 2" xfId="14512" xr:uid="{00000000-0005-0000-0000-000035750000}"/>
    <cellStyle name="40 % - Markeringsfarve4 3 8 2 3 2 2" xfId="30827" xr:uid="{00000000-0005-0000-0000-000036750000}"/>
    <cellStyle name="40 % - Markeringsfarve4 3 8 2 3 2 3" xfId="45791" xr:uid="{00000000-0005-0000-0000-000037750000}"/>
    <cellStyle name="40 % - Markeringsfarve4 3 8 2 3 3" xfId="23805" xr:uid="{00000000-0005-0000-0000-000038750000}"/>
    <cellStyle name="40 % - Markeringsfarve4 3 8 2 3 4" xfId="38792" xr:uid="{00000000-0005-0000-0000-000039750000}"/>
    <cellStyle name="40 % - Markeringsfarve4 3 8 2 4" xfId="12556" xr:uid="{00000000-0005-0000-0000-00003A750000}"/>
    <cellStyle name="40 % - Markeringsfarve4 3 8 2 4 2" xfId="28876" xr:uid="{00000000-0005-0000-0000-00003B750000}"/>
    <cellStyle name="40 % - Markeringsfarve4 3 8 2 4 3" xfId="43841" xr:uid="{00000000-0005-0000-0000-00003C750000}"/>
    <cellStyle name="40 % - Markeringsfarve4 3 8 2 5" xfId="21854" xr:uid="{00000000-0005-0000-0000-00003D750000}"/>
    <cellStyle name="40 % - Markeringsfarve4 3 8 2 6" xfId="36842" xr:uid="{00000000-0005-0000-0000-00003E750000}"/>
    <cellStyle name="40 % - Markeringsfarve4 3 8 3" xfId="3998" xr:uid="{00000000-0005-0000-0000-00003F750000}"/>
    <cellStyle name="40 % - Markeringsfarve4 3 8 3 2" xfId="7381" xr:uid="{00000000-0005-0000-0000-000040750000}"/>
    <cellStyle name="40 % - Markeringsfarve4 3 8 3 2 2" xfId="15292" xr:uid="{00000000-0005-0000-0000-000041750000}"/>
    <cellStyle name="40 % - Markeringsfarve4 3 8 3 2 2 2" xfId="31607" xr:uid="{00000000-0005-0000-0000-000042750000}"/>
    <cellStyle name="40 % - Markeringsfarve4 3 8 3 2 2 3" xfId="46571" xr:uid="{00000000-0005-0000-0000-000043750000}"/>
    <cellStyle name="40 % - Markeringsfarve4 3 8 3 2 3" xfId="24585" xr:uid="{00000000-0005-0000-0000-000044750000}"/>
    <cellStyle name="40 % - Markeringsfarve4 3 8 3 2 4" xfId="39572" xr:uid="{00000000-0005-0000-0000-000045750000}"/>
    <cellStyle name="40 % - Markeringsfarve4 3 8 3 3" xfId="12558" xr:uid="{00000000-0005-0000-0000-000046750000}"/>
    <cellStyle name="40 % - Markeringsfarve4 3 8 3 3 2" xfId="28878" xr:uid="{00000000-0005-0000-0000-000047750000}"/>
    <cellStyle name="40 % - Markeringsfarve4 3 8 3 3 3" xfId="43843" xr:uid="{00000000-0005-0000-0000-000048750000}"/>
    <cellStyle name="40 % - Markeringsfarve4 3 8 3 4" xfId="21856" xr:uid="{00000000-0005-0000-0000-000049750000}"/>
    <cellStyle name="40 % - Markeringsfarve4 3 8 3 5" xfId="36844" xr:uid="{00000000-0005-0000-0000-00004A750000}"/>
    <cellStyle name="40 % - Markeringsfarve4 3 8 4" xfId="3999" xr:uid="{00000000-0005-0000-0000-00004B750000}"/>
    <cellStyle name="40 % - Markeringsfarve4 3 8 4 2" xfId="8361" xr:uid="{00000000-0005-0000-0000-00004C750000}"/>
    <cellStyle name="40 % - Markeringsfarve4 3 8 4 2 2" xfId="16255" xr:uid="{00000000-0005-0000-0000-00004D750000}"/>
    <cellStyle name="40 % - Markeringsfarve4 3 8 4 2 2 2" xfId="32570" xr:uid="{00000000-0005-0000-0000-00004E750000}"/>
    <cellStyle name="40 % - Markeringsfarve4 3 8 4 2 2 3" xfId="47534" xr:uid="{00000000-0005-0000-0000-00004F750000}"/>
    <cellStyle name="40 % - Markeringsfarve4 3 8 4 2 3" xfId="25548" xr:uid="{00000000-0005-0000-0000-000050750000}"/>
    <cellStyle name="40 % - Markeringsfarve4 3 8 4 2 4" xfId="40535" xr:uid="{00000000-0005-0000-0000-000051750000}"/>
    <cellStyle name="40 % - Markeringsfarve4 3 8 4 3" xfId="12559" xr:uid="{00000000-0005-0000-0000-000052750000}"/>
    <cellStyle name="40 % - Markeringsfarve4 3 8 4 3 2" xfId="28879" xr:uid="{00000000-0005-0000-0000-000053750000}"/>
    <cellStyle name="40 % - Markeringsfarve4 3 8 4 3 3" xfId="43844" xr:uid="{00000000-0005-0000-0000-000054750000}"/>
    <cellStyle name="40 % - Markeringsfarve4 3 8 4 4" xfId="21857" xr:uid="{00000000-0005-0000-0000-000055750000}"/>
    <cellStyle name="40 % - Markeringsfarve4 3 8 4 5" xfId="36845" xr:uid="{00000000-0005-0000-0000-000056750000}"/>
    <cellStyle name="40 % - Markeringsfarve4 3 8 5" xfId="5892" xr:uid="{00000000-0005-0000-0000-000057750000}"/>
    <cellStyle name="40 % - Markeringsfarve4 3 8 5 2" xfId="13811" xr:uid="{00000000-0005-0000-0000-000058750000}"/>
    <cellStyle name="40 % - Markeringsfarve4 3 8 5 2 2" xfId="30126" xr:uid="{00000000-0005-0000-0000-000059750000}"/>
    <cellStyle name="40 % - Markeringsfarve4 3 8 5 2 3" xfId="45090" xr:uid="{00000000-0005-0000-0000-00005A750000}"/>
    <cellStyle name="40 % - Markeringsfarve4 3 8 5 3" xfId="23104" xr:uid="{00000000-0005-0000-0000-00005B750000}"/>
    <cellStyle name="40 % - Markeringsfarve4 3 8 5 4" xfId="38091" xr:uid="{00000000-0005-0000-0000-00005C750000}"/>
    <cellStyle name="40 % - Markeringsfarve4 3 8 6" xfId="12555" xr:uid="{00000000-0005-0000-0000-00005D750000}"/>
    <cellStyle name="40 % - Markeringsfarve4 3 8 6 2" xfId="28875" xr:uid="{00000000-0005-0000-0000-00005E750000}"/>
    <cellStyle name="40 % - Markeringsfarve4 3 8 6 3" xfId="43840" xr:uid="{00000000-0005-0000-0000-00005F750000}"/>
    <cellStyle name="40 % - Markeringsfarve4 3 8 7" xfId="21853" xr:uid="{00000000-0005-0000-0000-000060750000}"/>
    <cellStyle name="40 % - Markeringsfarve4 3 8 8" xfId="36841" xr:uid="{00000000-0005-0000-0000-000061750000}"/>
    <cellStyle name="40 % - Markeringsfarve4 3 9" xfId="4000" xr:uid="{00000000-0005-0000-0000-000062750000}"/>
    <cellStyle name="40 % - Markeringsfarve4 3 9 2" xfId="4001" xr:uid="{00000000-0005-0000-0000-000063750000}"/>
    <cellStyle name="40 % - Markeringsfarve4 3 9 2 2" xfId="7449" xr:uid="{00000000-0005-0000-0000-000064750000}"/>
    <cellStyle name="40 % - Markeringsfarve4 3 9 2 2 2" xfId="15351" xr:uid="{00000000-0005-0000-0000-000065750000}"/>
    <cellStyle name="40 % - Markeringsfarve4 3 9 2 2 2 2" xfId="31666" xr:uid="{00000000-0005-0000-0000-000066750000}"/>
    <cellStyle name="40 % - Markeringsfarve4 3 9 2 2 2 3" xfId="46630" xr:uid="{00000000-0005-0000-0000-000067750000}"/>
    <cellStyle name="40 % - Markeringsfarve4 3 9 2 2 3" xfId="24644" xr:uid="{00000000-0005-0000-0000-000068750000}"/>
    <cellStyle name="40 % - Markeringsfarve4 3 9 2 2 4" xfId="39631" xr:uid="{00000000-0005-0000-0000-000069750000}"/>
    <cellStyle name="40 % - Markeringsfarve4 3 9 2 3" xfId="12561" xr:uid="{00000000-0005-0000-0000-00006A750000}"/>
    <cellStyle name="40 % - Markeringsfarve4 3 9 2 3 2" xfId="28881" xr:uid="{00000000-0005-0000-0000-00006B750000}"/>
    <cellStyle name="40 % - Markeringsfarve4 3 9 2 3 3" xfId="43846" xr:uid="{00000000-0005-0000-0000-00006C750000}"/>
    <cellStyle name="40 % - Markeringsfarve4 3 9 2 4" xfId="21859" xr:uid="{00000000-0005-0000-0000-00006D750000}"/>
    <cellStyle name="40 % - Markeringsfarve4 3 9 2 5" xfId="36847" xr:uid="{00000000-0005-0000-0000-00006E750000}"/>
    <cellStyle name="40 % - Markeringsfarve4 3 9 3" xfId="6049" xr:uid="{00000000-0005-0000-0000-00006F750000}"/>
    <cellStyle name="40 % - Markeringsfarve4 3 9 3 2" xfId="13967" xr:uid="{00000000-0005-0000-0000-000070750000}"/>
    <cellStyle name="40 % - Markeringsfarve4 3 9 3 2 2" xfId="30282" xr:uid="{00000000-0005-0000-0000-000071750000}"/>
    <cellStyle name="40 % - Markeringsfarve4 3 9 3 2 3" xfId="45246" xr:uid="{00000000-0005-0000-0000-000072750000}"/>
    <cellStyle name="40 % - Markeringsfarve4 3 9 3 3" xfId="23260" xr:uid="{00000000-0005-0000-0000-000073750000}"/>
    <cellStyle name="40 % - Markeringsfarve4 3 9 3 4" xfId="38247" xr:uid="{00000000-0005-0000-0000-000074750000}"/>
    <cellStyle name="40 % - Markeringsfarve4 3 9 4" xfId="12560" xr:uid="{00000000-0005-0000-0000-000075750000}"/>
    <cellStyle name="40 % - Markeringsfarve4 3 9 4 2" xfId="28880" xr:uid="{00000000-0005-0000-0000-000076750000}"/>
    <cellStyle name="40 % - Markeringsfarve4 3 9 4 3" xfId="43845" xr:uid="{00000000-0005-0000-0000-000077750000}"/>
    <cellStyle name="40 % - Markeringsfarve4 3 9 5" xfId="21858" xr:uid="{00000000-0005-0000-0000-000078750000}"/>
    <cellStyle name="40 % - Markeringsfarve4 3 9 6" xfId="36846" xr:uid="{00000000-0005-0000-0000-000079750000}"/>
    <cellStyle name="40 % - Markeringsfarve4 4" xfId="4002" xr:uid="{00000000-0005-0000-0000-00007A750000}"/>
    <cellStyle name="40 % - Markeringsfarve4 4 10" xfId="5893" xr:uid="{00000000-0005-0000-0000-00007B750000}"/>
    <cellStyle name="40 % - Markeringsfarve4 4 10 2" xfId="13812" xr:uid="{00000000-0005-0000-0000-00007C750000}"/>
    <cellStyle name="40 % - Markeringsfarve4 4 10 2 2" xfId="30127" xr:uid="{00000000-0005-0000-0000-00007D750000}"/>
    <cellStyle name="40 % - Markeringsfarve4 4 10 2 3" xfId="45091" xr:uid="{00000000-0005-0000-0000-00007E750000}"/>
    <cellStyle name="40 % - Markeringsfarve4 4 10 3" xfId="23105" xr:uid="{00000000-0005-0000-0000-00007F750000}"/>
    <cellStyle name="40 % - Markeringsfarve4 4 10 4" xfId="38092" xr:uid="{00000000-0005-0000-0000-000080750000}"/>
    <cellStyle name="40 % - Markeringsfarve4 4 11" xfId="12562" xr:uid="{00000000-0005-0000-0000-000081750000}"/>
    <cellStyle name="40 % - Markeringsfarve4 4 11 2" xfId="28882" xr:uid="{00000000-0005-0000-0000-000082750000}"/>
    <cellStyle name="40 % - Markeringsfarve4 4 11 3" xfId="43847" xr:uid="{00000000-0005-0000-0000-000083750000}"/>
    <cellStyle name="40 % - Markeringsfarve4 4 12" xfId="21860" xr:uid="{00000000-0005-0000-0000-000084750000}"/>
    <cellStyle name="40 % - Markeringsfarve4 4 13" xfId="36848" xr:uid="{00000000-0005-0000-0000-000085750000}"/>
    <cellStyle name="40 % - Markeringsfarve4 4 14" xfId="53331" xr:uid="{00000000-0005-0000-0000-000086750000}"/>
    <cellStyle name="40 % - Markeringsfarve4 4 2" xfId="4003" xr:uid="{00000000-0005-0000-0000-000087750000}"/>
    <cellStyle name="40 % - Markeringsfarve4 4 2 2" xfId="4004" xr:uid="{00000000-0005-0000-0000-000088750000}"/>
    <cellStyle name="40 % - Markeringsfarve4 4 2 2 2" xfId="4005" xr:uid="{00000000-0005-0000-0000-000089750000}"/>
    <cellStyle name="40 % - Markeringsfarve4 4 2 2 2 2" xfId="7593" xr:uid="{00000000-0005-0000-0000-00008A750000}"/>
    <cellStyle name="40 % - Markeringsfarve4 4 2 2 2 2 2" xfId="15495" xr:uid="{00000000-0005-0000-0000-00008B750000}"/>
    <cellStyle name="40 % - Markeringsfarve4 4 2 2 2 2 2 2" xfId="31810" xr:uid="{00000000-0005-0000-0000-00008C750000}"/>
    <cellStyle name="40 % - Markeringsfarve4 4 2 2 2 2 2 3" xfId="46774" xr:uid="{00000000-0005-0000-0000-00008D750000}"/>
    <cellStyle name="40 % - Markeringsfarve4 4 2 2 2 2 3" xfId="24788" xr:uid="{00000000-0005-0000-0000-00008E750000}"/>
    <cellStyle name="40 % - Markeringsfarve4 4 2 2 2 2 4" xfId="39775" xr:uid="{00000000-0005-0000-0000-00008F750000}"/>
    <cellStyle name="40 % - Markeringsfarve4 4 2 2 2 3" xfId="12565" xr:uid="{00000000-0005-0000-0000-000090750000}"/>
    <cellStyle name="40 % - Markeringsfarve4 4 2 2 2 3 2" xfId="28885" xr:uid="{00000000-0005-0000-0000-000091750000}"/>
    <cellStyle name="40 % - Markeringsfarve4 4 2 2 2 3 3" xfId="43850" xr:uid="{00000000-0005-0000-0000-000092750000}"/>
    <cellStyle name="40 % - Markeringsfarve4 4 2 2 2 4" xfId="21863" xr:uid="{00000000-0005-0000-0000-000093750000}"/>
    <cellStyle name="40 % - Markeringsfarve4 4 2 2 2 5" xfId="36851" xr:uid="{00000000-0005-0000-0000-000094750000}"/>
    <cellStyle name="40 % - Markeringsfarve4 4 2 2 3" xfId="6169" xr:uid="{00000000-0005-0000-0000-000095750000}"/>
    <cellStyle name="40 % - Markeringsfarve4 4 2 2 3 2" xfId="14087" xr:uid="{00000000-0005-0000-0000-000096750000}"/>
    <cellStyle name="40 % - Markeringsfarve4 4 2 2 3 2 2" xfId="30402" xr:uid="{00000000-0005-0000-0000-000097750000}"/>
    <cellStyle name="40 % - Markeringsfarve4 4 2 2 3 2 3" xfId="45366" xr:uid="{00000000-0005-0000-0000-000098750000}"/>
    <cellStyle name="40 % - Markeringsfarve4 4 2 2 3 3" xfId="23380" xr:uid="{00000000-0005-0000-0000-000099750000}"/>
    <cellStyle name="40 % - Markeringsfarve4 4 2 2 3 4" xfId="38367" xr:uid="{00000000-0005-0000-0000-00009A750000}"/>
    <cellStyle name="40 % - Markeringsfarve4 4 2 2 4" xfId="12564" xr:uid="{00000000-0005-0000-0000-00009B750000}"/>
    <cellStyle name="40 % - Markeringsfarve4 4 2 2 4 2" xfId="28884" xr:uid="{00000000-0005-0000-0000-00009C750000}"/>
    <cellStyle name="40 % - Markeringsfarve4 4 2 2 4 3" xfId="43849" xr:uid="{00000000-0005-0000-0000-00009D750000}"/>
    <cellStyle name="40 % - Markeringsfarve4 4 2 2 5" xfId="21862" xr:uid="{00000000-0005-0000-0000-00009E750000}"/>
    <cellStyle name="40 % - Markeringsfarve4 4 2 2 6" xfId="36850" xr:uid="{00000000-0005-0000-0000-00009F750000}"/>
    <cellStyle name="40 % - Markeringsfarve4 4 2 2 7" xfId="57135" xr:uid="{00000000-0005-0000-0000-0000A0750000}"/>
    <cellStyle name="40 % - Markeringsfarve4 4 2 3" xfId="4006" xr:uid="{00000000-0005-0000-0000-0000A1750000}"/>
    <cellStyle name="40 % - Markeringsfarve4 4 2 3 2" xfId="6823" xr:uid="{00000000-0005-0000-0000-0000A2750000}"/>
    <cellStyle name="40 % - Markeringsfarve4 4 2 3 2 2" xfId="14735" xr:uid="{00000000-0005-0000-0000-0000A3750000}"/>
    <cellStyle name="40 % - Markeringsfarve4 4 2 3 2 2 2" xfId="31050" xr:uid="{00000000-0005-0000-0000-0000A4750000}"/>
    <cellStyle name="40 % - Markeringsfarve4 4 2 3 2 2 3" xfId="46014" xr:uid="{00000000-0005-0000-0000-0000A5750000}"/>
    <cellStyle name="40 % - Markeringsfarve4 4 2 3 2 3" xfId="24028" xr:uid="{00000000-0005-0000-0000-0000A6750000}"/>
    <cellStyle name="40 % - Markeringsfarve4 4 2 3 2 4" xfId="39015" xr:uid="{00000000-0005-0000-0000-0000A7750000}"/>
    <cellStyle name="40 % - Markeringsfarve4 4 2 3 3" xfId="12566" xr:uid="{00000000-0005-0000-0000-0000A8750000}"/>
    <cellStyle name="40 % - Markeringsfarve4 4 2 3 3 2" xfId="28886" xr:uid="{00000000-0005-0000-0000-0000A9750000}"/>
    <cellStyle name="40 % - Markeringsfarve4 4 2 3 3 3" xfId="43851" xr:uid="{00000000-0005-0000-0000-0000AA750000}"/>
    <cellStyle name="40 % - Markeringsfarve4 4 2 3 4" xfId="21864" xr:uid="{00000000-0005-0000-0000-0000AB750000}"/>
    <cellStyle name="40 % - Markeringsfarve4 4 2 3 5" xfId="36852" xr:uid="{00000000-0005-0000-0000-0000AC750000}"/>
    <cellStyle name="40 % - Markeringsfarve4 4 2 4" xfId="4007" xr:uid="{00000000-0005-0000-0000-0000AD750000}"/>
    <cellStyle name="40 % - Markeringsfarve4 4 2 4 2" xfId="8223" xr:uid="{00000000-0005-0000-0000-0000AE750000}"/>
    <cellStyle name="40 % - Markeringsfarve4 4 2 4 2 2" xfId="16118" xr:uid="{00000000-0005-0000-0000-0000AF750000}"/>
    <cellStyle name="40 % - Markeringsfarve4 4 2 4 2 2 2" xfId="32433" xr:uid="{00000000-0005-0000-0000-0000B0750000}"/>
    <cellStyle name="40 % - Markeringsfarve4 4 2 4 2 2 3" xfId="47397" xr:uid="{00000000-0005-0000-0000-0000B1750000}"/>
    <cellStyle name="40 % - Markeringsfarve4 4 2 4 2 3" xfId="25411" xr:uid="{00000000-0005-0000-0000-0000B2750000}"/>
    <cellStyle name="40 % - Markeringsfarve4 4 2 4 2 4" xfId="40398" xr:uid="{00000000-0005-0000-0000-0000B3750000}"/>
    <cellStyle name="40 % - Markeringsfarve4 4 2 4 3" xfId="12567" xr:uid="{00000000-0005-0000-0000-0000B4750000}"/>
    <cellStyle name="40 % - Markeringsfarve4 4 2 4 3 2" xfId="28887" xr:uid="{00000000-0005-0000-0000-0000B5750000}"/>
    <cellStyle name="40 % - Markeringsfarve4 4 2 4 3 3" xfId="43852" xr:uid="{00000000-0005-0000-0000-0000B6750000}"/>
    <cellStyle name="40 % - Markeringsfarve4 4 2 4 4" xfId="21865" xr:uid="{00000000-0005-0000-0000-0000B7750000}"/>
    <cellStyle name="40 % - Markeringsfarve4 4 2 4 5" xfId="36853" xr:uid="{00000000-0005-0000-0000-0000B8750000}"/>
    <cellStyle name="40 % - Markeringsfarve4 4 2 5" xfId="5894" xr:uid="{00000000-0005-0000-0000-0000B9750000}"/>
    <cellStyle name="40 % - Markeringsfarve4 4 2 5 2" xfId="13813" xr:uid="{00000000-0005-0000-0000-0000BA750000}"/>
    <cellStyle name="40 % - Markeringsfarve4 4 2 5 2 2" xfId="30128" xr:uid="{00000000-0005-0000-0000-0000BB750000}"/>
    <cellStyle name="40 % - Markeringsfarve4 4 2 5 2 3" xfId="45092" xr:uid="{00000000-0005-0000-0000-0000BC750000}"/>
    <cellStyle name="40 % - Markeringsfarve4 4 2 5 3" xfId="23106" xr:uid="{00000000-0005-0000-0000-0000BD750000}"/>
    <cellStyle name="40 % - Markeringsfarve4 4 2 5 4" xfId="38093" xr:uid="{00000000-0005-0000-0000-0000BE750000}"/>
    <cellStyle name="40 % - Markeringsfarve4 4 2 6" xfId="12563" xr:uid="{00000000-0005-0000-0000-0000BF750000}"/>
    <cellStyle name="40 % - Markeringsfarve4 4 2 6 2" xfId="28883" xr:uid="{00000000-0005-0000-0000-0000C0750000}"/>
    <cellStyle name="40 % - Markeringsfarve4 4 2 6 3" xfId="43848" xr:uid="{00000000-0005-0000-0000-0000C1750000}"/>
    <cellStyle name="40 % - Markeringsfarve4 4 2 7" xfId="21861" xr:uid="{00000000-0005-0000-0000-0000C2750000}"/>
    <cellStyle name="40 % - Markeringsfarve4 4 2 8" xfId="36849" xr:uid="{00000000-0005-0000-0000-0000C3750000}"/>
    <cellStyle name="40 % - Markeringsfarve4 4 2 9" xfId="53968" xr:uid="{00000000-0005-0000-0000-0000C4750000}"/>
    <cellStyle name="40 % - Markeringsfarve4 4 3" xfId="4008" xr:uid="{00000000-0005-0000-0000-0000C5750000}"/>
    <cellStyle name="40 % - Markeringsfarve4 4 3 2" xfId="4009" xr:uid="{00000000-0005-0000-0000-0000C6750000}"/>
    <cellStyle name="40 % - Markeringsfarve4 4 3 2 2" xfId="4010" xr:uid="{00000000-0005-0000-0000-0000C7750000}"/>
    <cellStyle name="40 % - Markeringsfarve4 4 3 2 2 2" xfId="7753" xr:uid="{00000000-0005-0000-0000-0000C8750000}"/>
    <cellStyle name="40 % - Markeringsfarve4 4 3 2 2 2 2" xfId="15655" xr:uid="{00000000-0005-0000-0000-0000C9750000}"/>
    <cellStyle name="40 % - Markeringsfarve4 4 3 2 2 2 2 2" xfId="31970" xr:uid="{00000000-0005-0000-0000-0000CA750000}"/>
    <cellStyle name="40 % - Markeringsfarve4 4 3 2 2 2 2 3" xfId="46934" xr:uid="{00000000-0005-0000-0000-0000CB750000}"/>
    <cellStyle name="40 % - Markeringsfarve4 4 3 2 2 2 3" xfId="24948" xr:uid="{00000000-0005-0000-0000-0000CC750000}"/>
    <cellStyle name="40 % - Markeringsfarve4 4 3 2 2 2 4" xfId="39935" xr:uid="{00000000-0005-0000-0000-0000CD750000}"/>
    <cellStyle name="40 % - Markeringsfarve4 4 3 2 2 3" xfId="12570" xr:uid="{00000000-0005-0000-0000-0000CE750000}"/>
    <cellStyle name="40 % - Markeringsfarve4 4 3 2 2 3 2" xfId="28890" xr:uid="{00000000-0005-0000-0000-0000CF750000}"/>
    <cellStyle name="40 % - Markeringsfarve4 4 3 2 2 3 3" xfId="43855" xr:uid="{00000000-0005-0000-0000-0000D0750000}"/>
    <cellStyle name="40 % - Markeringsfarve4 4 3 2 2 4" xfId="21868" xr:uid="{00000000-0005-0000-0000-0000D1750000}"/>
    <cellStyle name="40 % - Markeringsfarve4 4 3 2 2 5" xfId="36856" xr:uid="{00000000-0005-0000-0000-0000D2750000}"/>
    <cellStyle name="40 % - Markeringsfarve4 4 3 2 3" xfId="6299" xr:uid="{00000000-0005-0000-0000-0000D3750000}"/>
    <cellStyle name="40 % - Markeringsfarve4 4 3 2 3 2" xfId="14217" xr:uid="{00000000-0005-0000-0000-0000D4750000}"/>
    <cellStyle name="40 % - Markeringsfarve4 4 3 2 3 2 2" xfId="30532" xr:uid="{00000000-0005-0000-0000-0000D5750000}"/>
    <cellStyle name="40 % - Markeringsfarve4 4 3 2 3 2 3" xfId="45496" xr:uid="{00000000-0005-0000-0000-0000D6750000}"/>
    <cellStyle name="40 % - Markeringsfarve4 4 3 2 3 3" xfId="23510" xr:uid="{00000000-0005-0000-0000-0000D7750000}"/>
    <cellStyle name="40 % - Markeringsfarve4 4 3 2 3 4" xfId="38497" xr:uid="{00000000-0005-0000-0000-0000D8750000}"/>
    <cellStyle name="40 % - Markeringsfarve4 4 3 2 4" xfId="12569" xr:uid="{00000000-0005-0000-0000-0000D9750000}"/>
    <cellStyle name="40 % - Markeringsfarve4 4 3 2 4 2" xfId="28889" xr:uid="{00000000-0005-0000-0000-0000DA750000}"/>
    <cellStyle name="40 % - Markeringsfarve4 4 3 2 4 3" xfId="43854" xr:uid="{00000000-0005-0000-0000-0000DB750000}"/>
    <cellStyle name="40 % - Markeringsfarve4 4 3 2 5" xfId="21867" xr:uid="{00000000-0005-0000-0000-0000DC750000}"/>
    <cellStyle name="40 % - Markeringsfarve4 4 3 2 6" xfId="36855" xr:uid="{00000000-0005-0000-0000-0000DD750000}"/>
    <cellStyle name="40 % - Markeringsfarve4 4 3 3" xfId="4011" xr:uid="{00000000-0005-0000-0000-0000DE750000}"/>
    <cellStyle name="40 % - Markeringsfarve4 4 3 3 2" xfId="6983" xr:uid="{00000000-0005-0000-0000-0000DF750000}"/>
    <cellStyle name="40 % - Markeringsfarve4 4 3 3 2 2" xfId="14895" xr:uid="{00000000-0005-0000-0000-0000E0750000}"/>
    <cellStyle name="40 % - Markeringsfarve4 4 3 3 2 2 2" xfId="31210" xr:uid="{00000000-0005-0000-0000-0000E1750000}"/>
    <cellStyle name="40 % - Markeringsfarve4 4 3 3 2 2 3" xfId="46174" xr:uid="{00000000-0005-0000-0000-0000E2750000}"/>
    <cellStyle name="40 % - Markeringsfarve4 4 3 3 2 3" xfId="24188" xr:uid="{00000000-0005-0000-0000-0000E3750000}"/>
    <cellStyle name="40 % - Markeringsfarve4 4 3 3 2 4" xfId="39175" xr:uid="{00000000-0005-0000-0000-0000E4750000}"/>
    <cellStyle name="40 % - Markeringsfarve4 4 3 3 3" xfId="12571" xr:uid="{00000000-0005-0000-0000-0000E5750000}"/>
    <cellStyle name="40 % - Markeringsfarve4 4 3 3 3 2" xfId="28891" xr:uid="{00000000-0005-0000-0000-0000E6750000}"/>
    <cellStyle name="40 % - Markeringsfarve4 4 3 3 3 3" xfId="43856" xr:uid="{00000000-0005-0000-0000-0000E7750000}"/>
    <cellStyle name="40 % - Markeringsfarve4 4 3 3 4" xfId="21869" xr:uid="{00000000-0005-0000-0000-0000E8750000}"/>
    <cellStyle name="40 % - Markeringsfarve4 4 3 3 5" xfId="36857" xr:uid="{00000000-0005-0000-0000-0000E9750000}"/>
    <cellStyle name="40 % - Markeringsfarve4 4 3 4" xfId="4012" xr:uid="{00000000-0005-0000-0000-0000EA750000}"/>
    <cellStyle name="40 % - Markeringsfarve4 4 3 4 2" xfId="8546" xr:uid="{00000000-0005-0000-0000-0000EB750000}"/>
    <cellStyle name="40 % - Markeringsfarve4 4 3 4 2 2" xfId="16433" xr:uid="{00000000-0005-0000-0000-0000EC750000}"/>
    <cellStyle name="40 % - Markeringsfarve4 4 3 4 2 2 2" xfId="32748" xr:uid="{00000000-0005-0000-0000-0000ED750000}"/>
    <cellStyle name="40 % - Markeringsfarve4 4 3 4 2 2 3" xfId="47712" xr:uid="{00000000-0005-0000-0000-0000EE750000}"/>
    <cellStyle name="40 % - Markeringsfarve4 4 3 4 2 3" xfId="25726" xr:uid="{00000000-0005-0000-0000-0000EF750000}"/>
    <cellStyle name="40 % - Markeringsfarve4 4 3 4 2 4" xfId="40713" xr:uid="{00000000-0005-0000-0000-0000F0750000}"/>
    <cellStyle name="40 % - Markeringsfarve4 4 3 4 3" xfId="12572" xr:uid="{00000000-0005-0000-0000-0000F1750000}"/>
    <cellStyle name="40 % - Markeringsfarve4 4 3 4 3 2" xfId="28892" xr:uid="{00000000-0005-0000-0000-0000F2750000}"/>
    <cellStyle name="40 % - Markeringsfarve4 4 3 4 3 3" xfId="43857" xr:uid="{00000000-0005-0000-0000-0000F3750000}"/>
    <cellStyle name="40 % - Markeringsfarve4 4 3 4 4" xfId="21870" xr:uid="{00000000-0005-0000-0000-0000F4750000}"/>
    <cellStyle name="40 % - Markeringsfarve4 4 3 4 5" xfId="36858" xr:uid="{00000000-0005-0000-0000-0000F5750000}"/>
    <cellStyle name="40 % - Markeringsfarve4 4 3 5" xfId="5895" xr:uid="{00000000-0005-0000-0000-0000F6750000}"/>
    <cellStyle name="40 % - Markeringsfarve4 4 3 5 2" xfId="13814" xr:uid="{00000000-0005-0000-0000-0000F7750000}"/>
    <cellStyle name="40 % - Markeringsfarve4 4 3 5 2 2" xfId="30129" xr:uid="{00000000-0005-0000-0000-0000F8750000}"/>
    <cellStyle name="40 % - Markeringsfarve4 4 3 5 2 3" xfId="45093" xr:uid="{00000000-0005-0000-0000-0000F9750000}"/>
    <cellStyle name="40 % - Markeringsfarve4 4 3 5 3" xfId="23107" xr:uid="{00000000-0005-0000-0000-0000FA750000}"/>
    <cellStyle name="40 % - Markeringsfarve4 4 3 5 4" xfId="38094" xr:uid="{00000000-0005-0000-0000-0000FB750000}"/>
    <cellStyle name="40 % - Markeringsfarve4 4 3 6" xfId="12568" xr:uid="{00000000-0005-0000-0000-0000FC750000}"/>
    <cellStyle name="40 % - Markeringsfarve4 4 3 6 2" xfId="28888" xr:uid="{00000000-0005-0000-0000-0000FD750000}"/>
    <cellStyle name="40 % - Markeringsfarve4 4 3 6 3" xfId="43853" xr:uid="{00000000-0005-0000-0000-0000FE750000}"/>
    <cellStyle name="40 % - Markeringsfarve4 4 3 7" xfId="21866" xr:uid="{00000000-0005-0000-0000-0000FF750000}"/>
    <cellStyle name="40 % - Markeringsfarve4 4 3 8" xfId="36854" xr:uid="{00000000-0005-0000-0000-000000760000}"/>
    <cellStyle name="40 % - Markeringsfarve4 4 3 9" xfId="56512" xr:uid="{00000000-0005-0000-0000-000001760000}"/>
    <cellStyle name="40 % - Markeringsfarve4 4 4" xfId="4013" xr:uid="{00000000-0005-0000-0000-000002760000}"/>
    <cellStyle name="40 % - Markeringsfarve4 4 4 2" xfId="4014" xr:uid="{00000000-0005-0000-0000-000003760000}"/>
    <cellStyle name="40 % - Markeringsfarve4 4 4 2 2" xfId="4015" xr:uid="{00000000-0005-0000-0000-000004760000}"/>
    <cellStyle name="40 % - Markeringsfarve4 4 4 2 2 2" xfId="7831" xr:uid="{00000000-0005-0000-0000-000005760000}"/>
    <cellStyle name="40 % - Markeringsfarve4 4 4 2 2 2 2" xfId="15733" xr:uid="{00000000-0005-0000-0000-000006760000}"/>
    <cellStyle name="40 % - Markeringsfarve4 4 4 2 2 2 2 2" xfId="32048" xr:uid="{00000000-0005-0000-0000-000007760000}"/>
    <cellStyle name="40 % - Markeringsfarve4 4 4 2 2 2 2 3" xfId="47012" xr:uid="{00000000-0005-0000-0000-000008760000}"/>
    <cellStyle name="40 % - Markeringsfarve4 4 4 2 2 2 3" xfId="25026" xr:uid="{00000000-0005-0000-0000-000009760000}"/>
    <cellStyle name="40 % - Markeringsfarve4 4 4 2 2 2 4" xfId="40013" xr:uid="{00000000-0005-0000-0000-00000A760000}"/>
    <cellStyle name="40 % - Markeringsfarve4 4 4 2 2 3" xfId="12575" xr:uid="{00000000-0005-0000-0000-00000B760000}"/>
    <cellStyle name="40 % - Markeringsfarve4 4 4 2 2 3 2" xfId="28895" xr:uid="{00000000-0005-0000-0000-00000C760000}"/>
    <cellStyle name="40 % - Markeringsfarve4 4 4 2 2 3 3" xfId="43860" xr:uid="{00000000-0005-0000-0000-00000D760000}"/>
    <cellStyle name="40 % - Markeringsfarve4 4 4 2 2 4" xfId="21873" xr:uid="{00000000-0005-0000-0000-00000E760000}"/>
    <cellStyle name="40 % - Markeringsfarve4 4 4 2 2 5" xfId="36861" xr:uid="{00000000-0005-0000-0000-00000F760000}"/>
    <cellStyle name="40 % - Markeringsfarve4 4 4 2 3" xfId="6371" xr:uid="{00000000-0005-0000-0000-000010760000}"/>
    <cellStyle name="40 % - Markeringsfarve4 4 4 2 3 2" xfId="14286" xr:uid="{00000000-0005-0000-0000-000011760000}"/>
    <cellStyle name="40 % - Markeringsfarve4 4 4 2 3 2 2" xfId="30601" xr:uid="{00000000-0005-0000-0000-000012760000}"/>
    <cellStyle name="40 % - Markeringsfarve4 4 4 2 3 2 3" xfId="45565" xr:uid="{00000000-0005-0000-0000-000013760000}"/>
    <cellStyle name="40 % - Markeringsfarve4 4 4 2 3 3" xfId="23579" xr:uid="{00000000-0005-0000-0000-000014760000}"/>
    <cellStyle name="40 % - Markeringsfarve4 4 4 2 3 4" xfId="38566" xr:uid="{00000000-0005-0000-0000-000015760000}"/>
    <cellStyle name="40 % - Markeringsfarve4 4 4 2 4" xfId="12574" xr:uid="{00000000-0005-0000-0000-000016760000}"/>
    <cellStyle name="40 % - Markeringsfarve4 4 4 2 4 2" xfId="28894" xr:uid="{00000000-0005-0000-0000-000017760000}"/>
    <cellStyle name="40 % - Markeringsfarve4 4 4 2 4 3" xfId="43859" xr:uid="{00000000-0005-0000-0000-000018760000}"/>
    <cellStyle name="40 % - Markeringsfarve4 4 4 2 5" xfId="21872" xr:uid="{00000000-0005-0000-0000-000019760000}"/>
    <cellStyle name="40 % - Markeringsfarve4 4 4 2 6" xfId="36860" xr:uid="{00000000-0005-0000-0000-00001A760000}"/>
    <cellStyle name="40 % - Markeringsfarve4 4 4 3" xfId="4016" xr:uid="{00000000-0005-0000-0000-00001B760000}"/>
    <cellStyle name="40 % - Markeringsfarve4 4 4 3 2" xfId="7107" xr:uid="{00000000-0005-0000-0000-00001C760000}"/>
    <cellStyle name="40 % - Markeringsfarve4 4 4 3 2 2" xfId="15018" xr:uid="{00000000-0005-0000-0000-00001D760000}"/>
    <cellStyle name="40 % - Markeringsfarve4 4 4 3 2 2 2" xfId="31333" xr:uid="{00000000-0005-0000-0000-00001E760000}"/>
    <cellStyle name="40 % - Markeringsfarve4 4 4 3 2 2 3" xfId="46297" xr:uid="{00000000-0005-0000-0000-00001F760000}"/>
    <cellStyle name="40 % - Markeringsfarve4 4 4 3 2 3" xfId="24311" xr:uid="{00000000-0005-0000-0000-000020760000}"/>
    <cellStyle name="40 % - Markeringsfarve4 4 4 3 2 4" xfId="39298" xr:uid="{00000000-0005-0000-0000-000021760000}"/>
    <cellStyle name="40 % - Markeringsfarve4 4 4 3 3" xfId="12576" xr:uid="{00000000-0005-0000-0000-000022760000}"/>
    <cellStyle name="40 % - Markeringsfarve4 4 4 3 3 2" xfId="28896" xr:uid="{00000000-0005-0000-0000-000023760000}"/>
    <cellStyle name="40 % - Markeringsfarve4 4 4 3 3 3" xfId="43861" xr:uid="{00000000-0005-0000-0000-000024760000}"/>
    <cellStyle name="40 % - Markeringsfarve4 4 4 3 4" xfId="21874" xr:uid="{00000000-0005-0000-0000-000025760000}"/>
    <cellStyle name="40 % - Markeringsfarve4 4 4 3 5" xfId="36862" xr:uid="{00000000-0005-0000-0000-000026760000}"/>
    <cellStyle name="40 % - Markeringsfarve4 4 4 4" xfId="4017" xr:uid="{00000000-0005-0000-0000-000027760000}"/>
    <cellStyle name="40 % - Markeringsfarve4 4 4 4 2" xfId="8197" xr:uid="{00000000-0005-0000-0000-000028760000}"/>
    <cellStyle name="40 % - Markeringsfarve4 4 4 4 2 2" xfId="16094" xr:uid="{00000000-0005-0000-0000-000029760000}"/>
    <cellStyle name="40 % - Markeringsfarve4 4 4 4 2 2 2" xfId="32409" xr:uid="{00000000-0005-0000-0000-00002A760000}"/>
    <cellStyle name="40 % - Markeringsfarve4 4 4 4 2 2 3" xfId="47373" xr:uid="{00000000-0005-0000-0000-00002B760000}"/>
    <cellStyle name="40 % - Markeringsfarve4 4 4 4 2 3" xfId="25387" xr:uid="{00000000-0005-0000-0000-00002C760000}"/>
    <cellStyle name="40 % - Markeringsfarve4 4 4 4 2 4" xfId="40374" xr:uid="{00000000-0005-0000-0000-00002D760000}"/>
    <cellStyle name="40 % - Markeringsfarve4 4 4 4 3" xfId="12577" xr:uid="{00000000-0005-0000-0000-00002E760000}"/>
    <cellStyle name="40 % - Markeringsfarve4 4 4 4 3 2" xfId="28897" xr:uid="{00000000-0005-0000-0000-00002F760000}"/>
    <cellStyle name="40 % - Markeringsfarve4 4 4 4 3 3" xfId="43862" xr:uid="{00000000-0005-0000-0000-000030760000}"/>
    <cellStyle name="40 % - Markeringsfarve4 4 4 4 4" xfId="21875" xr:uid="{00000000-0005-0000-0000-000031760000}"/>
    <cellStyle name="40 % - Markeringsfarve4 4 4 4 5" xfId="36863" xr:uid="{00000000-0005-0000-0000-000032760000}"/>
    <cellStyle name="40 % - Markeringsfarve4 4 4 5" xfId="5896" xr:uid="{00000000-0005-0000-0000-000033760000}"/>
    <cellStyle name="40 % - Markeringsfarve4 4 4 5 2" xfId="13815" xr:uid="{00000000-0005-0000-0000-000034760000}"/>
    <cellStyle name="40 % - Markeringsfarve4 4 4 5 2 2" xfId="30130" xr:uid="{00000000-0005-0000-0000-000035760000}"/>
    <cellStyle name="40 % - Markeringsfarve4 4 4 5 2 3" xfId="45094" xr:uid="{00000000-0005-0000-0000-000036760000}"/>
    <cellStyle name="40 % - Markeringsfarve4 4 4 5 3" xfId="23108" xr:uid="{00000000-0005-0000-0000-000037760000}"/>
    <cellStyle name="40 % - Markeringsfarve4 4 4 5 4" xfId="38095" xr:uid="{00000000-0005-0000-0000-000038760000}"/>
    <cellStyle name="40 % - Markeringsfarve4 4 4 6" xfId="12573" xr:uid="{00000000-0005-0000-0000-000039760000}"/>
    <cellStyle name="40 % - Markeringsfarve4 4 4 6 2" xfId="28893" xr:uid="{00000000-0005-0000-0000-00003A760000}"/>
    <cellStyle name="40 % - Markeringsfarve4 4 4 6 3" xfId="43858" xr:uid="{00000000-0005-0000-0000-00003B760000}"/>
    <cellStyle name="40 % - Markeringsfarve4 4 4 7" xfId="21871" xr:uid="{00000000-0005-0000-0000-00003C760000}"/>
    <cellStyle name="40 % - Markeringsfarve4 4 4 8" xfId="36859" xr:uid="{00000000-0005-0000-0000-00003D760000}"/>
    <cellStyle name="40 % - Markeringsfarve4 4 5" xfId="4018" xr:uid="{00000000-0005-0000-0000-00003E760000}"/>
    <cellStyle name="40 % - Markeringsfarve4 4 5 2" xfId="4019" xr:uid="{00000000-0005-0000-0000-00003F760000}"/>
    <cellStyle name="40 % - Markeringsfarve4 4 5 2 2" xfId="4020" xr:uid="{00000000-0005-0000-0000-000040760000}"/>
    <cellStyle name="40 % - Markeringsfarve4 4 5 2 2 2" xfId="7948" xr:uid="{00000000-0005-0000-0000-000041760000}"/>
    <cellStyle name="40 % - Markeringsfarve4 4 5 2 2 2 2" xfId="15850" xr:uid="{00000000-0005-0000-0000-000042760000}"/>
    <cellStyle name="40 % - Markeringsfarve4 4 5 2 2 2 2 2" xfId="32165" xr:uid="{00000000-0005-0000-0000-000043760000}"/>
    <cellStyle name="40 % - Markeringsfarve4 4 5 2 2 2 2 3" xfId="47129" xr:uid="{00000000-0005-0000-0000-000044760000}"/>
    <cellStyle name="40 % - Markeringsfarve4 4 5 2 2 2 3" xfId="25143" xr:uid="{00000000-0005-0000-0000-000045760000}"/>
    <cellStyle name="40 % - Markeringsfarve4 4 5 2 2 2 4" xfId="40130" xr:uid="{00000000-0005-0000-0000-000046760000}"/>
    <cellStyle name="40 % - Markeringsfarve4 4 5 2 2 3" xfId="12580" xr:uid="{00000000-0005-0000-0000-000047760000}"/>
    <cellStyle name="40 % - Markeringsfarve4 4 5 2 2 3 2" xfId="28900" xr:uid="{00000000-0005-0000-0000-000048760000}"/>
    <cellStyle name="40 % - Markeringsfarve4 4 5 2 2 3 3" xfId="43865" xr:uid="{00000000-0005-0000-0000-000049760000}"/>
    <cellStyle name="40 % - Markeringsfarve4 4 5 2 2 4" xfId="21878" xr:uid="{00000000-0005-0000-0000-00004A760000}"/>
    <cellStyle name="40 % - Markeringsfarve4 4 5 2 2 5" xfId="36866" xr:uid="{00000000-0005-0000-0000-00004B760000}"/>
    <cellStyle name="40 % - Markeringsfarve4 4 5 2 3" xfId="6470" xr:uid="{00000000-0005-0000-0000-00004C760000}"/>
    <cellStyle name="40 % - Markeringsfarve4 4 5 2 3 2" xfId="14385" xr:uid="{00000000-0005-0000-0000-00004D760000}"/>
    <cellStyle name="40 % - Markeringsfarve4 4 5 2 3 2 2" xfId="30700" xr:uid="{00000000-0005-0000-0000-00004E760000}"/>
    <cellStyle name="40 % - Markeringsfarve4 4 5 2 3 2 3" xfId="45664" xr:uid="{00000000-0005-0000-0000-00004F760000}"/>
    <cellStyle name="40 % - Markeringsfarve4 4 5 2 3 3" xfId="23678" xr:uid="{00000000-0005-0000-0000-000050760000}"/>
    <cellStyle name="40 % - Markeringsfarve4 4 5 2 3 4" xfId="38665" xr:uid="{00000000-0005-0000-0000-000051760000}"/>
    <cellStyle name="40 % - Markeringsfarve4 4 5 2 4" xfId="12579" xr:uid="{00000000-0005-0000-0000-000052760000}"/>
    <cellStyle name="40 % - Markeringsfarve4 4 5 2 4 2" xfId="28899" xr:uid="{00000000-0005-0000-0000-000053760000}"/>
    <cellStyle name="40 % - Markeringsfarve4 4 5 2 4 3" xfId="43864" xr:uid="{00000000-0005-0000-0000-000054760000}"/>
    <cellStyle name="40 % - Markeringsfarve4 4 5 2 5" xfId="21877" xr:uid="{00000000-0005-0000-0000-000055760000}"/>
    <cellStyle name="40 % - Markeringsfarve4 4 5 2 6" xfId="36865" xr:uid="{00000000-0005-0000-0000-000056760000}"/>
    <cellStyle name="40 % - Markeringsfarve4 4 5 3" xfId="4021" xr:uid="{00000000-0005-0000-0000-000057760000}"/>
    <cellStyle name="40 % - Markeringsfarve4 4 5 3 2" xfId="7224" xr:uid="{00000000-0005-0000-0000-000058760000}"/>
    <cellStyle name="40 % - Markeringsfarve4 4 5 3 2 2" xfId="15135" xr:uid="{00000000-0005-0000-0000-000059760000}"/>
    <cellStyle name="40 % - Markeringsfarve4 4 5 3 2 2 2" xfId="31450" xr:uid="{00000000-0005-0000-0000-00005A760000}"/>
    <cellStyle name="40 % - Markeringsfarve4 4 5 3 2 2 3" xfId="46414" xr:uid="{00000000-0005-0000-0000-00005B760000}"/>
    <cellStyle name="40 % - Markeringsfarve4 4 5 3 2 3" xfId="24428" xr:uid="{00000000-0005-0000-0000-00005C760000}"/>
    <cellStyle name="40 % - Markeringsfarve4 4 5 3 2 4" xfId="39415" xr:uid="{00000000-0005-0000-0000-00005D760000}"/>
    <cellStyle name="40 % - Markeringsfarve4 4 5 3 3" xfId="12581" xr:uid="{00000000-0005-0000-0000-00005E760000}"/>
    <cellStyle name="40 % - Markeringsfarve4 4 5 3 3 2" xfId="28901" xr:uid="{00000000-0005-0000-0000-00005F760000}"/>
    <cellStyle name="40 % - Markeringsfarve4 4 5 3 3 3" xfId="43866" xr:uid="{00000000-0005-0000-0000-000060760000}"/>
    <cellStyle name="40 % - Markeringsfarve4 4 5 3 4" xfId="21879" xr:uid="{00000000-0005-0000-0000-000061760000}"/>
    <cellStyle name="40 % - Markeringsfarve4 4 5 3 5" xfId="36867" xr:uid="{00000000-0005-0000-0000-000062760000}"/>
    <cellStyle name="40 % - Markeringsfarve4 4 5 4" xfId="4022" xr:uid="{00000000-0005-0000-0000-000063760000}"/>
    <cellStyle name="40 % - Markeringsfarve4 4 5 4 2" xfId="8150" xr:uid="{00000000-0005-0000-0000-000064760000}"/>
    <cellStyle name="40 % - Markeringsfarve4 4 5 4 2 2" xfId="16048" xr:uid="{00000000-0005-0000-0000-000065760000}"/>
    <cellStyle name="40 % - Markeringsfarve4 4 5 4 2 2 2" xfId="32363" xr:uid="{00000000-0005-0000-0000-000066760000}"/>
    <cellStyle name="40 % - Markeringsfarve4 4 5 4 2 2 3" xfId="47327" xr:uid="{00000000-0005-0000-0000-000067760000}"/>
    <cellStyle name="40 % - Markeringsfarve4 4 5 4 2 3" xfId="25341" xr:uid="{00000000-0005-0000-0000-000068760000}"/>
    <cellStyle name="40 % - Markeringsfarve4 4 5 4 2 4" xfId="40328" xr:uid="{00000000-0005-0000-0000-000069760000}"/>
    <cellStyle name="40 % - Markeringsfarve4 4 5 4 3" xfId="12582" xr:uid="{00000000-0005-0000-0000-00006A760000}"/>
    <cellStyle name="40 % - Markeringsfarve4 4 5 4 3 2" xfId="28902" xr:uid="{00000000-0005-0000-0000-00006B760000}"/>
    <cellStyle name="40 % - Markeringsfarve4 4 5 4 3 3" xfId="43867" xr:uid="{00000000-0005-0000-0000-00006C760000}"/>
    <cellStyle name="40 % - Markeringsfarve4 4 5 4 4" xfId="21880" xr:uid="{00000000-0005-0000-0000-00006D760000}"/>
    <cellStyle name="40 % - Markeringsfarve4 4 5 4 5" xfId="36868" xr:uid="{00000000-0005-0000-0000-00006E760000}"/>
    <cellStyle name="40 % - Markeringsfarve4 4 5 5" xfId="5897" xr:uid="{00000000-0005-0000-0000-00006F760000}"/>
    <cellStyle name="40 % - Markeringsfarve4 4 5 5 2" xfId="13816" xr:uid="{00000000-0005-0000-0000-000070760000}"/>
    <cellStyle name="40 % - Markeringsfarve4 4 5 5 2 2" xfId="30131" xr:uid="{00000000-0005-0000-0000-000071760000}"/>
    <cellStyle name="40 % - Markeringsfarve4 4 5 5 2 3" xfId="45095" xr:uid="{00000000-0005-0000-0000-000072760000}"/>
    <cellStyle name="40 % - Markeringsfarve4 4 5 5 3" xfId="23109" xr:uid="{00000000-0005-0000-0000-000073760000}"/>
    <cellStyle name="40 % - Markeringsfarve4 4 5 5 4" xfId="38096" xr:uid="{00000000-0005-0000-0000-000074760000}"/>
    <cellStyle name="40 % - Markeringsfarve4 4 5 6" xfId="12578" xr:uid="{00000000-0005-0000-0000-000075760000}"/>
    <cellStyle name="40 % - Markeringsfarve4 4 5 6 2" xfId="28898" xr:uid="{00000000-0005-0000-0000-000076760000}"/>
    <cellStyle name="40 % - Markeringsfarve4 4 5 6 3" xfId="43863" xr:uid="{00000000-0005-0000-0000-000077760000}"/>
    <cellStyle name="40 % - Markeringsfarve4 4 5 7" xfId="21876" xr:uid="{00000000-0005-0000-0000-000078760000}"/>
    <cellStyle name="40 % - Markeringsfarve4 4 5 8" xfId="36864" xr:uid="{00000000-0005-0000-0000-000079760000}"/>
    <cellStyle name="40 % - Markeringsfarve4 4 6" xfId="4023" xr:uid="{00000000-0005-0000-0000-00007A760000}"/>
    <cellStyle name="40 % - Markeringsfarve4 4 6 2" xfId="4024" xr:uid="{00000000-0005-0000-0000-00007B760000}"/>
    <cellStyle name="40 % - Markeringsfarve4 4 6 2 2" xfId="4025" xr:uid="{00000000-0005-0000-0000-00007C760000}"/>
    <cellStyle name="40 % - Markeringsfarve4 4 6 2 2 2" xfId="8107" xr:uid="{00000000-0005-0000-0000-00007D760000}"/>
    <cellStyle name="40 % - Markeringsfarve4 4 6 2 2 2 2" xfId="16009" xr:uid="{00000000-0005-0000-0000-00007E760000}"/>
    <cellStyle name="40 % - Markeringsfarve4 4 6 2 2 2 2 2" xfId="32324" xr:uid="{00000000-0005-0000-0000-00007F760000}"/>
    <cellStyle name="40 % - Markeringsfarve4 4 6 2 2 2 2 3" xfId="47288" xr:uid="{00000000-0005-0000-0000-000080760000}"/>
    <cellStyle name="40 % - Markeringsfarve4 4 6 2 2 2 3" xfId="25302" xr:uid="{00000000-0005-0000-0000-000081760000}"/>
    <cellStyle name="40 % - Markeringsfarve4 4 6 2 2 2 4" xfId="40289" xr:uid="{00000000-0005-0000-0000-000082760000}"/>
    <cellStyle name="40 % - Markeringsfarve4 4 6 2 2 3" xfId="12585" xr:uid="{00000000-0005-0000-0000-000083760000}"/>
    <cellStyle name="40 % - Markeringsfarve4 4 6 2 2 3 2" xfId="28905" xr:uid="{00000000-0005-0000-0000-000084760000}"/>
    <cellStyle name="40 % - Markeringsfarve4 4 6 2 2 3 3" xfId="43870" xr:uid="{00000000-0005-0000-0000-000085760000}"/>
    <cellStyle name="40 % - Markeringsfarve4 4 6 2 2 4" xfId="21883" xr:uid="{00000000-0005-0000-0000-000086760000}"/>
    <cellStyle name="40 % - Markeringsfarve4 4 6 2 2 5" xfId="36871" xr:uid="{00000000-0005-0000-0000-000087760000}"/>
    <cellStyle name="40 % - Markeringsfarve4 4 6 2 3" xfId="6600" xr:uid="{00000000-0005-0000-0000-000088760000}"/>
    <cellStyle name="40 % - Markeringsfarve4 4 6 2 3 2" xfId="14515" xr:uid="{00000000-0005-0000-0000-000089760000}"/>
    <cellStyle name="40 % - Markeringsfarve4 4 6 2 3 2 2" xfId="30830" xr:uid="{00000000-0005-0000-0000-00008A760000}"/>
    <cellStyle name="40 % - Markeringsfarve4 4 6 2 3 2 3" xfId="45794" xr:uid="{00000000-0005-0000-0000-00008B760000}"/>
    <cellStyle name="40 % - Markeringsfarve4 4 6 2 3 3" xfId="23808" xr:uid="{00000000-0005-0000-0000-00008C760000}"/>
    <cellStyle name="40 % - Markeringsfarve4 4 6 2 3 4" xfId="38795" xr:uid="{00000000-0005-0000-0000-00008D760000}"/>
    <cellStyle name="40 % - Markeringsfarve4 4 6 2 4" xfId="12584" xr:uid="{00000000-0005-0000-0000-00008E760000}"/>
    <cellStyle name="40 % - Markeringsfarve4 4 6 2 4 2" xfId="28904" xr:uid="{00000000-0005-0000-0000-00008F760000}"/>
    <cellStyle name="40 % - Markeringsfarve4 4 6 2 4 3" xfId="43869" xr:uid="{00000000-0005-0000-0000-000090760000}"/>
    <cellStyle name="40 % - Markeringsfarve4 4 6 2 5" xfId="21882" xr:uid="{00000000-0005-0000-0000-000091760000}"/>
    <cellStyle name="40 % - Markeringsfarve4 4 6 2 6" xfId="36870" xr:uid="{00000000-0005-0000-0000-000092760000}"/>
    <cellStyle name="40 % - Markeringsfarve4 4 6 3" xfId="4026" xr:uid="{00000000-0005-0000-0000-000093760000}"/>
    <cellStyle name="40 % - Markeringsfarve4 4 6 3 2" xfId="7384" xr:uid="{00000000-0005-0000-0000-000094760000}"/>
    <cellStyle name="40 % - Markeringsfarve4 4 6 3 2 2" xfId="15295" xr:uid="{00000000-0005-0000-0000-000095760000}"/>
    <cellStyle name="40 % - Markeringsfarve4 4 6 3 2 2 2" xfId="31610" xr:uid="{00000000-0005-0000-0000-000096760000}"/>
    <cellStyle name="40 % - Markeringsfarve4 4 6 3 2 2 3" xfId="46574" xr:uid="{00000000-0005-0000-0000-000097760000}"/>
    <cellStyle name="40 % - Markeringsfarve4 4 6 3 2 3" xfId="24588" xr:uid="{00000000-0005-0000-0000-000098760000}"/>
    <cellStyle name="40 % - Markeringsfarve4 4 6 3 2 4" xfId="39575" xr:uid="{00000000-0005-0000-0000-000099760000}"/>
    <cellStyle name="40 % - Markeringsfarve4 4 6 3 3" xfId="12586" xr:uid="{00000000-0005-0000-0000-00009A760000}"/>
    <cellStyle name="40 % - Markeringsfarve4 4 6 3 3 2" xfId="28906" xr:uid="{00000000-0005-0000-0000-00009B760000}"/>
    <cellStyle name="40 % - Markeringsfarve4 4 6 3 3 3" xfId="43871" xr:uid="{00000000-0005-0000-0000-00009C760000}"/>
    <cellStyle name="40 % - Markeringsfarve4 4 6 3 4" xfId="21884" xr:uid="{00000000-0005-0000-0000-00009D760000}"/>
    <cellStyle name="40 % - Markeringsfarve4 4 6 3 5" xfId="36872" xr:uid="{00000000-0005-0000-0000-00009E760000}"/>
    <cellStyle name="40 % - Markeringsfarve4 4 6 4" xfId="4027" xr:uid="{00000000-0005-0000-0000-00009F760000}"/>
    <cellStyle name="40 % - Markeringsfarve4 4 6 4 2" xfId="8491" xr:uid="{00000000-0005-0000-0000-0000A0760000}"/>
    <cellStyle name="40 % - Markeringsfarve4 4 6 4 2 2" xfId="16380" xr:uid="{00000000-0005-0000-0000-0000A1760000}"/>
    <cellStyle name="40 % - Markeringsfarve4 4 6 4 2 2 2" xfId="32695" xr:uid="{00000000-0005-0000-0000-0000A2760000}"/>
    <cellStyle name="40 % - Markeringsfarve4 4 6 4 2 2 3" xfId="47659" xr:uid="{00000000-0005-0000-0000-0000A3760000}"/>
    <cellStyle name="40 % - Markeringsfarve4 4 6 4 2 3" xfId="25673" xr:uid="{00000000-0005-0000-0000-0000A4760000}"/>
    <cellStyle name="40 % - Markeringsfarve4 4 6 4 2 4" xfId="40660" xr:uid="{00000000-0005-0000-0000-0000A5760000}"/>
    <cellStyle name="40 % - Markeringsfarve4 4 6 4 3" xfId="12587" xr:uid="{00000000-0005-0000-0000-0000A6760000}"/>
    <cellStyle name="40 % - Markeringsfarve4 4 6 4 3 2" xfId="28907" xr:uid="{00000000-0005-0000-0000-0000A7760000}"/>
    <cellStyle name="40 % - Markeringsfarve4 4 6 4 3 3" xfId="43872" xr:uid="{00000000-0005-0000-0000-0000A8760000}"/>
    <cellStyle name="40 % - Markeringsfarve4 4 6 4 4" xfId="21885" xr:uid="{00000000-0005-0000-0000-0000A9760000}"/>
    <cellStyle name="40 % - Markeringsfarve4 4 6 4 5" xfId="36873" xr:uid="{00000000-0005-0000-0000-0000AA760000}"/>
    <cellStyle name="40 % - Markeringsfarve4 4 6 5" xfId="5898" xr:uid="{00000000-0005-0000-0000-0000AB760000}"/>
    <cellStyle name="40 % - Markeringsfarve4 4 6 5 2" xfId="13817" xr:uid="{00000000-0005-0000-0000-0000AC760000}"/>
    <cellStyle name="40 % - Markeringsfarve4 4 6 5 2 2" xfId="30132" xr:uid="{00000000-0005-0000-0000-0000AD760000}"/>
    <cellStyle name="40 % - Markeringsfarve4 4 6 5 2 3" xfId="45096" xr:uid="{00000000-0005-0000-0000-0000AE760000}"/>
    <cellStyle name="40 % - Markeringsfarve4 4 6 5 3" xfId="23110" xr:uid="{00000000-0005-0000-0000-0000AF760000}"/>
    <cellStyle name="40 % - Markeringsfarve4 4 6 5 4" xfId="38097" xr:uid="{00000000-0005-0000-0000-0000B0760000}"/>
    <cellStyle name="40 % - Markeringsfarve4 4 6 6" xfId="12583" xr:uid="{00000000-0005-0000-0000-0000B1760000}"/>
    <cellStyle name="40 % - Markeringsfarve4 4 6 6 2" xfId="28903" xr:uid="{00000000-0005-0000-0000-0000B2760000}"/>
    <cellStyle name="40 % - Markeringsfarve4 4 6 6 3" xfId="43868" xr:uid="{00000000-0005-0000-0000-0000B3760000}"/>
    <cellStyle name="40 % - Markeringsfarve4 4 6 7" xfId="21881" xr:uid="{00000000-0005-0000-0000-0000B4760000}"/>
    <cellStyle name="40 % - Markeringsfarve4 4 6 8" xfId="36869" xr:uid="{00000000-0005-0000-0000-0000B5760000}"/>
    <cellStyle name="40 % - Markeringsfarve4 4 7" xfId="4028" xr:uid="{00000000-0005-0000-0000-0000B6760000}"/>
    <cellStyle name="40 % - Markeringsfarve4 4 7 2" xfId="4029" xr:uid="{00000000-0005-0000-0000-0000B7760000}"/>
    <cellStyle name="40 % - Markeringsfarve4 4 7 2 2" xfId="7474" xr:uid="{00000000-0005-0000-0000-0000B8760000}"/>
    <cellStyle name="40 % - Markeringsfarve4 4 7 2 2 2" xfId="15376" xr:uid="{00000000-0005-0000-0000-0000B9760000}"/>
    <cellStyle name="40 % - Markeringsfarve4 4 7 2 2 2 2" xfId="31691" xr:uid="{00000000-0005-0000-0000-0000BA760000}"/>
    <cellStyle name="40 % - Markeringsfarve4 4 7 2 2 2 3" xfId="46655" xr:uid="{00000000-0005-0000-0000-0000BB760000}"/>
    <cellStyle name="40 % - Markeringsfarve4 4 7 2 2 3" xfId="24669" xr:uid="{00000000-0005-0000-0000-0000BC760000}"/>
    <cellStyle name="40 % - Markeringsfarve4 4 7 2 2 4" xfId="39656" xr:uid="{00000000-0005-0000-0000-0000BD760000}"/>
    <cellStyle name="40 % - Markeringsfarve4 4 7 2 3" xfId="12589" xr:uid="{00000000-0005-0000-0000-0000BE760000}"/>
    <cellStyle name="40 % - Markeringsfarve4 4 7 2 3 2" xfId="28909" xr:uid="{00000000-0005-0000-0000-0000BF760000}"/>
    <cellStyle name="40 % - Markeringsfarve4 4 7 2 3 3" xfId="43874" xr:uid="{00000000-0005-0000-0000-0000C0760000}"/>
    <cellStyle name="40 % - Markeringsfarve4 4 7 2 4" xfId="21887" xr:uid="{00000000-0005-0000-0000-0000C1760000}"/>
    <cellStyle name="40 % - Markeringsfarve4 4 7 2 5" xfId="36875" xr:uid="{00000000-0005-0000-0000-0000C2760000}"/>
    <cellStyle name="40 % - Markeringsfarve4 4 7 3" xfId="6070" xr:uid="{00000000-0005-0000-0000-0000C3760000}"/>
    <cellStyle name="40 % - Markeringsfarve4 4 7 3 2" xfId="13988" xr:uid="{00000000-0005-0000-0000-0000C4760000}"/>
    <cellStyle name="40 % - Markeringsfarve4 4 7 3 2 2" xfId="30303" xr:uid="{00000000-0005-0000-0000-0000C5760000}"/>
    <cellStyle name="40 % - Markeringsfarve4 4 7 3 2 3" xfId="45267" xr:uid="{00000000-0005-0000-0000-0000C6760000}"/>
    <cellStyle name="40 % - Markeringsfarve4 4 7 3 3" xfId="23281" xr:uid="{00000000-0005-0000-0000-0000C7760000}"/>
    <cellStyle name="40 % - Markeringsfarve4 4 7 3 4" xfId="38268" xr:uid="{00000000-0005-0000-0000-0000C8760000}"/>
    <cellStyle name="40 % - Markeringsfarve4 4 7 4" xfId="12588" xr:uid="{00000000-0005-0000-0000-0000C9760000}"/>
    <cellStyle name="40 % - Markeringsfarve4 4 7 4 2" xfId="28908" xr:uid="{00000000-0005-0000-0000-0000CA760000}"/>
    <cellStyle name="40 % - Markeringsfarve4 4 7 4 3" xfId="43873" xr:uid="{00000000-0005-0000-0000-0000CB760000}"/>
    <cellStyle name="40 % - Markeringsfarve4 4 7 5" xfId="21886" xr:uid="{00000000-0005-0000-0000-0000CC760000}"/>
    <cellStyle name="40 % - Markeringsfarve4 4 7 6" xfId="36874" xr:uid="{00000000-0005-0000-0000-0000CD760000}"/>
    <cellStyle name="40 % - Markeringsfarve4 4 8" xfId="4030" xr:uid="{00000000-0005-0000-0000-0000CE760000}"/>
    <cellStyle name="40 % - Markeringsfarve4 4 8 2" xfId="6702" xr:uid="{00000000-0005-0000-0000-0000CF760000}"/>
    <cellStyle name="40 % - Markeringsfarve4 4 8 2 2" xfId="14614" xr:uid="{00000000-0005-0000-0000-0000D0760000}"/>
    <cellStyle name="40 % - Markeringsfarve4 4 8 2 2 2" xfId="30929" xr:uid="{00000000-0005-0000-0000-0000D1760000}"/>
    <cellStyle name="40 % - Markeringsfarve4 4 8 2 2 3" xfId="45893" xr:uid="{00000000-0005-0000-0000-0000D2760000}"/>
    <cellStyle name="40 % - Markeringsfarve4 4 8 2 3" xfId="23907" xr:uid="{00000000-0005-0000-0000-0000D3760000}"/>
    <cellStyle name="40 % - Markeringsfarve4 4 8 2 4" xfId="38894" xr:uid="{00000000-0005-0000-0000-0000D4760000}"/>
    <cellStyle name="40 % - Markeringsfarve4 4 8 3" xfId="12590" xr:uid="{00000000-0005-0000-0000-0000D5760000}"/>
    <cellStyle name="40 % - Markeringsfarve4 4 8 3 2" xfId="28910" xr:uid="{00000000-0005-0000-0000-0000D6760000}"/>
    <cellStyle name="40 % - Markeringsfarve4 4 8 3 3" xfId="43875" xr:uid="{00000000-0005-0000-0000-0000D7760000}"/>
    <cellStyle name="40 % - Markeringsfarve4 4 8 4" xfId="21888" xr:uid="{00000000-0005-0000-0000-0000D8760000}"/>
    <cellStyle name="40 % - Markeringsfarve4 4 8 5" xfId="36876" xr:uid="{00000000-0005-0000-0000-0000D9760000}"/>
    <cellStyle name="40 % - Markeringsfarve4 4 9" xfId="4031" xr:uid="{00000000-0005-0000-0000-0000DA760000}"/>
    <cellStyle name="40 % - Markeringsfarve4 4 9 2" xfId="8573" xr:uid="{00000000-0005-0000-0000-0000DB760000}"/>
    <cellStyle name="40 % - Markeringsfarve4 4 9 2 2" xfId="16457" xr:uid="{00000000-0005-0000-0000-0000DC760000}"/>
    <cellStyle name="40 % - Markeringsfarve4 4 9 2 2 2" xfId="32772" xr:uid="{00000000-0005-0000-0000-0000DD760000}"/>
    <cellStyle name="40 % - Markeringsfarve4 4 9 2 2 3" xfId="47736" xr:uid="{00000000-0005-0000-0000-0000DE760000}"/>
    <cellStyle name="40 % - Markeringsfarve4 4 9 2 3" xfId="25750" xr:uid="{00000000-0005-0000-0000-0000DF760000}"/>
    <cellStyle name="40 % - Markeringsfarve4 4 9 2 4" xfId="40737" xr:uid="{00000000-0005-0000-0000-0000E0760000}"/>
    <cellStyle name="40 % - Markeringsfarve4 4 9 3" xfId="12591" xr:uid="{00000000-0005-0000-0000-0000E1760000}"/>
    <cellStyle name="40 % - Markeringsfarve4 4 9 3 2" xfId="28911" xr:uid="{00000000-0005-0000-0000-0000E2760000}"/>
    <cellStyle name="40 % - Markeringsfarve4 4 9 3 3" xfId="43876" xr:uid="{00000000-0005-0000-0000-0000E3760000}"/>
    <cellStyle name="40 % - Markeringsfarve4 4 9 4" xfId="21889" xr:uid="{00000000-0005-0000-0000-0000E4760000}"/>
    <cellStyle name="40 % - Markeringsfarve4 4 9 5" xfId="36877" xr:uid="{00000000-0005-0000-0000-0000E5760000}"/>
    <cellStyle name="40 % - Markeringsfarve4 5" xfId="4032" xr:uid="{00000000-0005-0000-0000-0000E6760000}"/>
    <cellStyle name="40 % - Markeringsfarve4 5 10" xfId="5899" xr:uid="{00000000-0005-0000-0000-0000E7760000}"/>
    <cellStyle name="40 % - Markeringsfarve4 5 10 2" xfId="13818" xr:uid="{00000000-0005-0000-0000-0000E8760000}"/>
    <cellStyle name="40 % - Markeringsfarve4 5 10 2 2" xfId="30133" xr:uid="{00000000-0005-0000-0000-0000E9760000}"/>
    <cellStyle name="40 % - Markeringsfarve4 5 10 2 3" xfId="45097" xr:uid="{00000000-0005-0000-0000-0000EA760000}"/>
    <cellStyle name="40 % - Markeringsfarve4 5 10 3" xfId="23111" xr:uid="{00000000-0005-0000-0000-0000EB760000}"/>
    <cellStyle name="40 % - Markeringsfarve4 5 10 4" xfId="38098" xr:uid="{00000000-0005-0000-0000-0000EC760000}"/>
    <cellStyle name="40 % - Markeringsfarve4 5 11" xfId="12592" xr:uid="{00000000-0005-0000-0000-0000ED760000}"/>
    <cellStyle name="40 % - Markeringsfarve4 5 11 2" xfId="28912" xr:uid="{00000000-0005-0000-0000-0000EE760000}"/>
    <cellStyle name="40 % - Markeringsfarve4 5 11 3" xfId="43877" xr:uid="{00000000-0005-0000-0000-0000EF760000}"/>
    <cellStyle name="40 % - Markeringsfarve4 5 12" xfId="21890" xr:uid="{00000000-0005-0000-0000-0000F0760000}"/>
    <cellStyle name="40 % - Markeringsfarve4 5 13" xfId="36878" xr:uid="{00000000-0005-0000-0000-0000F1760000}"/>
    <cellStyle name="40 % - Markeringsfarve4 5 14" xfId="53332" xr:uid="{00000000-0005-0000-0000-0000F2760000}"/>
    <cellStyle name="40 % - Markeringsfarve4 5 2" xfId="4033" xr:uid="{00000000-0005-0000-0000-0000F3760000}"/>
    <cellStyle name="40 % - Markeringsfarve4 5 2 2" xfId="4034" xr:uid="{00000000-0005-0000-0000-0000F4760000}"/>
    <cellStyle name="40 % - Markeringsfarve4 5 2 2 2" xfId="4035" xr:uid="{00000000-0005-0000-0000-0000F5760000}"/>
    <cellStyle name="40 % - Markeringsfarve4 5 2 2 2 2" xfId="7632" xr:uid="{00000000-0005-0000-0000-0000F6760000}"/>
    <cellStyle name="40 % - Markeringsfarve4 5 2 2 2 2 2" xfId="15534" xr:uid="{00000000-0005-0000-0000-0000F7760000}"/>
    <cellStyle name="40 % - Markeringsfarve4 5 2 2 2 2 2 2" xfId="31849" xr:uid="{00000000-0005-0000-0000-0000F8760000}"/>
    <cellStyle name="40 % - Markeringsfarve4 5 2 2 2 2 2 3" xfId="46813" xr:uid="{00000000-0005-0000-0000-0000F9760000}"/>
    <cellStyle name="40 % - Markeringsfarve4 5 2 2 2 2 3" xfId="24827" xr:uid="{00000000-0005-0000-0000-0000FA760000}"/>
    <cellStyle name="40 % - Markeringsfarve4 5 2 2 2 2 4" xfId="39814" xr:uid="{00000000-0005-0000-0000-0000FB760000}"/>
    <cellStyle name="40 % - Markeringsfarve4 5 2 2 2 3" xfId="12595" xr:uid="{00000000-0005-0000-0000-0000FC760000}"/>
    <cellStyle name="40 % - Markeringsfarve4 5 2 2 2 3 2" xfId="28915" xr:uid="{00000000-0005-0000-0000-0000FD760000}"/>
    <cellStyle name="40 % - Markeringsfarve4 5 2 2 2 3 3" xfId="43880" xr:uid="{00000000-0005-0000-0000-0000FE760000}"/>
    <cellStyle name="40 % - Markeringsfarve4 5 2 2 2 4" xfId="21893" xr:uid="{00000000-0005-0000-0000-0000FF760000}"/>
    <cellStyle name="40 % - Markeringsfarve4 5 2 2 2 5" xfId="36881" xr:uid="{00000000-0005-0000-0000-000000770000}"/>
    <cellStyle name="40 % - Markeringsfarve4 5 2 2 3" xfId="6202" xr:uid="{00000000-0005-0000-0000-000001770000}"/>
    <cellStyle name="40 % - Markeringsfarve4 5 2 2 3 2" xfId="14120" xr:uid="{00000000-0005-0000-0000-000002770000}"/>
    <cellStyle name="40 % - Markeringsfarve4 5 2 2 3 2 2" xfId="30435" xr:uid="{00000000-0005-0000-0000-000003770000}"/>
    <cellStyle name="40 % - Markeringsfarve4 5 2 2 3 2 3" xfId="45399" xr:uid="{00000000-0005-0000-0000-000004770000}"/>
    <cellStyle name="40 % - Markeringsfarve4 5 2 2 3 3" xfId="23413" xr:uid="{00000000-0005-0000-0000-000005770000}"/>
    <cellStyle name="40 % - Markeringsfarve4 5 2 2 3 4" xfId="38400" xr:uid="{00000000-0005-0000-0000-000006770000}"/>
    <cellStyle name="40 % - Markeringsfarve4 5 2 2 4" xfId="12594" xr:uid="{00000000-0005-0000-0000-000007770000}"/>
    <cellStyle name="40 % - Markeringsfarve4 5 2 2 4 2" xfId="28914" xr:uid="{00000000-0005-0000-0000-000008770000}"/>
    <cellStyle name="40 % - Markeringsfarve4 5 2 2 4 3" xfId="43879" xr:uid="{00000000-0005-0000-0000-000009770000}"/>
    <cellStyle name="40 % - Markeringsfarve4 5 2 2 5" xfId="21892" xr:uid="{00000000-0005-0000-0000-00000A770000}"/>
    <cellStyle name="40 % - Markeringsfarve4 5 2 2 6" xfId="36880" xr:uid="{00000000-0005-0000-0000-00000B770000}"/>
    <cellStyle name="40 % - Markeringsfarve4 5 2 2 7" xfId="57136" xr:uid="{00000000-0005-0000-0000-00000C770000}"/>
    <cellStyle name="40 % - Markeringsfarve4 5 2 3" xfId="4036" xr:uid="{00000000-0005-0000-0000-00000D770000}"/>
    <cellStyle name="40 % - Markeringsfarve4 5 2 3 2" xfId="6862" xr:uid="{00000000-0005-0000-0000-00000E770000}"/>
    <cellStyle name="40 % - Markeringsfarve4 5 2 3 2 2" xfId="14774" xr:uid="{00000000-0005-0000-0000-00000F770000}"/>
    <cellStyle name="40 % - Markeringsfarve4 5 2 3 2 2 2" xfId="31089" xr:uid="{00000000-0005-0000-0000-000010770000}"/>
    <cellStyle name="40 % - Markeringsfarve4 5 2 3 2 2 3" xfId="46053" xr:uid="{00000000-0005-0000-0000-000011770000}"/>
    <cellStyle name="40 % - Markeringsfarve4 5 2 3 2 3" xfId="24067" xr:uid="{00000000-0005-0000-0000-000012770000}"/>
    <cellStyle name="40 % - Markeringsfarve4 5 2 3 2 4" xfId="39054" xr:uid="{00000000-0005-0000-0000-000013770000}"/>
    <cellStyle name="40 % - Markeringsfarve4 5 2 3 3" xfId="12596" xr:uid="{00000000-0005-0000-0000-000014770000}"/>
    <cellStyle name="40 % - Markeringsfarve4 5 2 3 3 2" xfId="28916" xr:uid="{00000000-0005-0000-0000-000015770000}"/>
    <cellStyle name="40 % - Markeringsfarve4 5 2 3 3 3" xfId="43881" xr:uid="{00000000-0005-0000-0000-000016770000}"/>
    <cellStyle name="40 % - Markeringsfarve4 5 2 3 4" xfId="21894" xr:uid="{00000000-0005-0000-0000-000017770000}"/>
    <cellStyle name="40 % - Markeringsfarve4 5 2 3 5" xfId="36882" xr:uid="{00000000-0005-0000-0000-000018770000}"/>
    <cellStyle name="40 % - Markeringsfarve4 5 2 4" xfId="4037" xr:uid="{00000000-0005-0000-0000-000019770000}"/>
    <cellStyle name="40 % - Markeringsfarve4 5 2 4 2" xfId="8426" xr:uid="{00000000-0005-0000-0000-00001A770000}"/>
    <cellStyle name="40 % - Markeringsfarve4 5 2 4 2 2" xfId="16316" xr:uid="{00000000-0005-0000-0000-00001B770000}"/>
    <cellStyle name="40 % - Markeringsfarve4 5 2 4 2 2 2" xfId="32631" xr:uid="{00000000-0005-0000-0000-00001C770000}"/>
    <cellStyle name="40 % - Markeringsfarve4 5 2 4 2 2 3" xfId="47595" xr:uid="{00000000-0005-0000-0000-00001D770000}"/>
    <cellStyle name="40 % - Markeringsfarve4 5 2 4 2 3" xfId="25609" xr:uid="{00000000-0005-0000-0000-00001E770000}"/>
    <cellStyle name="40 % - Markeringsfarve4 5 2 4 2 4" xfId="40596" xr:uid="{00000000-0005-0000-0000-00001F770000}"/>
    <cellStyle name="40 % - Markeringsfarve4 5 2 4 3" xfId="12597" xr:uid="{00000000-0005-0000-0000-000020770000}"/>
    <cellStyle name="40 % - Markeringsfarve4 5 2 4 3 2" xfId="28917" xr:uid="{00000000-0005-0000-0000-000021770000}"/>
    <cellStyle name="40 % - Markeringsfarve4 5 2 4 3 3" xfId="43882" xr:uid="{00000000-0005-0000-0000-000022770000}"/>
    <cellStyle name="40 % - Markeringsfarve4 5 2 4 4" xfId="21895" xr:uid="{00000000-0005-0000-0000-000023770000}"/>
    <cellStyle name="40 % - Markeringsfarve4 5 2 4 5" xfId="36883" xr:uid="{00000000-0005-0000-0000-000024770000}"/>
    <cellStyle name="40 % - Markeringsfarve4 5 2 5" xfId="5900" xr:uid="{00000000-0005-0000-0000-000025770000}"/>
    <cellStyle name="40 % - Markeringsfarve4 5 2 5 2" xfId="13819" xr:uid="{00000000-0005-0000-0000-000026770000}"/>
    <cellStyle name="40 % - Markeringsfarve4 5 2 5 2 2" xfId="30134" xr:uid="{00000000-0005-0000-0000-000027770000}"/>
    <cellStyle name="40 % - Markeringsfarve4 5 2 5 2 3" xfId="45098" xr:uid="{00000000-0005-0000-0000-000028770000}"/>
    <cellStyle name="40 % - Markeringsfarve4 5 2 5 3" xfId="23112" xr:uid="{00000000-0005-0000-0000-000029770000}"/>
    <cellStyle name="40 % - Markeringsfarve4 5 2 5 4" xfId="38099" xr:uid="{00000000-0005-0000-0000-00002A770000}"/>
    <cellStyle name="40 % - Markeringsfarve4 5 2 6" xfId="12593" xr:uid="{00000000-0005-0000-0000-00002B770000}"/>
    <cellStyle name="40 % - Markeringsfarve4 5 2 6 2" xfId="28913" xr:uid="{00000000-0005-0000-0000-00002C770000}"/>
    <cellStyle name="40 % - Markeringsfarve4 5 2 6 3" xfId="43878" xr:uid="{00000000-0005-0000-0000-00002D770000}"/>
    <cellStyle name="40 % - Markeringsfarve4 5 2 7" xfId="21891" xr:uid="{00000000-0005-0000-0000-00002E770000}"/>
    <cellStyle name="40 % - Markeringsfarve4 5 2 8" xfId="36879" xr:uid="{00000000-0005-0000-0000-00002F770000}"/>
    <cellStyle name="40 % - Markeringsfarve4 5 2 9" xfId="53969" xr:uid="{00000000-0005-0000-0000-000030770000}"/>
    <cellStyle name="40 % - Markeringsfarve4 5 3" xfId="4038" xr:uid="{00000000-0005-0000-0000-000031770000}"/>
    <cellStyle name="40 % - Markeringsfarve4 5 3 2" xfId="4039" xr:uid="{00000000-0005-0000-0000-000032770000}"/>
    <cellStyle name="40 % - Markeringsfarve4 5 3 2 2" xfId="4040" xr:uid="{00000000-0005-0000-0000-000033770000}"/>
    <cellStyle name="40 % - Markeringsfarve4 5 3 2 2 2" xfId="7754" xr:uid="{00000000-0005-0000-0000-000034770000}"/>
    <cellStyle name="40 % - Markeringsfarve4 5 3 2 2 2 2" xfId="15656" xr:uid="{00000000-0005-0000-0000-000035770000}"/>
    <cellStyle name="40 % - Markeringsfarve4 5 3 2 2 2 2 2" xfId="31971" xr:uid="{00000000-0005-0000-0000-000036770000}"/>
    <cellStyle name="40 % - Markeringsfarve4 5 3 2 2 2 2 3" xfId="46935" xr:uid="{00000000-0005-0000-0000-000037770000}"/>
    <cellStyle name="40 % - Markeringsfarve4 5 3 2 2 2 3" xfId="24949" xr:uid="{00000000-0005-0000-0000-000038770000}"/>
    <cellStyle name="40 % - Markeringsfarve4 5 3 2 2 2 4" xfId="39936" xr:uid="{00000000-0005-0000-0000-000039770000}"/>
    <cellStyle name="40 % - Markeringsfarve4 5 3 2 2 3" xfId="12600" xr:uid="{00000000-0005-0000-0000-00003A770000}"/>
    <cellStyle name="40 % - Markeringsfarve4 5 3 2 2 3 2" xfId="28920" xr:uid="{00000000-0005-0000-0000-00003B770000}"/>
    <cellStyle name="40 % - Markeringsfarve4 5 3 2 2 3 3" xfId="43885" xr:uid="{00000000-0005-0000-0000-00003C770000}"/>
    <cellStyle name="40 % - Markeringsfarve4 5 3 2 2 4" xfId="21898" xr:uid="{00000000-0005-0000-0000-00003D770000}"/>
    <cellStyle name="40 % - Markeringsfarve4 5 3 2 2 5" xfId="36886" xr:uid="{00000000-0005-0000-0000-00003E770000}"/>
    <cellStyle name="40 % - Markeringsfarve4 5 3 2 3" xfId="6300" xr:uid="{00000000-0005-0000-0000-00003F770000}"/>
    <cellStyle name="40 % - Markeringsfarve4 5 3 2 3 2" xfId="14218" xr:uid="{00000000-0005-0000-0000-000040770000}"/>
    <cellStyle name="40 % - Markeringsfarve4 5 3 2 3 2 2" xfId="30533" xr:uid="{00000000-0005-0000-0000-000041770000}"/>
    <cellStyle name="40 % - Markeringsfarve4 5 3 2 3 2 3" xfId="45497" xr:uid="{00000000-0005-0000-0000-000042770000}"/>
    <cellStyle name="40 % - Markeringsfarve4 5 3 2 3 3" xfId="23511" xr:uid="{00000000-0005-0000-0000-000043770000}"/>
    <cellStyle name="40 % - Markeringsfarve4 5 3 2 3 4" xfId="38498" xr:uid="{00000000-0005-0000-0000-000044770000}"/>
    <cellStyle name="40 % - Markeringsfarve4 5 3 2 4" xfId="12599" xr:uid="{00000000-0005-0000-0000-000045770000}"/>
    <cellStyle name="40 % - Markeringsfarve4 5 3 2 4 2" xfId="28919" xr:uid="{00000000-0005-0000-0000-000046770000}"/>
    <cellStyle name="40 % - Markeringsfarve4 5 3 2 4 3" xfId="43884" xr:uid="{00000000-0005-0000-0000-000047770000}"/>
    <cellStyle name="40 % - Markeringsfarve4 5 3 2 5" xfId="21897" xr:uid="{00000000-0005-0000-0000-000048770000}"/>
    <cellStyle name="40 % - Markeringsfarve4 5 3 2 6" xfId="36885" xr:uid="{00000000-0005-0000-0000-000049770000}"/>
    <cellStyle name="40 % - Markeringsfarve4 5 3 3" xfId="4041" xr:uid="{00000000-0005-0000-0000-00004A770000}"/>
    <cellStyle name="40 % - Markeringsfarve4 5 3 3 2" xfId="6984" xr:uid="{00000000-0005-0000-0000-00004B770000}"/>
    <cellStyle name="40 % - Markeringsfarve4 5 3 3 2 2" xfId="14896" xr:uid="{00000000-0005-0000-0000-00004C770000}"/>
    <cellStyle name="40 % - Markeringsfarve4 5 3 3 2 2 2" xfId="31211" xr:uid="{00000000-0005-0000-0000-00004D770000}"/>
    <cellStyle name="40 % - Markeringsfarve4 5 3 3 2 2 3" xfId="46175" xr:uid="{00000000-0005-0000-0000-00004E770000}"/>
    <cellStyle name="40 % - Markeringsfarve4 5 3 3 2 3" xfId="24189" xr:uid="{00000000-0005-0000-0000-00004F770000}"/>
    <cellStyle name="40 % - Markeringsfarve4 5 3 3 2 4" xfId="39176" xr:uid="{00000000-0005-0000-0000-000050770000}"/>
    <cellStyle name="40 % - Markeringsfarve4 5 3 3 3" xfId="12601" xr:uid="{00000000-0005-0000-0000-000051770000}"/>
    <cellStyle name="40 % - Markeringsfarve4 5 3 3 3 2" xfId="28921" xr:uid="{00000000-0005-0000-0000-000052770000}"/>
    <cellStyle name="40 % - Markeringsfarve4 5 3 3 3 3" xfId="43886" xr:uid="{00000000-0005-0000-0000-000053770000}"/>
    <cellStyle name="40 % - Markeringsfarve4 5 3 3 4" xfId="21899" xr:uid="{00000000-0005-0000-0000-000054770000}"/>
    <cellStyle name="40 % - Markeringsfarve4 5 3 3 5" xfId="36887" xr:uid="{00000000-0005-0000-0000-000055770000}"/>
    <cellStyle name="40 % - Markeringsfarve4 5 3 4" xfId="4042" xr:uid="{00000000-0005-0000-0000-000056770000}"/>
    <cellStyle name="40 % - Markeringsfarve4 5 3 4 2" xfId="8664" xr:uid="{00000000-0005-0000-0000-000057770000}"/>
    <cellStyle name="40 % - Markeringsfarve4 5 3 4 2 2" xfId="16545" xr:uid="{00000000-0005-0000-0000-000058770000}"/>
    <cellStyle name="40 % - Markeringsfarve4 5 3 4 2 2 2" xfId="32860" xr:uid="{00000000-0005-0000-0000-000059770000}"/>
    <cellStyle name="40 % - Markeringsfarve4 5 3 4 2 2 3" xfId="47824" xr:uid="{00000000-0005-0000-0000-00005A770000}"/>
    <cellStyle name="40 % - Markeringsfarve4 5 3 4 2 3" xfId="25838" xr:uid="{00000000-0005-0000-0000-00005B770000}"/>
    <cellStyle name="40 % - Markeringsfarve4 5 3 4 2 4" xfId="40825" xr:uid="{00000000-0005-0000-0000-00005C770000}"/>
    <cellStyle name="40 % - Markeringsfarve4 5 3 4 3" xfId="12602" xr:uid="{00000000-0005-0000-0000-00005D770000}"/>
    <cellStyle name="40 % - Markeringsfarve4 5 3 4 3 2" xfId="28922" xr:uid="{00000000-0005-0000-0000-00005E770000}"/>
    <cellStyle name="40 % - Markeringsfarve4 5 3 4 3 3" xfId="43887" xr:uid="{00000000-0005-0000-0000-00005F770000}"/>
    <cellStyle name="40 % - Markeringsfarve4 5 3 4 4" xfId="21900" xr:uid="{00000000-0005-0000-0000-000060770000}"/>
    <cellStyle name="40 % - Markeringsfarve4 5 3 4 5" xfId="36888" xr:uid="{00000000-0005-0000-0000-000061770000}"/>
    <cellStyle name="40 % - Markeringsfarve4 5 3 5" xfId="5901" xr:uid="{00000000-0005-0000-0000-000062770000}"/>
    <cellStyle name="40 % - Markeringsfarve4 5 3 5 2" xfId="13820" xr:uid="{00000000-0005-0000-0000-000063770000}"/>
    <cellStyle name="40 % - Markeringsfarve4 5 3 5 2 2" xfId="30135" xr:uid="{00000000-0005-0000-0000-000064770000}"/>
    <cellStyle name="40 % - Markeringsfarve4 5 3 5 2 3" xfId="45099" xr:uid="{00000000-0005-0000-0000-000065770000}"/>
    <cellStyle name="40 % - Markeringsfarve4 5 3 5 3" xfId="23113" xr:uid="{00000000-0005-0000-0000-000066770000}"/>
    <cellStyle name="40 % - Markeringsfarve4 5 3 5 4" xfId="38100" xr:uid="{00000000-0005-0000-0000-000067770000}"/>
    <cellStyle name="40 % - Markeringsfarve4 5 3 6" xfId="12598" xr:uid="{00000000-0005-0000-0000-000068770000}"/>
    <cellStyle name="40 % - Markeringsfarve4 5 3 6 2" xfId="28918" xr:uid="{00000000-0005-0000-0000-000069770000}"/>
    <cellStyle name="40 % - Markeringsfarve4 5 3 6 3" xfId="43883" xr:uid="{00000000-0005-0000-0000-00006A770000}"/>
    <cellStyle name="40 % - Markeringsfarve4 5 3 7" xfId="21896" xr:uid="{00000000-0005-0000-0000-00006B770000}"/>
    <cellStyle name="40 % - Markeringsfarve4 5 3 8" xfId="36884" xr:uid="{00000000-0005-0000-0000-00006C770000}"/>
    <cellStyle name="40 % - Markeringsfarve4 5 3 9" xfId="56513" xr:uid="{00000000-0005-0000-0000-00006D770000}"/>
    <cellStyle name="40 % - Markeringsfarve4 5 4" xfId="4043" xr:uid="{00000000-0005-0000-0000-00006E770000}"/>
    <cellStyle name="40 % - Markeringsfarve4 5 4 2" xfId="4044" xr:uid="{00000000-0005-0000-0000-00006F770000}"/>
    <cellStyle name="40 % - Markeringsfarve4 5 4 2 2" xfId="4045" xr:uid="{00000000-0005-0000-0000-000070770000}"/>
    <cellStyle name="40 % - Markeringsfarve4 5 4 2 2 2" xfId="7870" xr:uid="{00000000-0005-0000-0000-000071770000}"/>
    <cellStyle name="40 % - Markeringsfarve4 5 4 2 2 2 2" xfId="15772" xr:uid="{00000000-0005-0000-0000-000072770000}"/>
    <cellStyle name="40 % - Markeringsfarve4 5 4 2 2 2 2 2" xfId="32087" xr:uid="{00000000-0005-0000-0000-000073770000}"/>
    <cellStyle name="40 % - Markeringsfarve4 5 4 2 2 2 2 3" xfId="47051" xr:uid="{00000000-0005-0000-0000-000074770000}"/>
    <cellStyle name="40 % - Markeringsfarve4 5 4 2 2 2 3" xfId="25065" xr:uid="{00000000-0005-0000-0000-000075770000}"/>
    <cellStyle name="40 % - Markeringsfarve4 5 4 2 2 2 4" xfId="40052" xr:uid="{00000000-0005-0000-0000-000076770000}"/>
    <cellStyle name="40 % - Markeringsfarve4 5 4 2 2 3" xfId="12605" xr:uid="{00000000-0005-0000-0000-000077770000}"/>
    <cellStyle name="40 % - Markeringsfarve4 5 4 2 2 3 2" xfId="28925" xr:uid="{00000000-0005-0000-0000-000078770000}"/>
    <cellStyle name="40 % - Markeringsfarve4 5 4 2 2 3 3" xfId="43890" xr:uid="{00000000-0005-0000-0000-000079770000}"/>
    <cellStyle name="40 % - Markeringsfarve4 5 4 2 2 4" xfId="21903" xr:uid="{00000000-0005-0000-0000-00007A770000}"/>
    <cellStyle name="40 % - Markeringsfarve4 5 4 2 2 5" xfId="36891" xr:uid="{00000000-0005-0000-0000-00007B770000}"/>
    <cellStyle name="40 % - Markeringsfarve4 5 4 2 3" xfId="6404" xr:uid="{00000000-0005-0000-0000-00007C770000}"/>
    <cellStyle name="40 % - Markeringsfarve4 5 4 2 3 2" xfId="14319" xr:uid="{00000000-0005-0000-0000-00007D770000}"/>
    <cellStyle name="40 % - Markeringsfarve4 5 4 2 3 2 2" xfId="30634" xr:uid="{00000000-0005-0000-0000-00007E770000}"/>
    <cellStyle name="40 % - Markeringsfarve4 5 4 2 3 2 3" xfId="45598" xr:uid="{00000000-0005-0000-0000-00007F770000}"/>
    <cellStyle name="40 % - Markeringsfarve4 5 4 2 3 3" xfId="23612" xr:uid="{00000000-0005-0000-0000-000080770000}"/>
    <cellStyle name="40 % - Markeringsfarve4 5 4 2 3 4" xfId="38599" xr:uid="{00000000-0005-0000-0000-000081770000}"/>
    <cellStyle name="40 % - Markeringsfarve4 5 4 2 4" xfId="12604" xr:uid="{00000000-0005-0000-0000-000082770000}"/>
    <cellStyle name="40 % - Markeringsfarve4 5 4 2 4 2" xfId="28924" xr:uid="{00000000-0005-0000-0000-000083770000}"/>
    <cellStyle name="40 % - Markeringsfarve4 5 4 2 4 3" xfId="43889" xr:uid="{00000000-0005-0000-0000-000084770000}"/>
    <cellStyle name="40 % - Markeringsfarve4 5 4 2 5" xfId="21902" xr:uid="{00000000-0005-0000-0000-000085770000}"/>
    <cellStyle name="40 % - Markeringsfarve4 5 4 2 6" xfId="36890" xr:uid="{00000000-0005-0000-0000-000086770000}"/>
    <cellStyle name="40 % - Markeringsfarve4 5 4 3" xfId="4046" xr:uid="{00000000-0005-0000-0000-000087770000}"/>
    <cellStyle name="40 % - Markeringsfarve4 5 4 3 2" xfId="7146" xr:uid="{00000000-0005-0000-0000-000088770000}"/>
    <cellStyle name="40 % - Markeringsfarve4 5 4 3 2 2" xfId="15057" xr:uid="{00000000-0005-0000-0000-000089770000}"/>
    <cellStyle name="40 % - Markeringsfarve4 5 4 3 2 2 2" xfId="31372" xr:uid="{00000000-0005-0000-0000-00008A770000}"/>
    <cellStyle name="40 % - Markeringsfarve4 5 4 3 2 2 3" xfId="46336" xr:uid="{00000000-0005-0000-0000-00008B770000}"/>
    <cellStyle name="40 % - Markeringsfarve4 5 4 3 2 3" xfId="24350" xr:uid="{00000000-0005-0000-0000-00008C770000}"/>
    <cellStyle name="40 % - Markeringsfarve4 5 4 3 2 4" xfId="39337" xr:uid="{00000000-0005-0000-0000-00008D770000}"/>
    <cellStyle name="40 % - Markeringsfarve4 5 4 3 3" xfId="12606" xr:uid="{00000000-0005-0000-0000-00008E770000}"/>
    <cellStyle name="40 % - Markeringsfarve4 5 4 3 3 2" xfId="28926" xr:uid="{00000000-0005-0000-0000-00008F770000}"/>
    <cellStyle name="40 % - Markeringsfarve4 5 4 3 3 3" xfId="43891" xr:uid="{00000000-0005-0000-0000-000090770000}"/>
    <cellStyle name="40 % - Markeringsfarve4 5 4 3 4" xfId="21904" xr:uid="{00000000-0005-0000-0000-000091770000}"/>
    <cellStyle name="40 % - Markeringsfarve4 5 4 3 5" xfId="36892" xr:uid="{00000000-0005-0000-0000-000092770000}"/>
    <cellStyle name="40 % - Markeringsfarve4 5 4 4" xfId="4047" xr:uid="{00000000-0005-0000-0000-000093770000}"/>
    <cellStyle name="40 % - Markeringsfarve4 5 4 4 2" xfId="8389" xr:uid="{00000000-0005-0000-0000-000094770000}"/>
    <cellStyle name="40 % - Markeringsfarve4 5 4 4 2 2" xfId="16282" xr:uid="{00000000-0005-0000-0000-000095770000}"/>
    <cellStyle name="40 % - Markeringsfarve4 5 4 4 2 2 2" xfId="32597" xr:uid="{00000000-0005-0000-0000-000096770000}"/>
    <cellStyle name="40 % - Markeringsfarve4 5 4 4 2 2 3" xfId="47561" xr:uid="{00000000-0005-0000-0000-000097770000}"/>
    <cellStyle name="40 % - Markeringsfarve4 5 4 4 2 3" xfId="25575" xr:uid="{00000000-0005-0000-0000-000098770000}"/>
    <cellStyle name="40 % - Markeringsfarve4 5 4 4 2 4" xfId="40562" xr:uid="{00000000-0005-0000-0000-000099770000}"/>
    <cellStyle name="40 % - Markeringsfarve4 5 4 4 3" xfId="12607" xr:uid="{00000000-0005-0000-0000-00009A770000}"/>
    <cellStyle name="40 % - Markeringsfarve4 5 4 4 3 2" xfId="28927" xr:uid="{00000000-0005-0000-0000-00009B770000}"/>
    <cellStyle name="40 % - Markeringsfarve4 5 4 4 3 3" xfId="43892" xr:uid="{00000000-0005-0000-0000-00009C770000}"/>
    <cellStyle name="40 % - Markeringsfarve4 5 4 4 4" xfId="21905" xr:uid="{00000000-0005-0000-0000-00009D770000}"/>
    <cellStyle name="40 % - Markeringsfarve4 5 4 4 5" xfId="36893" xr:uid="{00000000-0005-0000-0000-00009E770000}"/>
    <cellStyle name="40 % - Markeringsfarve4 5 4 5" xfId="5902" xr:uid="{00000000-0005-0000-0000-00009F770000}"/>
    <cellStyle name="40 % - Markeringsfarve4 5 4 5 2" xfId="13821" xr:uid="{00000000-0005-0000-0000-0000A0770000}"/>
    <cellStyle name="40 % - Markeringsfarve4 5 4 5 2 2" xfId="30136" xr:uid="{00000000-0005-0000-0000-0000A1770000}"/>
    <cellStyle name="40 % - Markeringsfarve4 5 4 5 2 3" xfId="45100" xr:uid="{00000000-0005-0000-0000-0000A2770000}"/>
    <cellStyle name="40 % - Markeringsfarve4 5 4 5 3" xfId="23114" xr:uid="{00000000-0005-0000-0000-0000A3770000}"/>
    <cellStyle name="40 % - Markeringsfarve4 5 4 5 4" xfId="38101" xr:uid="{00000000-0005-0000-0000-0000A4770000}"/>
    <cellStyle name="40 % - Markeringsfarve4 5 4 6" xfId="12603" xr:uid="{00000000-0005-0000-0000-0000A5770000}"/>
    <cellStyle name="40 % - Markeringsfarve4 5 4 6 2" xfId="28923" xr:uid="{00000000-0005-0000-0000-0000A6770000}"/>
    <cellStyle name="40 % - Markeringsfarve4 5 4 6 3" xfId="43888" xr:uid="{00000000-0005-0000-0000-0000A7770000}"/>
    <cellStyle name="40 % - Markeringsfarve4 5 4 7" xfId="21901" xr:uid="{00000000-0005-0000-0000-0000A8770000}"/>
    <cellStyle name="40 % - Markeringsfarve4 5 4 8" xfId="36889" xr:uid="{00000000-0005-0000-0000-0000A9770000}"/>
    <cellStyle name="40 % - Markeringsfarve4 5 5" xfId="4048" xr:uid="{00000000-0005-0000-0000-0000AA770000}"/>
    <cellStyle name="40 % - Markeringsfarve4 5 5 2" xfId="4049" xr:uid="{00000000-0005-0000-0000-0000AB770000}"/>
    <cellStyle name="40 % - Markeringsfarve4 5 5 2 2" xfId="4050" xr:uid="{00000000-0005-0000-0000-0000AC770000}"/>
    <cellStyle name="40 % - Markeringsfarve4 5 5 2 2 2" xfId="7987" xr:uid="{00000000-0005-0000-0000-0000AD770000}"/>
    <cellStyle name="40 % - Markeringsfarve4 5 5 2 2 2 2" xfId="15889" xr:uid="{00000000-0005-0000-0000-0000AE770000}"/>
    <cellStyle name="40 % - Markeringsfarve4 5 5 2 2 2 2 2" xfId="32204" xr:uid="{00000000-0005-0000-0000-0000AF770000}"/>
    <cellStyle name="40 % - Markeringsfarve4 5 5 2 2 2 2 3" xfId="47168" xr:uid="{00000000-0005-0000-0000-0000B0770000}"/>
    <cellStyle name="40 % - Markeringsfarve4 5 5 2 2 2 3" xfId="25182" xr:uid="{00000000-0005-0000-0000-0000B1770000}"/>
    <cellStyle name="40 % - Markeringsfarve4 5 5 2 2 2 4" xfId="40169" xr:uid="{00000000-0005-0000-0000-0000B2770000}"/>
    <cellStyle name="40 % - Markeringsfarve4 5 5 2 2 3" xfId="12610" xr:uid="{00000000-0005-0000-0000-0000B3770000}"/>
    <cellStyle name="40 % - Markeringsfarve4 5 5 2 2 3 2" xfId="28930" xr:uid="{00000000-0005-0000-0000-0000B4770000}"/>
    <cellStyle name="40 % - Markeringsfarve4 5 5 2 2 3 3" xfId="43895" xr:uid="{00000000-0005-0000-0000-0000B5770000}"/>
    <cellStyle name="40 % - Markeringsfarve4 5 5 2 2 4" xfId="21908" xr:uid="{00000000-0005-0000-0000-0000B6770000}"/>
    <cellStyle name="40 % - Markeringsfarve4 5 5 2 2 5" xfId="36896" xr:uid="{00000000-0005-0000-0000-0000B7770000}"/>
    <cellStyle name="40 % - Markeringsfarve4 5 5 2 3" xfId="6503" xr:uid="{00000000-0005-0000-0000-0000B8770000}"/>
    <cellStyle name="40 % - Markeringsfarve4 5 5 2 3 2" xfId="14418" xr:uid="{00000000-0005-0000-0000-0000B9770000}"/>
    <cellStyle name="40 % - Markeringsfarve4 5 5 2 3 2 2" xfId="30733" xr:uid="{00000000-0005-0000-0000-0000BA770000}"/>
    <cellStyle name="40 % - Markeringsfarve4 5 5 2 3 2 3" xfId="45697" xr:uid="{00000000-0005-0000-0000-0000BB770000}"/>
    <cellStyle name="40 % - Markeringsfarve4 5 5 2 3 3" xfId="23711" xr:uid="{00000000-0005-0000-0000-0000BC770000}"/>
    <cellStyle name="40 % - Markeringsfarve4 5 5 2 3 4" xfId="38698" xr:uid="{00000000-0005-0000-0000-0000BD770000}"/>
    <cellStyle name="40 % - Markeringsfarve4 5 5 2 4" xfId="12609" xr:uid="{00000000-0005-0000-0000-0000BE770000}"/>
    <cellStyle name="40 % - Markeringsfarve4 5 5 2 4 2" xfId="28929" xr:uid="{00000000-0005-0000-0000-0000BF770000}"/>
    <cellStyle name="40 % - Markeringsfarve4 5 5 2 4 3" xfId="43894" xr:uid="{00000000-0005-0000-0000-0000C0770000}"/>
    <cellStyle name="40 % - Markeringsfarve4 5 5 2 5" xfId="21907" xr:uid="{00000000-0005-0000-0000-0000C1770000}"/>
    <cellStyle name="40 % - Markeringsfarve4 5 5 2 6" xfId="36895" xr:uid="{00000000-0005-0000-0000-0000C2770000}"/>
    <cellStyle name="40 % - Markeringsfarve4 5 5 3" xfId="4051" xr:uid="{00000000-0005-0000-0000-0000C3770000}"/>
    <cellStyle name="40 % - Markeringsfarve4 5 5 3 2" xfId="7263" xr:uid="{00000000-0005-0000-0000-0000C4770000}"/>
    <cellStyle name="40 % - Markeringsfarve4 5 5 3 2 2" xfId="15174" xr:uid="{00000000-0005-0000-0000-0000C5770000}"/>
    <cellStyle name="40 % - Markeringsfarve4 5 5 3 2 2 2" xfId="31489" xr:uid="{00000000-0005-0000-0000-0000C6770000}"/>
    <cellStyle name="40 % - Markeringsfarve4 5 5 3 2 2 3" xfId="46453" xr:uid="{00000000-0005-0000-0000-0000C7770000}"/>
    <cellStyle name="40 % - Markeringsfarve4 5 5 3 2 3" xfId="24467" xr:uid="{00000000-0005-0000-0000-0000C8770000}"/>
    <cellStyle name="40 % - Markeringsfarve4 5 5 3 2 4" xfId="39454" xr:uid="{00000000-0005-0000-0000-0000C9770000}"/>
    <cellStyle name="40 % - Markeringsfarve4 5 5 3 3" xfId="12611" xr:uid="{00000000-0005-0000-0000-0000CA770000}"/>
    <cellStyle name="40 % - Markeringsfarve4 5 5 3 3 2" xfId="28931" xr:uid="{00000000-0005-0000-0000-0000CB770000}"/>
    <cellStyle name="40 % - Markeringsfarve4 5 5 3 3 3" xfId="43896" xr:uid="{00000000-0005-0000-0000-0000CC770000}"/>
    <cellStyle name="40 % - Markeringsfarve4 5 5 3 4" xfId="21909" xr:uid="{00000000-0005-0000-0000-0000CD770000}"/>
    <cellStyle name="40 % - Markeringsfarve4 5 5 3 5" xfId="36897" xr:uid="{00000000-0005-0000-0000-0000CE770000}"/>
    <cellStyle name="40 % - Markeringsfarve4 5 5 4" xfId="4052" xr:uid="{00000000-0005-0000-0000-0000CF770000}"/>
    <cellStyle name="40 % - Markeringsfarve4 5 5 4 2" xfId="8623" xr:uid="{00000000-0005-0000-0000-0000D0770000}"/>
    <cellStyle name="40 % - Markeringsfarve4 5 5 4 2 2" xfId="16505" xr:uid="{00000000-0005-0000-0000-0000D1770000}"/>
    <cellStyle name="40 % - Markeringsfarve4 5 5 4 2 2 2" xfId="32820" xr:uid="{00000000-0005-0000-0000-0000D2770000}"/>
    <cellStyle name="40 % - Markeringsfarve4 5 5 4 2 2 3" xfId="47784" xr:uid="{00000000-0005-0000-0000-0000D3770000}"/>
    <cellStyle name="40 % - Markeringsfarve4 5 5 4 2 3" xfId="25798" xr:uid="{00000000-0005-0000-0000-0000D4770000}"/>
    <cellStyle name="40 % - Markeringsfarve4 5 5 4 2 4" xfId="40785" xr:uid="{00000000-0005-0000-0000-0000D5770000}"/>
    <cellStyle name="40 % - Markeringsfarve4 5 5 4 3" xfId="12612" xr:uid="{00000000-0005-0000-0000-0000D6770000}"/>
    <cellStyle name="40 % - Markeringsfarve4 5 5 4 3 2" xfId="28932" xr:uid="{00000000-0005-0000-0000-0000D7770000}"/>
    <cellStyle name="40 % - Markeringsfarve4 5 5 4 3 3" xfId="43897" xr:uid="{00000000-0005-0000-0000-0000D8770000}"/>
    <cellStyle name="40 % - Markeringsfarve4 5 5 4 4" xfId="21910" xr:uid="{00000000-0005-0000-0000-0000D9770000}"/>
    <cellStyle name="40 % - Markeringsfarve4 5 5 4 5" xfId="36898" xr:uid="{00000000-0005-0000-0000-0000DA770000}"/>
    <cellStyle name="40 % - Markeringsfarve4 5 5 5" xfId="5903" xr:uid="{00000000-0005-0000-0000-0000DB770000}"/>
    <cellStyle name="40 % - Markeringsfarve4 5 5 5 2" xfId="13822" xr:uid="{00000000-0005-0000-0000-0000DC770000}"/>
    <cellStyle name="40 % - Markeringsfarve4 5 5 5 2 2" xfId="30137" xr:uid="{00000000-0005-0000-0000-0000DD770000}"/>
    <cellStyle name="40 % - Markeringsfarve4 5 5 5 2 3" xfId="45101" xr:uid="{00000000-0005-0000-0000-0000DE770000}"/>
    <cellStyle name="40 % - Markeringsfarve4 5 5 5 3" xfId="23115" xr:uid="{00000000-0005-0000-0000-0000DF770000}"/>
    <cellStyle name="40 % - Markeringsfarve4 5 5 5 4" xfId="38102" xr:uid="{00000000-0005-0000-0000-0000E0770000}"/>
    <cellStyle name="40 % - Markeringsfarve4 5 5 6" xfId="12608" xr:uid="{00000000-0005-0000-0000-0000E1770000}"/>
    <cellStyle name="40 % - Markeringsfarve4 5 5 6 2" xfId="28928" xr:uid="{00000000-0005-0000-0000-0000E2770000}"/>
    <cellStyle name="40 % - Markeringsfarve4 5 5 6 3" xfId="43893" xr:uid="{00000000-0005-0000-0000-0000E3770000}"/>
    <cellStyle name="40 % - Markeringsfarve4 5 5 7" xfId="21906" xr:uid="{00000000-0005-0000-0000-0000E4770000}"/>
    <cellStyle name="40 % - Markeringsfarve4 5 5 8" xfId="36894" xr:uid="{00000000-0005-0000-0000-0000E5770000}"/>
    <cellStyle name="40 % - Markeringsfarve4 5 6" xfId="4053" xr:uid="{00000000-0005-0000-0000-0000E6770000}"/>
    <cellStyle name="40 % - Markeringsfarve4 5 6 2" xfId="4054" xr:uid="{00000000-0005-0000-0000-0000E7770000}"/>
    <cellStyle name="40 % - Markeringsfarve4 5 6 2 2" xfId="4055" xr:uid="{00000000-0005-0000-0000-0000E8770000}"/>
    <cellStyle name="40 % - Markeringsfarve4 5 6 2 2 2" xfId="8108" xr:uid="{00000000-0005-0000-0000-0000E9770000}"/>
    <cellStyle name="40 % - Markeringsfarve4 5 6 2 2 2 2" xfId="16010" xr:uid="{00000000-0005-0000-0000-0000EA770000}"/>
    <cellStyle name="40 % - Markeringsfarve4 5 6 2 2 2 2 2" xfId="32325" xr:uid="{00000000-0005-0000-0000-0000EB770000}"/>
    <cellStyle name="40 % - Markeringsfarve4 5 6 2 2 2 2 3" xfId="47289" xr:uid="{00000000-0005-0000-0000-0000EC770000}"/>
    <cellStyle name="40 % - Markeringsfarve4 5 6 2 2 2 3" xfId="25303" xr:uid="{00000000-0005-0000-0000-0000ED770000}"/>
    <cellStyle name="40 % - Markeringsfarve4 5 6 2 2 2 4" xfId="40290" xr:uid="{00000000-0005-0000-0000-0000EE770000}"/>
    <cellStyle name="40 % - Markeringsfarve4 5 6 2 2 3" xfId="12615" xr:uid="{00000000-0005-0000-0000-0000EF770000}"/>
    <cellStyle name="40 % - Markeringsfarve4 5 6 2 2 3 2" xfId="28935" xr:uid="{00000000-0005-0000-0000-0000F0770000}"/>
    <cellStyle name="40 % - Markeringsfarve4 5 6 2 2 3 3" xfId="43900" xr:uid="{00000000-0005-0000-0000-0000F1770000}"/>
    <cellStyle name="40 % - Markeringsfarve4 5 6 2 2 4" xfId="21913" xr:uid="{00000000-0005-0000-0000-0000F2770000}"/>
    <cellStyle name="40 % - Markeringsfarve4 5 6 2 2 5" xfId="36901" xr:uid="{00000000-0005-0000-0000-0000F3770000}"/>
    <cellStyle name="40 % - Markeringsfarve4 5 6 2 3" xfId="6601" xr:uid="{00000000-0005-0000-0000-0000F4770000}"/>
    <cellStyle name="40 % - Markeringsfarve4 5 6 2 3 2" xfId="14516" xr:uid="{00000000-0005-0000-0000-0000F5770000}"/>
    <cellStyle name="40 % - Markeringsfarve4 5 6 2 3 2 2" xfId="30831" xr:uid="{00000000-0005-0000-0000-0000F6770000}"/>
    <cellStyle name="40 % - Markeringsfarve4 5 6 2 3 2 3" xfId="45795" xr:uid="{00000000-0005-0000-0000-0000F7770000}"/>
    <cellStyle name="40 % - Markeringsfarve4 5 6 2 3 3" xfId="23809" xr:uid="{00000000-0005-0000-0000-0000F8770000}"/>
    <cellStyle name="40 % - Markeringsfarve4 5 6 2 3 4" xfId="38796" xr:uid="{00000000-0005-0000-0000-0000F9770000}"/>
    <cellStyle name="40 % - Markeringsfarve4 5 6 2 4" xfId="12614" xr:uid="{00000000-0005-0000-0000-0000FA770000}"/>
    <cellStyle name="40 % - Markeringsfarve4 5 6 2 4 2" xfId="28934" xr:uid="{00000000-0005-0000-0000-0000FB770000}"/>
    <cellStyle name="40 % - Markeringsfarve4 5 6 2 4 3" xfId="43899" xr:uid="{00000000-0005-0000-0000-0000FC770000}"/>
    <cellStyle name="40 % - Markeringsfarve4 5 6 2 5" xfId="21912" xr:uid="{00000000-0005-0000-0000-0000FD770000}"/>
    <cellStyle name="40 % - Markeringsfarve4 5 6 2 6" xfId="36900" xr:uid="{00000000-0005-0000-0000-0000FE770000}"/>
    <cellStyle name="40 % - Markeringsfarve4 5 6 3" xfId="4056" xr:uid="{00000000-0005-0000-0000-0000FF770000}"/>
    <cellStyle name="40 % - Markeringsfarve4 5 6 3 2" xfId="7385" xr:uid="{00000000-0005-0000-0000-000000780000}"/>
    <cellStyle name="40 % - Markeringsfarve4 5 6 3 2 2" xfId="15296" xr:uid="{00000000-0005-0000-0000-000001780000}"/>
    <cellStyle name="40 % - Markeringsfarve4 5 6 3 2 2 2" xfId="31611" xr:uid="{00000000-0005-0000-0000-000002780000}"/>
    <cellStyle name="40 % - Markeringsfarve4 5 6 3 2 2 3" xfId="46575" xr:uid="{00000000-0005-0000-0000-000003780000}"/>
    <cellStyle name="40 % - Markeringsfarve4 5 6 3 2 3" xfId="24589" xr:uid="{00000000-0005-0000-0000-000004780000}"/>
    <cellStyle name="40 % - Markeringsfarve4 5 6 3 2 4" xfId="39576" xr:uid="{00000000-0005-0000-0000-000005780000}"/>
    <cellStyle name="40 % - Markeringsfarve4 5 6 3 3" xfId="12616" xr:uid="{00000000-0005-0000-0000-000006780000}"/>
    <cellStyle name="40 % - Markeringsfarve4 5 6 3 3 2" xfId="28936" xr:uid="{00000000-0005-0000-0000-000007780000}"/>
    <cellStyle name="40 % - Markeringsfarve4 5 6 3 3 3" xfId="43901" xr:uid="{00000000-0005-0000-0000-000008780000}"/>
    <cellStyle name="40 % - Markeringsfarve4 5 6 3 4" xfId="21914" xr:uid="{00000000-0005-0000-0000-000009780000}"/>
    <cellStyle name="40 % - Markeringsfarve4 5 6 3 5" xfId="36902" xr:uid="{00000000-0005-0000-0000-00000A780000}"/>
    <cellStyle name="40 % - Markeringsfarve4 5 6 4" xfId="4057" xr:uid="{00000000-0005-0000-0000-00000B780000}"/>
    <cellStyle name="40 % - Markeringsfarve4 5 6 4 2" xfId="8347" xr:uid="{00000000-0005-0000-0000-00000C780000}"/>
    <cellStyle name="40 % - Markeringsfarve4 5 6 4 2 2" xfId="16241" xr:uid="{00000000-0005-0000-0000-00000D780000}"/>
    <cellStyle name="40 % - Markeringsfarve4 5 6 4 2 2 2" xfId="32556" xr:uid="{00000000-0005-0000-0000-00000E780000}"/>
    <cellStyle name="40 % - Markeringsfarve4 5 6 4 2 2 3" xfId="47520" xr:uid="{00000000-0005-0000-0000-00000F780000}"/>
    <cellStyle name="40 % - Markeringsfarve4 5 6 4 2 3" xfId="25534" xr:uid="{00000000-0005-0000-0000-000010780000}"/>
    <cellStyle name="40 % - Markeringsfarve4 5 6 4 2 4" xfId="40521" xr:uid="{00000000-0005-0000-0000-000011780000}"/>
    <cellStyle name="40 % - Markeringsfarve4 5 6 4 3" xfId="12617" xr:uid="{00000000-0005-0000-0000-000012780000}"/>
    <cellStyle name="40 % - Markeringsfarve4 5 6 4 3 2" xfId="28937" xr:uid="{00000000-0005-0000-0000-000013780000}"/>
    <cellStyle name="40 % - Markeringsfarve4 5 6 4 3 3" xfId="43902" xr:uid="{00000000-0005-0000-0000-000014780000}"/>
    <cellStyle name="40 % - Markeringsfarve4 5 6 4 4" xfId="21915" xr:uid="{00000000-0005-0000-0000-000015780000}"/>
    <cellStyle name="40 % - Markeringsfarve4 5 6 4 5" xfId="36903" xr:uid="{00000000-0005-0000-0000-000016780000}"/>
    <cellStyle name="40 % - Markeringsfarve4 5 6 5" xfId="5904" xr:uid="{00000000-0005-0000-0000-000017780000}"/>
    <cellStyle name="40 % - Markeringsfarve4 5 6 5 2" xfId="13823" xr:uid="{00000000-0005-0000-0000-000018780000}"/>
    <cellStyle name="40 % - Markeringsfarve4 5 6 5 2 2" xfId="30138" xr:uid="{00000000-0005-0000-0000-000019780000}"/>
    <cellStyle name="40 % - Markeringsfarve4 5 6 5 2 3" xfId="45102" xr:uid="{00000000-0005-0000-0000-00001A780000}"/>
    <cellStyle name="40 % - Markeringsfarve4 5 6 5 3" xfId="23116" xr:uid="{00000000-0005-0000-0000-00001B780000}"/>
    <cellStyle name="40 % - Markeringsfarve4 5 6 5 4" xfId="38103" xr:uid="{00000000-0005-0000-0000-00001C780000}"/>
    <cellStyle name="40 % - Markeringsfarve4 5 6 6" xfId="12613" xr:uid="{00000000-0005-0000-0000-00001D780000}"/>
    <cellStyle name="40 % - Markeringsfarve4 5 6 6 2" xfId="28933" xr:uid="{00000000-0005-0000-0000-00001E780000}"/>
    <cellStyle name="40 % - Markeringsfarve4 5 6 6 3" xfId="43898" xr:uid="{00000000-0005-0000-0000-00001F780000}"/>
    <cellStyle name="40 % - Markeringsfarve4 5 6 7" xfId="21911" xr:uid="{00000000-0005-0000-0000-000020780000}"/>
    <cellStyle name="40 % - Markeringsfarve4 5 6 8" xfId="36899" xr:uid="{00000000-0005-0000-0000-000021780000}"/>
    <cellStyle name="40 % - Markeringsfarve4 5 7" xfId="4058" xr:uid="{00000000-0005-0000-0000-000022780000}"/>
    <cellStyle name="40 % - Markeringsfarve4 5 7 2" xfId="4059" xr:uid="{00000000-0005-0000-0000-000023780000}"/>
    <cellStyle name="40 % - Markeringsfarve4 5 7 2 2" xfId="7513" xr:uid="{00000000-0005-0000-0000-000024780000}"/>
    <cellStyle name="40 % - Markeringsfarve4 5 7 2 2 2" xfId="15415" xr:uid="{00000000-0005-0000-0000-000025780000}"/>
    <cellStyle name="40 % - Markeringsfarve4 5 7 2 2 2 2" xfId="31730" xr:uid="{00000000-0005-0000-0000-000026780000}"/>
    <cellStyle name="40 % - Markeringsfarve4 5 7 2 2 2 3" xfId="46694" xr:uid="{00000000-0005-0000-0000-000027780000}"/>
    <cellStyle name="40 % - Markeringsfarve4 5 7 2 2 3" xfId="24708" xr:uid="{00000000-0005-0000-0000-000028780000}"/>
    <cellStyle name="40 % - Markeringsfarve4 5 7 2 2 4" xfId="39695" xr:uid="{00000000-0005-0000-0000-000029780000}"/>
    <cellStyle name="40 % - Markeringsfarve4 5 7 2 3" xfId="12619" xr:uid="{00000000-0005-0000-0000-00002A780000}"/>
    <cellStyle name="40 % - Markeringsfarve4 5 7 2 3 2" xfId="28939" xr:uid="{00000000-0005-0000-0000-00002B780000}"/>
    <cellStyle name="40 % - Markeringsfarve4 5 7 2 3 3" xfId="43904" xr:uid="{00000000-0005-0000-0000-00002C780000}"/>
    <cellStyle name="40 % - Markeringsfarve4 5 7 2 4" xfId="21917" xr:uid="{00000000-0005-0000-0000-00002D780000}"/>
    <cellStyle name="40 % - Markeringsfarve4 5 7 2 5" xfId="36905" xr:uid="{00000000-0005-0000-0000-00002E780000}"/>
    <cellStyle name="40 % - Markeringsfarve4 5 7 3" xfId="6103" xr:uid="{00000000-0005-0000-0000-00002F780000}"/>
    <cellStyle name="40 % - Markeringsfarve4 5 7 3 2" xfId="14021" xr:uid="{00000000-0005-0000-0000-000030780000}"/>
    <cellStyle name="40 % - Markeringsfarve4 5 7 3 2 2" xfId="30336" xr:uid="{00000000-0005-0000-0000-000031780000}"/>
    <cellStyle name="40 % - Markeringsfarve4 5 7 3 2 3" xfId="45300" xr:uid="{00000000-0005-0000-0000-000032780000}"/>
    <cellStyle name="40 % - Markeringsfarve4 5 7 3 3" xfId="23314" xr:uid="{00000000-0005-0000-0000-000033780000}"/>
    <cellStyle name="40 % - Markeringsfarve4 5 7 3 4" xfId="38301" xr:uid="{00000000-0005-0000-0000-000034780000}"/>
    <cellStyle name="40 % - Markeringsfarve4 5 7 4" xfId="12618" xr:uid="{00000000-0005-0000-0000-000035780000}"/>
    <cellStyle name="40 % - Markeringsfarve4 5 7 4 2" xfId="28938" xr:uid="{00000000-0005-0000-0000-000036780000}"/>
    <cellStyle name="40 % - Markeringsfarve4 5 7 4 3" xfId="43903" xr:uid="{00000000-0005-0000-0000-000037780000}"/>
    <cellStyle name="40 % - Markeringsfarve4 5 7 5" xfId="21916" xr:uid="{00000000-0005-0000-0000-000038780000}"/>
    <cellStyle name="40 % - Markeringsfarve4 5 7 6" xfId="36904" xr:uid="{00000000-0005-0000-0000-000039780000}"/>
    <cellStyle name="40 % - Markeringsfarve4 5 8" xfId="4060" xr:uid="{00000000-0005-0000-0000-00003A780000}"/>
    <cellStyle name="40 % - Markeringsfarve4 5 8 2" xfId="6741" xr:uid="{00000000-0005-0000-0000-00003B780000}"/>
    <cellStyle name="40 % - Markeringsfarve4 5 8 2 2" xfId="14653" xr:uid="{00000000-0005-0000-0000-00003C780000}"/>
    <cellStyle name="40 % - Markeringsfarve4 5 8 2 2 2" xfId="30968" xr:uid="{00000000-0005-0000-0000-00003D780000}"/>
    <cellStyle name="40 % - Markeringsfarve4 5 8 2 2 3" xfId="45932" xr:uid="{00000000-0005-0000-0000-00003E780000}"/>
    <cellStyle name="40 % - Markeringsfarve4 5 8 2 3" xfId="23946" xr:uid="{00000000-0005-0000-0000-00003F780000}"/>
    <cellStyle name="40 % - Markeringsfarve4 5 8 2 4" xfId="38933" xr:uid="{00000000-0005-0000-0000-000040780000}"/>
    <cellStyle name="40 % - Markeringsfarve4 5 8 3" xfId="12620" xr:uid="{00000000-0005-0000-0000-000041780000}"/>
    <cellStyle name="40 % - Markeringsfarve4 5 8 3 2" xfId="28940" xr:uid="{00000000-0005-0000-0000-000042780000}"/>
    <cellStyle name="40 % - Markeringsfarve4 5 8 3 3" xfId="43905" xr:uid="{00000000-0005-0000-0000-000043780000}"/>
    <cellStyle name="40 % - Markeringsfarve4 5 8 4" xfId="21918" xr:uid="{00000000-0005-0000-0000-000044780000}"/>
    <cellStyle name="40 % - Markeringsfarve4 5 8 5" xfId="36906" xr:uid="{00000000-0005-0000-0000-000045780000}"/>
    <cellStyle name="40 % - Markeringsfarve4 5 9" xfId="4061" xr:uid="{00000000-0005-0000-0000-000046780000}"/>
    <cellStyle name="40 % - Markeringsfarve4 5 9 2" xfId="8706" xr:uid="{00000000-0005-0000-0000-000047780000}"/>
    <cellStyle name="40 % - Markeringsfarve4 5 9 2 2" xfId="16583" xr:uid="{00000000-0005-0000-0000-000048780000}"/>
    <cellStyle name="40 % - Markeringsfarve4 5 9 2 2 2" xfId="32898" xr:uid="{00000000-0005-0000-0000-000049780000}"/>
    <cellStyle name="40 % - Markeringsfarve4 5 9 2 2 3" xfId="47862" xr:uid="{00000000-0005-0000-0000-00004A780000}"/>
    <cellStyle name="40 % - Markeringsfarve4 5 9 2 3" xfId="25876" xr:uid="{00000000-0005-0000-0000-00004B780000}"/>
    <cellStyle name="40 % - Markeringsfarve4 5 9 2 4" xfId="40863" xr:uid="{00000000-0005-0000-0000-00004C780000}"/>
    <cellStyle name="40 % - Markeringsfarve4 5 9 3" xfId="12621" xr:uid="{00000000-0005-0000-0000-00004D780000}"/>
    <cellStyle name="40 % - Markeringsfarve4 5 9 3 2" xfId="28941" xr:uid="{00000000-0005-0000-0000-00004E780000}"/>
    <cellStyle name="40 % - Markeringsfarve4 5 9 3 3" xfId="43906" xr:uid="{00000000-0005-0000-0000-00004F780000}"/>
    <cellStyle name="40 % - Markeringsfarve4 5 9 4" xfId="21919" xr:uid="{00000000-0005-0000-0000-000050780000}"/>
    <cellStyle name="40 % - Markeringsfarve4 5 9 5" xfId="36907" xr:uid="{00000000-0005-0000-0000-000051780000}"/>
    <cellStyle name="40 % - Markeringsfarve4 6" xfId="4062" xr:uid="{00000000-0005-0000-0000-000052780000}"/>
    <cellStyle name="40 % - Markeringsfarve4 6 2" xfId="4063" xr:uid="{00000000-0005-0000-0000-000053780000}"/>
    <cellStyle name="40 % - Markeringsfarve4 6 2 2" xfId="4064" xr:uid="{00000000-0005-0000-0000-000054780000}"/>
    <cellStyle name="40 % - Markeringsfarve4 6 2 2 2" xfId="7554" xr:uid="{00000000-0005-0000-0000-000055780000}"/>
    <cellStyle name="40 % - Markeringsfarve4 6 2 2 2 2" xfId="15456" xr:uid="{00000000-0005-0000-0000-000056780000}"/>
    <cellStyle name="40 % - Markeringsfarve4 6 2 2 2 2 2" xfId="31771" xr:uid="{00000000-0005-0000-0000-000057780000}"/>
    <cellStyle name="40 % - Markeringsfarve4 6 2 2 2 2 3" xfId="46735" xr:uid="{00000000-0005-0000-0000-000058780000}"/>
    <cellStyle name="40 % - Markeringsfarve4 6 2 2 2 3" xfId="24749" xr:uid="{00000000-0005-0000-0000-000059780000}"/>
    <cellStyle name="40 % - Markeringsfarve4 6 2 2 2 4" xfId="39736" xr:uid="{00000000-0005-0000-0000-00005A780000}"/>
    <cellStyle name="40 % - Markeringsfarve4 6 2 2 3" xfId="12624" xr:uid="{00000000-0005-0000-0000-00005B780000}"/>
    <cellStyle name="40 % - Markeringsfarve4 6 2 2 3 2" xfId="28944" xr:uid="{00000000-0005-0000-0000-00005C780000}"/>
    <cellStyle name="40 % - Markeringsfarve4 6 2 2 3 3" xfId="43909" xr:uid="{00000000-0005-0000-0000-00005D780000}"/>
    <cellStyle name="40 % - Markeringsfarve4 6 2 2 4" xfId="21922" xr:uid="{00000000-0005-0000-0000-00005E780000}"/>
    <cellStyle name="40 % - Markeringsfarve4 6 2 2 5" xfId="36910" xr:uid="{00000000-0005-0000-0000-00005F780000}"/>
    <cellStyle name="40 % - Markeringsfarve4 6 2 2 6" xfId="57137" xr:uid="{00000000-0005-0000-0000-000060780000}"/>
    <cellStyle name="40 % - Markeringsfarve4 6 2 3" xfId="6136" xr:uid="{00000000-0005-0000-0000-000061780000}"/>
    <cellStyle name="40 % - Markeringsfarve4 6 2 3 2" xfId="14054" xr:uid="{00000000-0005-0000-0000-000062780000}"/>
    <cellStyle name="40 % - Markeringsfarve4 6 2 3 2 2" xfId="30369" xr:uid="{00000000-0005-0000-0000-000063780000}"/>
    <cellStyle name="40 % - Markeringsfarve4 6 2 3 2 3" xfId="45333" xr:uid="{00000000-0005-0000-0000-000064780000}"/>
    <cellStyle name="40 % - Markeringsfarve4 6 2 3 3" xfId="23347" xr:uid="{00000000-0005-0000-0000-000065780000}"/>
    <cellStyle name="40 % - Markeringsfarve4 6 2 3 4" xfId="38334" xr:uid="{00000000-0005-0000-0000-000066780000}"/>
    <cellStyle name="40 % - Markeringsfarve4 6 2 4" xfId="12623" xr:uid="{00000000-0005-0000-0000-000067780000}"/>
    <cellStyle name="40 % - Markeringsfarve4 6 2 4 2" xfId="28943" xr:uid="{00000000-0005-0000-0000-000068780000}"/>
    <cellStyle name="40 % - Markeringsfarve4 6 2 4 3" xfId="43908" xr:uid="{00000000-0005-0000-0000-000069780000}"/>
    <cellStyle name="40 % - Markeringsfarve4 6 2 5" xfId="21921" xr:uid="{00000000-0005-0000-0000-00006A780000}"/>
    <cellStyle name="40 % - Markeringsfarve4 6 2 6" xfId="36909" xr:uid="{00000000-0005-0000-0000-00006B780000}"/>
    <cellStyle name="40 % - Markeringsfarve4 6 2 7" xfId="53970" xr:uid="{00000000-0005-0000-0000-00006C780000}"/>
    <cellStyle name="40 % - Markeringsfarve4 6 3" xfId="4065" xr:uid="{00000000-0005-0000-0000-00006D780000}"/>
    <cellStyle name="40 % - Markeringsfarve4 6 3 2" xfId="6784" xr:uid="{00000000-0005-0000-0000-00006E780000}"/>
    <cellStyle name="40 % - Markeringsfarve4 6 3 2 2" xfId="14696" xr:uid="{00000000-0005-0000-0000-00006F780000}"/>
    <cellStyle name="40 % - Markeringsfarve4 6 3 2 2 2" xfId="31011" xr:uid="{00000000-0005-0000-0000-000070780000}"/>
    <cellStyle name="40 % - Markeringsfarve4 6 3 2 2 3" xfId="45975" xr:uid="{00000000-0005-0000-0000-000071780000}"/>
    <cellStyle name="40 % - Markeringsfarve4 6 3 2 3" xfId="23989" xr:uid="{00000000-0005-0000-0000-000072780000}"/>
    <cellStyle name="40 % - Markeringsfarve4 6 3 2 4" xfId="38976" xr:uid="{00000000-0005-0000-0000-000073780000}"/>
    <cellStyle name="40 % - Markeringsfarve4 6 3 3" xfId="12625" xr:uid="{00000000-0005-0000-0000-000074780000}"/>
    <cellStyle name="40 % - Markeringsfarve4 6 3 3 2" xfId="28945" xr:uid="{00000000-0005-0000-0000-000075780000}"/>
    <cellStyle name="40 % - Markeringsfarve4 6 3 3 3" xfId="43910" xr:uid="{00000000-0005-0000-0000-000076780000}"/>
    <cellStyle name="40 % - Markeringsfarve4 6 3 4" xfId="21923" xr:uid="{00000000-0005-0000-0000-000077780000}"/>
    <cellStyle name="40 % - Markeringsfarve4 6 3 5" xfId="36911" xr:uid="{00000000-0005-0000-0000-000078780000}"/>
    <cellStyle name="40 % - Markeringsfarve4 6 3 6" xfId="56514" xr:uid="{00000000-0005-0000-0000-000079780000}"/>
    <cellStyle name="40 % - Markeringsfarve4 6 4" xfId="4066" xr:uid="{00000000-0005-0000-0000-00007A780000}"/>
    <cellStyle name="40 % - Markeringsfarve4 6 4 2" xfId="8572" xr:uid="{00000000-0005-0000-0000-00007B780000}"/>
    <cellStyle name="40 % - Markeringsfarve4 6 4 2 2" xfId="16456" xr:uid="{00000000-0005-0000-0000-00007C780000}"/>
    <cellStyle name="40 % - Markeringsfarve4 6 4 2 2 2" xfId="32771" xr:uid="{00000000-0005-0000-0000-00007D780000}"/>
    <cellStyle name="40 % - Markeringsfarve4 6 4 2 2 3" xfId="47735" xr:uid="{00000000-0005-0000-0000-00007E780000}"/>
    <cellStyle name="40 % - Markeringsfarve4 6 4 2 3" xfId="25749" xr:uid="{00000000-0005-0000-0000-00007F780000}"/>
    <cellStyle name="40 % - Markeringsfarve4 6 4 2 4" xfId="40736" xr:uid="{00000000-0005-0000-0000-000080780000}"/>
    <cellStyle name="40 % - Markeringsfarve4 6 4 3" xfId="12626" xr:uid="{00000000-0005-0000-0000-000081780000}"/>
    <cellStyle name="40 % - Markeringsfarve4 6 4 3 2" xfId="28946" xr:uid="{00000000-0005-0000-0000-000082780000}"/>
    <cellStyle name="40 % - Markeringsfarve4 6 4 3 3" xfId="43911" xr:uid="{00000000-0005-0000-0000-000083780000}"/>
    <cellStyle name="40 % - Markeringsfarve4 6 4 4" xfId="21924" xr:uid="{00000000-0005-0000-0000-000084780000}"/>
    <cellStyle name="40 % - Markeringsfarve4 6 4 5" xfId="36912" xr:uid="{00000000-0005-0000-0000-000085780000}"/>
    <cellStyle name="40 % - Markeringsfarve4 6 5" xfId="5905" xr:uid="{00000000-0005-0000-0000-000086780000}"/>
    <cellStyle name="40 % - Markeringsfarve4 6 5 2" xfId="13824" xr:uid="{00000000-0005-0000-0000-000087780000}"/>
    <cellStyle name="40 % - Markeringsfarve4 6 5 2 2" xfId="30139" xr:uid="{00000000-0005-0000-0000-000088780000}"/>
    <cellStyle name="40 % - Markeringsfarve4 6 5 2 3" xfId="45103" xr:uid="{00000000-0005-0000-0000-000089780000}"/>
    <cellStyle name="40 % - Markeringsfarve4 6 5 3" xfId="23117" xr:uid="{00000000-0005-0000-0000-00008A780000}"/>
    <cellStyle name="40 % - Markeringsfarve4 6 5 4" xfId="38104" xr:uid="{00000000-0005-0000-0000-00008B780000}"/>
    <cellStyle name="40 % - Markeringsfarve4 6 6" xfId="12622" xr:uid="{00000000-0005-0000-0000-00008C780000}"/>
    <cellStyle name="40 % - Markeringsfarve4 6 6 2" xfId="28942" xr:uid="{00000000-0005-0000-0000-00008D780000}"/>
    <cellStyle name="40 % - Markeringsfarve4 6 6 3" xfId="43907" xr:uid="{00000000-0005-0000-0000-00008E780000}"/>
    <cellStyle name="40 % - Markeringsfarve4 6 7" xfId="21920" xr:uid="{00000000-0005-0000-0000-00008F780000}"/>
    <cellStyle name="40 % - Markeringsfarve4 6 8" xfId="36908" xr:uid="{00000000-0005-0000-0000-000090780000}"/>
    <cellStyle name="40 % - Markeringsfarve4 6 9" xfId="53333" xr:uid="{00000000-0005-0000-0000-000091780000}"/>
    <cellStyle name="40 % - Markeringsfarve4 7" xfId="4067" xr:uid="{00000000-0005-0000-0000-000092780000}"/>
    <cellStyle name="40 % - Markeringsfarve4 7 2" xfId="4068" xr:uid="{00000000-0005-0000-0000-000093780000}"/>
    <cellStyle name="40 % - Markeringsfarve4 7 2 2" xfId="4069" xr:uid="{00000000-0005-0000-0000-000094780000}"/>
    <cellStyle name="40 % - Markeringsfarve4 7 2 2 2" xfId="7746" xr:uid="{00000000-0005-0000-0000-000095780000}"/>
    <cellStyle name="40 % - Markeringsfarve4 7 2 2 2 2" xfId="15648" xr:uid="{00000000-0005-0000-0000-000096780000}"/>
    <cellStyle name="40 % - Markeringsfarve4 7 2 2 2 2 2" xfId="31963" xr:uid="{00000000-0005-0000-0000-000097780000}"/>
    <cellStyle name="40 % - Markeringsfarve4 7 2 2 2 2 3" xfId="46927" xr:uid="{00000000-0005-0000-0000-000098780000}"/>
    <cellStyle name="40 % - Markeringsfarve4 7 2 2 2 3" xfId="24941" xr:uid="{00000000-0005-0000-0000-000099780000}"/>
    <cellStyle name="40 % - Markeringsfarve4 7 2 2 2 4" xfId="39928" xr:uid="{00000000-0005-0000-0000-00009A780000}"/>
    <cellStyle name="40 % - Markeringsfarve4 7 2 2 3" xfId="12629" xr:uid="{00000000-0005-0000-0000-00009B780000}"/>
    <cellStyle name="40 % - Markeringsfarve4 7 2 2 3 2" xfId="28949" xr:uid="{00000000-0005-0000-0000-00009C780000}"/>
    <cellStyle name="40 % - Markeringsfarve4 7 2 2 3 3" xfId="43914" xr:uid="{00000000-0005-0000-0000-00009D780000}"/>
    <cellStyle name="40 % - Markeringsfarve4 7 2 2 4" xfId="21927" xr:uid="{00000000-0005-0000-0000-00009E780000}"/>
    <cellStyle name="40 % - Markeringsfarve4 7 2 2 5" xfId="36915" xr:uid="{00000000-0005-0000-0000-00009F780000}"/>
    <cellStyle name="40 % - Markeringsfarve4 7 2 3" xfId="6292" xr:uid="{00000000-0005-0000-0000-0000A0780000}"/>
    <cellStyle name="40 % - Markeringsfarve4 7 2 3 2" xfId="14210" xr:uid="{00000000-0005-0000-0000-0000A1780000}"/>
    <cellStyle name="40 % - Markeringsfarve4 7 2 3 2 2" xfId="30525" xr:uid="{00000000-0005-0000-0000-0000A2780000}"/>
    <cellStyle name="40 % - Markeringsfarve4 7 2 3 2 3" xfId="45489" xr:uid="{00000000-0005-0000-0000-0000A3780000}"/>
    <cellStyle name="40 % - Markeringsfarve4 7 2 3 3" xfId="23503" xr:uid="{00000000-0005-0000-0000-0000A4780000}"/>
    <cellStyle name="40 % - Markeringsfarve4 7 2 3 4" xfId="38490" xr:uid="{00000000-0005-0000-0000-0000A5780000}"/>
    <cellStyle name="40 % - Markeringsfarve4 7 2 4" xfId="12628" xr:uid="{00000000-0005-0000-0000-0000A6780000}"/>
    <cellStyle name="40 % - Markeringsfarve4 7 2 4 2" xfId="28948" xr:uid="{00000000-0005-0000-0000-0000A7780000}"/>
    <cellStyle name="40 % - Markeringsfarve4 7 2 4 3" xfId="43913" xr:uid="{00000000-0005-0000-0000-0000A8780000}"/>
    <cellStyle name="40 % - Markeringsfarve4 7 2 5" xfId="21926" xr:uid="{00000000-0005-0000-0000-0000A9780000}"/>
    <cellStyle name="40 % - Markeringsfarve4 7 2 6" xfId="36914" xr:uid="{00000000-0005-0000-0000-0000AA780000}"/>
    <cellStyle name="40 % - Markeringsfarve4 7 2 7" xfId="57061" xr:uid="{00000000-0005-0000-0000-0000AB780000}"/>
    <cellStyle name="40 % - Markeringsfarve4 7 3" xfId="4070" xr:uid="{00000000-0005-0000-0000-0000AC780000}"/>
    <cellStyle name="40 % - Markeringsfarve4 7 3 2" xfId="6976" xr:uid="{00000000-0005-0000-0000-0000AD780000}"/>
    <cellStyle name="40 % - Markeringsfarve4 7 3 2 2" xfId="14888" xr:uid="{00000000-0005-0000-0000-0000AE780000}"/>
    <cellStyle name="40 % - Markeringsfarve4 7 3 2 2 2" xfId="31203" xr:uid="{00000000-0005-0000-0000-0000AF780000}"/>
    <cellStyle name="40 % - Markeringsfarve4 7 3 2 2 3" xfId="46167" xr:uid="{00000000-0005-0000-0000-0000B0780000}"/>
    <cellStyle name="40 % - Markeringsfarve4 7 3 2 3" xfId="24181" xr:uid="{00000000-0005-0000-0000-0000B1780000}"/>
    <cellStyle name="40 % - Markeringsfarve4 7 3 2 4" xfId="39168" xr:uid="{00000000-0005-0000-0000-0000B2780000}"/>
    <cellStyle name="40 % - Markeringsfarve4 7 3 3" xfId="12630" xr:uid="{00000000-0005-0000-0000-0000B3780000}"/>
    <cellStyle name="40 % - Markeringsfarve4 7 3 3 2" xfId="28950" xr:uid="{00000000-0005-0000-0000-0000B4780000}"/>
    <cellStyle name="40 % - Markeringsfarve4 7 3 3 3" xfId="43915" xr:uid="{00000000-0005-0000-0000-0000B5780000}"/>
    <cellStyle name="40 % - Markeringsfarve4 7 3 4" xfId="21928" xr:uid="{00000000-0005-0000-0000-0000B6780000}"/>
    <cellStyle name="40 % - Markeringsfarve4 7 3 5" xfId="36916" xr:uid="{00000000-0005-0000-0000-0000B7780000}"/>
    <cellStyle name="40 % - Markeringsfarve4 7 4" xfId="4071" xr:uid="{00000000-0005-0000-0000-0000B8780000}"/>
    <cellStyle name="40 % - Markeringsfarve4 7 4 2" xfId="8222" xr:uid="{00000000-0005-0000-0000-0000B9780000}"/>
    <cellStyle name="40 % - Markeringsfarve4 7 4 2 2" xfId="16117" xr:uid="{00000000-0005-0000-0000-0000BA780000}"/>
    <cellStyle name="40 % - Markeringsfarve4 7 4 2 2 2" xfId="32432" xr:uid="{00000000-0005-0000-0000-0000BB780000}"/>
    <cellStyle name="40 % - Markeringsfarve4 7 4 2 2 3" xfId="47396" xr:uid="{00000000-0005-0000-0000-0000BC780000}"/>
    <cellStyle name="40 % - Markeringsfarve4 7 4 2 3" xfId="25410" xr:uid="{00000000-0005-0000-0000-0000BD780000}"/>
    <cellStyle name="40 % - Markeringsfarve4 7 4 2 4" xfId="40397" xr:uid="{00000000-0005-0000-0000-0000BE780000}"/>
    <cellStyle name="40 % - Markeringsfarve4 7 4 3" xfId="12631" xr:uid="{00000000-0005-0000-0000-0000BF780000}"/>
    <cellStyle name="40 % - Markeringsfarve4 7 4 3 2" xfId="28951" xr:uid="{00000000-0005-0000-0000-0000C0780000}"/>
    <cellStyle name="40 % - Markeringsfarve4 7 4 3 3" xfId="43916" xr:uid="{00000000-0005-0000-0000-0000C1780000}"/>
    <cellStyle name="40 % - Markeringsfarve4 7 4 4" xfId="21929" xr:uid="{00000000-0005-0000-0000-0000C2780000}"/>
    <cellStyle name="40 % - Markeringsfarve4 7 4 5" xfId="36917" xr:uid="{00000000-0005-0000-0000-0000C3780000}"/>
    <cellStyle name="40 % - Markeringsfarve4 7 5" xfId="5906" xr:uid="{00000000-0005-0000-0000-0000C4780000}"/>
    <cellStyle name="40 % - Markeringsfarve4 7 5 2" xfId="13825" xr:uid="{00000000-0005-0000-0000-0000C5780000}"/>
    <cellStyle name="40 % - Markeringsfarve4 7 5 2 2" xfId="30140" xr:uid="{00000000-0005-0000-0000-0000C6780000}"/>
    <cellStyle name="40 % - Markeringsfarve4 7 5 2 3" xfId="45104" xr:uid="{00000000-0005-0000-0000-0000C7780000}"/>
    <cellStyle name="40 % - Markeringsfarve4 7 5 3" xfId="23118" xr:uid="{00000000-0005-0000-0000-0000C8780000}"/>
    <cellStyle name="40 % - Markeringsfarve4 7 5 4" xfId="38105" xr:uid="{00000000-0005-0000-0000-0000C9780000}"/>
    <cellStyle name="40 % - Markeringsfarve4 7 6" xfId="12627" xr:uid="{00000000-0005-0000-0000-0000CA780000}"/>
    <cellStyle name="40 % - Markeringsfarve4 7 6 2" xfId="28947" xr:uid="{00000000-0005-0000-0000-0000CB780000}"/>
    <cellStyle name="40 % - Markeringsfarve4 7 6 3" xfId="43912" xr:uid="{00000000-0005-0000-0000-0000CC780000}"/>
    <cellStyle name="40 % - Markeringsfarve4 7 7" xfId="21925" xr:uid="{00000000-0005-0000-0000-0000CD780000}"/>
    <cellStyle name="40 % - Markeringsfarve4 7 8" xfId="36913" xr:uid="{00000000-0005-0000-0000-0000CE780000}"/>
    <cellStyle name="40 % - Markeringsfarve4 7 9" xfId="53894" xr:uid="{00000000-0005-0000-0000-0000CF780000}"/>
    <cellStyle name="40 % - Markeringsfarve4 8" xfId="4072" xr:uid="{00000000-0005-0000-0000-0000D0780000}"/>
    <cellStyle name="40 % - Markeringsfarve4 8 2" xfId="4073" xr:uid="{00000000-0005-0000-0000-0000D1780000}"/>
    <cellStyle name="40 % - Markeringsfarve4 8 2 2" xfId="4074" xr:uid="{00000000-0005-0000-0000-0000D2780000}"/>
    <cellStyle name="40 % - Markeringsfarve4 8 2 2 2" xfId="7792" xr:uid="{00000000-0005-0000-0000-0000D3780000}"/>
    <cellStyle name="40 % - Markeringsfarve4 8 2 2 2 2" xfId="15694" xr:uid="{00000000-0005-0000-0000-0000D4780000}"/>
    <cellStyle name="40 % - Markeringsfarve4 8 2 2 2 2 2" xfId="32009" xr:uid="{00000000-0005-0000-0000-0000D5780000}"/>
    <cellStyle name="40 % - Markeringsfarve4 8 2 2 2 2 3" xfId="46973" xr:uid="{00000000-0005-0000-0000-0000D6780000}"/>
    <cellStyle name="40 % - Markeringsfarve4 8 2 2 2 3" xfId="24987" xr:uid="{00000000-0005-0000-0000-0000D7780000}"/>
    <cellStyle name="40 % - Markeringsfarve4 8 2 2 2 4" xfId="39974" xr:uid="{00000000-0005-0000-0000-0000D8780000}"/>
    <cellStyle name="40 % - Markeringsfarve4 8 2 2 3" xfId="12634" xr:uid="{00000000-0005-0000-0000-0000D9780000}"/>
    <cellStyle name="40 % - Markeringsfarve4 8 2 2 3 2" xfId="28954" xr:uid="{00000000-0005-0000-0000-0000DA780000}"/>
    <cellStyle name="40 % - Markeringsfarve4 8 2 2 3 3" xfId="43919" xr:uid="{00000000-0005-0000-0000-0000DB780000}"/>
    <cellStyle name="40 % - Markeringsfarve4 8 2 2 4" xfId="21932" xr:uid="{00000000-0005-0000-0000-0000DC780000}"/>
    <cellStyle name="40 % - Markeringsfarve4 8 2 2 5" xfId="36920" xr:uid="{00000000-0005-0000-0000-0000DD780000}"/>
    <cellStyle name="40 % - Markeringsfarve4 8 2 3" xfId="6338" xr:uid="{00000000-0005-0000-0000-0000DE780000}"/>
    <cellStyle name="40 % - Markeringsfarve4 8 2 3 2" xfId="14253" xr:uid="{00000000-0005-0000-0000-0000DF780000}"/>
    <cellStyle name="40 % - Markeringsfarve4 8 2 3 2 2" xfId="30568" xr:uid="{00000000-0005-0000-0000-0000E0780000}"/>
    <cellStyle name="40 % - Markeringsfarve4 8 2 3 2 3" xfId="45532" xr:uid="{00000000-0005-0000-0000-0000E1780000}"/>
    <cellStyle name="40 % - Markeringsfarve4 8 2 3 3" xfId="23546" xr:uid="{00000000-0005-0000-0000-0000E2780000}"/>
    <cellStyle name="40 % - Markeringsfarve4 8 2 3 4" xfId="38533" xr:uid="{00000000-0005-0000-0000-0000E3780000}"/>
    <cellStyle name="40 % - Markeringsfarve4 8 2 4" xfId="12633" xr:uid="{00000000-0005-0000-0000-0000E4780000}"/>
    <cellStyle name="40 % - Markeringsfarve4 8 2 4 2" xfId="28953" xr:uid="{00000000-0005-0000-0000-0000E5780000}"/>
    <cellStyle name="40 % - Markeringsfarve4 8 2 4 3" xfId="43918" xr:uid="{00000000-0005-0000-0000-0000E6780000}"/>
    <cellStyle name="40 % - Markeringsfarve4 8 2 5" xfId="21931" xr:uid="{00000000-0005-0000-0000-0000E7780000}"/>
    <cellStyle name="40 % - Markeringsfarve4 8 2 6" xfId="36919" xr:uid="{00000000-0005-0000-0000-0000E8780000}"/>
    <cellStyle name="40 % - Markeringsfarve4 8 3" xfId="4075" xr:uid="{00000000-0005-0000-0000-0000E9780000}"/>
    <cellStyle name="40 % - Markeringsfarve4 8 3 2" xfId="7068" xr:uid="{00000000-0005-0000-0000-0000EA780000}"/>
    <cellStyle name="40 % - Markeringsfarve4 8 3 2 2" xfId="14979" xr:uid="{00000000-0005-0000-0000-0000EB780000}"/>
    <cellStyle name="40 % - Markeringsfarve4 8 3 2 2 2" xfId="31294" xr:uid="{00000000-0005-0000-0000-0000EC780000}"/>
    <cellStyle name="40 % - Markeringsfarve4 8 3 2 2 3" xfId="46258" xr:uid="{00000000-0005-0000-0000-0000ED780000}"/>
    <cellStyle name="40 % - Markeringsfarve4 8 3 2 3" xfId="24272" xr:uid="{00000000-0005-0000-0000-0000EE780000}"/>
    <cellStyle name="40 % - Markeringsfarve4 8 3 2 4" xfId="39259" xr:uid="{00000000-0005-0000-0000-0000EF780000}"/>
    <cellStyle name="40 % - Markeringsfarve4 8 3 3" xfId="12635" xr:uid="{00000000-0005-0000-0000-0000F0780000}"/>
    <cellStyle name="40 % - Markeringsfarve4 8 3 3 2" xfId="28955" xr:uid="{00000000-0005-0000-0000-0000F1780000}"/>
    <cellStyle name="40 % - Markeringsfarve4 8 3 3 3" xfId="43920" xr:uid="{00000000-0005-0000-0000-0000F2780000}"/>
    <cellStyle name="40 % - Markeringsfarve4 8 3 4" xfId="21933" xr:uid="{00000000-0005-0000-0000-0000F3780000}"/>
    <cellStyle name="40 % - Markeringsfarve4 8 3 5" xfId="36921" xr:uid="{00000000-0005-0000-0000-0000F4780000}"/>
    <cellStyle name="40 % - Markeringsfarve4 8 4" xfId="4076" xr:uid="{00000000-0005-0000-0000-0000F5780000}"/>
    <cellStyle name="40 % - Markeringsfarve4 8 4 2" xfId="8531" xr:uid="{00000000-0005-0000-0000-0000F6780000}"/>
    <cellStyle name="40 % - Markeringsfarve4 8 4 2 2" xfId="16419" xr:uid="{00000000-0005-0000-0000-0000F7780000}"/>
    <cellStyle name="40 % - Markeringsfarve4 8 4 2 2 2" xfId="32734" xr:uid="{00000000-0005-0000-0000-0000F8780000}"/>
    <cellStyle name="40 % - Markeringsfarve4 8 4 2 2 3" xfId="47698" xr:uid="{00000000-0005-0000-0000-0000F9780000}"/>
    <cellStyle name="40 % - Markeringsfarve4 8 4 2 3" xfId="25712" xr:uid="{00000000-0005-0000-0000-0000FA780000}"/>
    <cellStyle name="40 % - Markeringsfarve4 8 4 2 4" xfId="40699" xr:uid="{00000000-0005-0000-0000-0000FB780000}"/>
    <cellStyle name="40 % - Markeringsfarve4 8 4 3" xfId="12636" xr:uid="{00000000-0005-0000-0000-0000FC780000}"/>
    <cellStyle name="40 % - Markeringsfarve4 8 4 3 2" xfId="28956" xr:uid="{00000000-0005-0000-0000-0000FD780000}"/>
    <cellStyle name="40 % - Markeringsfarve4 8 4 3 3" xfId="43921" xr:uid="{00000000-0005-0000-0000-0000FE780000}"/>
    <cellStyle name="40 % - Markeringsfarve4 8 4 4" xfId="21934" xr:uid="{00000000-0005-0000-0000-0000FF780000}"/>
    <cellStyle name="40 % - Markeringsfarve4 8 4 5" xfId="36922" xr:uid="{00000000-0005-0000-0000-000000790000}"/>
    <cellStyle name="40 % - Markeringsfarve4 8 5" xfId="5907" xr:uid="{00000000-0005-0000-0000-000001790000}"/>
    <cellStyle name="40 % - Markeringsfarve4 8 5 2" xfId="13826" xr:uid="{00000000-0005-0000-0000-000002790000}"/>
    <cellStyle name="40 % - Markeringsfarve4 8 5 2 2" xfId="30141" xr:uid="{00000000-0005-0000-0000-000003790000}"/>
    <cellStyle name="40 % - Markeringsfarve4 8 5 2 3" xfId="45105" xr:uid="{00000000-0005-0000-0000-000004790000}"/>
    <cellStyle name="40 % - Markeringsfarve4 8 5 3" xfId="23119" xr:uid="{00000000-0005-0000-0000-000005790000}"/>
    <cellStyle name="40 % - Markeringsfarve4 8 5 4" xfId="38106" xr:uid="{00000000-0005-0000-0000-000006790000}"/>
    <cellStyle name="40 % - Markeringsfarve4 8 6" xfId="12632" xr:uid="{00000000-0005-0000-0000-000007790000}"/>
    <cellStyle name="40 % - Markeringsfarve4 8 6 2" xfId="28952" xr:uid="{00000000-0005-0000-0000-000008790000}"/>
    <cellStyle name="40 % - Markeringsfarve4 8 6 3" xfId="43917" xr:uid="{00000000-0005-0000-0000-000009790000}"/>
    <cellStyle name="40 % - Markeringsfarve4 8 7" xfId="21930" xr:uid="{00000000-0005-0000-0000-00000A790000}"/>
    <cellStyle name="40 % - Markeringsfarve4 8 8" xfId="36918" xr:uid="{00000000-0005-0000-0000-00000B790000}"/>
    <cellStyle name="40 % - Markeringsfarve4 9" xfId="4077" xr:uid="{00000000-0005-0000-0000-00000C790000}"/>
    <cellStyle name="40 % - Markeringsfarve4 9 2" xfId="4078" xr:uid="{00000000-0005-0000-0000-00000D790000}"/>
    <cellStyle name="40 % - Markeringsfarve4 9 2 2" xfId="4079" xr:uid="{00000000-0005-0000-0000-00000E790000}"/>
    <cellStyle name="40 % - Markeringsfarve4 9 2 2 2" xfId="7909" xr:uid="{00000000-0005-0000-0000-00000F790000}"/>
    <cellStyle name="40 % - Markeringsfarve4 9 2 2 2 2" xfId="15811" xr:uid="{00000000-0005-0000-0000-000010790000}"/>
    <cellStyle name="40 % - Markeringsfarve4 9 2 2 2 2 2" xfId="32126" xr:uid="{00000000-0005-0000-0000-000011790000}"/>
    <cellStyle name="40 % - Markeringsfarve4 9 2 2 2 2 3" xfId="47090" xr:uid="{00000000-0005-0000-0000-000012790000}"/>
    <cellStyle name="40 % - Markeringsfarve4 9 2 2 2 3" xfId="25104" xr:uid="{00000000-0005-0000-0000-000013790000}"/>
    <cellStyle name="40 % - Markeringsfarve4 9 2 2 2 4" xfId="40091" xr:uid="{00000000-0005-0000-0000-000014790000}"/>
    <cellStyle name="40 % - Markeringsfarve4 9 2 2 3" xfId="12639" xr:uid="{00000000-0005-0000-0000-000015790000}"/>
    <cellStyle name="40 % - Markeringsfarve4 9 2 2 3 2" xfId="28959" xr:uid="{00000000-0005-0000-0000-000016790000}"/>
    <cellStyle name="40 % - Markeringsfarve4 9 2 2 3 3" xfId="43924" xr:uid="{00000000-0005-0000-0000-000017790000}"/>
    <cellStyle name="40 % - Markeringsfarve4 9 2 2 4" xfId="21937" xr:uid="{00000000-0005-0000-0000-000018790000}"/>
    <cellStyle name="40 % - Markeringsfarve4 9 2 2 5" xfId="36925" xr:uid="{00000000-0005-0000-0000-000019790000}"/>
    <cellStyle name="40 % - Markeringsfarve4 9 2 3" xfId="6437" xr:uid="{00000000-0005-0000-0000-00001A790000}"/>
    <cellStyle name="40 % - Markeringsfarve4 9 2 3 2" xfId="14352" xr:uid="{00000000-0005-0000-0000-00001B790000}"/>
    <cellStyle name="40 % - Markeringsfarve4 9 2 3 2 2" xfId="30667" xr:uid="{00000000-0005-0000-0000-00001C790000}"/>
    <cellStyle name="40 % - Markeringsfarve4 9 2 3 2 3" xfId="45631" xr:uid="{00000000-0005-0000-0000-00001D790000}"/>
    <cellStyle name="40 % - Markeringsfarve4 9 2 3 3" xfId="23645" xr:uid="{00000000-0005-0000-0000-00001E790000}"/>
    <cellStyle name="40 % - Markeringsfarve4 9 2 3 4" xfId="38632" xr:uid="{00000000-0005-0000-0000-00001F790000}"/>
    <cellStyle name="40 % - Markeringsfarve4 9 2 4" xfId="12638" xr:uid="{00000000-0005-0000-0000-000020790000}"/>
    <cellStyle name="40 % - Markeringsfarve4 9 2 4 2" xfId="28958" xr:uid="{00000000-0005-0000-0000-000021790000}"/>
    <cellStyle name="40 % - Markeringsfarve4 9 2 4 3" xfId="43923" xr:uid="{00000000-0005-0000-0000-000022790000}"/>
    <cellStyle name="40 % - Markeringsfarve4 9 2 5" xfId="21936" xr:uid="{00000000-0005-0000-0000-000023790000}"/>
    <cellStyle name="40 % - Markeringsfarve4 9 2 6" xfId="36924" xr:uid="{00000000-0005-0000-0000-000024790000}"/>
    <cellStyle name="40 % - Markeringsfarve4 9 3" xfId="4080" xr:uid="{00000000-0005-0000-0000-000025790000}"/>
    <cellStyle name="40 % - Markeringsfarve4 9 3 2" xfId="7185" xr:uid="{00000000-0005-0000-0000-000026790000}"/>
    <cellStyle name="40 % - Markeringsfarve4 9 3 2 2" xfId="15096" xr:uid="{00000000-0005-0000-0000-000027790000}"/>
    <cellStyle name="40 % - Markeringsfarve4 9 3 2 2 2" xfId="31411" xr:uid="{00000000-0005-0000-0000-000028790000}"/>
    <cellStyle name="40 % - Markeringsfarve4 9 3 2 2 3" xfId="46375" xr:uid="{00000000-0005-0000-0000-000029790000}"/>
    <cellStyle name="40 % - Markeringsfarve4 9 3 2 3" xfId="24389" xr:uid="{00000000-0005-0000-0000-00002A790000}"/>
    <cellStyle name="40 % - Markeringsfarve4 9 3 2 4" xfId="39376" xr:uid="{00000000-0005-0000-0000-00002B790000}"/>
    <cellStyle name="40 % - Markeringsfarve4 9 3 3" xfId="12640" xr:uid="{00000000-0005-0000-0000-00002C790000}"/>
    <cellStyle name="40 % - Markeringsfarve4 9 3 3 2" xfId="28960" xr:uid="{00000000-0005-0000-0000-00002D790000}"/>
    <cellStyle name="40 % - Markeringsfarve4 9 3 3 3" xfId="43925" xr:uid="{00000000-0005-0000-0000-00002E790000}"/>
    <cellStyle name="40 % - Markeringsfarve4 9 3 4" xfId="21938" xr:uid="{00000000-0005-0000-0000-00002F790000}"/>
    <cellStyle name="40 % - Markeringsfarve4 9 3 5" xfId="36926" xr:uid="{00000000-0005-0000-0000-000030790000}"/>
    <cellStyle name="40 % - Markeringsfarve4 9 4" xfId="4081" xr:uid="{00000000-0005-0000-0000-000031790000}"/>
    <cellStyle name="40 % - Markeringsfarve4 9 4 2" xfId="8182" xr:uid="{00000000-0005-0000-0000-000032790000}"/>
    <cellStyle name="40 % - Markeringsfarve4 9 4 2 2" xfId="16080" xr:uid="{00000000-0005-0000-0000-000033790000}"/>
    <cellStyle name="40 % - Markeringsfarve4 9 4 2 2 2" xfId="32395" xr:uid="{00000000-0005-0000-0000-000034790000}"/>
    <cellStyle name="40 % - Markeringsfarve4 9 4 2 2 3" xfId="47359" xr:uid="{00000000-0005-0000-0000-000035790000}"/>
    <cellStyle name="40 % - Markeringsfarve4 9 4 2 3" xfId="25373" xr:uid="{00000000-0005-0000-0000-000036790000}"/>
    <cellStyle name="40 % - Markeringsfarve4 9 4 2 4" xfId="40360" xr:uid="{00000000-0005-0000-0000-000037790000}"/>
    <cellStyle name="40 % - Markeringsfarve4 9 4 3" xfId="12641" xr:uid="{00000000-0005-0000-0000-000038790000}"/>
    <cellStyle name="40 % - Markeringsfarve4 9 4 3 2" xfId="28961" xr:uid="{00000000-0005-0000-0000-000039790000}"/>
    <cellStyle name="40 % - Markeringsfarve4 9 4 3 3" xfId="43926" xr:uid="{00000000-0005-0000-0000-00003A790000}"/>
    <cellStyle name="40 % - Markeringsfarve4 9 4 4" xfId="21939" xr:uid="{00000000-0005-0000-0000-00003B790000}"/>
    <cellStyle name="40 % - Markeringsfarve4 9 4 5" xfId="36927" xr:uid="{00000000-0005-0000-0000-00003C790000}"/>
    <cellStyle name="40 % - Markeringsfarve4 9 5" xfId="5908" xr:uid="{00000000-0005-0000-0000-00003D790000}"/>
    <cellStyle name="40 % - Markeringsfarve4 9 5 2" xfId="13827" xr:uid="{00000000-0005-0000-0000-00003E790000}"/>
    <cellStyle name="40 % - Markeringsfarve4 9 5 2 2" xfId="30142" xr:uid="{00000000-0005-0000-0000-00003F790000}"/>
    <cellStyle name="40 % - Markeringsfarve4 9 5 2 3" xfId="45106" xr:uid="{00000000-0005-0000-0000-000040790000}"/>
    <cellStyle name="40 % - Markeringsfarve4 9 5 3" xfId="23120" xr:uid="{00000000-0005-0000-0000-000041790000}"/>
    <cellStyle name="40 % - Markeringsfarve4 9 5 4" xfId="38107" xr:uid="{00000000-0005-0000-0000-000042790000}"/>
    <cellStyle name="40 % - Markeringsfarve4 9 6" xfId="12637" xr:uid="{00000000-0005-0000-0000-000043790000}"/>
    <cellStyle name="40 % - Markeringsfarve4 9 6 2" xfId="28957" xr:uid="{00000000-0005-0000-0000-000044790000}"/>
    <cellStyle name="40 % - Markeringsfarve4 9 6 3" xfId="43922" xr:uid="{00000000-0005-0000-0000-000045790000}"/>
    <cellStyle name="40 % - Markeringsfarve4 9 7" xfId="21935" xr:uid="{00000000-0005-0000-0000-000046790000}"/>
    <cellStyle name="40 % - Markeringsfarve4 9 8" xfId="36923" xr:uid="{00000000-0005-0000-0000-000047790000}"/>
    <cellStyle name="40 % - Markeringsfarve5 10" xfId="4083" xr:uid="{00000000-0005-0000-0000-000048790000}"/>
    <cellStyle name="40 % - Markeringsfarve5 10 2" xfId="4084" xr:uid="{00000000-0005-0000-0000-000049790000}"/>
    <cellStyle name="40 % - Markeringsfarve5 10 2 2" xfId="4085" xr:uid="{00000000-0005-0000-0000-00004A790000}"/>
    <cellStyle name="40 % - Markeringsfarve5 10 2 2 2" xfId="8109" xr:uid="{00000000-0005-0000-0000-00004B790000}"/>
    <cellStyle name="40 % - Markeringsfarve5 10 2 2 2 2" xfId="16011" xr:uid="{00000000-0005-0000-0000-00004C790000}"/>
    <cellStyle name="40 % - Markeringsfarve5 10 2 2 2 2 2" xfId="32326" xr:uid="{00000000-0005-0000-0000-00004D790000}"/>
    <cellStyle name="40 % - Markeringsfarve5 10 2 2 2 2 3" xfId="47290" xr:uid="{00000000-0005-0000-0000-00004E790000}"/>
    <cellStyle name="40 % - Markeringsfarve5 10 2 2 2 3" xfId="25304" xr:uid="{00000000-0005-0000-0000-00004F790000}"/>
    <cellStyle name="40 % - Markeringsfarve5 10 2 2 2 4" xfId="40291" xr:uid="{00000000-0005-0000-0000-000050790000}"/>
    <cellStyle name="40 % - Markeringsfarve5 10 2 2 3" xfId="12645" xr:uid="{00000000-0005-0000-0000-000051790000}"/>
    <cellStyle name="40 % - Markeringsfarve5 10 2 2 3 2" xfId="28965" xr:uid="{00000000-0005-0000-0000-000052790000}"/>
    <cellStyle name="40 % - Markeringsfarve5 10 2 2 3 3" xfId="43930" xr:uid="{00000000-0005-0000-0000-000053790000}"/>
    <cellStyle name="40 % - Markeringsfarve5 10 2 2 4" xfId="21943" xr:uid="{00000000-0005-0000-0000-000054790000}"/>
    <cellStyle name="40 % - Markeringsfarve5 10 2 2 5" xfId="36931" xr:uid="{00000000-0005-0000-0000-000055790000}"/>
    <cellStyle name="40 % - Markeringsfarve5 10 2 3" xfId="6602" xr:uid="{00000000-0005-0000-0000-000056790000}"/>
    <cellStyle name="40 % - Markeringsfarve5 10 2 3 2" xfId="14517" xr:uid="{00000000-0005-0000-0000-000057790000}"/>
    <cellStyle name="40 % - Markeringsfarve5 10 2 3 2 2" xfId="30832" xr:uid="{00000000-0005-0000-0000-000058790000}"/>
    <cellStyle name="40 % - Markeringsfarve5 10 2 3 2 3" xfId="45796" xr:uid="{00000000-0005-0000-0000-000059790000}"/>
    <cellStyle name="40 % - Markeringsfarve5 10 2 3 3" xfId="23810" xr:uid="{00000000-0005-0000-0000-00005A790000}"/>
    <cellStyle name="40 % - Markeringsfarve5 10 2 3 4" xfId="38797" xr:uid="{00000000-0005-0000-0000-00005B790000}"/>
    <cellStyle name="40 % - Markeringsfarve5 10 2 4" xfId="12644" xr:uid="{00000000-0005-0000-0000-00005C790000}"/>
    <cellStyle name="40 % - Markeringsfarve5 10 2 4 2" xfId="28964" xr:uid="{00000000-0005-0000-0000-00005D790000}"/>
    <cellStyle name="40 % - Markeringsfarve5 10 2 4 3" xfId="43929" xr:uid="{00000000-0005-0000-0000-00005E790000}"/>
    <cellStyle name="40 % - Markeringsfarve5 10 2 5" xfId="21942" xr:uid="{00000000-0005-0000-0000-00005F790000}"/>
    <cellStyle name="40 % - Markeringsfarve5 10 2 6" xfId="36930" xr:uid="{00000000-0005-0000-0000-000060790000}"/>
    <cellStyle name="40 % - Markeringsfarve5 10 3" xfId="4086" xr:uid="{00000000-0005-0000-0000-000061790000}"/>
    <cellStyle name="40 % - Markeringsfarve5 10 3 2" xfId="7386" xr:uid="{00000000-0005-0000-0000-000062790000}"/>
    <cellStyle name="40 % - Markeringsfarve5 10 3 2 2" xfId="15297" xr:uid="{00000000-0005-0000-0000-000063790000}"/>
    <cellStyle name="40 % - Markeringsfarve5 10 3 2 2 2" xfId="31612" xr:uid="{00000000-0005-0000-0000-000064790000}"/>
    <cellStyle name="40 % - Markeringsfarve5 10 3 2 2 3" xfId="46576" xr:uid="{00000000-0005-0000-0000-000065790000}"/>
    <cellStyle name="40 % - Markeringsfarve5 10 3 2 3" xfId="24590" xr:uid="{00000000-0005-0000-0000-000066790000}"/>
    <cellStyle name="40 % - Markeringsfarve5 10 3 2 4" xfId="39577" xr:uid="{00000000-0005-0000-0000-000067790000}"/>
    <cellStyle name="40 % - Markeringsfarve5 10 3 3" xfId="12646" xr:uid="{00000000-0005-0000-0000-000068790000}"/>
    <cellStyle name="40 % - Markeringsfarve5 10 3 3 2" xfId="28966" xr:uid="{00000000-0005-0000-0000-000069790000}"/>
    <cellStyle name="40 % - Markeringsfarve5 10 3 3 3" xfId="43931" xr:uid="{00000000-0005-0000-0000-00006A790000}"/>
    <cellStyle name="40 % - Markeringsfarve5 10 3 4" xfId="21944" xr:uid="{00000000-0005-0000-0000-00006B790000}"/>
    <cellStyle name="40 % - Markeringsfarve5 10 3 5" xfId="36932" xr:uid="{00000000-0005-0000-0000-00006C790000}"/>
    <cellStyle name="40 % - Markeringsfarve5 10 4" xfId="4087" xr:uid="{00000000-0005-0000-0000-00006D790000}"/>
    <cellStyle name="40 % - Markeringsfarve5 10 4 2" xfId="6636" xr:uid="{00000000-0005-0000-0000-00006E790000}"/>
    <cellStyle name="40 % - Markeringsfarve5 10 4 2 2" xfId="14550" xr:uid="{00000000-0005-0000-0000-00006F790000}"/>
    <cellStyle name="40 % - Markeringsfarve5 10 4 2 2 2" xfId="30865" xr:uid="{00000000-0005-0000-0000-000070790000}"/>
    <cellStyle name="40 % - Markeringsfarve5 10 4 2 2 3" xfId="45829" xr:uid="{00000000-0005-0000-0000-000071790000}"/>
    <cellStyle name="40 % - Markeringsfarve5 10 4 2 3" xfId="23843" xr:uid="{00000000-0005-0000-0000-000072790000}"/>
    <cellStyle name="40 % - Markeringsfarve5 10 4 2 4" xfId="38830" xr:uid="{00000000-0005-0000-0000-000073790000}"/>
    <cellStyle name="40 % - Markeringsfarve5 10 4 3" xfId="12647" xr:uid="{00000000-0005-0000-0000-000074790000}"/>
    <cellStyle name="40 % - Markeringsfarve5 10 4 3 2" xfId="28967" xr:uid="{00000000-0005-0000-0000-000075790000}"/>
    <cellStyle name="40 % - Markeringsfarve5 10 4 3 3" xfId="43932" xr:uid="{00000000-0005-0000-0000-000076790000}"/>
    <cellStyle name="40 % - Markeringsfarve5 10 4 4" xfId="21945" xr:uid="{00000000-0005-0000-0000-000077790000}"/>
    <cellStyle name="40 % - Markeringsfarve5 10 4 5" xfId="36933" xr:uid="{00000000-0005-0000-0000-000078790000}"/>
    <cellStyle name="40 % - Markeringsfarve5 10 5" xfId="5910" xr:uid="{00000000-0005-0000-0000-000079790000}"/>
    <cellStyle name="40 % - Markeringsfarve5 10 5 2" xfId="13829" xr:uid="{00000000-0005-0000-0000-00007A790000}"/>
    <cellStyle name="40 % - Markeringsfarve5 10 5 2 2" xfId="30144" xr:uid="{00000000-0005-0000-0000-00007B790000}"/>
    <cellStyle name="40 % - Markeringsfarve5 10 5 2 3" xfId="45108" xr:uid="{00000000-0005-0000-0000-00007C790000}"/>
    <cellStyle name="40 % - Markeringsfarve5 10 5 3" xfId="23122" xr:uid="{00000000-0005-0000-0000-00007D790000}"/>
    <cellStyle name="40 % - Markeringsfarve5 10 5 4" xfId="38109" xr:uid="{00000000-0005-0000-0000-00007E790000}"/>
    <cellStyle name="40 % - Markeringsfarve5 10 6" xfId="12643" xr:uid="{00000000-0005-0000-0000-00007F790000}"/>
    <cellStyle name="40 % - Markeringsfarve5 10 6 2" xfId="28963" xr:uid="{00000000-0005-0000-0000-000080790000}"/>
    <cellStyle name="40 % - Markeringsfarve5 10 6 3" xfId="43928" xr:uid="{00000000-0005-0000-0000-000081790000}"/>
    <cellStyle name="40 % - Markeringsfarve5 10 7" xfId="21941" xr:uid="{00000000-0005-0000-0000-000082790000}"/>
    <cellStyle name="40 % - Markeringsfarve5 10 8" xfId="36929" xr:uid="{00000000-0005-0000-0000-000083790000}"/>
    <cellStyle name="40 % - Markeringsfarve5 11" xfId="4088" xr:uid="{00000000-0005-0000-0000-000084790000}"/>
    <cellStyle name="40 % - Markeringsfarve5 11 2" xfId="4089" xr:uid="{00000000-0005-0000-0000-000085790000}"/>
    <cellStyle name="40 % - Markeringsfarve5 11 2 2" xfId="7436" xr:uid="{00000000-0005-0000-0000-000086790000}"/>
    <cellStyle name="40 % - Markeringsfarve5 11 2 2 2" xfId="15338" xr:uid="{00000000-0005-0000-0000-000087790000}"/>
    <cellStyle name="40 % - Markeringsfarve5 11 2 2 2 2" xfId="31653" xr:uid="{00000000-0005-0000-0000-000088790000}"/>
    <cellStyle name="40 % - Markeringsfarve5 11 2 2 2 3" xfId="46617" xr:uid="{00000000-0005-0000-0000-000089790000}"/>
    <cellStyle name="40 % - Markeringsfarve5 11 2 2 3" xfId="24631" xr:uid="{00000000-0005-0000-0000-00008A790000}"/>
    <cellStyle name="40 % - Markeringsfarve5 11 2 2 4" xfId="39618" xr:uid="{00000000-0005-0000-0000-00008B790000}"/>
    <cellStyle name="40 % - Markeringsfarve5 11 2 3" xfId="12649" xr:uid="{00000000-0005-0000-0000-00008C790000}"/>
    <cellStyle name="40 % - Markeringsfarve5 11 2 3 2" xfId="28969" xr:uid="{00000000-0005-0000-0000-00008D790000}"/>
    <cellStyle name="40 % - Markeringsfarve5 11 2 3 3" xfId="43934" xr:uid="{00000000-0005-0000-0000-00008E790000}"/>
    <cellStyle name="40 % - Markeringsfarve5 11 2 4" xfId="21947" xr:uid="{00000000-0005-0000-0000-00008F790000}"/>
    <cellStyle name="40 % - Markeringsfarve5 11 2 5" xfId="36935" xr:uid="{00000000-0005-0000-0000-000090790000}"/>
    <cellStyle name="40 % - Markeringsfarve5 11 3" xfId="4090" xr:uid="{00000000-0005-0000-0000-000091790000}"/>
    <cellStyle name="40 % - Markeringsfarve5 11 3 2" xfId="8481" xr:uid="{00000000-0005-0000-0000-000092790000}"/>
    <cellStyle name="40 % - Markeringsfarve5 11 3 2 2" xfId="16370" xr:uid="{00000000-0005-0000-0000-000093790000}"/>
    <cellStyle name="40 % - Markeringsfarve5 11 3 2 2 2" xfId="32685" xr:uid="{00000000-0005-0000-0000-000094790000}"/>
    <cellStyle name="40 % - Markeringsfarve5 11 3 2 2 3" xfId="47649" xr:uid="{00000000-0005-0000-0000-000095790000}"/>
    <cellStyle name="40 % - Markeringsfarve5 11 3 2 3" xfId="25663" xr:uid="{00000000-0005-0000-0000-000096790000}"/>
    <cellStyle name="40 % - Markeringsfarve5 11 3 2 4" xfId="40650" xr:uid="{00000000-0005-0000-0000-000097790000}"/>
    <cellStyle name="40 % - Markeringsfarve5 11 3 3" xfId="12650" xr:uid="{00000000-0005-0000-0000-000098790000}"/>
    <cellStyle name="40 % - Markeringsfarve5 11 3 3 2" xfId="28970" xr:uid="{00000000-0005-0000-0000-000099790000}"/>
    <cellStyle name="40 % - Markeringsfarve5 11 3 3 3" xfId="43935" xr:uid="{00000000-0005-0000-0000-00009A790000}"/>
    <cellStyle name="40 % - Markeringsfarve5 11 3 4" xfId="21948" xr:uid="{00000000-0005-0000-0000-00009B790000}"/>
    <cellStyle name="40 % - Markeringsfarve5 11 3 5" xfId="36936" xr:uid="{00000000-0005-0000-0000-00009C790000}"/>
    <cellStyle name="40 % - Markeringsfarve5 11 4" xfId="5911" xr:uid="{00000000-0005-0000-0000-00009D790000}"/>
    <cellStyle name="40 % - Markeringsfarve5 11 4 2" xfId="13830" xr:uid="{00000000-0005-0000-0000-00009E790000}"/>
    <cellStyle name="40 % - Markeringsfarve5 11 4 2 2" xfId="30145" xr:uid="{00000000-0005-0000-0000-00009F790000}"/>
    <cellStyle name="40 % - Markeringsfarve5 11 4 2 3" xfId="45109" xr:uid="{00000000-0005-0000-0000-0000A0790000}"/>
    <cellStyle name="40 % - Markeringsfarve5 11 4 3" xfId="23123" xr:uid="{00000000-0005-0000-0000-0000A1790000}"/>
    <cellStyle name="40 % - Markeringsfarve5 11 4 4" xfId="38110" xr:uid="{00000000-0005-0000-0000-0000A2790000}"/>
    <cellStyle name="40 % - Markeringsfarve5 11 5" xfId="12648" xr:uid="{00000000-0005-0000-0000-0000A3790000}"/>
    <cellStyle name="40 % - Markeringsfarve5 11 5 2" xfId="28968" xr:uid="{00000000-0005-0000-0000-0000A4790000}"/>
    <cellStyle name="40 % - Markeringsfarve5 11 5 3" xfId="43933" xr:uid="{00000000-0005-0000-0000-0000A5790000}"/>
    <cellStyle name="40 % - Markeringsfarve5 11 6" xfId="21946" xr:uid="{00000000-0005-0000-0000-0000A6790000}"/>
    <cellStyle name="40 % - Markeringsfarve5 11 7" xfId="36934" xr:uid="{00000000-0005-0000-0000-0000A7790000}"/>
    <cellStyle name="40 % - Markeringsfarve5 12" xfId="4091" xr:uid="{00000000-0005-0000-0000-0000A8790000}"/>
    <cellStyle name="40 % - Markeringsfarve5 12 2" xfId="4092" xr:uid="{00000000-0005-0000-0000-0000A9790000}"/>
    <cellStyle name="40 % - Markeringsfarve5 12 2 2" xfId="8702" xr:uid="{00000000-0005-0000-0000-0000AA790000}"/>
    <cellStyle name="40 % - Markeringsfarve5 12 2 2 2" xfId="16579" xr:uid="{00000000-0005-0000-0000-0000AB790000}"/>
    <cellStyle name="40 % - Markeringsfarve5 12 2 2 2 2" xfId="32894" xr:uid="{00000000-0005-0000-0000-0000AC790000}"/>
    <cellStyle name="40 % - Markeringsfarve5 12 2 2 2 3" xfId="47858" xr:uid="{00000000-0005-0000-0000-0000AD790000}"/>
    <cellStyle name="40 % - Markeringsfarve5 12 2 2 3" xfId="25872" xr:uid="{00000000-0005-0000-0000-0000AE790000}"/>
    <cellStyle name="40 % - Markeringsfarve5 12 2 2 4" xfId="40859" xr:uid="{00000000-0005-0000-0000-0000AF790000}"/>
    <cellStyle name="40 % - Markeringsfarve5 12 2 3" xfId="12652" xr:uid="{00000000-0005-0000-0000-0000B0790000}"/>
    <cellStyle name="40 % - Markeringsfarve5 12 2 3 2" xfId="28972" xr:uid="{00000000-0005-0000-0000-0000B1790000}"/>
    <cellStyle name="40 % - Markeringsfarve5 12 2 3 3" xfId="43937" xr:uid="{00000000-0005-0000-0000-0000B2790000}"/>
    <cellStyle name="40 % - Markeringsfarve5 12 2 4" xfId="21950" xr:uid="{00000000-0005-0000-0000-0000B3790000}"/>
    <cellStyle name="40 % - Markeringsfarve5 12 2 5" xfId="36938" xr:uid="{00000000-0005-0000-0000-0000B4790000}"/>
    <cellStyle name="40 % - Markeringsfarve5 12 3" xfId="5912" xr:uid="{00000000-0005-0000-0000-0000B5790000}"/>
    <cellStyle name="40 % - Markeringsfarve5 12 3 2" xfId="13831" xr:uid="{00000000-0005-0000-0000-0000B6790000}"/>
    <cellStyle name="40 % - Markeringsfarve5 12 3 2 2" xfId="30146" xr:uid="{00000000-0005-0000-0000-0000B7790000}"/>
    <cellStyle name="40 % - Markeringsfarve5 12 3 2 3" xfId="45110" xr:uid="{00000000-0005-0000-0000-0000B8790000}"/>
    <cellStyle name="40 % - Markeringsfarve5 12 3 3" xfId="23124" xr:uid="{00000000-0005-0000-0000-0000B9790000}"/>
    <cellStyle name="40 % - Markeringsfarve5 12 3 4" xfId="38111" xr:uid="{00000000-0005-0000-0000-0000BA790000}"/>
    <cellStyle name="40 % - Markeringsfarve5 12 4" xfId="12651" xr:uid="{00000000-0005-0000-0000-0000BB790000}"/>
    <cellStyle name="40 % - Markeringsfarve5 12 4 2" xfId="28971" xr:uid="{00000000-0005-0000-0000-0000BC790000}"/>
    <cellStyle name="40 % - Markeringsfarve5 12 4 3" xfId="43936" xr:uid="{00000000-0005-0000-0000-0000BD790000}"/>
    <cellStyle name="40 % - Markeringsfarve5 12 5" xfId="21949" xr:uid="{00000000-0005-0000-0000-0000BE790000}"/>
    <cellStyle name="40 % - Markeringsfarve5 12 6" xfId="36937" xr:uid="{00000000-0005-0000-0000-0000BF790000}"/>
    <cellStyle name="40 % - Markeringsfarve5 13" xfId="4093" xr:uid="{00000000-0005-0000-0000-0000C0790000}"/>
    <cellStyle name="40 % - Markeringsfarve5 13 2" xfId="4094" xr:uid="{00000000-0005-0000-0000-0000C1790000}"/>
    <cellStyle name="40 % - Markeringsfarve5 13 2 2" xfId="8422" xr:uid="{00000000-0005-0000-0000-0000C2790000}"/>
    <cellStyle name="40 % - Markeringsfarve5 13 2 2 2" xfId="16312" xr:uid="{00000000-0005-0000-0000-0000C3790000}"/>
    <cellStyle name="40 % - Markeringsfarve5 13 2 2 2 2" xfId="32627" xr:uid="{00000000-0005-0000-0000-0000C4790000}"/>
    <cellStyle name="40 % - Markeringsfarve5 13 2 2 2 3" xfId="47591" xr:uid="{00000000-0005-0000-0000-0000C5790000}"/>
    <cellStyle name="40 % - Markeringsfarve5 13 2 2 3" xfId="25605" xr:uid="{00000000-0005-0000-0000-0000C6790000}"/>
    <cellStyle name="40 % - Markeringsfarve5 13 2 2 4" xfId="40592" xr:uid="{00000000-0005-0000-0000-0000C7790000}"/>
    <cellStyle name="40 % - Markeringsfarve5 13 2 3" xfId="12654" xr:uid="{00000000-0005-0000-0000-0000C8790000}"/>
    <cellStyle name="40 % - Markeringsfarve5 13 2 3 2" xfId="28974" xr:uid="{00000000-0005-0000-0000-0000C9790000}"/>
    <cellStyle name="40 % - Markeringsfarve5 13 2 3 3" xfId="43939" xr:uid="{00000000-0005-0000-0000-0000CA790000}"/>
    <cellStyle name="40 % - Markeringsfarve5 13 2 4" xfId="21952" xr:uid="{00000000-0005-0000-0000-0000CB790000}"/>
    <cellStyle name="40 % - Markeringsfarve5 13 2 5" xfId="36940" xr:uid="{00000000-0005-0000-0000-0000CC790000}"/>
    <cellStyle name="40 % - Markeringsfarve5 13 3" xfId="5913" xr:uid="{00000000-0005-0000-0000-0000CD790000}"/>
    <cellStyle name="40 % - Markeringsfarve5 13 3 2" xfId="13832" xr:uid="{00000000-0005-0000-0000-0000CE790000}"/>
    <cellStyle name="40 % - Markeringsfarve5 13 3 2 2" xfId="30147" xr:uid="{00000000-0005-0000-0000-0000CF790000}"/>
    <cellStyle name="40 % - Markeringsfarve5 13 3 2 3" xfId="45111" xr:uid="{00000000-0005-0000-0000-0000D0790000}"/>
    <cellStyle name="40 % - Markeringsfarve5 13 3 3" xfId="23125" xr:uid="{00000000-0005-0000-0000-0000D1790000}"/>
    <cellStyle name="40 % - Markeringsfarve5 13 3 4" xfId="38112" xr:uid="{00000000-0005-0000-0000-0000D2790000}"/>
    <cellStyle name="40 % - Markeringsfarve5 13 4" xfId="12653" xr:uid="{00000000-0005-0000-0000-0000D3790000}"/>
    <cellStyle name="40 % - Markeringsfarve5 13 4 2" xfId="28973" xr:uid="{00000000-0005-0000-0000-0000D4790000}"/>
    <cellStyle name="40 % - Markeringsfarve5 13 4 3" xfId="43938" xr:uid="{00000000-0005-0000-0000-0000D5790000}"/>
    <cellStyle name="40 % - Markeringsfarve5 13 5" xfId="21951" xr:uid="{00000000-0005-0000-0000-0000D6790000}"/>
    <cellStyle name="40 % - Markeringsfarve5 13 6" xfId="36939" xr:uid="{00000000-0005-0000-0000-0000D7790000}"/>
    <cellStyle name="40 % - Markeringsfarve5 14" xfId="4095" xr:uid="{00000000-0005-0000-0000-0000D8790000}"/>
    <cellStyle name="40 % - Markeringsfarve5 14 2" xfId="4096" xr:uid="{00000000-0005-0000-0000-0000D9790000}"/>
    <cellStyle name="40 % - Markeringsfarve5 14 2 2" xfId="8411" xr:uid="{00000000-0005-0000-0000-0000DA790000}"/>
    <cellStyle name="40 % - Markeringsfarve5 14 2 2 2" xfId="16303" xr:uid="{00000000-0005-0000-0000-0000DB790000}"/>
    <cellStyle name="40 % - Markeringsfarve5 14 2 2 2 2" xfId="32618" xr:uid="{00000000-0005-0000-0000-0000DC790000}"/>
    <cellStyle name="40 % - Markeringsfarve5 14 2 2 2 3" xfId="47582" xr:uid="{00000000-0005-0000-0000-0000DD790000}"/>
    <cellStyle name="40 % - Markeringsfarve5 14 2 2 3" xfId="25596" xr:uid="{00000000-0005-0000-0000-0000DE790000}"/>
    <cellStyle name="40 % - Markeringsfarve5 14 2 2 4" xfId="40583" xr:uid="{00000000-0005-0000-0000-0000DF790000}"/>
    <cellStyle name="40 % - Markeringsfarve5 14 2 3" xfId="12656" xr:uid="{00000000-0005-0000-0000-0000E0790000}"/>
    <cellStyle name="40 % - Markeringsfarve5 14 2 3 2" xfId="28976" xr:uid="{00000000-0005-0000-0000-0000E1790000}"/>
    <cellStyle name="40 % - Markeringsfarve5 14 2 3 3" xfId="43941" xr:uid="{00000000-0005-0000-0000-0000E2790000}"/>
    <cellStyle name="40 % - Markeringsfarve5 14 2 4" xfId="21954" xr:uid="{00000000-0005-0000-0000-0000E3790000}"/>
    <cellStyle name="40 % - Markeringsfarve5 14 2 5" xfId="36942" xr:uid="{00000000-0005-0000-0000-0000E4790000}"/>
    <cellStyle name="40 % - Markeringsfarve5 14 3" xfId="5909" xr:uid="{00000000-0005-0000-0000-0000E5790000}"/>
    <cellStyle name="40 % - Markeringsfarve5 14 3 2" xfId="13828" xr:uid="{00000000-0005-0000-0000-0000E6790000}"/>
    <cellStyle name="40 % - Markeringsfarve5 14 3 2 2" xfId="30143" xr:uid="{00000000-0005-0000-0000-0000E7790000}"/>
    <cellStyle name="40 % - Markeringsfarve5 14 3 2 3" xfId="45107" xr:uid="{00000000-0005-0000-0000-0000E8790000}"/>
    <cellStyle name="40 % - Markeringsfarve5 14 3 3" xfId="23121" xr:uid="{00000000-0005-0000-0000-0000E9790000}"/>
    <cellStyle name="40 % - Markeringsfarve5 14 3 4" xfId="38108" xr:uid="{00000000-0005-0000-0000-0000EA790000}"/>
    <cellStyle name="40 % - Markeringsfarve5 14 4" xfId="12655" xr:uid="{00000000-0005-0000-0000-0000EB790000}"/>
    <cellStyle name="40 % - Markeringsfarve5 14 4 2" xfId="28975" xr:uid="{00000000-0005-0000-0000-0000EC790000}"/>
    <cellStyle name="40 % - Markeringsfarve5 14 4 3" xfId="43940" xr:uid="{00000000-0005-0000-0000-0000ED790000}"/>
    <cellStyle name="40 % - Markeringsfarve5 14 5" xfId="21953" xr:uid="{00000000-0005-0000-0000-0000EE790000}"/>
    <cellStyle name="40 % - Markeringsfarve5 14 6" xfId="36941" xr:uid="{00000000-0005-0000-0000-0000EF790000}"/>
    <cellStyle name="40 % - Markeringsfarve5 15" xfId="4097" xr:uid="{00000000-0005-0000-0000-0000F0790000}"/>
    <cellStyle name="40 % - Markeringsfarve5 15 2" xfId="6660" xr:uid="{00000000-0005-0000-0000-0000F1790000}"/>
    <cellStyle name="40 % - Markeringsfarve5 15 2 2" xfId="14574" xr:uid="{00000000-0005-0000-0000-0000F2790000}"/>
    <cellStyle name="40 % - Markeringsfarve5 15 2 2 2" xfId="30889" xr:uid="{00000000-0005-0000-0000-0000F3790000}"/>
    <cellStyle name="40 % - Markeringsfarve5 15 2 2 3" xfId="45853" xr:uid="{00000000-0005-0000-0000-0000F4790000}"/>
    <cellStyle name="40 % - Markeringsfarve5 15 2 3" xfId="23867" xr:uid="{00000000-0005-0000-0000-0000F5790000}"/>
    <cellStyle name="40 % - Markeringsfarve5 15 2 4" xfId="38854" xr:uid="{00000000-0005-0000-0000-0000F6790000}"/>
    <cellStyle name="40 % - Markeringsfarve5 15 3" xfId="12657" xr:uid="{00000000-0005-0000-0000-0000F7790000}"/>
    <cellStyle name="40 % - Markeringsfarve5 15 3 2" xfId="28977" xr:uid="{00000000-0005-0000-0000-0000F8790000}"/>
    <cellStyle name="40 % - Markeringsfarve5 15 3 3" xfId="43942" xr:uid="{00000000-0005-0000-0000-0000F9790000}"/>
    <cellStyle name="40 % - Markeringsfarve5 15 4" xfId="21955" xr:uid="{00000000-0005-0000-0000-0000FA790000}"/>
    <cellStyle name="40 % - Markeringsfarve5 15 5" xfId="36943" xr:uid="{00000000-0005-0000-0000-0000FB790000}"/>
    <cellStyle name="40 % - Markeringsfarve5 16" xfId="4098" xr:uid="{00000000-0005-0000-0000-0000FC790000}"/>
    <cellStyle name="40 % - Markeringsfarve5 16 2" xfId="8486" xr:uid="{00000000-0005-0000-0000-0000FD790000}"/>
    <cellStyle name="40 % - Markeringsfarve5 16 2 2" xfId="16375" xr:uid="{00000000-0005-0000-0000-0000FE790000}"/>
    <cellStyle name="40 % - Markeringsfarve5 16 2 2 2" xfId="32690" xr:uid="{00000000-0005-0000-0000-0000FF790000}"/>
    <cellStyle name="40 % - Markeringsfarve5 16 2 2 3" xfId="47654" xr:uid="{00000000-0005-0000-0000-0000007A0000}"/>
    <cellStyle name="40 % - Markeringsfarve5 16 2 3" xfId="25668" xr:uid="{00000000-0005-0000-0000-0000017A0000}"/>
    <cellStyle name="40 % - Markeringsfarve5 16 2 4" xfId="40655" xr:uid="{00000000-0005-0000-0000-0000027A0000}"/>
    <cellStyle name="40 % - Markeringsfarve5 16 3" xfId="12658" xr:uid="{00000000-0005-0000-0000-0000037A0000}"/>
    <cellStyle name="40 % - Markeringsfarve5 16 3 2" xfId="28978" xr:uid="{00000000-0005-0000-0000-0000047A0000}"/>
    <cellStyle name="40 % - Markeringsfarve5 16 3 3" xfId="43943" xr:uid="{00000000-0005-0000-0000-0000057A0000}"/>
    <cellStyle name="40 % - Markeringsfarve5 16 4" xfId="21956" xr:uid="{00000000-0005-0000-0000-0000067A0000}"/>
    <cellStyle name="40 % - Markeringsfarve5 16 5" xfId="36944" xr:uid="{00000000-0005-0000-0000-0000077A0000}"/>
    <cellStyle name="40 % - Markeringsfarve5 17" xfId="4099" xr:uid="{00000000-0005-0000-0000-0000087A0000}"/>
    <cellStyle name="40 % - Markeringsfarve5 17 2" xfId="6680" xr:uid="{00000000-0005-0000-0000-0000097A0000}"/>
    <cellStyle name="40 % - Markeringsfarve5 17 2 2" xfId="14592" xr:uid="{00000000-0005-0000-0000-00000A7A0000}"/>
    <cellStyle name="40 % - Markeringsfarve5 17 2 2 2" xfId="30907" xr:uid="{00000000-0005-0000-0000-00000B7A0000}"/>
    <cellStyle name="40 % - Markeringsfarve5 17 2 2 3" xfId="45871" xr:uid="{00000000-0005-0000-0000-00000C7A0000}"/>
    <cellStyle name="40 % - Markeringsfarve5 17 2 3" xfId="23885" xr:uid="{00000000-0005-0000-0000-00000D7A0000}"/>
    <cellStyle name="40 % - Markeringsfarve5 17 2 4" xfId="38872" xr:uid="{00000000-0005-0000-0000-00000E7A0000}"/>
    <cellStyle name="40 % - Markeringsfarve5 17 3" xfId="12659" xr:uid="{00000000-0005-0000-0000-00000F7A0000}"/>
    <cellStyle name="40 % - Markeringsfarve5 17 3 2" xfId="28979" xr:uid="{00000000-0005-0000-0000-0000107A0000}"/>
    <cellStyle name="40 % - Markeringsfarve5 17 3 3" xfId="43944" xr:uid="{00000000-0005-0000-0000-0000117A0000}"/>
    <cellStyle name="40 % - Markeringsfarve5 17 4" xfId="21957" xr:uid="{00000000-0005-0000-0000-0000127A0000}"/>
    <cellStyle name="40 % - Markeringsfarve5 17 5" xfId="36945" xr:uid="{00000000-0005-0000-0000-0000137A0000}"/>
    <cellStyle name="40 % - Markeringsfarve5 18" xfId="5339" xr:uid="{00000000-0005-0000-0000-0000147A0000}"/>
    <cellStyle name="40 % - Markeringsfarve5 18 2" xfId="13261" xr:uid="{00000000-0005-0000-0000-0000157A0000}"/>
    <cellStyle name="40 % - Markeringsfarve5 18 2 2" xfId="29576" xr:uid="{00000000-0005-0000-0000-0000167A0000}"/>
    <cellStyle name="40 % - Markeringsfarve5 18 2 3" xfId="44540" xr:uid="{00000000-0005-0000-0000-0000177A0000}"/>
    <cellStyle name="40 % - Markeringsfarve5 18 3" xfId="22554" xr:uid="{00000000-0005-0000-0000-0000187A0000}"/>
    <cellStyle name="40 % - Markeringsfarve5 18 4" xfId="37541" xr:uid="{00000000-0005-0000-0000-0000197A0000}"/>
    <cellStyle name="40 % - Markeringsfarve5 19" xfId="4082" xr:uid="{00000000-0005-0000-0000-00001A7A0000}"/>
    <cellStyle name="40 % - Markeringsfarve5 19 2" xfId="12642" xr:uid="{00000000-0005-0000-0000-00001B7A0000}"/>
    <cellStyle name="40 % - Markeringsfarve5 19 2 2" xfId="28962" xr:uid="{00000000-0005-0000-0000-00001C7A0000}"/>
    <cellStyle name="40 % - Markeringsfarve5 19 2 3" xfId="43927" xr:uid="{00000000-0005-0000-0000-00001D7A0000}"/>
    <cellStyle name="40 % - Markeringsfarve5 19 3" xfId="21940" xr:uid="{00000000-0005-0000-0000-00001E7A0000}"/>
    <cellStyle name="40 % - Markeringsfarve5 19 4" xfId="36928" xr:uid="{00000000-0005-0000-0000-00001F7A0000}"/>
    <cellStyle name="40 % - Markeringsfarve5 2" xfId="4100" xr:uid="{00000000-0005-0000-0000-0000207A0000}"/>
    <cellStyle name="40 % - Markeringsfarve5 2 10" xfId="4101" xr:uid="{00000000-0005-0000-0000-0000217A0000}"/>
    <cellStyle name="40 % - Markeringsfarve5 2 10 2" xfId="6690" xr:uid="{00000000-0005-0000-0000-0000227A0000}"/>
    <cellStyle name="40 % - Markeringsfarve5 2 10 2 2" xfId="14602" xr:uid="{00000000-0005-0000-0000-0000237A0000}"/>
    <cellStyle name="40 % - Markeringsfarve5 2 10 2 2 2" xfId="30917" xr:uid="{00000000-0005-0000-0000-0000247A0000}"/>
    <cellStyle name="40 % - Markeringsfarve5 2 10 2 2 3" xfId="45881" xr:uid="{00000000-0005-0000-0000-0000257A0000}"/>
    <cellStyle name="40 % - Markeringsfarve5 2 10 2 3" xfId="23895" xr:uid="{00000000-0005-0000-0000-0000267A0000}"/>
    <cellStyle name="40 % - Markeringsfarve5 2 10 2 4" xfId="38882" xr:uid="{00000000-0005-0000-0000-0000277A0000}"/>
    <cellStyle name="40 % - Markeringsfarve5 2 10 3" xfId="12661" xr:uid="{00000000-0005-0000-0000-0000287A0000}"/>
    <cellStyle name="40 % - Markeringsfarve5 2 10 3 2" xfId="28981" xr:uid="{00000000-0005-0000-0000-0000297A0000}"/>
    <cellStyle name="40 % - Markeringsfarve5 2 10 3 3" xfId="43946" xr:uid="{00000000-0005-0000-0000-00002A7A0000}"/>
    <cellStyle name="40 % - Markeringsfarve5 2 10 4" xfId="21959" xr:uid="{00000000-0005-0000-0000-00002B7A0000}"/>
    <cellStyle name="40 % - Markeringsfarve5 2 10 5" xfId="36947" xr:uid="{00000000-0005-0000-0000-00002C7A0000}"/>
    <cellStyle name="40 % - Markeringsfarve5 2 11" xfId="4102" xr:uid="{00000000-0005-0000-0000-00002D7A0000}"/>
    <cellStyle name="40 % - Markeringsfarve5 2 11 2" xfId="8654" xr:uid="{00000000-0005-0000-0000-00002E7A0000}"/>
    <cellStyle name="40 % - Markeringsfarve5 2 11 2 2" xfId="16535" xr:uid="{00000000-0005-0000-0000-00002F7A0000}"/>
    <cellStyle name="40 % - Markeringsfarve5 2 11 2 2 2" xfId="32850" xr:uid="{00000000-0005-0000-0000-0000307A0000}"/>
    <cellStyle name="40 % - Markeringsfarve5 2 11 2 2 3" xfId="47814" xr:uid="{00000000-0005-0000-0000-0000317A0000}"/>
    <cellStyle name="40 % - Markeringsfarve5 2 11 2 3" xfId="25828" xr:uid="{00000000-0005-0000-0000-0000327A0000}"/>
    <cellStyle name="40 % - Markeringsfarve5 2 11 2 4" xfId="40815" xr:uid="{00000000-0005-0000-0000-0000337A0000}"/>
    <cellStyle name="40 % - Markeringsfarve5 2 11 3" xfId="12662" xr:uid="{00000000-0005-0000-0000-0000347A0000}"/>
    <cellStyle name="40 % - Markeringsfarve5 2 11 3 2" xfId="28982" xr:uid="{00000000-0005-0000-0000-0000357A0000}"/>
    <cellStyle name="40 % - Markeringsfarve5 2 11 3 3" xfId="43947" xr:uid="{00000000-0005-0000-0000-0000367A0000}"/>
    <cellStyle name="40 % - Markeringsfarve5 2 11 4" xfId="21960" xr:uid="{00000000-0005-0000-0000-0000377A0000}"/>
    <cellStyle name="40 % - Markeringsfarve5 2 11 5" xfId="36948" xr:uid="{00000000-0005-0000-0000-0000387A0000}"/>
    <cellStyle name="40 % - Markeringsfarve5 2 12" xfId="5914" xr:uid="{00000000-0005-0000-0000-0000397A0000}"/>
    <cellStyle name="40 % - Markeringsfarve5 2 12 2" xfId="13833" xr:uid="{00000000-0005-0000-0000-00003A7A0000}"/>
    <cellStyle name="40 % - Markeringsfarve5 2 12 2 2" xfId="30148" xr:uid="{00000000-0005-0000-0000-00003B7A0000}"/>
    <cellStyle name="40 % - Markeringsfarve5 2 12 2 3" xfId="45112" xr:uid="{00000000-0005-0000-0000-00003C7A0000}"/>
    <cellStyle name="40 % - Markeringsfarve5 2 12 3" xfId="23126" xr:uid="{00000000-0005-0000-0000-00003D7A0000}"/>
    <cellStyle name="40 % - Markeringsfarve5 2 12 4" xfId="38113" xr:uid="{00000000-0005-0000-0000-00003E7A0000}"/>
    <cellStyle name="40 % - Markeringsfarve5 2 13" xfId="12660" xr:uid="{00000000-0005-0000-0000-00003F7A0000}"/>
    <cellStyle name="40 % - Markeringsfarve5 2 13 2" xfId="28980" xr:uid="{00000000-0005-0000-0000-0000407A0000}"/>
    <cellStyle name="40 % - Markeringsfarve5 2 13 3" xfId="43945" xr:uid="{00000000-0005-0000-0000-0000417A0000}"/>
    <cellStyle name="40 % - Markeringsfarve5 2 14" xfId="21958" xr:uid="{00000000-0005-0000-0000-0000427A0000}"/>
    <cellStyle name="40 % - Markeringsfarve5 2 15" xfId="36946" xr:uid="{00000000-0005-0000-0000-0000437A0000}"/>
    <cellStyle name="40 % - Markeringsfarve5 2 16" xfId="53334" xr:uid="{00000000-0005-0000-0000-0000447A0000}"/>
    <cellStyle name="40 % - Markeringsfarve5 2 2" xfId="4103" xr:uid="{00000000-0005-0000-0000-0000457A0000}"/>
    <cellStyle name="40 % - Markeringsfarve5 2 2 10" xfId="5915" xr:uid="{00000000-0005-0000-0000-0000467A0000}"/>
    <cellStyle name="40 % - Markeringsfarve5 2 2 10 2" xfId="13834" xr:uid="{00000000-0005-0000-0000-0000477A0000}"/>
    <cellStyle name="40 % - Markeringsfarve5 2 2 10 2 2" xfId="30149" xr:uid="{00000000-0005-0000-0000-0000487A0000}"/>
    <cellStyle name="40 % - Markeringsfarve5 2 2 10 2 3" xfId="45113" xr:uid="{00000000-0005-0000-0000-0000497A0000}"/>
    <cellStyle name="40 % - Markeringsfarve5 2 2 10 3" xfId="23127" xr:uid="{00000000-0005-0000-0000-00004A7A0000}"/>
    <cellStyle name="40 % - Markeringsfarve5 2 2 10 4" xfId="38114" xr:uid="{00000000-0005-0000-0000-00004B7A0000}"/>
    <cellStyle name="40 % - Markeringsfarve5 2 2 11" xfId="12663" xr:uid="{00000000-0005-0000-0000-00004C7A0000}"/>
    <cellStyle name="40 % - Markeringsfarve5 2 2 11 2" xfId="28983" xr:uid="{00000000-0005-0000-0000-00004D7A0000}"/>
    <cellStyle name="40 % - Markeringsfarve5 2 2 11 3" xfId="43948" xr:uid="{00000000-0005-0000-0000-00004E7A0000}"/>
    <cellStyle name="40 % - Markeringsfarve5 2 2 12" xfId="21961" xr:uid="{00000000-0005-0000-0000-00004F7A0000}"/>
    <cellStyle name="40 % - Markeringsfarve5 2 2 13" xfId="36949" xr:uid="{00000000-0005-0000-0000-0000507A0000}"/>
    <cellStyle name="40 % - Markeringsfarve5 2 2 14" xfId="53335" xr:uid="{00000000-0005-0000-0000-0000517A0000}"/>
    <cellStyle name="40 % - Markeringsfarve5 2 2 2" xfId="4104" xr:uid="{00000000-0005-0000-0000-0000527A0000}"/>
    <cellStyle name="40 % - Markeringsfarve5 2 2 2 2" xfId="4105" xr:uid="{00000000-0005-0000-0000-0000537A0000}"/>
    <cellStyle name="40 % - Markeringsfarve5 2 2 2 2 2" xfId="4106" xr:uid="{00000000-0005-0000-0000-0000547A0000}"/>
    <cellStyle name="40 % - Markeringsfarve5 2 2 2 2 2 2" xfId="7621" xr:uid="{00000000-0005-0000-0000-0000557A0000}"/>
    <cellStyle name="40 % - Markeringsfarve5 2 2 2 2 2 2 2" xfId="15523" xr:uid="{00000000-0005-0000-0000-0000567A0000}"/>
    <cellStyle name="40 % - Markeringsfarve5 2 2 2 2 2 2 2 2" xfId="31838" xr:uid="{00000000-0005-0000-0000-0000577A0000}"/>
    <cellStyle name="40 % - Markeringsfarve5 2 2 2 2 2 2 2 3" xfId="46802" xr:uid="{00000000-0005-0000-0000-0000587A0000}"/>
    <cellStyle name="40 % - Markeringsfarve5 2 2 2 2 2 2 3" xfId="24816" xr:uid="{00000000-0005-0000-0000-0000597A0000}"/>
    <cellStyle name="40 % - Markeringsfarve5 2 2 2 2 2 2 4" xfId="39803" xr:uid="{00000000-0005-0000-0000-00005A7A0000}"/>
    <cellStyle name="40 % - Markeringsfarve5 2 2 2 2 2 3" xfId="12666" xr:uid="{00000000-0005-0000-0000-00005B7A0000}"/>
    <cellStyle name="40 % - Markeringsfarve5 2 2 2 2 2 3 2" xfId="28986" xr:uid="{00000000-0005-0000-0000-00005C7A0000}"/>
    <cellStyle name="40 % - Markeringsfarve5 2 2 2 2 2 3 3" xfId="43951" xr:uid="{00000000-0005-0000-0000-00005D7A0000}"/>
    <cellStyle name="40 % - Markeringsfarve5 2 2 2 2 2 4" xfId="21964" xr:uid="{00000000-0005-0000-0000-00005E7A0000}"/>
    <cellStyle name="40 % - Markeringsfarve5 2 2 2 2 2 5" xfId="36952" xr:uid="{00000000-0005-0000-0000-00005F7A0000}"/>
    <cellStyle name="40 % - Markeringsfarve5 2 2 2 2 3" xfId="6192" xr:uid="{00000000-0005-0000-0000-0000607A0000}"/>
    <cellStyle name="40 % - Markeringsfarve5 2 2 2 2 3 2" xfId="14110" xr:uid="{00000000-0005-0000-0000-0000617A0000}"/>
    <cellStyle name="40 % - Markeringsfarve5 2 2 2 2 3 2 2" xfId="30425" xr:uid="{00000000-0005-0000-0000-0000627A0000}"/>
    <cellStyle name="40 % - Markeringsfarve5 2 2 2 2 3 2 3" xfId="45389" xr:uid="{00000000-0005-0000-0000-0000637A0000}"/>
    <cellStyle name="40 % - Markeringsfarve5 2 2 2 2 3 3" xfId="23403" xr:uid="{00000000-0005-0000-0000-0000647A0000}"/>
    <cellStyle name="40 % - Markeringsfarve5 2 2 2 2 3 4" xfId="38390" xr:uid="{00000000-0005-0000-0000-0000657A0000}"/>
    <cellStyle name="40 % - Markeringsfarve5 2 2 2 2 4" xfId="12665" xr:uid="{00000000-0005-0000-0000-0000667A0000}"/>
    <cellStyle name="40 % - Markeringsfarve5 2 2 2 2 4 2" xfId="28985" xr:uid="{00000000-0005-0000-0000-0000677A0000}"/>
    <cellStyle name="40 % - Markeringsfarve5 2 2 2 2 4 3" xfId="43950" xr:uid="{00000000-0005-0000-0000-0000687A0000}"/>
    <cellStyle name="40 % - Markeringsfarve5 2 2 2 2 5" xfId="21963" xr:uid="{00000000-0005-0000-0000-0000697A0000}"/>
    <cellStyle name="40 % - Markeringsfarve5 2 2 2 2 6" xfId="36951" xr:uid="{00000000-0005-0000-0000-00006A7A0000}"/>
    <cellStyle name="40 % - Markeringsfarve5 2 2 2 2 7" xfId="57139" xr:uid="{00000000-0005-0000-0000-00006B7A0000}"/>
    <cellStyle name="40 % - Markeringsfarve5 2 2 2 3" xfId="4107" xr:uid="{00000000-0005-0000-0000-00006C7A0000}"/>
    <cellStyle name="40 % - Markeringsfarve5 2 2 2 3 2" xfId="6851" xr:uid="{00000000-0005-0000-0000-00006D7A0000}"/>
    <cellStyle name="40 % - Markeringsfarve5 2 2 2 3 2 2" xfId="14763" xr:uid="{00000000-0005-0000-0000-00006E7A0000}"/>
    <cellStyle name="40 % - Markeringsfarve5 2 2 2 3 2 2 2" xfId="31078" xr:uid="{00000000-0005-0000-0000-00006F7A0000}"/>
    <cellStyle name="40 % - Markeringsfarve5 2 2 2 3 2 2 3" xfId="46042" xr:uid="{00000000-0005-0000-0000-0000707A0000}"/>
    <cellStyle name="40 % - Markeringsfarve5 2 2 2 3 2 3" xfId="24056" xr:uid="{00000000-0005-0000-0000-0000717A0000}"/>
    <cellStyle name="40 % - Markeringsfarve5 2 2 2 3 2 4" xfId="39043" xr:uid="{00000000-0005-0000-0000-0000727A0000}"/>
    <cellStyle name="40 % - Markeringsfarve5 2 2 2 3 3" xfId="12667" xr:uid="{00000000-0005-0000-0000-0000737A0000}"/>
    <cellStyle name="40 % - Markeringsfarve5 2 2 2 3 3 2" xfId="28987" xr:uid="{00000000-0005-0000-0000-0000747A0000}"/>
    <cellStyle name="40 % - Markeringsfarve5 2 2 2 3 3 3" xfId="43952" xr:uid="{00000000-0005-0000-0000-0000757A0000}"/>
    <cellStyle name="40 % - Markeringsfarve5 2 2 2 3 4" xfId="21965" xr:uid="{00000000-0005-0000-0000-0000767A0000}"/>
    <cellStyle name="40 % - Markeringsfarve5 2 2 2 3 5" xfId="36953" xr:uid="{00000000-0005-0000-0000-0000777A0000}"/>
    <cellStyle name="40 % - Markeringsfarve5 2 2 2 4" xfId="4108" xr:uid="{00000000-0005-0000-0000-0000787A0000}"/>
    <cellStyle name="40 % - Markeringsfarve5 2 2 2 4 2" xfId="8612" xr:uid="{00000000-0005-0000-0000-0000797A0000}"/>
    <cellStyle name="40 % - Markeringsfarve5 2 2 2 4 2 2" xfId="16495" xr:uid="{00000000-0005-0000-0000-00007A7A0000}"/>
    <cellStyle name="40 % - Markeringsfarve5 2 2 2 4 2 2 2" xfId="32810" xr:uid="{00000000-0005-0000-0000-00007B7A0000}"/>
    <cellStyle name="40 % - Markeringsfarve5 2 2 2 4 2 2 3" xfId="47774" xr:uid="{00000000-0005-0000-0000-00007C7A0000}"/>
    <cellStyle name="40 % - Markeringsfarve5 2 2 2 4 2 3" xfId="25788" xr:uid="{00000000-0005-0000-0000-00007D7A0000}"/>
    <cellStyle name="40 % - Markeringsfarve5 2 2 2 4 2 4" xfId="40775" xr:uid="{00000000-0005-0000-0000-00007E7A0000}"/>
    <cellStyle name="40 % - Markeringsfarve5 2 2 2 4 3" xfId="12668" xr:uid="{00000000-0005-0000-0000-00007F7A0000}"/>
    <cellStyle name="40 % - Markeringsfarve5 2 2 2 4 3 2" xfId="28988" xr:uid="{00000000-0005-0000-0000-0000807A0000}"/>
    <cellStyle name="40 % - Markeringsfarve5 2 2 2 4 3 3" xfId="43953" xr:uid="{00000000-0005-0000-0000-0000817A0000}"/>
    <cellStyle name="40 % - Markeringsfarve5 2 2 2 4 4" xfId="21966" xr:uid="{00000000-0005-0000-0000-0000827A0000}"/>
    <cellStyle name="40 % - Markeringsfarve5 2 2 2 4 5" xfId="36954" xr:uid="{00000000-0005-0000-0000-0000837A0000}"/>
    <cellStyle name="40 % - Markeringsfarve5 2 2 2 5" xfId="5916" xr:uid="{00000000-0005-0000-0000-0000847A0000}"/>
    <cellStyle name="40 % - Markeringsfarve5 2 2 2 5 2" xfId="13835" xr:uid="{00000000-0005-0000-0000-0000857A0000}"/>
    <cellStyle name="40 % - Markeringsfarve5 2 2 2 5 2 2" xfId="30150" xr:uid="{00000000-0005-0000-0000-0000867A0000}"/>
    <cellStyle name="40 % - Markeringsfarve5 2 2 2 5 2 3" xfId="45114" xr:uid="{00000000-0005-0000-0000-0000877A0000}"/>
    <cellStyle name="40 % - Markeringsfarve5 2 2 2 5 3" xfId="23128" xr:uid="{00000000-0005-0000-0000-0000887A0000}"/>
    <cellStyle name="40 % - Markeringsfarve5 2 2 2 5 4" xfId="38115" xr:uid="{00000000-0005-0000-0000-0000897A0000}"/>
    <cellStyle name="40 % - Markeringsfarve5 2 2 2 6" xfId="12664" xr:uid="{00000000-0005-0000-0000-00008A7A0000}"/>
    <cellStyle name="40 % - Markeringsfarve5 2 2 2 6 2" xfId="28984" xr:uid="{00000000-0005-0000-0000-00008B7A0000}"/>
    <cellStyle name="40 % - Markeringsfarve5 2 2 2 6 3" xfId="43949" xr:uid="{00000000-0005-0000-0000-00008C7A0000}"/>
    <cellStyle name="40 % - Markeringsfarve5 2 2 2 7" xfId="21962" xr:uid="{00000000-0005-0000-0000-00008D7A0000}"/>
    <cellStyle name="40 % - Markeringsfarve5 2 2 2 8" xfId="36950" xr:uid="{00000000-0005-0000-0000-00008E7A0000}"/>
    <cellStyle name="40 % - Markeringsfarve5 2 2 2 9" xfId="53972" xr:uid="{00000000-0005-0000-0000-00008F7A0000}"/>
    <cellStyle name="40 % - Markeringsfarve5 2 2 3" xfId="4109" xr:uid="{00000000-0005-0000-0000-0000907A0000}"/>
    <cellStyle name="40 % - Markeringsfarve5 2 2 3 2" xfId="4110" xr:uid="{00000000-0005-0000-0000-0000917A0000}"/>
    <cellStyle name="40 % - Markeringsfarve5 2 2 3 2 2" xfId="4111" xr:uid="{00000000-0005-0000-0000-0000927A0000}"/>
    <cellStyle name="40 % - Markeringsfarve5 2 2 3 2 2 2" xfId="7757" xr:uid="{00000000-0005-0000-0000-0000937A0000}"/>
    <cellStyle name="40 % - Markeringsfarve5 2 2 3 2 2 2 2" xfId="15659" xr:uid="{00000000-0005-0000-0000-0000947A0000}"/>
    <cellStyle name="40 % - Markeringsfarve5 2 2 3 2 2 2 2 2" xfId="31974" xr:uid="{00000000-0005-0000-0000-0000957A0000}"/>
    <cellStyle name="40 % - Markeringsfarve5 2 2 3 2 2 2 2 3" xfId="46938" xr:uid="{00000000-0005-0000-0000-0000967A0000}"/>
    <cellStyle name="40 % - Markeringsfarve5 2 2 3 2 2 2 3" xfId="24952" xr:uid="{00000000-0005-0000-0000-0000977A0000}"/>
    <cellStyle name="40 % - Markeringsfarve5 2 2 3 2 2 2 4" xfId="39939" xr:uid="{00000000-0005-0000-0000-0000987A0000}"/>
    <cellStyle name="40 % - Markeringsfarve5 2 2 3 2 2 3" xfId="12671" xr:uid="{00000000-0005-0000-0000-0000997A0000}"/>
    <cellStyle name="40 % - Markeringsfarve5 2 2 3 2 2 3 2" xfId="28991" xr:uid="{00000000-0005-0000-0000-00009A7A0000}"/>
    <cellStyle name="40 % - Markeringsfarve5 2 2 3 2 2 3 3" xfId="43956" xr:uid="{00000000-0005-0000-0000-00009B7A0000}"/>
    <cellStyle name="40 % - Markeringsfarve5 2 2 3 2 2 4" xfId="21969" xr:uid="{00000000-0005-0000-0000-00009C7A0000}"/>
    <cellStyle name="40 % - Markeringsfarve5 2 2 3 2 2 5" xfId="36957" xr:uid="{00000000-0005-0000-0000-00009D7A0000}"/>
    <cellStyle name="40 % - Markeringsfarve5 2 2 3 2 3" xfId="6303" xr:uid="{00000000-0005-0000-0000-00009E7A0000}"/>
    <cellStyle name="40 % - Markeringsfarve5 2 2 3 2 3 2" xfId="14221" xr:uid="{00000000-0005-0000-0000-00009F7A0000}"/>
    <cellStyle name="40 % - Markeringsfarve5 2 2 3 2 3 2 2" xfId="30536" xr:uid="{00000000-0005-0000-0000-0000A07A0000}"/>
    <cellStyle name="40 % - Markeringsfarve5 2 2 3 2 3 2 3" xfId="45500" xr:uid="{00000000-0005-0000-0000-0000A17A0000}"/>
    <cellStyle name="40 % - Markeringsfarve5 2 2 3 2 3 3" xfId="23514" xr:uid="{00000000-0005-0000-0000-0000A27A0000}"/>
    <cellStyle name="40 % - Markeringsfarve5 2 2 3 2 3 4" xfId="38501" xr:uid="{00000000-0005-0000-0000-0000A37A0000}"/>
    <cellStyle name="40 % - Markeringsfarve5 2 2 3 2 4" xfId="12670" xr:uid="{00000000-0005-0000-0000-0000A47A0000}"/>
    <cellStyle name="40 % - Markeringsfarve5 2 2 3 2 4 2" xfId="28990" xr:uid="{00000000-0005-0000-0000-0000A57A0000}"/>
    <cellStyle name="40 % - Markeringsfarve5 2 2 3 2 4 3" xfId="43955" xr:uid="{00000000-0005-0000-0000-0000A67A0000}"/>
    <cellStyle name="40 % - Markeringsfarve5 2 2 3 2 5" xfId="21968" xr:uid="{00000000-0005-0000-0000-0000A77A0000}"/>
    <cellStyle name="40 % - Markeringsfarve5 2 2 3 2 6" xfId="36956" xr:uid="{00000000-0005-0000-0000-0000A87A0000}"/>
    <cellStyle name="40 % - Markeringsfarve5 2 2 3 3" xfId="4112" xr:uid="{00000000-0005-0000-0000-0000A97A0000}"/>
    <cellStyle name="40 % - Markeringsfarve5 2 2 3 3 2" xfId="6987" xr:uid="{00000000-0005-0000-0000-0000AA7A0000}"/>
    <cellStyle name="40 % - Markeringsfarve5 2 2 3 3 2 2" xfId="14899" xr:uid="{00000000-0005-0000-0000-0000AB7A0000}"/>
    <cellStyle name="40 % - Markeringsfarve5 2 2 3 3 2 2 2" xfId="31214" xr:uid="{00000000-0005-0000-0000-0000AC7A0000}"/>
    <cellStyle name="40 % - Markeringsfarve5 2 2 3 3 2 2 3" xfId="46178" xr:uid="{00000000-0005-0000-0000-0000AD7A0000}"/>
    <cellStyle name="40 % - Markeringsfarve5 2 2 3 3 2 3" xfId="24192" xr:uid="{00000000-0005-0000-0000-0000AE7A0000}"/>
    <cellStyle name="40 % - Markeringsfarve5 2 2 3 3 2 4" xfId="39179" xr:uid="{00000000-0005-0000-0000-0000AF7A0000}"/>
    <cellStyle name="40 % - Markeringsfarve5 2 2 3 3 3" xfId="12672" xr:uid="{00000000-0005-0000-0000-0000B07A0000}"/>
    <cellStyle name="40 % - Markeringsfarve5 2 2 3 3 3 2" xfId="28992" xr:uid="{00000000-0005-0000-0000-0000B17A0000}"/>
    <cellStyle name="40 % - Markeringsfarve5 2 2 3 3 3 3" xfId="43957" xr:uid="{00000000-0005-0000-0000-0000B27A0000}"/>
    <cellStyle name="40 % - Markeringsfarve5 2 2 3 3 4" xfId="21970" xr:uid="{00000000-0005-0000-0000-0000B37A0000}"/>
    <cellStyle name="40 % - Markeringsfarve5 2 2 3 3 5" xfId="36958" xr:uid="{00000000-0005-0000-0000-0000B47A0000}"/>
    <cellStyle name="40 % - Markeringsfarve5 2 2 3 4" xfId="4113" xr:uid="{00000000-0005-0000-0000-0000B57A0000}"/>
    <cellStyle name="40 % - Markeringsfarve5 2 2 3 4 2" xfId="8336" xr:uid="{00000000-0005-0000-0000-0000B67A0000}"/>
    <cellStyle name="40 % - Markeringsfarve5 2 2 3 4 2 2" xfId="16230" xr:uid="{00000000-0005-0000-0000-0000B77A0000}"/>
    <cellStyle name="40 % - Markeringsfarve5 2 2 3 4 2 2 2" xfId="32545" xr:uid="{00000000-0005-0000-0000-0000B87A0000}"/>
    <cellStyle name="40 % - Markeringsfarve5 2 2 3 4 2 2 3" xfId="47509" xr:uid="{00000000-0005-0000-0000-0000B97A0000}"/>
    <cellStyle name="40 % - Markeringsfarve5 2 2 3 4 2 3" xfId="25523" xr:uid="{00000000-0005-0000-0000-0000BA7A0000}"/>
    <cellStyle name="40 % - Markeringsfarve5 2 2 3 4 2 4" xfId="40510" xr:uid="{00000000-0005-0000-0000-0000BB7A0000}"/>
    <cellStyle name="40 % - Markeringsfarve5 2 2 3 4 3" xfId="12673" xr:uid="{00000000-0005-0000-0000-0000BC7A0000}"/>
    <cellStyle name="40 % - Markeringsfarve5 2 2 3 4 3 2" xfId="28993" xr:uid="{00000000-0005-0000-0000-0000BD7A0000}"/>
    <cellStyle name="40 % - Markeringsfarve5 2 2 3 4 3 3" xfId="43958" xr:uid="{00000000-0005-0000-0000-0000BE7A0000}"/>
    <cellStyle name="40 % - Markeringsfarve5 2 2 3 4 4" xfId="21971" xr:uid="{00000000-0005-0000-0000-0000BF7A0000}"/>
    <cellStyle name="40 % - Markeringsfarve5 2 2 3 4 5" xfId="36959" xr:uid="{00000000-0005-0000-0000-0000C07A0000}"/>
    <cellStyle name="40 % - Markeringsfarve5 2 2 3 5" xfId="5917" xr:uid="{00000000-0005-0000-0000-0000C17A0000}"/>
    <cellStyle name="40 % - Markeringsfarve5 2 2 3 5 2" xfId="13836" xr:uid="{00000000-0005-0000-0000-0000C27A0000}"/>
    <cellStyle name="40 % - Markeringsfarve5 2 2 3 5 2 2" xfId="30151" xr:uid="{00000000-0005-0000-0000-0000C37A0000}"/>
    <cellStyle name="40 % - Markeringsfarve5 2 2 3 5 2 3" xfId="45115" xr:uid="{00000000-0005-0000-0000-0000C47A0000}"/>
    <cellStyle name="40 % - Markeringsfarve5 2 2 3 5 3" xfId="23129" xr:uid="{00000000-0005-0000-0000-0000C57A0000}"/>
    <cellStyle name="40 % - Markeringsfarve5 2 2 3 5 4" xfId="38116" xr:uid="{00000000-0005-0000-0000-0000C67A0000}"/>
    <cellStyle name="40 % - Markeringsfarve5 2 2 3 6" xfId="12669" xr:uid="{00000000-0005-0000-0000-0000C77A0000}"/>
    <cellStyle name="40 % - Markeringsfarve5 2 2 3 6 2" xfId="28989" xr:uid="{00000000-0005-0000-0000-0000C87A0000}"/>
    <cellStyle name="40 % - Markeringsfarve5 2 2 3 6 3" xfId="43954" xr:uid="{00000000-0005-0000-0000-0000C97A0000}"/>
    <cellStyle name="40 % - Markeringsfarve5 2 2 3 7" xfId="21967" xr:uid="{00000000-0005-0000-0000-0000CA7A0000}"/>
    <cellStyle name="40 % - Markeringsfarve5 2 2 3 8" xfId="36955" xr:uid="{00000000-0005-0000-0000-0000CB7A0000}"/>
    <cellStyle name="40 % - Markeringsfarve5 2 2 3 9" xfId="56516" xr:uid="{00000000-0005-0000-0000-0000CC7A0000}"/>
    <cellStyle name="40 % - Markeringsfarve5 2 2 4" xfId="4114" xr:uid="{00000000-0005-0000-0000-0000CD7A0000}"/>
    <cellStyle name="40 % - Markeringsfarve5 2 2 4 2" xfId="4115" xr:uid="{00000000-0005-0000-0000-0000CE7A0000}"/>
    <cellStyle name="40 % - Markeringsfarve5 2 2 4 2 2" xfId="4116" xr:uid="{00000000-0005-0000-0000-0000CF7A0000}"/>
    <cellStyle name="40 % - Markeringsfarve5 2 2 4 2 2 2" xfId="7859" xr:uid="{00000000-0005-0000-0000-0000D07A0000}"/>
    <cellStyle name="40 % - Markeringsfarve5 2 2 4 2 2 2 2" xfId="15761" xr:uid="{00000000-0005-0000-0000-0000D17A0000}"/>
    <cellStyle name="40 % - Markeringsfarve5 2 2 4 2 2 2 2 2" xfId="32076" xr:uid="{00000000-0005-0000-0000-0000D27A0000}"/>
    <cellStyle name="40 % - Markeringsfarve5 2 2 4 2 2 2 2 3" xfId="47040" xr:uid="{00000000-0005-0000-0000-0000D37A0000}"/>
    <cellStyle name="40 % - Markeringsfarve5 2 2 4 2 2 2 3" xfId="25054" xr:uid="{00000000-0005-0000-0000-0000D47A0000}"/>
    <cellStyle name="40 % - Markeringsfarve5 2 2 4 2 2 2 4" xfId="40041" xr:uid="{00000000-0005-0000-0000-0000D57A0000}"/>
    <cellStyle name="40 % - Markeringsfarve5 2 2 4 2 2 3" xfId="12676" xr:uid="{00000000-0005-0000-0000-0000D67A0000}"/>
    <cellStyle name="40 % - Markeringsfarve5 2 2 4 2 2 3 2" xfId="28996" xr:uid="{00000000-0005-0000-0000-0000D77A0000}"/>
    <cellStyle name="40 % - Markeringsfarve5 2 2 4 2 2 3 3" xfId="43961" xr:uid="{00000000-0005-0000-0000-0000D87A0000}"/>
    <cellStyle name="40 % - Markeringsfarve5 2 2 4 2 2 4" xfId="21974" xr:uid="{00000000-0005-0000-0000-0000D97A0000}"/>
    <cellStyle name="40 % - Markeringsfarve5 2 2 4 2 2 5" xfId="36962" xr:uid="{00000000-0005-0000-0000-0000DA7A0000}"/>
    <cellStyle name="40 % - Markeringsfarve5 2 2 4 2 3" xfId="6394" xr:uid="{00000000-0005-0000-0000-0000DB7A0000}"/>
    <cellStyle name="40 % - Markeringsfarve5 2 2 4 2 3 2" xfId="14309" xr:uid="{00000000-0005-0000-0000-0000DC7A0000}"/>
    <cellStyle name="40 % - Markeringsfarve5 2 2 4 2 3 2 2" xfId="30624" xr:uid="{00000000-0005-0000-0000-0000DD7A0000}"/>
    <cellStyle name="40 % - Markeringsfarve5 2 2 4 2 3 2 3" xfId="45588" xr:uid="{00000000-0005-0000-0000-0000DE7A0000}"/>
    <cellStyle name="40 % - Markeringsfarve5 2 2 4 2 3 3" xfId="23602" xr:uid="{00000000-0005-0000-0000-0000DF7A0000}"/>
    <cellStyle name="40 % - Markeringsfarve5 2 2 4 2 3 4" xfId="38589" xr:uid="{00000000-0005-0000-0000-0000E07A0000}"/>
    <cellStyle name="40 % - Markeringsfarve5 2 2 4 2 4" xfId="12675" xr:uid="{00000000-0005-0000-0000-0000E17A0000}"/>
    <cellStyle name="40 % - Markeringsfarve5 2 2 4 2 4 2" xfId="28995" xr:uid="{00000000-0005-0000-0000-0000E27A0000}"/>
    <cellStyle name="40 % - Markeringsfarve5 2 2 4 2 4 3" xfId="43960" xr:uid="{00000000-0005-0000-0000-0000E37A0000}"/>
    <cellStyle name="40 % - Markeringsfarve5 2 2 4 2 5" xfId="21973" xr:uid="{00000000-0005-0000-0000-0000E47A0000}"/>
    <cellStyle name="40 % - Markeringsfarve5 2 2 4 2 6" xfId="36961" xr:uid="{00000000-0005-0000-0000-0000E57A0000}"/>
    <cellStyle name="40 % - Markeringsfarve5 2 2 4 3" xfId="4117" xr:uid="{00000000-0005-0000-0000-0000E67A0000}"/>
    <cellStyle name="40 % - Markeringsfarve5 2 2 4 3 2" xfId="7135" xr:uid="{00000000-0005-0000-0000-0000E77A0000}"/>
    <cellStyle name="40 % - Markeringsfarve5 2 2 4 3 2 2" xfId="15046" xr:uid="{00000000-0005-0000-0000-0000E87A0000}"/>
    <cellStyle name="40 % - Markeringsfarve5 2 2 4 3 2 2 2" xfId="31361" xr:uid="{00000000-0005-0000-0000-0000E97A0000}"/>
    <cellStyle name="40 % - Markeringsfarve5 2 2 4 3 2 2 3" xfId="46325" xr:uid="{00000000-0005-0000-0000-0000EA7A0000}"/>
    <cellStyle name="40 % - Markeringsfarve5 2 2 4 3 2 3" xfId="24339" xr:uid="{00000000-0005-0000-0000-0000EB7A0000}"/>
    <cellStyle name="40 % - Markeringsfarve5 2 2 4 3 2 4" xfId="39326" xr:uid="{00000000-0005-0000-0000-0000EC7A0000}"/>
    <cellStyle name="40 % - Markeringsfarve5 2 2 4 3 3" xfId="12677" xr:uid="{00000000-0005-0000-0000-0000ED7A0000}"/>
    <cellStyle name="40 % - Markeringsfarve5 2 2 4 3 3 2" xfId="28997" xr:uid="{00000000-0005-0000-0000-0000EE7A0000}"/>
    <cellStyle name="40 % - Markeringsfarve5 2 2 4 3 3 3" xfId="43962" xr:uid="{00000000-0005-0000-0000-0000EF7A0000}"/>
    <cellStyle name="40 % - Markeringsfarve5 2 2 4 3 4" xfId="21975" xr:uid="{00000000-0005-0000-0000-0000F07A0000}"/>
    <cellStyle name="40 % - Markeringsfarve5 2 2 4 3 5" xfId="36963" xr:uid="{00000000-0005-0000-0000-0000F17A0000}"/>
    <cellStyle name="40 % - Markeringsfarve5 2 2 4 4" xfId="4118" xr:uid="{00000000-0005-0000-0000-0000F27A0000}"/>
    <cellStyle name="40 % - Markeringsfarve5 2 2 4 4 2" xfId="8568" xr:uid="{00000000-0005-0000-0000-0000F37A0000}"/>
    <cellStyle name="40 % - Markeringsfarve5 2 2 4 4 2 2" xfId="16452" xr:uid="{00000000-0005-0000-0000-0000F47A0000}"/>
    <cellStyle name="40 % - Markeringsfarve5 2 2 4 4 2 2 2" xfId="32767" xr:uid="{00000000-0005-0000-0000-0000F57A0000}"/>
    <cellStyle name="40 % - Markeringsfarve5 2 2 4 4 2 2 3" xfId="47731" xr:uid="{00000000-0005-0000-0000-0000F67A0000}"/>
    <cellStyle name="40 % - Markeringsfarve5 2 2 4 4 2 3" xfId="25745" xr:uid="{00000000-0005-0000-0000-0000F77A0000}"/>
    <cellStyle name="40 % - Markeringsfarve5 2 2 4 4 2 4" xfId="40732" xr:uid="{00000000-0005-0000-0000-0000F87A0000}"/>
    <cellStyle name="40 % - Markeringsfarve5 2 2 4 4 3" xfId="12678" xr:uid="{00000000-0005-0000-0000-0000F97A0000}"/>
    <cellStyle name="40 % - Markeringsfarve5 2 2 4 4 3 2" xfId="28998" xr:uid="{00000000-0005-0000-0000-0000FA7A0000}"/>
    <cellStyle name="40 % - Markeringsfarve5 2 2 4 4 3 3" xfId="43963" xr:uid="{00000000-0005-0000-0000-0000FB7A0000}"/>
    <cellStyle name="40 % - Markeringsfarve5 2 2 4 4 4" xfId="21976" xr:uid="{00000000-0005-0000-0000-0000FC7A0000}"/>
    <cellStyle name="40 % - Markeringsfarve5 2 2 4 4 5" xfId="36964" xr:uid="{00000000-0005-0000-0000-0000FD7A0000}"/>
    <cellStyle name="40 % - Markeringsfarve5 2 2 4 5" xfId="5918" xr:uid="{00000000-0005-0000-0000-0000FE7A0000}"/>
    <cellStyle name="40 % - Markeringsfarve5 2 2 4 5 2" xfId="13837" xr:uid="{00000000-0005-0000-0000-0000FF7A0000}"/>
    <cellStyle name="40 % - Markeringsfarve5 2 2 4 5 2 2" xfId="30152" xr:uid="{00000000-0005-0000-0000-0000007B0000}"/>
    <cellStyle name="40 % - Markeringsfarve5 2 2 4 5 2 3" xfId="45116" xr:uid="{00000000-0005-0000-0000-0000017B0000}"/>
    <cellStyle name="40 % - Markeringsfarve5 2 2 4 5 3" xfId="23130" xr:uid="{00000000-0005-0000-0000-0000027B0000}"/>
    <cellStyle name="40 % - Markeringsfarve5 2 2 4 5 4" xfId="38117" xr:uid="{00000000-0005-0000-0000-0000037B0000}"/>
    <cellStyle name="40 % - Markeringsfarve5 2 2 4 6" xfId="12674" xr:uid="{00000000-0005-0000-0000-0000047B0000}"/>
    <cellStyle name="40 % - Markeringsfarve5 2 2 4 6 2" xfId="28994" xr:uid="{00000000-0005-0000-0000-0000057B0000}"/>
    <cellStyle name="40 % - Markeringsfarve5 2 2 4 6 3" xfId="43959" xr:uid="{00000000-0005-0000-0000-0000067B0000}"/>
    <cellStyle name="40 % - Markeringsfarve5 2 2 4 7" xfId="21972" xr:uid="{00000000-0005-0000-0000-0000077B0000}"/>
    <cellStyle name="40 % - Markeringsfarve5 2 2 4 8" xfId="36960" xr:uid="{00000000-0005-0000-0000-0000087B0000}"/>
    <cellStyle name="40 % - Markeringsfarve5 2 2 5" xfId="4119" xr:uid="{00000000-0005-0000-0000-0000097B0000}"/>
    <cellStyle name="40 % - Markeringsfarve5 2 2 5 2" xfId="4120" xr:uid="{00000000-0005-0000-0000-00000A7B0000}"/>
    <cellStyle name="40 % - Markeringsfarve5 2 2 5 2 2" xfId="4121" xr:uid="{00000000-0005-0000-0000-00000B7B0000}"/>
    <cellStyle name="40 % - Markeringsfarve5 2 2 5 2 2 2" xfId="7976" xr:uid="{00000000-0005-0000-0000-00000C7B0000}"/>
    <cellStyle name="40 % - Markeringsfarve5 2 2 5 2 2 2 2" xfId="15878" xr:uid="{00000000-0005-0000-0000-00000D7B0000}"/>
    <cellStyle name="40 % - Markeringsfarve5 2 2 5 2 2 2 2 2" xfId="32193" xr:uid="{00000000-0005-0000-0000-00000E7B0000}"/>
    <cellStyle name="40 % - Markeringsfarve5 2 2 5 2 2 2 2 3" xfId="47157" xr:uid="{00000000-0005-0000-0000-00000F7B0000}"/>
    <cellStyle name="40 % - Markeringsfarve5 2 2 5 2 2 2 3" xfId="25171" xr:uid="{00000000-0005-0000-0000-0000107B0000}"/>
    <cellStyle name="40 % - Markeringsfarve5 2 2 5 2 2 2 4" xfId="40158" xr:uid="{00000000-0005-0000-0000-0000117B0000}"/>
    <cellStyle name="40 % - Markeringsfarve5 2 2 5 2 2 3" xfId="12681" xr:uid="{00000000-0005-0000-0000-0000127B0000}"/>
    <cellStyle name="40 % - Markeringsfarve5 2 2 5 2 2 3 2" xfId="29001" xr:uid="{00000000-0005-0000-0000-0000137B0000}"/>
    <cellStyle name="40 % - Markeringsfarve5 2 2 5 2 2 3 3" xfId="43966" xr:uid="{00000000-0005-0000-0000-0000147B0000}"/>
    <cellStyle name="40 % - Markeringsfarve5 2 2 5 2 2 4" xfId="21979" xr:uid="{00000000-0005-0000-0000-0000157B0000}"/>
    <cellStyle name="40 % - Markeringsfarve5 2 2 5 2 2 5" xfId="36967" xr:uid="{00000000-0005-0000-0000-0000167B0000}"/>
    <cellStyle name="40 % - Markeringsfarve5 2 2 5 2 3" xfId="6493" xr:uid="{00000000-0005-0000-0000-0000177B0000}"/>
    <cellStyle name="40 % - Markeringsfarve5 2 2 5 2 3 2" xfId="14408" xr:uid="{00000000-0005-0000-0000-0000187B0000}"/>
    <cellStyle name="40 % - Markeringsfarve5 2 2 5 2 3 2 2" xfId="30723" xr:uid="{00000000-0005-0000-0000-0000197B0000}"/>
    <cellStyle name="40 % - Markeringsfarve5 2 2 5 2 3 2 3" xfId="45687" xr:uid="{00000000-0005-0000-0000-00001A7B0000}"/>
    <cellStyle name="40 % - Markeringsfarve5 2 2 5 2 3 3" xfId="23701" xr:uid="{00000000-0005-0000-0000-00001B7B0000}"/>
    <cellStyle name="40 % - Markeringsfarve5 2 2 5 2 3 4" xfId="38688" xr:uid="{00000000-0005-0000-0000-00001C7B0000}"/>
    <cellStyle name="40 % - Markeringsfarve5 2 2 5 2 4" xfId="12680" xr:uid="{00000000-0005-0000-0000-00001D7B0000}"/>
    <cellStyle name="40 % - Markeringsfarve5 2 2 5 2 4 2" xfId="29000" xr:uid="{00000000-0005-0000-0000-00001E7B0000}"/>
    <cellStyle name="40 % - Markeringsfarve5 2 2 5 2 4 3" xfId="43965" xr:uid="{00000000-0005-0000-0000-00001F7B0000}"/>
    <cellStyle name="40 % - Markeringsfarve5 2 2 5 2 5" xfId="21978" xr:uid="{00000000-0005-0000-0000-0000207B0000}"/>
    <cellStyle name="40 % - Markeringsfarve5 2 2 5 2 6" xfId="36966" xr:uid="{00000000-0005-0000-0000-0000217B0000}"/>
    <cellStyle name="40 % - Markeringsfarve5 2 2 5 3" xfId="4122" xr:uid="{00000000-0005-0000-0000-0000227B0000}"/>
    <cellStyle name="40 % - Markeringsfarve5 2 2 5 3 2" xfId="7252" xr:uid="{00000000-0005-0000-0000-0000237B0000}"/>
    <cellStyle name="40 % - Markeringsfarve5 2 2 5 3 2 2" xfId="15163" xr:uid="{00000000-0005-0000-0000-0000247B0000}"/>
    <cellStyle name="40 % - Markeringsfarve5 2 2 5 3 2 2 2" xfId="31478" xr:uid="{00000000-0005-0000-0000-0000257B0000}"/>
    <cellStyle name="40 % - Markeringsfarve5 2 2 5 3 2 2 3" xfId="46442" xr:uid="{00000000-0005-0000-0000-0000267B0000}"/>
    <cellStyle name="40 % - Markeringsfarve5 2 2 5 3 2 3" xfId="24456" xr:uid="{00000000-0005-0000-0000-0000277B0000}"/>
    <cellStyle name="40 % - Markeringsfarve5 2 2 5 3 2 4" xfId="39443" xr:uid="{00000000-0005-0000-0000-0000287B0000}"/>
    <cellStyle name="40 % - Markeringsfarve5 2 2 5 3 3" xfId="12682" xr:uid="{00000000-0005-0000-0000-0000297B0000}"/>
    <cellStyle name="40 % - Markeringsfarve5 2 2 5 3 3 2" xfId="29002" xr:uid="{00000000-0005-0000-0000-00002A7B0000}"/>
    <cellStyle name="40 % - Markeringsfarve5 2 2 5 3 3 3" xfId="43967" xr:uid="{00000000-0005-0000-0000-00002B7B0000}"/>
    <cellStyle name="40 % - Markeringsfarve5 2 2 5 3 4" xfId="21980" xr:uid="{00000000-0005-0000-0000-00002C7B0000}"/>
    <cellStyle name="40 % - Markeringsfarve5 2 2 5 3 5" xfId="36968" xr:uid="{00000000-0005-0000-0000-00002D7B0000}"/>
    <cellStyle name="40 % - Markeringsfarve5 2 2 5 4" xfId="4123" xr:uid="{00000000-0005-0000-0000-00002E7B0000}"/>
    <cellStyle name="40 % - Markeringsfarve5 2 2 5 4 2" xfId="8218" xr:uid="{00000000-0005-0000-0000-00002F7B0000}"/>
    <cellStyle name="40 % - Markeringsfarve5 2 2 5 4 2 2" xfId="16113" xr:uid="{00000000-0005-0000-0000-0000307B0000}"/>
    <cellStyle name="40 % - Markeringsfarve5 2 2 5 4 2 2 2" xfId="32428" xr:uid="{00000000-0005-0000-0000-0000317B0000}"/>
    <cellStyle name="40 % - Markeringsfarve5 2 2 5 4 2 2 3" xfId="47392" xr:uid="{00000000-0005-0000-0000-0000327B0000}"/>
    <cellStyle name="40 % - Markeringsfarve5 2 2 5 4 2 3" xfId="25406" xr:uid="{00000000-0005-0000-0000-0000337B0000}"/>
    <cellStyle name="40 % - Markeringsfarve5 2 2 5 4 2 4" xfId="40393" xr:uid="{00000000-0005-0000-0000-0000347B0000}"/>
    <cellStyle name="40 % - Markeringsfarve5 2 2 5 4 3" xfId="12683" xr:uid="{00000000-0005-0000-0000-0000357B0000}"/>
    <cellStyle name="40 % - Markeringsfarve5 2 2 5 4 3 2" xfId="29003" xr:uid="{00000000-0005-0000-0000-0000367B0000}"/>
    <cellStyle name="40 % - Markeringsfarve5 2 2 5 4 3 3" xfId="43968" xr:uid="{00000000-0005-0000-0000-0000377B0000}"/>
    <cellStyle name="40 % - Markeringsfarve5 2 2 5 4 4" xfId="21981" xr:uid="{00000000-0005-0000-0000-0000387B0000}"/>
    <cellStyle name="40 % - Markeringsfarve5 2 2 5 4 5" xfId="36969" xr:uid="{00000000-0005-0000-0000-0000397B0000}"/>
    <cellStyle name="40 % - Markeringsfarve5 2 2 5 5" xfId="5919" xr:uid="{00000000-0005-0000-0000-00003A7B0000}"/>
    <cellStyle name="40 % - Markeringsfarve5 2 2 5 5 2" xfId="13838" xr:uid="{00000000-0005-0000-0000-00003B7B0000}"/>
    <cellStyle name="40 % - Markeringsfarve5 2 2 5 5 2 2" xfId="30153" xr:uid="{00000000-0005-0000-0000-00003C7B0000}"/>
    <cellStyle name="40 % - Markeringsfarve5 2 2 5 5 2 3" xfId="45117" xr:uid="{00000000-0005-0000-0000-00003D7B0000}"/>
    <cellStyle name="40 % - Markeringsfarve5 2 2 5 5 3" xfId="23131" xr:uid="{00000000-0005-0000-0000-00003E7B0000}"/>
    <cellStyle name="40 % - Markeringsfarve5 2 2 5 5 4" xfId="38118" xr:uid="{00000000-0005-0000-0000-00003F7B0000}"/>
    <cellStyle name="40 % - Markeringsfarve5 2 2 5 6" xfId="12679" xr:uid="{00000000-0005-0000-0000-0000407B0000}"/>
    <cellStyle name="40 % - Markeringsfarve5 2 2 5 6 2" xfId="28999" xr:uid="{00000000-0005-0000-0000-0000417B0000}"/>
    <cellStyle name="40 % - Markeringsfarve5 2 2 5 6 3" xfId="43964" xr:uid="{00000000-0005-0000-0000-0000427B0000}"/>
    <cellStyle name="40 % - Markeringsfarve5 2 2 5 7" xfId="21977" xr:uid="{00000000-0005-0000-0000-0000437B0000}"/>
    <cellStyle name="40 % - Markeringsfarve5 2 2 5 8" xfId="36965" xr:uid="{00000000-0005-0000-0000-0000447B0000}"/>
    <cellStyle name="40 % - Markeringsfarve5 2 2 6" xfId="4124" xr:uid="{00000000-0005-0000-0000-0000457B0000}"/>
    <cellStyle name="40 % - Markeringsfarve5 2 2 6 2" xfId="4125" xr:uid="{00000000-0005-0000-0000-0000467B0000}"/>
    <cellStyle name="40 % - Markeringsfarve5 2 2 6 2 2" xfId="4126" xr:uid="{00000000-0005-0000-0000-0000477B0000}"/>
    <cellStyle name="40 % - Markeringsfarve5 2 2 6 2 2 2" xfId="8111" xr:uid="{00000000-0005-0000-0000-0000487B0000}"/>
    <cellStyle name="40 % - Markeringsfarve5 2 2 6 2 2 2 2" xfId="16013" xr:uid="{00000000-0005-0000-0000-0000497B0000}"/>
    <cellStyle name="40 % - Markeringsfarve5 2 2 6 2 2 2 2 2" xfId="32328" xr:uid="{00000000-0005-0000-0000-00004A7B0000}"/>
    <cellStyle name="40 % - Markeringsfarve5 2 2 6 2 2 2 2 3" xfId="47292" xr:uid="{00000000-0005-0000-0000-00004B7B0000}"/>
    <cellStyle name="40 % - Markeringsfarve5 2 2 6 2 2 2 3" xfId="25306" xr:uid="{00000000-0005-0000-0000-00004C7B0000}"/>
    <cellStyle name="40 % - Markeringsfarve5 2 2 6 2 2 2 4" xfId="40293" xr:uid="{00000000-0005-0000-0000-00004D7B0000}"/>
    <cellStyle name="40 % - Markeringsfarve5 2 2 6 2 2 3" xfId="12686" xr:uid="{00000000-0005-0000-0000-00004E7B0000}"/>
    <cellStyle name="40 % - Markeringsfarve5 2 2 6 2 2 3 2" xfId="29006" xr:uid="{00000000-0005-0000-0000-00004F7B0000}"/>
    <cellStyle name="40 % - Markeringsfarve5 2 2 6 2 2 3 3" xfId="43971" xr:uid="{00000000-0005-0000-0000-0000507B0000}"/>
    <cellStyle name="40 % - Markeringsfarve5 2 2 6 2 2 4" xfId="21984" xr:uid="{00000000-0005-0000-0000-0000517B0000}"/>
    <cellStyle name="40 % - Markeringsfarve5 2 2 6 2 2 5" xfId="36972" xr:uid="{00000000-0005-0000-0000-0000527B0000}"/>
    <cellStyle name="40 % - Markeringsfarve5 2 2 6 2 3" xfId="6604" xr:uid="{00000000-0005-0000-0000-0000537B0000}"/>
    <cellStyle name="40 % - Markeringsfarve5 2 2 6 2 3 2" xfId="14519" xr:uid="{00000000-0005-0000-0000-0000547B0000}"/>
    <cellStyle name="40 % - Markeringsfarve5 2 2 6 2 3 2 2" xfId="30834" xr:uid="{00000000-0005-0000-0000-0000557B0000}"/>
    <cellStyle name="40 % - Markeringsfarve5 2 2 6 2 3 2 3" xfId="45798" xr:uid="{00000000-0005-0000-0000-0000567B0000}"/>
    <cellStyle name="40 % - Markeringsfarve5 2 2 6 2 3 3" xfId="23812" xr:uid="{00000000-0005-0000-0000-0000577B0000}"/>
    <cellStyle name="40 % - Markeringsfarve5 2 2 6 2 3 4" xfId="38799" xr:uid="{00000000-0005-0000-0000-0000587B0000}"/>
    <cellStyle name="40 % - Markeringsfarve5 2 2 6 2 4" xfId="12685" xr:uid="{00000000-0005-0000-0000-0000597B0000}"/>
    <cellStyle name="40 % - Markeringsfarve5 2 2 6 2 4 2" xfId="29005" xr:uid="{00000000-0005-0000-0000-00005A7B0000}"/>
    <cellStyle name="40 % - Markeringsfarve5 2 2 6 2 4 3" xfId="43970" xr:uid="{00000000-0005-0000-0000-00005B7B0000}"/>
    <cellStyle name="40 % - Markeringsfarve5 2 2 6 2 5" xfId="21983" xr:uid="{00000000-0005-0000-0000-00005C7B0000}"/>
    <cellStyle name="40 % - Markeringsfarve5 2 2 6 2 6" xfId="36971" xr:uid="{00000000-0005-0000-0000-00005D7B0000}"/>
    <cellStyle name="40 % - Markeringsfarve5 2 2 6 3" xfId="4127" xr:uid="{00000000-0005-0000-0000-00005E7B0000}"/>
    <cellStyle name="40 % - Markeringsfarve5 2 2 6 3 2" xfId="7388" xr:uid="{00000000-0005-0000-0000-00005F7B0000}"/>
    <cellStyle name="40 % - Markeringsfarve5 2 2 6 3 2 2" xfId="15299" xr:uid="{00000000-0005-0000-0000-0000607B0000}"/>
    <cellStyle name="40 % - Markeringsfarve5 2 2 6 3 2 2 2" xfId="31614" xr:uid="{00000000-0005-0000-0000-0000617B0000}"/>
    <cellStyle name="40 % - Markeringsfarve5 2 2 6 3 2 2 3" xfId="46578" xr:uid="{00000000-0005-0000-0000-0000627B0000}"/>
    <cellStyle name="40 % - Markeringsfarve5 2 2 6 3 2 3" xfId="24592" xr:uid="{00000000-0005-0000-0000-0000637B0000}"/>
    <cellStyle name="40 % - Markeringsfarve5 2 2 6 3 2 4" xfId="39579" xr:uid="{00000000-0005-0000-0000-0000647B0000}"/>
    <cellStyle name="40 % - Markeringsfarve5 2 2 6 3 3" xfId="12687" xr:uid="{00000000-0005-0000-0000-0000657B0000}"/>
    <cellStyle name="40 % - Markeringsfarve5 2 2 6 3 3 2" xfId="29007" xr:uid="{00000000-0005-0000-0000-0000667B0000}"/>
    <cellStyle name="40 % - Markeringsfarve5 2 2 6 3 3 3" xfId="43972" xr:uid="{00000000-0005-0000-0000-0000677B0000}"/>
    <cellStyle name="40 % - Markeringsfarve5 2 2 6 3 4" xfId="21985" xr:uid="{00000000-0005-0000-0000-0000687B0000}"/>
    <cellStyle name="40 % - Markeringsfarve5 2 2 6 3 5" xfId="36973" xr:uid="{00000000-0005-0000-0000-0000697B0000}"/>
    <cellStyle name="40 % - Markeringsfarve5 2 2 6 4" xfId="4128" xr:uid="{00000000-0005-0000-0000-00006A7B0000}"/>
    <cellStyle name="40 % - Markeringsfarve5 2 2 6 4 2" xfId="8521" xr:uid="{00000000-0005-0000-0000-00006B7B0000}"/>
    <cellStyle name="40 % - Markeringsfarve5 2 2 6 4 2 2" xfId="16409" xr:uid="{00000000-0005-0000-0000-00006C7B0000}"/>
    <cellStyle name="40 % - Markeringsfarve5 2 2 6 4 2 2 2" xfId="32724" xr:uid="{00000000-0005-0000-0000-00006D7B0000}"/>
    <cellStyle name="40 % - Markeringsfarve5 2 2 6 4 2 2 3" xfId="47688" xr:uid="{00000000-0005-0000-0000-00006E7B0000}"/>
    <cellStyle name="40 % - Markeringsfarve5 2 2 6 4 2 3" xfId="25702" xr:uid="{00000000-0005-0000-0000-00006F7B0000}"/>
    <cellStyle name="40 % - Markeringsfarve5 2 2 6 4 2 4" xfId="40689" xr:uid="{00000000-0005-0000-0000-0000707B0000}"/>
    <cellStyle name="40 % - Markeringsfarve5 2 2 6 4 3" xfId="12688" xr:uid="{00000000-0005-0000-0000-0000717B0000}"/>
    <cellStyle name="40 % - Markeringsfarve5 2 2 6 4 3 2" xfId="29008" xr:uid="{00000000-0005-0000-0000-0000727B0000}"/>
    <cellStyle name="40 % - Markeringsfarve5 2 2 6 4 3 3" xfId="43973" xr:uid="{00000000-0005-0000-0000-0000737B0000}"/>
    <cellStyle name="40 % - Markeringsfarve5 2 2 6 4 4" xfId="21986" xr:uid="{00000000-0005-0000-0000-0000747B0000}"/>
    <cellStyle name="40 % - Markeringsfarve5 2 2 6 4 5" xfId="36974" xr:uid="{00000000-0005-0000-0000-0000757B0000}"/>
    <cellStyle name="40 % - Markeringsfarve5 2 2 6 5" xfId="5920" xr:uid="{00000000-0005-0000-0000-0000767B0000}"/>
    <cellStyle name="40 % - Markeringsfarve5 2 2 6 5 2" xfId="13839" xr:uid="{00000000-0005-0000-0000-0000777B0000}"/>
    <cellStyle name="40 % - Markeringsfarve5 2 2 6 5 2 2" xfId="30154" xr:uid="{00000000-0005-0000-0000-0000787B0000}"/>
    <cellStyle name="40 % - Markeringsfarve5 2 2 6 5 2 3" xfId="45118" xr:uid="{00000000-0005-0000-0000-0000797B0000}"/>
    <cellStyle name="40 % - Markeringsfarve5 2 2 6 5 3" xfId="23132" xr:uid="{00000000-0005-0000-0000-00007A7B0000}"/>
    <cellStyle name="40 % - Markeringsfarve5 2 2 6 5 4" xfId="38119" xr:uid="{00000000-0005-0000-0000-00007B7B0000}"/>
    <cellStyle name="40 % - Markeringsfarve5 2 2 6 6" xfId="12684" xr:uid="{00000000-0005-0000-0000-00007C7B0000}"/>
    <cellStyle name="40 % - Markeringsfarve5 2 2 6 6 2" xfId="29004" xr:uid="{00000000-0005-0000-0000-00007D7B0000}"/>
    <cellStyle name="40 % - Markeringsfarve5 2 2 6 6 3" xfId="43969" xr:uid="{00000000-0005-0000-0000-00007E7B0000}"/>
    <cellStyle name="40 % - Markeringsfarve5 2 2 6 7" xfId="21982" xr:uid="{00000000-0005-0000-0000-00007F7B0000}"/>
    <cellStyle name="40 % - Markeringsfarve5 2 2 6 8" xfId="36970" xr:uid="{00000000-0005-0000-0000-0000807B0000}"/>
    <cellStyle name="40 % - Markeringsfarve5 2 2 7" xfId="4129" xr:uid="{00000000-0005-0000-0000-0000817B0000}"/>
    <cellStyle name="40 % - Markeringsfarve5 2 2 7 2" xfId="4130" xr:uid="{00000000-0005-0000-0000-0000827B0000}"/>
    <cellStyle name="40 % - Markeringsfarve5 2 2 7 2 2" xfId="7502" xr:uid="{00000000-0005-0000-0000-0000837B0000}"/>
    <cellStyle name="40 % - Markeringsfarve5 2 2 7 2 2 2" xfId="15404" xr:uid="{00000000-0005-0000-0000-0000847B0000}"/>
    <cellStyle name="40 % - Markeringsfarve5 2 2 7 2 2 2 2" xfId="31719" xr:uid="{00000000-0005-0000-0000-0000857B0000}"/>
    <cellStyle name="40 % - Markeringsfarve5 2 2 7 2 2 2 3" xfId="46683" xr:uid="{00000000-0005-0000-0000-0000867B0000}"/>
    <cellStyle name="40 % - Markeringsfarve5 2 2 7 2 2 3" xfId="24697" xr:uid="{00000000-0005-0000-0000-0000877B0000}"/>
    <cellStyle name="40 % - Markeringsfarve5 2 2 7 2 2 4" xfId="39684" xr:uid="{00000000-0005-0000-0000-0000887B0000}"/>
    <cellStyle name="40 % - Markeringsfarve5 2 2 7 2 3" xfId="12690" xr:uid="{00000000-0005-0000-0000-0000897B0000}"/>
    <cellStyle name="40 % - Markeringsfarve5 2 2 7 2 3 2" xfId="29010" xr:uid="{00000000-0005-0000-0000-00008A7B0000}"/>
    <cellStyle name="40 % - Markeringsfarve5 2 2 7 2 3 3" xfId="43975" xr:uid="{00000000-0005-0000-0000-00008B7B0000}"/>
    <cellStyle name="40 % - Markeringsfarve5 2 2 7 2 4" xfId="21988" xr:uid="{00000000-0005-0000-0000-00008C7B0000}"/>
    <cellStyle name="40 % - Markeringsfarve5 2 2 7 2 5" xfId="36976" xr:uid="{00000000-0005-0000-0000-00008D7B0000}"/>
    <cellStyle name="40 % - Markeringsfarve5 2 2 7 3" xfId="6093" xr:uid="{00000000-0005-0000-0000-00008E7B0000}"/>
    <cellStyle name="40 % - Markeringsfarve5 2 2 7 3 2" xfId="14011" xr:uid="{00000000-0005-0000-0000-00008F7B0000}"/>
    <cellStyle name="40 % - Markeringsfarve5 2 2 7 3 2 2" xfId="30326" xr:uid="{00000000-0005-0000-0000-0000907B0000}"/>
    <cellStyle name="40 % - Markeringsfarve5 2 2 7 3 2 3" xfId="45290" xr:uid="{00000000-0005-0000-0000-0000917B0000}"/>
    <cellStyle name="40 % - Markeringsfarve5 2 2 7 3 3" xfId="23304" xr:uid="{00000000-0005-0000-0000-0000927B0000}"/>
    <cellStyle name="40 % - Markeringsfarve5 2 2 7 3 4" xfId="38291" xr:uid="{00000000-0005-0000-0000-0000937B0000}"/>
    <cellStyle name="40 % - Markeringsfarve5 2 2 7 4" xfId="12689" xr:uid="{00000000-0005-0000-0000-0000947B0000}"/>
    <cellStyle name="40 % - Markeringsfarve5 2 2 7 4 2" xfId="29009" xr:uid="{00000000-0005-0000-0000-0000957B0000}"/>
    <cellStyle name="40 % - Markeringsfarve5 2 2 7 4 3" xfId="43974" xr:uid="{00000000-0005-0000-0000-0000967B0000}"/>
    <cellStyle name="40 % - Markeringsfarve5 2 2 7 5" xfId="21987" xr:uid="{00000000-0005-0000-0000-0000977B0000}"/>
    <cellStyle name="40 % - Markeringsfarve5 2 2 7 6" xfId="36975" xr:uid="{00000000-0005-0000-0000-0000987B0000}"/>
    <cellStyle name="40 % - Markeringsfarve5 2 2 8" xfId="4131" xr:uid="{00000000-0005-0000-0000-0000997B0000}"/>
    <cellStyle name="40 % - Markeringsfarve5 2 2 8 2" xfId="6730" xr:uid="{00000000-0005-0000-0000-00009A7B0000}"/>
    <cellStyle name="40 % - Markeringsfarve5 2 2 8 2 2" xfId="14642" xr:uid="{00000000-0005-0000-0000-00009B7B0000}"/>
    <cellStyle name="40 % - Markeringsfarve5 2 2 8 2 2 2" xfId="30957" xr:uid="{00000000-0005-0000-0000-00009C7B0000}"/>
    <cellStyle name="40 % - Markeringsfarve5 2 2 8 2 2 3" xfId="45921" xr:uid="{00000000-0005-0000-0000-00009D7B0000}"/>
    <cellStyle name="40 % - Markeringsfarve5 2 2 8 2 3" xfId="23935" xr:uid="{00000000-0005-0000-0000-00009E7B0000}"/>
    <cellStyle name="40 % - Markeringsfarve5 2 2 8 2 4" xfId="38922" xr:uid="{00000000-0005-0000-0000-00009F7B0000}"/>
    <cellStyle name="40 % - Markeringsfarve5 2 2 8 3" xfId="12691" xr:uid="{00000000-0005-0000-0000-0000A07B0000}"/>
    <cellStyle name="40 % - Markeringsfarve5 2 2 8 3 2" xfId="29011" xr:uid="{00000000-0005-0000-0000-0000A17B0000}"/>
    <cellStyle name="40 % - Markeringsfarve5 2 2 8 3 3" xfId="43976" xr:uid="{00000000-0005-0000-0000-0000A27B0000}"/>
    <cellStyle name="40 % - Markeringsfarve5 2 2 8 4" xfId="21989" xr:uid="{00000000-0005-0000-0000-0000A37B0000}"/>
    <cellStyle name="40 % - Markeringsfarve5 2 2 8 5" xfId="36977" xr:uid="{00000000-0005-0000-0000-0000A47B0000}"/>
    <cellStyle name="40 % - Markeringsfarve5 2 2 9" xfId="4132" xr:uid="{00000000-0005-0000-0000-0000A57B0000}"/>
    <cellStyle name="40 % - Markeringsfarve5 2 2 9 2" xfId="8377" xr:uid="{00000000-0005-0000-0000-0000A67B0000}"/>
    <cellStyle name="40 % - Markeringsfarve5 2 2 9 2 2" xfId="16270" xr:uid="{00000000-0005-0000-0000-0000A77B0000}"/>
    <cellStyle name="40 % - Markeringsfarve5 2 2 9 2 2 2" xfId="32585" xr:uid="{00000000-0005-0000-0000-0000A87B0000}"/>
    <cellStyle name="40 % - Markeringsfarve5 2 2 9 2 2 3" xfId="47549" xr:uid="{00000000-0005-0000-0000-0000A97B0000}"/>
    <cellStyle name="40 % - Markeringsfarve5 2 2 9 2 3" xfId="25563" xr:uid="{00000000-0005-0000-0000-0000AA7B0000}"/>
    <cellStyle name="40 % - Markeringsfarve5 2 2 9 2 4" xfId="40550" xr:uid="{00000000-0005-0000-0000-0000AB7B0000}"/>
    <cellStyle name="40 % - Markeringsfarve5 2 2 9 3" xfId="12692" xr:uid="{00000000-0005-0000-0000-0000AC7B0000}"/>
    <cellStyle name="40 % - Markeringsfarve5 2 2 9 3 2" xfId="29012" xr:uid="{00000000-0005-0000-0000-0000AD7B0000}"/>
    <cellStyle name="40 % - Markeringsfarve5 2 2 9 3 3" xfId="43977" xr:uid="{00000000-0005-0000-0000-0000AE7B0000}"/>
    <cellStyle name="40 % - Markeringsfarve5 2 2 9 4" xfId="21990" xr:uid="{00000000-0005-0000-0000-0000AF7B0000}"/>
    <cellStyle name="40 % - Markeringsfarve5 2 2 9 5" xfId="36978" xr:uid="{00000000-0005-0000-0000-0000B07B0000}"/>
    <cellStyle name="40 % - Markeringsfarve5 2 3" xfId="4133" xr:uid="{00000000-0005-0000-0000-0000B17B0000}"/>
    <cellStyle name="40 % - Markeringsfarve5 2 3 10" xfId="5921" xr:uid="{00000000-0005-0000-0000-0000B27B0000}"/>
    <cellStyle name="40 % - Markeringsfarve5 2 3 10 2" xfId="13840" xr:uid="{00000000-0005-0000-0000-0000B37B0000}"/>
    <cellStyle name="40 % - Markeringsfarve5 2 3 10 2 2" xfId="30155" xr:uid="{00000000-0005-0000-0000-0000B47B0000}"/>
    <cellStyle name="40 % - Markeringsfarve5 2 3 10 2 3" xfId="45119" xr:uid="{00000000-0005-0000-0000-0000B57B0000}"/>
    <cellStyle name="40 % - Markeringsfarve5 2 3 10 3" xfId="23133" xr:uid="{00000000-0005-0000-0000-0000B67B0000}"/>
    <cellStyle name="40 % - Markeringsfarve5 2 3 10 4" xfId="38120" xr:uid="{00000000-0005-0000-0000-0000B77B0000}"/>
    <cellStyle name="40 % - Markeringsfarve5 2 3 11" xfId="12693" xr:uid="{00000000-0005-0000-0000-0000B87B0000}"/>
    <cellStyle name="40 % - Markeringsfarve5 2 3 11 2" xfId="29013" xr:uid="{00000000-0005-0000-0000-0000B97B0000}"/>
    <cellStyle name="40 % - Markeringsfarve5 2 3 11 3" xfId="43978" xr:uid="{00000000-0005-0000-0000-0000BA7B0000}"/>
    <cellStyle name="40 % - Markeringsfarve5 2 3 12" xfId="21991" xr:uid="{00000000-0005-0000-0000-0000BB7B0000}"/>
    <cellStyle name="40 % - Markeringsfarve5 2 3 13" xfId="36979" xr:uid="{00000000-0005-0000-0000-0000BC7B0000}"/>
    <cellStyle name="40 % - Markeringsfarve5 2 3 14" xfId="53336" xr:uid="{00000000-0005-0000-0000-0000BD7B0000}"/>
    <cellStyle name="40 % - Markeringsfarve5 2 3 2" xfId="4134" xr:uid="{00000000-0005-0000-0000-0000BE7B0000}"/>
    <cellStyle name="40 % - Markeringsfarve5 2 3 2 2" xfId="4135" xr:uid="{00000000-0005-0000-0000-0000BF7B0000}"/>
    <cellStyle name="40 % - Markeringsfarve5 2 3 2 2 2" xfId="4136" xr:uid="{00000000-0005-0000-0000-0000C07B0000}"/>
    <cellStyle name="40 % - Markeringsfarve5 2 3 2 2 2 2" xfId="7660" xr:uid="{00000000-0005-0000-0000-0000C17B0000}"/>
    <cellStyle name="40 % - Markeringsfarve5 2 3 2 2 2 2 2" xfId="15562" xr:uid="{00000000-0005-0000-0000-0000C27B0000}"/>
    <cellStyle name="40 % - Markeringsfarve5 2 3 2 2 2 2 2 2" xfId="31877" xr:uid="{00000000-0005-0000-0000-0000C37B0000}"/>
    <cellStyle name="40 % - Markeringsfarve5 2 3 2 2 2 2 2 3" xfId="46841" xr:uid="{00000000-0005-0000-0000-0000C47B0000}"/>
    <cellStyle name="40 % - Markeringsfarve5 2 3 2 2 2 2 3" xfId="24855" xr:uid="{00000000-0005-0000-0000-0000C57B0000}"/>
    <cellStyle name="40 % - Markeringsfarve5 2 3 2 2 2 2 4" xfId="39842" xr:uid="{00000000-0005-0000-0000-0000C67B0000}"/>
    <cellStyle name="40 % - Markeringsfarve5 2 3 2 2 2 3" xfId="12696" xr:uid="{00000000-0005-0000-0000-0000C77B0000}"/>
    <cellStyle name="40 % - Markeringsfarve5 2 3 2 2 2 3 2" xfId="29016" xr:uid="{00000000-0005-0000-0000-0000C87B0000}"/>
    <cellStyle name="40 % - Markeringsfarve5 2 3 2 2 2 3 3" xfId="43981" xr:uid="{00000000-0005-0000-0000-0000C97B0000}"/>
    <cellStyle name="40 % - Markeringsfarve5 2 3 2 2 2 4" xfId="21994" xr:uid="{00000000-0005-0000-0000-0000CA7B0000}"/>
    <cellStyle name="40 % - Markeringsfarve5 2 3 2 2 2 5" xfId="36982" xr:uid="{00000000-0005-0000-0000-0000CB7B0000}"/>
    <cellStyle name="40 % - Markeringsfarve5 2 3 2 2 3" xfId="6225" xr:uid="{00000000-0005-0000-0000-0000CC7B0000}"/>
    <cellStyle name="40 % - Markeringsfarve5 2 3 2 2 3 2" xfId="14143" xr:uid="{00000000-0005-0000-0000-0000CD7B0000}"/>
    <cellStyle name="40 % - Markeringsfarve5 2 3 2 2 3 2 2" xfId="30458" xr:uid="{00000000-0005-0000-0000-0000CE7B0000}"/>
    <cellStyle name="40 % - Markeringsfarve5 2 3 2 2 3 2 3" xfId="45422" xr:uid="{00000000-0005-0000-0000-0000CF7B0000}"/>
    <cellStyle name="40 % - Markeringsfarve5 2 3 2 2 3 3" xfId="23436" xr:uid="{00000000-0005-0000-0000-0000D07B0000}"/>
    <cellStyle name="40 % - Markeringsfarve5 2 3 2 2 3 4" xfId="38423" xr:uid="{00000000-0005-0000-0000-0000D17B0000}"/>
    <cellStyle name="40 % - Markeringsfarve5 2 3 2 2 4" xfId="12695" xr:uid="{00000000-0005-0000-0000-0000D27B0000}"/>
    <cellStyle name="40 % - Markeringsfarve5 2 3 2 2 4 2" xfId="29015" xr:uid="{00000000-0005-0000-0000-0000D37B0000}"/>
    <cellStyle name="40 % - Markeringsfarve5 2 3 2 2 4 3" xfId="43980" xr:uid="{00000000-0005-0000-0000-0000D47B0000}"/>
    <cellStyle name="40 % - Markeringsfarve5 2 3 2 2 5" xfId="21993" xr:uid="{00000000-0005-0000-0000-0000D57B0000}"/>
    <cellStyle name="40 % - Markeringsfarve5 2 3 2 2 6" xfId="36981" xr:uid="{00000000-0005-0000-0000-0000D67B0000}"/>
    <cellStyle name="40 % - Markeringsfarve5 2 3 2 2 7" xfId="57140" xr:uid="{00000000-0005-0000-0000-0000D77B0000}"/>
    <cellStyle name="40 % - Markeringsfarve5 2 3 2 3" xfId="4137" xr:uid="{00000000-0005-0000-0000-0000D87B0000}"/>
    <cellStyle name="40 % - Markeringsfarve5 2 3 2 3 2" xfId="6890" xr:uid="{00000000-0005-0000-0000-0000D97B0000}"/>
    <cellStyle name="40 % - Markeringsfarve5 2 3 2 3 2 2" xfId="14802" xr:uid="{00000000-0005-0000-0000-0000DA7B0000}"/>
    <cellStyle name="40 % - Markeringsfarve5 2 3 2 3 2 2 2" xfId="31117" xr:uid="{00000000-0005-0000-0000-0000DB7B0000}"/>
    <cellStyle name="40 % - Markeringsfarve5 2 3 2 3 2 2 3" xfId="46081" xr:uid="{00000000-0005-0000-0000-0000DC7B0000}"/>
    <cellStyle name="40 % - Markeringsfarve5 2 3 2 3 2 3" xfId="24095" xr:uid="{00000000-0005-0000-0000-0000DD7B0000}"/>
    <cellStyle name="40 % - Markeringsfarve5 2 3 2 3 2 4" xfId="39082" xr:uid="{00000000-0005-0000-0000-0000DE7B0000}"/>
    <cellStyle name="40 % - Markeringsfarve5 2 3 2 3 3" xfId="12697" xr:uid="{00000000-0005-0000-0000-0000DF7B0000}"/>
    <cellStyle name="40 % - Markeringsfarve5 2 3 2 3 3 2" xfId="29017" xr:uid="{00000000-0005-0000-0000-0000E07B0000}"/>
    <cellStyle name="40 % - Markeringsfarve5 2 3 2 3 3 3" xfId="43982" xr:uid="{00000000-0005-0000-0000-0000E17B0000}"/>
    <cellStyle name="40 % - Markeringsfarve5 2 3 2 3 4" xfId="21995" xr:uid="{00000000-0005-0000-0000-0000E27B0000}"/>
    <cellStyle name="40 % - Markeringsfarve5 2 3 2 3 5" xfId="36983" xr:uid="{00000000-0005-0000-0000-0000E37B0000}"/>
    <cellStyle name="40 % - Markeringsfarve5 2 3 2 4" xfId="4138" xr:uid="{00000000-0005-0000-0000-0000E47B0000}"/>
    <cellStyle name="40 % - Markeringsfarve5 2 3 2 4 2" xfId="8506" xr:uid="{00000000-0005-0000-0000-0000E57B0000}"/>
    <cellStyle name="40 % - Markeringsfarve5 2 3 2 4 2 2" xfId="16394" xr:uid="{00000000-0005-0000-0000-0000E67B0000}"/>
    <cellStyle name="40 % - Markeringsfarve5 2 3 2 4 2 2 2" xfId="32709" xr:uid="{00000000-0005-0000-0000-0000E77B0000}"/>
    <cellStyle name="40 % - Markeringsfarve5 2 3 2 4 2 2 3" xfId="47673" xr:uid="{00000000-0005-0000-0000-0000E87B0000}"/>
    <cellStyle name="40 % - Markeringsfarve5 2 3 2 4 2 3" xfId="25687" xr:uid="{00000000-0005-0000-0000-0000E97B0000}"/>
    <cellStyle name="40 % - Markeringsfarve5 2 3 2 4 2 4" xfId="40674" xr:uid="{00000000-0005-0000-0000-0000EA7B0000}"/>
    <cellStyle name="40 % - Markeringsfarve5 2 3 2 4 3" xfId="12698" xr:uid="{00000000-0005-0000-0000-0000EB7B0000}"/>
    <cellStyle name="40 % - Markeringsfarve5 2 3 2 4 3 2" xfId="29018" xr:uid="{00000000-0005-0000-0000-0000EC7B0000}"/>
    <cellStyle name="40 % - Markeringsfarve5 2 3 2 4 3 3" xfId="43983" xr:uid="{00000000-0005-0000-0000-0000ED7B0000}"/>
    <cellStyle name="40 % - Markeringsfarve5 2 3 2 4 4" xfId="21996" xr:uid="{00000000-0005-0000-0000-0000EE7B0000}"/>
    <cellStyle name="40 % - Markeringsfarve5 2 3 2 4 5" xfId="36984" xr:uid="{00000000-0005-0000-0000-0000EF7B0000}"/>
    <cellStyle name="40 % - Markeringsfarve5 2 3 2 5" xfId="5922" xr:uid="{00000000-0005-0000-0000-0000F07B0000}"/>
    <cellStyle name="40 % - Markeringsfarve5 2 3 2 5 2" xfId="13841" xr:uid="{00000000-0005-0000-0000-0000F17B0000}"/>
    <cellStyle name="40 % - Markeringsfarve5 2 3 2 5 2 2" xfId="30156" xr:uid="{00000000-0005-0000-0000-0000F27B0000}"/>
    <cellStyle name="40 % - Markeringsfarve5 2 3 2 5 2 3" xfId="45120" xr:uid="{00000000-0005-0000-0000-0000F37B0000}"/>
    <cellStyle name="40 % - Markeringsfarve5 2 3 2 5 3" xfId="23134" xr:uid="{00000000-0005-0000-0000-0000F47B0000}"/>
    <cellStyle name="40 % - Markeringsfarve5 2 3 2 5 4" xfId="38121" xr:uid="{00000000-0005-0000-0000-0000F57B0000}"/>
    <cellStyle name="40 % - Markeringsfarve5 2 3 2 6" xfId="12694" xr:uid="{00000000-0005-0000-0000-0000F67B0000}"/>
    <cellStyle name="40 % - Markeringsfarve5 2 3 2 6 2" xfId="29014" xr:uid="{00000000-0005-0000-0000-0000F77B0000}"/>
    <cellStyle name="40 % - Markeringsfarve5 2 3 2 6 3" xfId="43979" xr:uid="{00000000-0005-0000-0000-0000F87B0000}"/>
    <cellStyle name="40 % - Markeringsfarve5 2 3 2 7" xfId="21992" xr:uid="{00000000-0005-0000-0000-0000F97B0000}"/>
    <cellStyle name="40 % - Markeringsfarve5 2 3 2 8" xfId="36980" xr:uid="{00000000-0005-0000-0000-0000FA7B0000}"/>
    <cellStyle name="40 % - Markeringsfarve5 2 3 2 9" xfId="53973" xr:uid="{00000000-0005-0000-0000-0000FB7B0000}"/>
    <cellStyle name="40 % - Markeringsfarve5 2 3 3" xfId="4139" xr:uid="{00000000-0005-0000-0000-0000FC7B0000}"/>
    <cellStyle name="40 % - Markeringsfarve5 2 3 3 2" xfId="4140" xr:uid="{00000000-0005-0000-0000-0000FD7B0000}"/>
    <cellStyle name="40 % - Markeringsfarve5 2 3 3 2 2" xfId="4141" xr:uid="{00000000-0005-0000-0000-0000FE7B0000}"/>
    <cellStyle name="40 % - Markeringsfarve5 2 3 3 2 2 2" xfId="7758" xr:uid="{00000000-0005-0000-0000-0000FF7B0000}"/>
    <cellStyle name="40 % - Markeringsfarve5 2 3 3 2 2 2 2" xfId="15660" xr:uid="{00000000-0005-0000-0000-0000007C0000}"/>
    <cellStyle name="40 % - Markeringsfarve5 2 3 3 2 2 2 2 2" xfId="31975" xr:uid="{00000000-0005-0000-0000-0000017C0000}"/>
    <cellStyle name="40 % - Markeringsfarve5 2 3 3 2 2 2 2 3" xfId="46939" xr:uid="{00000000-0005-0000-0000-0000027C0000}"/>
    <cellStyle name="40 % - Markeringsfarve5 2 3 3 2 2 2 3" xfId="24953" xr:uid="{00000000-0005-0000-0000-0000037C0000}"/>
    <cellStyle name="40 % - Markeringsfarve5 2 3 3 2 2 2 4" xfId="39940" xr:uid="{00000000-0005-0000-0000-0000047C0000}"/>
    <cellStyle name="40 % - Markeringsfarve5 2 3 3 2 2 3" xfId="12701" xr:uid="{00000000-0005-0000-0000-0000057C0000}"/>
    <cellStyle name="40 % - Markeringsfarve5 2 3 3 2 2 3 2" xfId="29021" xr:uid="{00000000-0005-0000-0000-0000067C0000}"/>
    <cellStyle name="40 % - Markeringsfarve5 2 3 3 2 2 3 3" xfId="43986" xr:uid="{00000000-0005-0000-0000-0000077C0000}"/>
    <cellStyle name="40 % - Markeringsfarve5 2 3 3 2 2 4" xfId="21999" xr:uid="{00000000-0005-0000-0000-0000087C0000}"/>
    <cellStyle name="40 % - Markeringsfarve5 2 3 3 2 2 5" xfId="36987" xr:uid="{00000000-0005-0000-0000-0000097C0000}"/>
    <cellStyle name="40 % - Markeringsfarve5 2 3 3 2 3" xfId="6304" xr:uid="{00000000-0005-0000-0000-00000A7C0000}"/>
    <cellStyle name="40 % - Markeringsfarve5 2 3 3 2 3 2" xfId="14222" xr:uid="{00000000-0005-0000-0000-00000B7C0000}"/>
    <cellStyle name="40 % - Markeringsfarve5 2 3 3 2 3 2 2" xfId="30537" xr:uid="{00000000-0005-0000-0000-00000C7C0000}"/>
    <cellStyle name="40 % - Markeringsfarve5 2 3 3 2 3 2 3" xfId="45501" xr:uid="{00000000-0005-0000-0000-00000D7C0000}"/>
    <cellStyle name="40 % - Markeringsfarve5 2 3 3 2 3 3" xfId="23515" xr:uid="{00000000-0005-0000-0000-00000E7C0000}"/>
    <cellStyle name="40 % - Markeringsfarve5 2 3 3 2 3 4" xfId="38502" xr:uid="{00000000-0005-0000-0000-00000F7C0000}"/>
    <cellStyle name="40 % - Markeringsfarve5 2 3 3 2 4" xfId="12700" xr:uid="{00000000-0005-0000-0000-0000107C0000}"/>
    <cellStyle name="40 % - Markeringsfarve5 2 3 3 2 4 2" xfId="29020" xr:uid="{00000000-0005-0000-0000-0000117C0000}"/>
    <cellStyle name="40 % - Markeringsfarve5 2 3 3 2 4 3" xfId="43985" xr:uid="{00000000-0005-0000-0000-0000127C0000}"/>
    <cellStyle name="40 % - Markeringsfarve5 2 3 3 2 5" xfId="21998" xr:uid="{00000000-0005-0000-0000-0000137C0000}"/>
    <cellStyle name="40 % - Markeringsfarve5 2 3 3 2 6" xfId="36986" xr:uid="{00000000-0005-0000-0000-0000147C0000}"/>
    <cellStyle name="40 % - Markeringsfarve5 2 3 3 3" xfId="4142" xr:uid="{00000000-0005-0000-0000-0000157C0000}"/>
    <cellStyle name="40 % - Markeringsfarve5 2 3 3 3 2" xfId="6988" xr:uid="{00000000-0005-0000-0000-0000167C0000}"/>
    <cellStyle name="40 % - Markeringsfarve5 2 3 3 3 2 2" xfId="14900" xr:uid="{00000000-0005-0000-0000-0000177C0000}"/>
    <cellStyle name="40 % - Markeringsfarve5 2 3 3 3 2 2 2" xfId="31215" xr:uid="{00000000-0005-0000-0000-0000187C0000}"/>
    <cellStyle name="40 % - Markeringsfarve5 2 3 3 3 2 2 3" xfId="46179" xr:uid="{00000000-0005-0000-0000-0000197C0000}"/>
    <cellStyle name="40 % - Markeringsfarve5 2 3 3 3 2 3" xfId="24193" xr:uid="{00000000-0005-0000-0000-00001A7C0000}"/>
    <cellStyle name="40 % - Markeringsfarve5 2 3 3 3 2 4" xfId="39180" xr:uid="{00000000-0005-0000-0000-00001B7C0000}"/>
    <cellStyle name="40 % - Markeringsfarve5 2 3 3 3 3" xfId="12702" xr:uid="{00000000-0005-0000-0000-00001C7C0000}"/>
    <cellStyle name="40 % - Markeringsfarve5 2 3 3 3 3 2" xfId="29022" xr:uid="{00000000-0005-0000-0000-00001D7C0000}"/>
    <cellStyle name="40 % - Markeringsfarve5 2 3 3 3 3 3" xfId="43987" xr:uid="{00000000-0005-0000-0000-00001E7C0000}"/>
    <cellStyle name="40 % - Markeringsfarve5 2 3 3 3 4" xfId="22000" xr:uid="{00000000-0005-0000-0000-00001F7C0000}"/>
    <cellStyle name="40 % - Markeringsfarve5 2 3 3 3 5" xfId="36988" xr:uid="{00000000-0005-0000-0000-0000207C0000}"/>
    <cellStyle name="40 % - Markeringsfarve5 2 3 3 4" xfId="4143" xr:uid="{00000000-0005-0000-0000-0000217C0000}"/>
    <cellStyle name="40 % - Markeringsfarve5 2 3 3 4 2" xfId="8704" xr:uid="{00000000-0005-0000-0000-0000227C0000}"/>
    <cellStyle name="40 % - Markeringsfarve5 2 3 3 4 2 2" xfId="16581" xr:uid="{00000000-0005-0000-0000-0000237C0000}"/>
    <cellStyle name="40 % - Markeringsfarve5 2 3 3 4 2 2 2" xfId="32896" xr:uid="{00000000-0005-0000-0000-0000247C0000}"/>
    <cellStyle name="40 % - Markeringsfarve5 2 3 3 4 2 2 3" xfId="47860" xr:uid="{00000000-0005-0000-0000-0000257C0000}"/>
    <cellStyle name="40 % - Markeringsfarve5 2 3 3 4 2 3" xfId="25874" xr:uid="{00000000-0005-0000-0000-0000267C0000}"/>
    <cellStyle name="40 % - Markeringsfarve5 2 3 3 4 2 4" xfId="40861" xr:uid="{00000000-0005-0000-0000-0000277C0000}"/>
    <cellStyle name="40 % - Markeringsfarve5 2 3 3 4 3" xfId="12703" xr:uid="{00000000-0005-0000-0000-0000287C0000}"/>
    <cellStyle name="40 % - Markeringsfarve5 2 3 3 4 3 2" xfId="29023" xr:uid="{00000000-0005-0000-0000-0000297C0000}"/>
    <cellStyle name="40 % - Markeringsfarve5 2 3 3 4 3 3" xfId="43988" xr:uid="{00000000-0005-0000-0000-00002A7C0000}"/>
    <cellStyle name="40 % - Markeringsfarve5 2 3 3 4 4" xfId="22001" xr:uid="{00000000-0005-0000-0000-00002B7C0000}"/>
    <cellStyle name="40 % - Markeringsfarve5 2 3 3 4 5" xfId="36989" xr:uid="{00000000-0005-0000-0000-00002C7C0000}"/>
    <cellStyle name="40 % - Markeringsfarve5 2 3 3 5" xfId="5923" xr:uid="{00000000-0005-0000-0000-00002D7C0000}"/>
    <cellStyle name="40 % - Markeringsfarve5 2 3 3 5 2" xfId="13842" xr:uid="{00000000-0005-0000-0000-00002E7C0000}"/>
    <cellStyle name="40 % - Markeringsfarve5 2 3 3 5 2 2" xfId="30157" xr:uid="{00000000-0005-0000-0000-00002F7C0000}"/>
    <cellStyle name="40 % - Markeringsfarve5 2 3 3 5 2 3" xfId="45121" xr:uid="{00000000-0005-0000-0000-0000307C0000}"/>
    <cellStyle name="40 % - Markeringsfarve5 2 3 3 5 3" xfId="23135" xr:uid="{00000000-0005-0000-0000-0000317C0000}"/>
    <cellStyle name="40 % - Markeringsfarve5 2 3 3 5 4" xfId="38122" xr:uid="{00000000-0005-0000-0000-0000327C0000}"/>
    <cellStyle name="40 % - Markeringsfarve5 2 3 3 6" xfId="12699" xr:uid="{00000000-0005-0000-0000-0000337C0000}"/>
    <cellStyle name="40 % - Markeringsfarve5 2 3 3 6 2" xfId="29019" xr:uid="{00000000-0005-0000-0000-0000347C0000}"/>
    <cellStyle name="40 % - Markeringsfarve5 2 3 3 6 3" xfId="43984" xr:uid="{00000000-0005-0000-0000-0000357C0000}"/>
    <cellStyle name="40 % - Markeringsfarve5 2 3 3 7" xfId="21997" xr:uid="{00000000-0005-0000-0000-0000367C0000}"/>
    <cellStyle name="40 % - Markeringsfarve5 2 3 3 8" xfId="36985" xr:uid="{00000000-0005-0000-0000-0000377C0000}"/>
    <cellStyle name="40 % - Markeringsfarve5 2 3 3 9" xfId="56517" xr:uid="{00000000-0005-0000-0000-0000387C0000}"/>
    <cellStyle name="40 % - Markeringsfarve5 2 3 4" xfId="4144" xr:uid="{00000000-0005-0000-0000-0000397C0000}"/>
    <cellStyle name="40 % - Markeringsfarve5 2 3 4 2" xfId="4145" xr:uid="{00000000-0005-0000-0000-00003A7C0000}"/>
    <cellStyle name="40 % - Markeringsfarve5 2 3 4 2 2" xfId="4146" xr:uid="{00000000-0005-0000-0000-00003B7C0000}"/>
    <cellStyle name="40 % - Markeringsfarve5 2 3 4 2 2 2" xfId="7898" xr:uid="{00000000-0005-0000-0000-00003C7C0000}"/>
    <cellStyle name="40 % - Markeringsfarve5 2 3 4 2 2 2 2" xfId="15800" xr:uid="{00000000-0005-0000-0000-00003D7C0000}"/>
    <cellStyle name="40 % - Markeringsfarve5 2 3 4 2 2 2 2 2" xfId="32115" xr:uid="{00000000-0005-0000-0000-00003E7C0000}"/>
    <cellStyle name="40 % - Markeringsfarve5 2 3 4 2 2 2 2 3" xfId="47079" xr:uid="{00000000-0005-0000-0000-00003F7C0000}"/>
    <cellStyle name="40 % - Markeringsfarve5 2 3 4 2 2 2 3" xfId="25093" xr:uid="{00000000-0005-0000-0000-0000407C0000}"/>
    <cellStyle name="40 % - Markeringsfarve5 2 3 4 2 2 2 4" xfId="40080" xr:uid="{00000000-0005-0000-0000-0000417C0000}"/>
    <cellStyle name="40 % - Markeringsfarve5 2 3 4 2 2 3" xfId="12706" xr:uid="{00000000-0005-0000-0000-0000427C0000}"/>
    <cellStyle name="40 % - Markeringsfarve5 2 3 4 2 2 3 2" xfId="29026" xr:uid="{00000000-0005-0000-0000-0000437C0000}"/>
    <cellStyle name="40 % - Markeringsfarve5 2 3 4 2 2 3 3" xfId="43991" xr:uid="{00000000-0005-0000-0000-0000447C0000}"/>
    <cellStyle name="40 % - Markeringsfarve5 2 3 4 2 2 4" xfId="22004" xr:uid="{00000000-0005-0000-0000-0000457C0000}"/>
    <cellStyle name="40 % - Markeringsfarve5 2 3 4 2 2 5" xfId="36992" xr:uid="{00000000-0005-0000-0000-0000467C0000}"/>
    <cellStyle name="40 % - Markeringsfarve5 2 3 4 2 3" xfId="6427" xr:uid="{00000000-0005-0000-0000-0000477C0000}"/>
    <cellStyle name="40 % - Markeringsfarve5 2 3 4 2 3 2" xfId="14342" xr:uid="{00000000-0005-0000-0000-0000487C0000}"/>
    <cellStyle name="40 % - Markeringsfarve5 2 3 4 2 3 2 2" xfId="30657" xr:uid="{00000000-0005-0000-0000-0000497C0000}"/>
    <cellStyle name="40 % - Markeringsfarve5 2 3 4 2 3 2 3" xfId="45621" xr:uid="{00000000-0005-0000-0000-00004A7C0000}"/>
    <cellStyle name="40 % - Markeringsfarve5 2 3 4 2 3 3" xfId="23635" xr:uid="{00000000-0005-0000-0000-00004B7C0000}"/>
    <cellStyle name="40 % - Markeringsfarve5 2 3 4 2 3 4" xfId="38622" xr:uid="{00000000-0005-0000-0000-00004C7C0000}"/>
    <cellStyle name="40 % - Markeringsfarve5 2 3 4 2 4" xfId="12705" xr:uid="{00000000-0005-0000-0000-00004D7C0000}"/>
    <cellStyle name="40 % - Markeringsfarve5 2 3 4 2 4 2" xfId="29025" xr:uid="{00000000-0005-0000-0000-00004E7C0000}"/>
    <cellStyle name="40 % - Markeringsfarve5 2 3 4 2 4 3" xfId="43990" xr:uid="{00000000-0005-0000-0000-00004F7C0000}"/>
    <cellStyle name="40 % - Markeringsfarve5 2 3 4 2 5" xfId="22003" xr:uid="{00000000-0005-0000-0000-0000507C0000}"/>
    <cellStyle name="40 % - Markeringsfarve5 2 3 4 2 6" xfId="36991" xr:uid="{00000000-0005-0000-0000-0000517C0000}"/>
    <cellStyle name="40 % - Markeringsfarve5 2 3 4 3" xfId="4147" xr:uid="{00000000-0005-0000-0000-0000527C0000}"/>
    <cellStyle name="40 % - Markeringsfarve5 2 3 4 3 2" xfId="7174" xr:uid="{00000000-0005-0000-0000-0000537C0000}"/>
    <cellStyle name="40 % - Markeringsfarve5 2 3 4 3 2 2" xfId="15085" xr:uid="{00000000-0005-0000-0000-0000547C0000}"/>
    <cellStyle name="40 % - Markeringsfarve5 2 3 4 3 2 2 2" xfId="31400" xr:uid="{00000000-0005-0000-0000-0000557C0000}"/>
    <cellStyle name="40 % - Markeringsfarve5 2 3 4 3 2 2 3" xfId="46364" xr:uid="{00000000-0005-0000-0000-0000567C0000}"/>
    <cellStyle name="40 % - Markeringsfarve5 2 3 4 3 2 3" xfId="24378" xr:uid="{00000000-0005-0000-0000-0000577C0000}"/>
    <cellStyle name="40 % - Markeringsfarve5 2 3 4 3 2 4" xfId="39365" xr:uid="{00000000-0005-0000-0000-0000587C0000}"/>
    <cellStyle name="40 % - Markeringsfarve5 2 3 4 3 3" xfId="12707" xr:uid="{00000000-0005-0000-0000-0000597C0000}"/>
    <cellStyle name="40 % - Markeringsfarve5 2 3 4 3 3 2" xfId="29027" xr:uid="{00000000-0005-0000-0000-00005A7C0000}"/>
    <cellStyle name="40 % - Markeringsfarve5 2 3 4 3 3 3" xfId="43992" xr:uid="{00000000-0005-0000-0000-00005B7C0000}"/>
    <cellStyle name="40 % - Markeringsfarve5 2 3 4 3 4" xfId="22005" xr:uid="{00000000-0005-0000-0000-00005C7C0000}"/>
    <cellStyle name="40 % - Markeringsfarve5 2 3 4 3 5" xfId="36993" xr:uid="{00000000-0005-0000-0000-00005D7C0000}"/>
    <cellStyle name="40 % - Markeringsfarve5 2 3 4 4" xfId="4148" xr:uid="{00000000-0005-0000-0000-00005E7C0000}"/>
    <cellStyle name="40 % - Markeringsfarve5 2 3 4 4 2" xfId="8424" xr:uid="{00000000-0005-0000-0000-00005F7C0000}"/>
    <cellStyle name="40 % - Markeringsfarve5 2 3 4 4 2 2" xfId="16314" xr:uid="{00000000-0005-0000-0000-0000607C0000}"/>
    <cellStyle name="40 % - Markeringsfarve5 2 3 4 4 2 2 2" xfId="32629" xr:uid="{00000000-0005-0000-0000-0000617C0000}"/>
    <cellStyle name="40 % - Markeringsfarve5 2 3 4 4 2 2 3" xfId="47593" xr:uid="{00000000-0005-0000-0000-0000627C0000}"/>
    <cellStyle name="40 % - Markeringsfarve5 2 3 4 4 2 3" xfId="25607" xr:uid="{00000000-0005-0000-0000-0000637C0000}"/>
    <cellStyle name="40 % - Markeringsfarve5 2 3 4 4 2 4" xfId="40594" xr:uid="{00000000-0005-0000-0000-0000647C0000}"/>
    <cellStyle name="40 % - Markeringsfarve5 2 3 4 4 3" xfId="12708" xr:uid="{00000000-0005-0000-0000-0000657C0000}"/>
    <cellStyle name="40 % - Markeringsfarve5 2 3 4 4 3 2" xfId="29028" xr:uid="{00000000-0005-0000-0000-0000667C0000}"/>
    <cellStyle name="40 % - Markeringsfarve5 2 3 4 4 3 3" xfId="43993" xr:uid="{00000000-0005-0000-0000-0000677C0000}"/>
    <cellStyle name="40 % - Markeringsfarve5 2 3 4 4 4" xfId="22006" xr:uid="{00000000-0005-0000-0000-0000687C0000}"/>
    <cellStyle name="40 % - Markeringsfarve5 2 3 4 4 5" xfId="36994" xr:uid="{00000000-0005-0000-0000-0000697C0000}"/>
    <cellStyle name="40 % - Markeringsfarve5 2 3 4 5" xfId="5924" xr:uid="{00000000-0005-0000-0000-00006A7C0000}"/>
    <cellStyle name="40 % - Markeringsfarve5 2 3 4 5 2" xfId="13843" xr:uid="{00000000-0005-0000-0000-00006B7C0000}"/>
    <cellStyle name="40 % - Markeringsfarve5 2 3 4 5 2 2" xfId="30158" xr:uid="{00000000-0005-0000-0000-00006C7C0000}"/>
    <cellStyle name="40 % - Markeringsfarve5 2 3 4 5 2 3" xfId="45122" xr:uid="{00000000-0005-0000-0000-00006D7C0000}"/>
    <cellStyle name="40 % - Markeringsfarve5 2 3 4 5 3" xfId="23136" xr:uid="{00000000-0005-0000-0000-00006E7C0000}"/>
    <cellStyle name="40 % - Markeringsfarve5 2 3 4 5 4" xfId="38123" xr:uid="{00000000-0005-0000-0000-00006F7C0000}"/>
    <cellStyle name="40 % - Markeringsfarve5 2 3 4 6" xfId="12704" xr:uid="{00000000-0005-0000-0000-0000707C0000}"/>
    <cellStyle name="40 % - Markeringsfarve5 2 3 4 6 2" xfId="29024" xr:uid="{00000000-0005-0000-0000-0000717C0000}"/>
    <cellStyle name="40 % - Markeringsfarve5 2 3 4 6 3" xfId="43989" xr:uid="{00000000-0005-0000-0000-0000727C0000}"/>
    <cellStyle name="40 % - Markeringsfarve5 2 3 4 7" xfId="22002" xr:uid="{00000000-0005-0000-0000-0000737C0000}"/>
    <cellStyle name="40 % - Markeringsfarve5 2 3 4 8" xfId="36990" xr:uid="{00000000-0005-0000-0000-0000747C0000}"/>
    <cellStyle name="40 % - Markeringsfarve5 2 3 5" xfId="4149" xr:uid="{00000000-0005-0000-0000-0000757C0000}"/>
    <cellStyle name="40 % - Markeringsfarve5 2 3 5 2" xfId="4150" xr:uid="{00000000-0005-0000-0000-0000767C0000}"/>
    <cellStyle name="40 % - Markeringsfarve5 2 3 5 2 2" xfId="4151" xr:uid="{00000000-0005-0000-0000-0000777C0000}"/>
    <cellStyle name="40 % - Markeringsfarve5 2 3 5 2 2 2" xfId="8015" xr:uid="{00000000-0005-0000-0000-0000787C0000}"/>
    <cellStyle name="40 % - Markeringsfarve5 2 3 5 2 2 2 2" xfId="15917" xr:uid="{00000000-0005-0000-0000-0000797C0000}"/>
    <cellStyle name="40 % - Markeringsfarve5 2 3 5 2 2 2 2 2" xfId="32232" xr:uid="{00000000-0005-0000-0000-00007A7C0000}"/>
    <cellStyle name="40 % - Markeringsfarve5 2 3 5 2 2 2 2 3" xfId="47196" xr:uid="{00000000-0005-0000-0000-00007B7C0000}"/>
    <cellStyle name="40 % - Markeringsfarve5 2 3 5 2 2 2 3" xfId="25210" xr:uid="{00000000-0005-0000-0000-00007C7C0000}"/>
    <cellStyle name="40 % - Markeringsfarve5 2 3 5 2 2 2 4" xfId="40197" xr:uid="{00000000-0005-0000-0000-00007D7C0000}"/>
    <cellStyle name="40 % - Markeringsfarve5 2 3 5 2 2 3" xfId="12711" xr:uid="{00000000-0005-0000-0000-00007E7C0000}"/>
    <cellStyle name="40 % - Markeringsfarve5 2 3 5 2 2 3 2" xfId="29031" xr:uid="{00000000-0005-0000-0000-00007F7C0000}"/>
    <cellStyle name="40 % - Markeringsfarve5 2 3 5 2 2 3 3" xfId="43996" xr:uid="{00000000-0005-0000-0000-0000807C0000}"/>
    <cellStyle name="40 % - Markeringsfarve5 2 3 5 2 2 4" xfId="22009" xr:uid="{00000000-0005-0000-0000-0000817C0000}"/>
    <cellStyle name="40 % - Markeringsfarve5 2 3 5 2 2 5" xfId="36997" xr:uid="{00000000-0005-0000-0000-0000827C0000}"/>
    <cellStyle name="40 % - Markeringsfarve5 2 3 5 2 3" xfId="6526" xr:uid="{00000000-0005-0000-0000-0000837C0000}"/>
    <cellStyle name="40 % - Markeringsfarve5 2 3 5 2 3 2" xfId="14441" xr:uid="{00000000-0005-0000-0000-0000847C0000}"/>
    <cellStyle name="40 % - Markeringsfarve5 2 3 5 2 3 2 2" xfId="30756" xr:uid="{00000000-0005-0000-0000-0000857C0000}"/>
    <cellStyle name="40 % - Markeringsfarve5 2 3 5 2 3 2 3" xfId="45720" xr:uid="{00000000-0005-0000-0000-0000867C0000}"/>
    <cellStyle name="40 % - Markeringsfarve5 2 3 5 2 3 3" xfId="23734" xr:uid="{00000000-0005-0000-0000-0000877C0000}"/>
    <cellStyle name="40 % - Markeringsfarve5 2 3 5 2 3 4" xfId="38721" xr:uid="{00000000-0005-0000-0000-0000887C0000}"/>
    <cellStyle name="40 % - Markeringsfarve5 2 3 5 2 4" xfId="12710" xr:uid="{00000000-0005-0000-0000-0000897C0000}"/>
    <cellStyle name="40 % - Markeringsfarve5 2 3 5 2 4 2" xfId="29030" xr:uid="{00000000-0005-0000-0000-00008A7C0000}"/>
    <cellStyle name="40 % - Markeringsfarve5 2 3 5 2 4 3" xfId="43995" xr:uid="{00000000-0005-0000-0000-00008B7C0000}"/>
    <cellStyle name="40 % - Markeringsfarve5 2 3 5 2 5" xfId="22008" xr:uid="{00000000-0005-0000-0000-00008C7C0000}"/>
    <cellStyle name="40 % - Markeringsfarve5 2 3 5 2 6" xfId="36996" xr:uid="{00000000-0005-0000-0000-00008D7C0000}"/>
    <cellStyle name="40 % - Markeringsfarve5 2 3 5 3" xfId="4152" xr:uid="{00000000-0005-0000-0000-00008E7C0000}"/>
    <cellStyle name="40 % - Markeringsfarve5 2 3 5 3 2" xfId="7291" xr:uid="{00000000-0005-0000-0000-00008F7C0000}"/>
    <cellStyle name="40 % - Markeringsfarve5 2 3 5 3 2 2" xfId="15202" xr:uid="{00000000-0005-0000-0000-0000907C0000}"/>
    <cellStyle name="40 % - Markeringsfarve5 2 3 5 3 2 2 2" xfId="31517" xr:uid="{00000000-0005-0000-0000-0000917C0000}"/>
    <cellStyle name="40 % - Markeringsfarve5 2 3 5 3 2 2 3" xfId="46481" xr:uid="{00000000-0005-0000-0000-0000927C0000}"/>
    <cellStyle name="40 % - Markeringsfarve5 2 3 5 3 2 3" xfId="24495" xr:uid="{00000000-0005-0000-0000-0000937C0000}"/>
    <cellStyle name="40 % - Markeringsfarve5 2 3 5 3 2 4" xfId="39482" xr:uid="{00000000-0005-0000-0000-0000947C0000}"/>
    <cellStyle name="40 % - Markeringsfarve5 2 3 5 3 3" xfId="12712" xr:uid="{00000000-0005-0000-0000-0000957C0000}"/>
    <cellStyle name="40 % - Markeringsfarve5 2 3 5 3 3 2" xfId="29032" xr:uid="{00000000-0005-0000-0000-0000967C0000}"/>
    <cellStyle name="40 % - Markeringsfarve5 2 3 5 3 3 3" xfId="43997" xr:uid="{00000000-0005-0000-0000-0000977C0000}"/>
    <cellStyle name="40 % - Markeringsfarve5 2 3 5 3 4" xfId="22010" xr:uid="{00000000-0005-0000-0000-0000987C0000}"/>
    <cellStyle name="40 % - Markeringsfarve5 2 3 5 3 5" xfId="36998" xr:uid="{00000000-0005-0000-0000-0000997C0000}"/>
    <cellStyle name="40 % - Markeringsfarve5 2 3 5 4" xfId="4153" xr:uid="{00000000-0005-0000-0000-00009A7C0000}"/>
    <cellStyle name="40 % - Markeringsfarve5 2 3 5 4 2" xfId="8680" xr:uid="{00000000-0005-0000-0000-00009B7C0000}"/>
    <cellStyle name="40 % - Markeringsfarve5 2 3 5 4 2 2" xfId="16560" xr:uid="{00000000-0005-0000-0000-00009C7C0000}"/>
    <cellStyle name="40 % - Markeringsfarve5 2 3 5 4 2 2 2" xfId="32875" xr:uid="{00000000-0005-0000-0000-00009D7C0000}"/>
    <cellStyle name="40 % - Markeringsfarve5 2 3 5 4 2 2 3" xfId="47839" xr:uid="{00000000-0005-0000-0000-00009E7C0000}"/>
    <cellStyle name="40 % - Markeringsfarve5 2 3 5 4 2 3" xfId="25853" xr:uid="{00000000-0005-0000-0000-00009F7C0000}"/>
    <cellStyle name="40 % - Markeringsfarve5 2 3 5 4 2 4" xfId="40840" xr:uid="{00000000-0005-0000-0000-0000A07C0000}"/>
    <cellStyle name="40 % - Markeringsfarve5 2 3 5 4 3" xfId="12713" xr:uid="{00000000-0005-0000-0000-0000A17C0000}"/>
    <cellStyle name="40 % - Markeringsfarve5 2 3 5 4 3 2" xfId="29033" xr:uid="{00000000-0005-0000-0000-0000A27C0000}"/>
    <cellStyle name="40 % - Markeringsfarve5 2 3 5 4 3 3" xfId="43998" xr:uid="{00000000-0005-0000-0000-0000A37C0000}"/>
    <cellStyle name="40 % - Markeringsfarve5 2 3 5 4 4" xfId="22011" xr:uid="{00000000-0005-0000-0000-0000A47C0000}"/>
    <cellStyle name="40 % - Markeringsfarve5 2 3 5 4 5" xfId="36999" xr:uid="{00000000-0005-0000-0000-0000A57C0000}"/>
    <cellStyle name="40 % - Markeringsfarve5 2 3 5 5" xfId="5925" xr:uid="{00000000-0005-0000-0000-0000A67C0000}"/>
    <cellStyle name="40 % - Markeringsfarve5 2 3 5 5 2" xfId="13844" xr:uid="{00000000-0005-0000-0000-0000A77C0000}"/>
    <cellStyle name="40 % - Markeringsfarve5 2 3 5 5 2 2" xfId="30159" xr:uid="{00000000-0005-0000-0000-0000A87C0000}"/>
    <cellStyle name="40 % - Markeringsfarve5 2 3 5 5 2 3" xfId="45123" xr:uid="{00000000-0005-0000-0000-0000A97C0000}"/>
    <cellStyle name="40 % - Markeringsfarve5 2 3 5 5 3" xfId="23137" xr:uid="{00000000-0005-0000-0000-0000AA7C0000}"/>
    <cellStyle name="40 % - Markeringsfarve5 2 3 5 5 4" xfId="38124" xr:uid="{00000000-0005-0000-0000-0000AB7C0000}"/>
    <cellStyle name="40 % - Markeringsfarve5 2 3 5 6" xfId="12709" xr:uid="{00000000-0005-0000-0000-0000AC7C0000}"/>
    <cellStyle name="40 % - Markeringsfarve5 2 3 5 6 2" xfId="29029" xr:uid="{00000000-0005-0000-0000-0000AD7C0000}"/>
    <cellStyle name="40 % - Markeringsfarve5 2 3 5 6 3" xfId="43994" xr:uid="{00000000-0005-0000-0000-0000AE7C0000}"/>
    <cellStyle name="40 % - Markeringsfarve5 2 3 5 7" xfId="22007" xr:uid="{00000000-0005-0000-0000-0000AF7C0000}"/>
    <cellStyle name="40 % - Markeringsfarve5 2 3 5 8" xfId="36995" xr:uid="{00000000-0005-0000-0000-0000B07C0000}"/>
    <cellStyle name="40 % - Markeringsfarve5 2 3 6" xfId="4154" xr:uid="{00000000-0005-0000-0000-0000B17C0000}"/>
    <cellStyle name="40 % - Markeringsfarve5 2 3 6 2" xfId="4155" xr:uid="{00000000-0005-0000-0000-0000B27C0000}"/>
    <cellStyle name="40 % - Markeringsfarve5 2 3 6 2 2" xfId="4156" xr:uid="{00000000-0005-0000-0000-0000B37C0000}"/>
    <cellStyle name="40 % - Markeringsfarve5 2 3 6 2 2 2" xfId="8112" xr:uid="{00000000-0005-0000-0000-0000B47C0000}"/>
    <cellStyle name="40 % - Markeringsfarve5 2 3 6 2 2 2 2" xfId="16014" xr:uid="{00000000-0005-0000-0000-0000B57C0000}"/>
    <cellStyle name="40 % - Markeringsfarve5 2 3 6 2 2 2 2 2" xfId="32329" xr:uid="{00000000-0005-0000-0000-0000B67C0000}"/>
    <cellStyle name="40 % - Markeringsfarve5 2 3 6 2 2 2 2 3" xfId="47293" xr:uid="{00000000-0005-0000-0000-0000B77C0000}"/>
    <cellStyle name="40 % - Markeringsfarve5 2 3 6 2 2 2 3" xfId="25307" xr:uid="{00000000-0005-0000-0000-0000B87C0000}"/>
    <cellStyle name="40 % - Markeringsfarve5 2 3 6 2 2 2 4" xfId="40294" xr:uid="{00000000-0005-0000-0000-0000B97C0000}"/>
    <cellStyle name="40 % - Markeringsfarve5 2 3 6 2 2 3" xfId="12716" xr:uid="{00000000-0005-0000-0000-0000BA7C0000}"/>
    <cellStyle name="40 % - Markeringsfarve5 2 3 6 2 2 3 2" xfId="29036" xr:uid="{00000000-0005-0000-0000-0000BB7C0000}"/>
    <cellStyle name="40 % - Markeringsfarve5 2 3 6 2 2 3 3" xfId="44001" xr:uid="{00000000-0005-0000-0000-0000BC7C0000}"/>
    <cellStyle name="40 % - Markeringsfarve5 2 3 6 2 2 4" xfId="22014" xr:uid="{00000000-0005-0000-0000-0000BD7C0000}"/>
    <cellStyle name="40 % - Markeringsfarve5 2 3 6 2 2 5" xfId="37002" xr:uid="{00000000-0005-0000-0000-0000BE7C0000}"/>
    <cellStyle name="40 % - Markeringsfarve5 2 3 6 2 3" xfId="6605" xr:uid="{00000000-0005-0000-0000-0000BF7C0000}"/>
    <cellStyle name="40 % - Markeringsfarve5 2 3 6 2 3 2" xfId="14520" xr:uid="{00000000-0005-0000-0000-0000C07C0000}"/>
    <cellStyle name="40 % - Markeringsfarve5 2 3 6 2 3 2 2" xfId="30835" xr:uid="{00000000-0005-0000-0000-0000C17C0000}"/>
    <cellStyle name="40 % - Markeringsfarve5 2 3 6 2 3 2 3" xfId="45799" xr:uid="{00000000-0005-0000-0000-0000C27C0000}"/>
    <cellStyle name="40 % - Markeringsfarve5 2 3 6 2 3 3" xfId="23813" xr:uid="{00000000-0005-0000-0000-0000C37C0000}"/>
    <cellStyle name="40 % - Markeringsfarve5 2 3 6 2 3 4" xfId="38800" xr:uid="{00000000-0005-0000-0000-0000C47C0000}"/>
    <cellStyle name="40 % - Markeringsfarve5 2 3 6 2 4" xfId="12715" xr:uid="{00000000-0005-0000-0000-0000C57C0000}"/>
    <cellStyle name="40 % - Markeringsfarve5 2 3 6 2 4 2" xfId="29035" xr:uid="{00000000-0005-0000-0000-0000C67C0000}"/>
    <cellStyle name="40 % - Markeringsfarve5 2 3 6 2 4 3" xfId="44000" xr:uid="{00000000-0005-0000-0000-0000C77C0000}"/>
    <cellStyle name="40 % - Markeringsfarve5 2 3 6 2 5" xfId="22013" xr:uid="{00000000-0005-0000-0000-0000C87C0000}"/>
    <cellStyle name="40 % - Markeringsfarve5 2 3 6 2 6" xfId="37001" xr:uid="{00000000-0005-0000-0000-0000C97C0000}"/>
    <cellStyle name="40 % - Markeringsfarve5 2 3 6 3" xfId="4157" xr:uid="{00000000-0005-0000-0000-0000CA7C0000}"/>
    <cellStyle name="40 % - Markeringsfarve5 2 3 6 3 2" xfId="7389" xr:uid="{00000000-0005-0000-0000-0000CB7C0000}"/>
    <cellStyle name="40 % - Markeringsfarve5 2 3 6 3 2 2" xfId="15300" xr:uid="{00000000-0005-0000-0000-0000CC7C0000}"/>
    <cellStyle name="40 % - Markeringsfarve5 2 3 6 3 2 2 2" xfId="31615" xr:uid="{00000000-0005-0000-0000-0000CD7C0000}"/>
    <cellStyle name="40 % - Markeringsfarve5 2 3 6 3 2 2 3" xfId="46579" xr:uid="{00000000-0005-0000-0000-0000CE7C0000}"/>
    <cellStyle name="40 % - Markeringsfarve5 2 3 6 3 2 3" xfId="24593" xr:uid="{00000000-0005-0000-0000-0000CF7C0000}"/>
    <cellStyle name="40 % - Markeringsfarve5 2 3 6 3 2 4" xfId="39580" xr:uid="{00000000-0005-0000-0000-0000D07C0000}"/>
    <cellStyle name="40 % - Markeringsfarve5 2 3 6 3 3" xfId="12717" xr:uid="{00000000-0005-0000-0000-0000D17C0000}"/>
    <cellStyle name="40 % - Markeringsfarve5 2 3 6 3 3 2" xfId="29037" xr:uid="{00000000-0005-0000-0000-0000D27C0000}"/>
    <cellStyle name="40 % - Markeringsfarve5 2 3 6 3 3 3" xfId="44002" xr:uid="{00000000-0005-0000-0000-0000D37C0000}"/>
    <cellStyle name="40 % - Markeringsfarve5 2 3 6 3 4" xfId="22015" xr:uid="{00000000-0005-0000-0000-0000D47C0000}"/>
    <cellStyle name="40 % - Markeringsfarve5 2 3 6 3 5" xfId="37003" xr:uid="{00000000-0005-0000-0000-0000D57C0000}"/>
    <cellStyle name="40 % - Markeringsfarve5 2 3 6 4" xfId="4158" xr:uid="{00000000-0005-0000-0000-0000D67C0000}"/>
    <cellStyle name="40 % - Markeringsfarve5 2 3 6 4 2" xfId="8404" xr:uid="{00000000-0005-0000-0000-0000D77C0000}"/>
    <cellStyle name="40 % - Markeringsfarve5 2 3 6 4 2 2" xfId="16296" xr:uid="{00000000-0005-0000-0000-0000D87C0000}"/>
    <cellStyle name="40 % - Markeringsfarve5 2 3 6 4 2 2 2" xfId="32611" xr:uid="{00000000-0005-0000-0000-0000D97C0000}"/>
    <cellStyle name="40 % - Markeringsfarve5 2 3 6 4 2 2 3" xfId="47575" xr:uid="{00000000-0005-0000-0000-0000DA7C0000}"/>
    <cellStyle name="40 % - Markeringsfarve5 2 3 6 4 2 3" xfId="25589" xr:uid="{00000000-0005-0000-0000-0000DB7C0000}"/>
    <cellStyle name="40 % - Markeringsfarve5 2 3 6 4 2 4" xfId="40576" xr:uid="{00000000-0005-0000-0000-0000DC7C0000}"/>
    <cellStyle name="40 % - Markeringsfarve5 2 3 6 4 3" xfId="12718" xr:uid="{00000000-0005-0000-0000-0000DD7C0000}"/>
    <cellStyle name="40 % - Markeringsfarve5 2 3 6 4 3 2" xfId="29038" xr:uid="{00000000-0005-0000-0000-0000DE7C0000}"/>
    <cellStyle name="40 % - Markeringsfarve5 2 3 6 4 3 3" xfId="44003" xr:uid="{00000000-0005-0000-0000-0000DF7C0000}"/>
    <cellStyle name="40 % - Markeringsfarve5 2 3 6 4 4" xfId="22016" xr:uid="{00000000-0005-0000-0000-0000E07C0000}"/>
    <cellStyle name="40 % - Markeringsfarve5 2 3 6 4 5" xfId="37004" xr:uid="{00000000-0005-0000-0000-0000E17C0000}"/>
    <cellStyle name="40 % - Markeringsfarve5 2 3 6 5" xfId="5926" xr:uid="{00000000-0005-0000-0000-0000E27C0000}"/>
    <cellStyle name="40 % - Markeringsfarve5 2 3 6 5 2" xfId="13845" xr:uid="{00000000-0005-0000-0000-0000E37C0000}"/>
    <cellStyle name="40 % - Markeringsfarve5 2 3 6 5 2 2" xfId="30160" xr:uid="{00000000-0005-0000-0000-0000E47C0000}"/>
    <cellStyle name="40 % - Markeringsfarve5 2 3 6 5 2 3" xfId="45124" xr:uid="{00000000-0005-0000-0000-0000E57C0000}"/>
    <cellStyle name="40 % - Markeringsfarve5 2 3 6 5 3" xfId="23138" xr:uid="{00000000-0005-0000-0000-0000E67C0000}"/>
    <cellStyle name="40 % - Markeringsfarve5 2 3 6 5 4" xfId="38125" xr:uid="{00000000-0005-0000-0000-0000E77C0000}"/>
    <cellStyle name="40 % - Markeringsfarve5 2 3 6 6" xfId="12714" xr:uid="{00000000-0005-0000-0000-0000E87C0000}"/>
    <cellStyle name="40 % - Markeringsfarve5 2 3 6 6 2" xfId="29034" xr:uid="{00000000-0005-0000-0000-0000E97C0000}"/>
    <cellStyle name="40 % - Markeringsfarve5 2 3 6 6 3" xfId="43999" xr:uid="{00000000-0005-0000-0000-0000EA7C0000}"/>
    <cellStyle name="40 % - Markeringsfarve5 2 3 6 7" xfId="22012" xr:uid="{00000000-0005-0000-0000-0000EB7C0000}"/>
    <cellStyle name="40 % - Markeringsfarve5 2 3 6 8" xfId="37000" xr:uid="{00000000-0005-0000-0000-0000EC7C0000}"/>
    <cellStyle name="40 % - Markeringsfarve5 2 3 7" xfId="4159" xr:uid="{00000000-0005-0000-0000-0000ED7C0000}"/>
    <cellStyle name="40 % - Markeringsfarve5 2 3 7 2" xfId="4160" xr:uid="{00000000-0005-0000-0000-0000EE7C0000}"/>
    <cellStyle name="40 % - Markeringsfarve5 2 3 7 2 2" xfId="7541" xr:uid="{00000000-0005-0000-0000-0000EF7C0000}"/>
    <cellStyle name="40 % - Markeringsfarve5 2 3 7 2 2 2" xfId="15443" xr:uid="{00000000-0005-0000-0000-0000F07C0000}"/>
    <cellStyle name="40 % - Markeringsfarve5 2 3 7 2 2 2 2" xfId="31758" xr:uid="{00000000-0005-0000-0000-0000F17C0000}"/>
    <cellStyle name="40 % - Markeringsfarve5 2 3 7 2 2 2 3" xfId="46722" xr:uid="{00000000-0005-0000-0000-0000F27C0000}"/>
    <cellStyle name="40 % - Markeringsfarve5 2 3 7 2 2 3" xfId="24736" xr:uid="{00000000-0005-0000-0000-0000F37C0000}"/>
    <cellStyle name="40 % - Markeringsfarve5 2 3 7 2 2 4" xfId="39723" xr:uid="{00000000-0005-0000-0000-0000F47C0000}"/>
    <cellStyle name="40 % - Markeringsfarve5 2 3 7 2 3" xfId="12720" xr:uid="{00000000-0005-0000-0000-0000F57C0000}"/>
    <cellStyle name="40 % - Markeringsfarve5 2 3 7 2 3 2" xfId="29040" xr:uid="{00000000-0005-0000-0000-0000F67C0000}"/>
    <cellStyle name="40 % - Markeringsfarve5 2 3 7 2 3 3" xfId="44005" xr:uid="{00000000-0005-0000-0000-0000F77C0000}"/>
    <cellStyle name="40 % - Markeringsfarve5 2 3 7 2 4" xfId="22018" xr:uid="{00000000-0005-0000-0000-0000F87C0000}"/>
    <cellStyle name="40 % - Markeringsfarve5 2 3 7 2 5" xfId="37006" xr:uid="{00000000-0005-0000-0000-0000F97C0000}"/>
    <cellStyle name="40 % - Markeringsfarve5 2 3 7 3" xfId="6126" xr:uid="{00000000-0005-0000-0000-0000FA7C0000}"/>
    <cellStyle name="40 % - Markeringsfarve5 2 3 7 3 2" xfId="14044" xr:uid="{00000000-0005-0000-0000-0000FB7C0000}"/>
    <cellStyle name="40 % - Markeringsfarve5 2 3 7 3 2 2" xfId="30359" xr:uid="{00000000-0005-0000-0000-0000FC7C0000}"/>
    <cellStyle name="40 % - Markeringsfarve5 2 3 7 3 2 3" xfId="45323" xr:uid="{00000000-0005-0000-0000-0000FD7C0000}"/>
    <cellStyle name="40 % - Markeringsfarve5 2 3 7 3 3" xfId="23337" xr:uid="{00000000-0005-0000-0000-0000FE7C0000}"/>
    <cellStyle name="40 % - Markeringsfarve5 2 3 7 3 4" xfId="38324" xr:uid="{00000000-0005-0000-0000-0000FF7C0000}"/>
    <cellStyle name="40 % - Markeringsfarve5 2 3 7 4" xfId="12719" xr:uid="{00000000-0005-0000-0000-0000007D0000}"/>
    <cellStyle name="40 % - Markeringsfarve5 2 3 7 4 2" xfId="29039" xr:uid="{00000000-0005-0000-0000-0000017D0000}"/>
    <cellStyle name="40 % - Markeringsfarve5 2 3 7 4 3" xfId="44004" xr:uid="{00000000-0005-0000-0000-0000027D0000}"/>
    <cellStyle name="40 % - Markeringsfarve5 2 3 7 5" xfId="22017" xr:uid="{00000000-0005-0000-0000-0000037D0000}"/>
    <cellStyle name="40 % - Markeringsfarve5 2 3 7 6" xfId="37005" xr:uid="{00000000-0005-0000-0000-0000047D0000}"/>
    <cellStyle name="40 % - Markeringsfarve5 2 3 8" xfId="4161" xr:uid="{00000000-0005-0000-0000-0000057D0000}"/>
    <cellStyle name="40 % - Markeringsfarve5 2 3 8 2" xfId="6769" xr:uid="{00000000-0005-0000-0000-0000067D0000}"/>
    <cellStyle name="40 % - Markeringsfarve5 2 3 8 2 2" xfId="14681" xr:uid="{00000000-0005-0000-0000-0000077D0000}"/>
    <cellStyle name="40 % - Markeringsfarve5 2 3 8 2 2 2" xfId="30996" xr:uid="{00000000-0005-0000-0000-0000087D0000}"/>
    <cellStyle name="40 % - Markeringsfarve5 2 3 8 2 2 3" xfId="45960" xr:uid="{00000000-0005-0000-0000-0000097D0000}"/>
    <cellStyle name="40 % - Markeringsfarve5 2 3 8 2 3" xfId="23974" xr:uid="{00000000-0005-0000-0000-00000A7D0000}"/>
    <cellStyle name="40 % - Markeringsfarve5 2 3 8 2 4" xfId="38961" xr:uid="{00000000-0005-0000-0000-00000B7D0000}"/>
    <cellStyle name="40 % - Markeringsfarve5 2 3 8 3" xfId="12721" xr:uid="{00000000-0005-0000-0000-00000C7D0000}"/>
    <cellStyle name="40 % - Markeringsfarve5 2 3 8 3 2" xfId="29041" xr:uid="{00000000-0005-0000-0000-00000D7D0000}"/>
    <cellStyle name="40 % - Markeringsfarve5 2 3 8 3 3" xfId="44006" xr:uid="{00000000-0005-0000-0000-00000E7D0000}"/>
    <cellStyle name="40 % - Markeringsfarve5 2 3 8 4" xfId="22019" xr:uid="{00000000-0005-0000-0000-00000F7D0000}"/>
    <cellStyle name="40 % - Markeringsfarve5 2 3 8 5" xfId="37007" xr:uid="{00000000-0005-0000-0000-0000107D0000}"/>
    <cellStyle name="40 % - Markeringsfarve5 2 3 9" xfId="4162" xr:uid="{00000000-0005-0000-0000-0000117D0000}"/>
    <cellStyle name="40 % - Markeringsfarve5 2 3 9 2" xfId="8171" xr:uid="{00000000-0005-0000-0000-0000127D0000}"/>
    <cellStyle name="40 % - Markeringsfarve5 2 3 9 2 2" xfId="16069" xr:uid="{00000000-0005-0000-0000-0000137D0000}"/>
    <cellStyle name="40 % - Markeringsfarve5 2 3 9 2 2 2" xfId="32384" xr:uid="{00000000-0005-0000-0000-0000147D0000}"/>
    <cellStyle name="40 % - Markeringsfarve5 2 3 9 2 2 3" xfId="47348" xr:uid="{00000000-0005-0000-0000-0000157D0000}"/>
    <cellStyle name="40 % - Markeringsfarve5 2 3 9 2 3" xfId="25362" xr:uid="{00000000-0005-0000-0000-0000167D0000}"/>
    <cellStyle name="40 % - Markeringsfarve5 2 3 9 2 4" xfId="40349" xr:uid="{00000000-0005-0000-0000-0000177D0000}"/>
    <cellStyle name="40 % - Markeringsfarve5 2 3 9 3" xfId="12722" xr:uid="{00000000-0005-0000-0000-0000187D0000}"/>
    <cellStyle name="40 % - Markeringsfarve5 2 3 9 3 2" xfId="29042" xr:uid="{00000000-0005-0000-0000-0000197D0000}"/>
    <cellStyle name="40 % - Markeringsfarve5 2 3 9 3 3" xfId="44007" xr:uid="{00000000-0005-0000-0000-00001A7D0000}"/>
    <cellStyle name="40 % - Markeringsfarve5 2 3 9 4" xfId="22020" xr:uid="{00000000-0005-0000-0000-00001B7D0000}"/>
    <cellStyle name="40 % - Markeringsfarve5 2 3 9 5" xfId="37008" xr:uid="{00000000-0005-0000-0000-00001C7D0000}"/>
    <cellStyle name="40 % - Markeringsfarve5 2 4" xfId="4163" xr:uid="{00000000-0005-0000-0000-00001D7D0000}"/>
    <cellStyle name="40 % - Markeringsfarve5 2 4 2" xfId="4164" xr:uid="{00000000-0005-0000-0000-00001E7D0000}"/>
    <cellStyle name="40 % - Markeringsfarve5 2 4 2 2" xfId="4165" xr:uid="{00000000-0005-0000-0000-00001F7D0000}"/>
    <cellStyle name="40 % - Markeringsfarve5 2 4 2 2 2" xfId="7582" xr:uid="{00000000-0005-0000-0000-0000207D0000}"/>
    <cellStyle name="40 % - Markeringsfarve5 2 4 2 2 2 2" xfId="15484" xr:uid="{00000000-0005-0000-0000-0000217D0000}"/>
    <cellStyle name="40 % - Markeringsfarve5 2 4 2 2 2 2 2" xfId="31799" xr:uid="{00000000-0005-0000-0000-0000227D0000}"/>
    <cellStyle name="40 % - Markeringsfarve5 2 4 2 2 2 2 3" xfId="46763" xr:uid="{00000000-0005-0000-0000-0000237D0000}"/>
    <cellStyle name="40 % - Markeringsfarve5 2 4 2 2 2 3" xfId="24777" xr:uid="{00000000-0005-0000-0000-0000247D0000}"/>
    <cellStyle name="40 % - Markeringsfarve5 2 4 2 2 2 4" xfId="39764" xr:uid="{00000000-0005-0000-0000-0000257D0000}"/>
    <cellStyle name="40 % - Markeringsfarve5 2 4 2 2 3" xfId="12725" xr:uid="{00000000-0005-0000-0000-0000267D0000}"/>
    <cellStyle name="40 % - Markeringsfarve5 2 4 2 2 3 2" xfId="29045" xr:uid="{00000000-0005-0000-0000-0000277D0000}"/>
    <cellStyle name="40 % - Markeringsfarve5 2 4 2 2 3 3" xfId="44010" xr:uid="{00000000-0005-0000-0000-0000287D0000}"/>
    <cellStyle name="40 % - Markeringsfarve5 2 4 2 2 4" xfId="22023" xr:uid="{00000000-0005-0000-0000-0000297D0000}"/>
    <cellStyle name="40 % - Markeringsfarve5 2 4 2 2 5" xfId="37011" xr:uid="{00000000-0005-0000-0000-00002A7D0000}"/>
    <cellStyle name="40 % - Markeringsfarve5 2 4 2 3" xfId="6159" xr:uid="{00000000-0005-0000-0000-00002B7D0000}"/>
    <cellStyle name="40 % - Markeringsfarve5 2 4 2 3 2" xfId="14077" xr:uid="{00000000-0005-0000-0000-00002C7D0000}"/>
    <cellStyle name="40 % - Markeringsfarve5 2 4 2 3 2 2" xfId="30392" xr:uid="{00000000-0005-0000-0000-00002D7D0000}"/>
    <cellStyle name="40 % - Markeringsfarve5 2 4 2 3 2 3" xfId="45356" xr:uid="{00000000-0005-0000-0000-00002E7D0000}"/>
    <cellStyle name="40 % - Markeringsfarve5 2 4 2 3 3" xfId="23370" xr:uid="{00000000-0005-0000-0000-00002F7D0000}"/>
    <cellStyle name="40 % - Markeringsfarve5 2 4 2 3 4" xfId="38357" xr:uid="{00000000-0005-0000-0000-0000307D0000}"/>
    <cellStyle name="40 % - Markeringsfarve5 2 4 2 4" xfId="12724" xr:uid="{00000000-0005-0000-0000-0000317D0000}"/>
    <cellStyle name="40 % - Markeringsfarve5 2 4 2 4 2" xfId="29044" xr:uid="{00000000-0005-0000-0000-0000327D0000}"/>
    <cellStyle name="40 % - Markeringsfarve5 2 4 2 4 3" xfId="44009" xr:uid="{00000000-0005-0000-0000-0000337D0000}"/>
    <cellStyle name="40 % - Markeringsfarve5 2 4 2 5" xfId="22022" xr:uid="{00000000-0005-0000-0000-0000347D0000}"/>
    <cellStyle name="40 % - Markeringsfarve5 2 4 2 6" xfId="37010" xr:uid="{00000000-0005-0000-0000-0000357D0000}"/>
    <cellStyle name="40 % - Markeringsfarve5 2 4 2 7" xfId="57138" xr:uid="{00000000-0005-0000-0000-0000367D0000}"/>
    <cellStyle name="40 % - Markeringsfarve5 2 4 3" xfId="4166" xr:uid="{00000000-0005-0000-0000-0000377D0000}"/>
    <cellStyle name="40 % - Markeringsfarve5 2 4 3 2" xfId="6812" xr:uid="{00000000-0005-0000-0000-0000387D0000}"/>
    <cellStyle name="40 % - Markeringsfarve5 2 4 3 2 2" xfId="14724" xr:uid="{00000000-0005-0000-0000-0000397D0000}"/>
    <cellStyle name="40 % - Markeringsfarve5 2 4 3 2 2 2" xfId="31039" xr:uid="{00000000-0005-0000-0000-00003A7D0000}"/>
    <cellStyle name="40 % - Markeringsfarve5 2 4 3 2 2 3" xfId="46003" xr:uid="{00000000-0005-0000-0000-00003B7D0000}"/>
    <cellStyle name="40 % - Markeringsfarve5 2 4 3 2 3" xfId="24017" xr:uid="{00000000-0005-0000-0000-00003C7D0000}"/>
    <cellStyle name="40 % - Markeringsfarve5 2 4 3 2 4" xfId="39004" xr:uid="{00000000-0005-0000-0000-00003D7D0000}"/>
    <cellStyle name="40 % - Markeringsfarve5 2 4 3 3" xfId="12726" xr:uid="{00000000-0005-0000-0000-00003E7D0000}"/>
    <cellStyle name="40 % - Markeringsfarve5 2 4 3 3 2" xfId="29046" xr:uid="{00000000-0005-0000-0000-00003F7D0000}"/>
    <cellStyle name="40 % - Markeringsfarve5 2 4 3 3 3" xfId="44011" xr:uid="{00000000-0005-0000-0000-0000407D0000}"/>
    <cellStyle name="40 % - Markeringsfarve5 2 4 3 4" xfId="22024" xr:uid="{00000000-0005-0000-0000-0000417D0000}"/>
    <cellStyle name="40 % - Markeringsfarve5 2 4 3 5" xfId="37012" xr:uid="{00000000-0005-0000-0000-0000427D0000}"/>
    <cellStyle name="40 % - Markeringsfarve5 2 4 4" xfId="4167" xr:uid="{00000000-0005-0000-0000-0000437D0000}"/>
    <cellStyle name="40 % - Markeringsfarve5 2 4 4 2" xfId="8638" xr:uid="{00000000-0005-0000-0000-0000447D0000}"/>
    <cellStyle name="40 % - Markeringsfarve5 2 4 4 2 2" xfId="16520" xr:uid="{00000000-0005-0000-0000-0000457D0000}"/>
    <cellStyle name="40 % - Markeringsfarve5 2 4 4 2 2 2" xfId="32835" xr:uid="{00000000-0005-0000-0000-0000467D0000}"/>
    <cellStyle name="40 % - Markeringsfarve5 2 4 4 2 2 3" xfId="47799" xr:uid="{00000000-0005-0000-0000-0000477D0000}"/>
    <cellStyle name="40 % - Markeringsfarve5 2 4 4 2 3" xfId="25813" xr:uid="{00000000-0005-0000-0000-0000487D0000}"/>
    <cellStyle name="40 % - Markeringsfarve5 2 4 4 2 4" xfId="40800" xr:uid="{00000000-0005-0000-0000-0000497D0000}"/>
    <cellStyle name="40 % - Markeringsfarve5 2 4 4 3" xfId="12727" xr:uid="{00000000-0005-0000-0000-00004A7D0000}"/>
    <cellStyle name="40 % - Markeringsfarve5 2 4 4 3 2" xfId="29047" xr:uid="{00000000-0005-0000-0000-00004B7D0000}"/>
    <cellStyle name="40 % - Markeringsfarve5 2 4 4 3 3" xfId="44012" xr:uid="{00000000-0005-0000-0000-00004C7D0000}"/>
    <cellStyle name="40 % - Markeringsfarve5 2 4 4 4" xfId="22025" xr:uid="{00000000-0005-0000-0000-00004D7D0000}"/>
    <cellStyle name="40 % - Markeringsfarve5 2 4 4 5" xfId="37013" xr:uid="{00000000-0005-0000-0000-00004E7D0000}"/>
    <cellStyle name="40 % - Markeringsfarve5 2 4 5" xfId="5927" xr:uid="{00000000-0005-0000-0000-00004F7D0000}"/>
    <cellStyle name="40 % - Markeringsfarve5 2 4 5 2" xfId="13846" xr:uid="{00000000-0005-0000-0000-0000507D0000}"/>
    <cellStyle name="40 % - Markeringsfarve5 2 4 5 2 2" xfId="30161" xr:uid="{00000000-0005-0000-0000-0000517D0000}"/>
    <cellStyle name="40 % - Markeringsfarve5 2 4 5 2 3" xfId="45125" xr:uid="{00000000-0005-0000-0000-0000527D0000}"/>
    <cellStyle name="40 % - Markeringsfarve5 2 4 5 3" xfId="23139" xr:uid="{00000000-0005-0000-0000-0000537D0000}"/>
    <cellStyle name="40 % - Markeringsfarve5 2 4 5 4" xfId="38126" xr:uid="{00000000-0005-0000-0000-0000547D0000}"/>
    <cellStyle name="40 % - Markeringsfarve5 2 4 6" xfId="12723" xr:uid="{00000000-0005-0000-0000-0000557D0000}"/>
    <cellStyle name="40 % - Markeringsfarve5 2 4 6 2" xfId="29043" xr:uid="{00000000-0005-0000-0000-0000567D0000}"/>
    <cellStyle name="40 % - Markeringsfarve5 2 4 6 3" xfId="44008" xr:uid="{00000000-0005-0000-0000-0000577D0000}"/>
    <cellStyle name="40 % - Markeringsfarve5 2 4 7" xfId="22021" xr:uid="{00000000-0005-0000-0000-0000587D0000}"/>
    <cellStyle name="40 % - Markeringsfarve5 2 4 8" xfId="37009" xr:uid="{00000000-0005-0000-0000-0000597D0000}"/>
    <cellStyle name="40 % - Markeringsfarve5 2 4 9" xfId="53971" xr:uid="{00000000-0005-0000-0000-00005A7D0000}"/>
    <cellStyle name="40 % - Markeringsfarve5 2 5" xfId="4168" xr:uid="{00000000-0005-0000-0000-00005B7D0000}"/>
    <cellStyle name="40 % - Markeringsfarve5 2 5 2" xfId="4169" xr:uid="{00000000-0005-0000-0000-00005C7D0000}"/>
    <cellStyle name="40 % - Markeringsfarve5 2 5 2 2" xfId="4170" xr:uid="{00000000-0005-0000-0000-00005D7D0000}"/>
    <cellStyle name="40 % - Markeringsfarve5 2 5 2 2 2" xfId="7756" xr:uid="{00000000-0005-0000-0000-00005E7D0000}"/>
    <cellStyle name="40 % - Markeringsfarve5 2 5 2 2 2 2" xfId="15658" xr:uid="{00000000-0005-0000-0000-00005F7D0000}"/>
    <cellStyle name="40 % - Markeringsfarve5 2 5 2 2 2 2 2" xfId="31973" xr:uid="{00000000-0005-0000-0000-0000607D0000}"/>
    <cellStyle name="40 % - Markeringsfarve5 2 5 2 2 2 2 3" xfId="46937" xr:uid="{00000000-0005-0000-0000-0000617D0000}"/>
    <cellStyle name="40 % - Markeringsfarve5 2 5 2 2 2 3" xfId="24951" xr:uid="{00000000-0005-0000-0000-0000627D0000}"/>
    <cellStyle name="40 % - Markeringsfarve5 2 5 2 2 2 4" xfId="39938" xr:uid="{00000000-0005-0000-0000-0000637D0000}"/>
    <cellStyle name="40 % - Markeringsfarve5 2 5 2 2 3" xfId="12730" xr:uid="{00000000-0005-0000-0000-0000647D0000}"/>
    <cellStyle name="40 % - Markeringsfarve5 2 5 2 2 3 2" xfId="29050" xr:uid="{00000000-0005-0000-0000-0000657D0000}"/>
    <cellStyle name="40 % - Markeringsfarve5 2 5 2 2 3 3" xfId="44015" xr:uid="{00000000-0005-0000-0000-0000667D0000}"/>
    <cellStyle name="40 % - Markeringsfarve5 2 5 2 2 4" xfId="22028" xr:uid="{00000000-0005-0000-0000-0000677D0000}"/>
    <cellStyle name="40 % - Markeringsfarve5 2 5 2 2 5" xfId="37016" xr:uid="{00000000-0005-0000-0000-0000687D0000}"/>
    <cellStyle name="40 % - Markeringsfarve5 2 5 2 3" xfId="6302" xr:uid="{00000000-0005-0000-0000-0000697D0000}"/>
    <cellStyle name="40 % - Markeringsfarve5 2 5 2 3 2" xfId="14220" xr:uid="{00000000-0005-0000-0000-00006A7D0000}"/>
    <cellStyle name="40 % - Markeringsfarve5 2 5 2 3 2 2" xfId="30535" xr:uid="{00000000-0005-0000-0000-00006B7D0000}"/>
    <cellStyle name="40 % - Markeringsfarve5 2 5 2 3 2 3" xfId="45499" xr:uid="{00000000-0005-0000-0000-00006C7D0000}"/>
    <cellStyle name="40 % - Markeringsfarve5 2 5 2 3 3" xfId="23513" xr:uid="{00000000-0005-0000-0000-00006D7D0000}"/>
    <cellStyle name="40 % - Markeringsfarve5 2 5 2 3 4" xfId="38500" xr:uid="{00000000-0005-0000-0000-00006E7D0000}"/>
    <cellStyle name="40 % - Markeringsfarve5 2 5 2 4" xfId="12729" xr:uid="{00000000-0005-0000-0000-00006F7D0000}"/>
    <cellStyle name="40 % - Markeringsfarve5 2 5 2 4 2" xfId="29049" xr:uid="{00000000-0005-0000-0000-0000707D0000}"/>
    <cellStyle name="40 % - Markeringsfarve5 2 5 2 4 3" xfId="44014" xr:uid="{00000000-0005-0000-0000-0000717D0000}"/>
    <cellStyle name="40 % - Markeringsfarve5 2 5 2 5" xfId="22027" xr:uid="{00000000-0005-0000-0000-0000727D0000}"/>
    <cellStyle name="40 % - Markeringsfarve5 2 5 2 6" xfId="37015" xr:uid="{00000000-0005-0000-0000-0000737D0000}"/>
    <cellStyle name="40 % - Markeringsfarve5 2 5 3" xfId="4171" xr:uid="{00000000-0005-0000-0000-0000747D0000}"/>
    <cellStyle name="40 % - Markeringsfarve5 2 5 3 2" xfId="6986" xr:uid="{00000000-0005-0000-0000-0000757D0000}"/>
    <cellStyle name="40 % - Markeringsfarve5 2 5 3 2 2" xfId="14898" xr:uid="{00000000-0005-0000-0000-0000767D0000}"/>
    <cellStyle name="40 % - Markeringsfarve5 2 5 3 2 2 2" xfId="31213" xr:uid="{00000000-0005-0000-0000-0000777D0000}"/>
    <cellStyle name="40 % - Markeringsfarve5 2 5 3 2 2 3" xfId="46177" xr:uid="{00000000-0005-0000-0000-0000787D0000}"/>
    <cellStyle name="40 % - Markeringsfarve5 2 5 3 2 3" xfId="24191" xr:uid="{00000000-0005-0000-0000-0000797D0000}"/>
    <cellStyle name="40 % - Markeringsfarve5 2 5 3 2 4" xfId="39178" xr:uid="{00000000-0005-0000-0000-00007A7D0000}"/>
    <cellStyle name="40 % - Markeringsfarve5 2 5 3 3" xfId="12731" xr:uid="{00000000-0005-0000-0000-00007B7D0000}"/>
    <cellStyle name="40 % - Markeringsfarve5 2 5 3 3 2" xfId="29051" xr:uid="{00000000-0005-0000-0000-00007C7D0000}"/>
    <cellStyle name="40 % - Markeringsfarve5 2 5 3 3 3" xfId="44016" xr:uid="{00000000-0005-0000-0000-00007D7D0000}"/>
    <cellStyle name="40 % - Markeringsfarve5 2 5 3 4" xfId="22029" xr:uid="{00000000-0005-0000-0000-00007E7D0000}"/>
    <cellStyle name="40 % - Markeringsfarve5 2 5 3 5" xfId="37017" xr:uid="{00000000-0005-0000-0000-00007F7D0000}"/>
    <cellStyle name="40 % - Markeringsfarve5 2 5 4" xfId="4172" xr:uid="{00000000-0005-0000-0000-0000807D0000}"/>
    <cellStyle name="40 % - Markeringsfarve5 2 5 4 2" xfId="8363" xr:uid="{00000000-0005-0000-0000-0000817D0000}"/>
    <cellStyle name="40 % - Markeringsfarve5 2 5 4 2 2" xfId="16257" xr:uid="{00000000-0005-0000-0000-0000827D0000}"/>
    <cellStyle name="40 % - Markeringsfarve5 2 5 4 2 2 2" xfId="32572" xr:uid="{00000000-0005-0000-0000-0000837D0000}"/>
    <cellStyle name="40 % - Markeringsfarve5 2 5 4 2 2 3" xfId="47536" xr:uid="{00000000-0005-0000-0000-0000847D0000}"/>
    <cellStyle name="40 % - Markeringsfarve5 2 5 4 2 3" xfId="25550" xr:uid="{00000000-0005-0000-0000-0000857D0000}"/>
    <cellStyle name="40 % - Markeringsfarve5 2 5 4 2 4" xfId="40537" xr:uid="{00000000-0005-0000-0000-0000867D0000}"/>
    <cellStyle name="40 % - Markeringsfarve5 2 5 4 3" xfId="12732" xr:uid="{00000000-0005-0000-0000-0000877D0000}"/>
    <cellStyle name="40 % - Markeringsfarve5 2 5 4 3 2" xfId="29052" xr:uid="{00000000-0005-0000-0000-0000887D0000}"/>
    <cellStyle name="40 % - Markeringsfarve5 2 5 4 3 3" xfId="44017" xr:uid="{00000000-0005-0000-0000-0000897D0000}"/>
    <cellStyle name="40 % - Markeringsfarve5 2 5 4 4" xfId="22030" xr:uid="{00000000-0005-0000-0000-00008A7D0000}"/>
    <cellStyle name="40 % - Markeringsfarve5 2 5 4 5" xfId="37018" xr:uid="{00000000-0005-0000-0000-00008B7D0000}"/>
    <cellStyle name="40 % - Markeringsfarve5 2 5 5" xfId="5928" xr:uid="{00000000-0005-0000-0000-00008C7D0000}"/>
    <cellStyle name="40 % - Markeringsfarve5 2 5 5 2" xfId="13847" xr:uid="{00000000-0005-0000-0000-00008D7D0000}"/>
    <cellStyle name="40 % - Markeringsfarve5 2 5 5 2 2" xfId="30162" xr:uid="{00000000-0005-0000-0000-00008E7D0000}"/>
    <cellStyle name="40 % - Markeringsfarve5 2 5 5 2 3" xfId="45126" xr:uid="{00000000-0005-0000-0000-00008F7D0000}"/>
    <cellStyle name="40 % - Markeringsfarve5 2 5 5 3" xfId="23140" xr:uid="{00000000-0005-0000-0000-0000907D0000}"/>
    <cellStyle name="40 % - Markeringsfarve5 2 5 5 4" xfId="38127" xr:uid="{00000000-0005-0000-0000-0000917D0000}"/>
    <cellStyle name="40 % - Markeringsfarve5 2 5 6" xfId="12728" xr:uid="{00000000-0005-0000-0000-0000927D0000}"/>
    <cellStyle name="40 % - Markeringsfarve5 2 5 6 2" xfId="29048" xr:uid="{00000000-0005-0000-0000-0000937D0000}"/>
    <cellStyle name="40 % - Markeringsfarve5 2 5 6 3" xfId="44013" xr:uid="{00000000-0005-0000-0000-0000947D0000}"/>
    <cellStyle name="40 % - Markeringsfarve5 2 5 7" xfId="22026" xr:uid="{00000000-0005-0000-0000-0000957D0000}"/>
    <cellStyle name="40 % - Markeringsfarve5 2 5 8" xfId="37014" xr:uid="{00000000-0005-0000-0000-0000967D0000}"/>
    <cellStyle name="40 % - Markeringsfarve5 2 5 9" xfId="56515" xr:uid="{00000000-0005-0000-0000-0000977D0000}"/>
    <cellStyle name="40 % - Markeringsfarve5 2 6" xfId="4173" xr:uid="{00000000-0005-0000-0000-0000987D0000}"/>
    <cellStyle name="40 % - Markeringsfarve5 2 6 2" xfId="4174" xr:uid="{00000000-0005-0000-0000-0000997D0000}"/>
    <cellStyle name="40 % - Markeringsfarve5 2 6 2 2" xfId="4175" xr:uid="{00000000-0005-0000-0000-00009A7D0000}"/>
    <cellStyle name="40 % - Markeringsfarve5 2 6 2 2 2" xfId="7820" xr:uid="{00000000-0005-0000-0000-00009B7D0000}"/>
    <cellStyle name="40 % - Markeringsfarve5 2 6 2 2 2 2" xfId="15722" xr:uid="{00000000-0005-0000-0000-00009C7D0000}"/>
    <cellStyle name="40 % - Markeringsfarve5 2 6 2 2 2 2 2" xfId="32037" xr:uid="{00000000-0005-0000-0000-00009D7D0000}"/>
    <cellStyle name="40 % - Markeringsfarve5 2 6 2 2 2 2 3" xfId="47001" xr:uid="{00000000-0005-0000-0000-00009E7D0000}"/>
    <cellStyle name="40 % - Markeringsfarve5 2 6 2 2 2 3" xfId="25015" xr:uid="{00000000-0005-0000-0000-00009F7D0000}"/>
    <cellStyle name="40 % - Markeringsfarve5 2 6 2 2 2 4" xfId="40002" xr:uid="{00000000-0005-0000-0000-0000A07D0000}"/>
    <cellStyle name="40 % - Markeringsfarve5 2 6 2 2 3" xfId="12735" xr:uid="{00000000-0005-0000-0000-0000A17D0000}"/>
    <cellStyle name="40 % - Markeringsfarve5 2 6 2 2 3 2" xfId="29055" xr:uid="{00000000-0005-0000-0000-0000A27D0000}"/>
    <cellStyle name="40 % - Markeringsfarve5 2 6 2 2 3 3" xfId="44020" xr:uid="{00000000-0005-0000-0000-0000A37D0000}"/>
    <cellStyle name="40 % - Markeringsfarve5 2 6 2 2 4" xfId="22033" xr:uid="{00000000-0005-0000-0000-0000A47D0000}"/>
    <cellStyle name="40 % - Markeringsfarve5 2 6 2 2 5" xfId="37021" xr:uid="{00000000-0005-0000-0000-0000A57D0000}"/>
    <cellStyle name="40 % - Markeringsfarve5 2 6 2 3" xfId="6361" xr:uid="{00000000-0005-0000-0000-0000A67D0000}"/>
    <cellStyle name="40 % - Markeringsfarve5 2 6 2 3 2" xfId="14276" xr:uid="{00000000-0005-0000-0000-0000A77D0000}"/>
    <cellStyle name="40 % - Markeringsfarve5 2 6 2 3 2 2" xfId="30591" xr:uid="{00000000-0005-0000-0000-0000A87D0000}"/>
    <cellStyle name="40 % - Markeringsfarve5 2 6 2 3 2 3" xfId="45555" xr:uid="{00000000-0005-0000-0000-0000A97D0000}"/>
    <cellStyle name="40 % - Markeringsfarve5 2 6 2 3 3" xfId="23569" xr:uid="{00000000-0005-0000-0000-0000AA7D0000}"/>
    <cellStyle name="40 % - Markeringsfarve5 2 6 2 3 4" xfId="38556" xr:uid="{00000000-0005-0000-0000-0000AB7D0000}"/>
    <cellStyle name="40 % - Markeringsfarve5 2 6 2 4" xfId="12734" xr:uid="{00000000-0005-0000-0000-0000AC7D0000}"/>
    <cellStyle name="40 % - Markeringsfarve5 2 6 2 4 2" xfId="29054" xr:uid="{00000000-0005-0000-0000-0000AD7D0000}"/>
    <cellStyle name="40 % - Markeringsfarve5 2 6 2 4 3" xfId="44019" xr:uid="{00000000-0005-0000-0000-0000AE7D0000}"/>
    <cellStyle name="40 % - Markeringsfarve5 2 6 2 5" xfId="22032" xr:uid="{00000000-0005-0000-0000-0000AF7D0000}"/>
    <cellStyle name="40 % - Markeringsfarve5 2 6 2 6" xfId="37020" xr:uid="{00000000-0005-0000-0000-0000B07D0000}"/>
    <cellStyle name="40 % - Markeringsfarve5 2 6 3" xfId="4176" xr:uid="{00000000-0005-0000-0000-0000B17D0000}"/>
    <cellStyle name="40 % - Markeringsfarve5 2 6 3 2" xfId="7096" xr:uid="{00000000-0005-0000-0000-0000B27D0000}"/>
    <cellStyle name="40 % - Markeringsfarve5 2 6 3 2 2" xfId="15007" xr:uid="{00000000-0005-0000-0000-0000B37D0000}"/>
    <cellStyle name="40 % - Markeringsfarve5 2 6 3 2 2 2" xfId="31322" xr:uid="{00000000-0005-0000-0000-0000B47D0000}"/>
    <cellStyle name="40 % - Markeringsfarve5 2 6 3 2 2 3" xfId="46286" xr:uid="{00000000-0005-0000-0000-0000B57D0000}"/>
    <cellStyle name="40 % - Markeringsfarve5 2 6 3 2 3" xfId="24300" xr:uid="{00000000-0005-0000-0000-0000B67D0000}"/>
    <cellStyle name="40 % - Markeringsfarve5 2 6 3 2 4" xfId="39287" xr:uid="{00000000-0005-0000-0000-0000B77D0000}"/>
    <cellStyle name="40 % - Markeringsfarve5 2 6 3 3" xfId="12736" xr:uid="{00000000-0005-0000-0000-0000B87D0000}"/>
    <cellStyle name="40 % - Markeringsfarve5 2 6 3 3 2" xfId="29056" xr:uid="{00000000-0005-0000-0000-0000B97D0000}"/>
    <cellStyle name="40 % - Markeringsfarve5 2 6 3 3 3" xfId="44021" xr:uid="{00000000-0005-0000-0000-0000BA7D0000}"/>
    <cellStyle name="40 % - Markeringsfarve5 2 6 3 4" xfId="22034" xr:uid="{00000000-0005-0000-0000-0000BB7D0000}"/>
    <cellStyle name="40 % - Markeringsfarve5 2 6 3 5" xfId="37022" xr:uid="{00000000-0005-0000-0000-0000BC7D0000}"/>
    <cellStyle name="40 % - Markeringsfarve5 2 6 4" xfId="4177" xr:uid="{00000000-0005-0000-0000-0000BD7D0000}"/>
    <cellStyle name="40 % - Markeringsfarve5 2 6 4 2" xfId="8570" xr:uid="{00000000-0005-0000-0000-0000BE7D0000}"/>
    <cellStyle name="40 % - Markeringsfarve5 2 6 4 2 2" xfId="16454" xr:uid="{00000000-0005-0000-0000-0000BF7D0000}"/>
    <cellStyle name="40 % - Markeringsfarve5 2 6 4 2 2 2" xfId="32769" xr:uid="{00000000-0005-0000-0000-0000C07D0000}"/>
    <cellStyle name="40 % - Markeringsfarve5 2 6 4 2 2 3" xfId="47733" xr:uid="{00000000-0005-0000-0000-0000C17D0000}"/>
    <cellStyle name="40 % - Markeringsfarve5 2 6 4 2 3" xfId="25747" xr:uid="{00000000-0005-0000-0000-0000C27D0000}"/>
    <cellStyle name="40 % - Markeringsfarve5 2 6 4 2 4" xfId="40734" xr:uid="{00000000-0005-0000-0000-0000C37D0000}"/>
    <cellStyle name="40 % - Markeringsfarve5 2 6 4 3" xfId="12737" xr:uid="{00000000-0005-0000-0000-0000C47D0000}"/>
    <cellStyle name="40 % - Markeringsfarve5 2 6 4 3 2" xfId="29057" xr:uid="{00000000-0005-0000-0000-0000C57D0000}"/>
    <cellStyle name="40 % - Markeringsfarve5 2 6 4 3 3" xfId="44022" xr:uid="{00000000-0005-0000-0000-0000C67D0000}"/>
    <cellStyle name="40 % - Markeringsfarve5 2 6 4 4" xfId="22035" xr:uid="{00000000-0005-0000-0000-0000C77D0000}"/>
    <cellStyle name="40 % - Markeringsfarve5 2 6 4 5" xfId="37023" xr:uid="{00000000-0005-0000-0000-0000C87D0000}"/>
    <cellStyle name="40 % - Markeringsfarve5 2 6 5" xfId="5929" xr:uid="{00000000-0005-0000-0000-0000C97D0000}"/>
    <cellStyle name="40 % - Markeringsfarve5 2 6 5 2" xfId="13848" xr:uid="{00000000-0005-0000-0000-0000CA7D0000}"/>
    <cellStyle name="40 % - Markeringsfarve5 2 6 5 2 2" xfId="30163" xr:uid="{00000000-0005-0000-0000-0000CB7D0000}"/>
    <cellStyle name="40 % - Markeringsfarve5 2 6 5 2 3" xfId="45127" xr:uid="{00000000-0005-0000-0000-0000CC7D0000}"/>
    <cellStyle name="40 % - Markeringsfarve5 2 6 5 3" xfId="23141" xr:uid="{00000000-0005-0000-0000-0000CD7D0000}"/>
    <cellStyle name="40 % - Markeringsfarve5 2 6 5 4" xfId="38128" xr:uid="{00000000-0005-0000-0000-0000CE7D0000}"/>
    <cellStyle name="40 % - Markeringsfarve5 2 6 6" xfId="12733" xr:uid="{00000000-0005-0000-0000-0000CF7D0000}"/>
    <cellStyle name="40 % - Markeringsfarve5 2 6 6 2" xfId="29053" xr:uid="{00000000-0005-0000-0000-0000D07D0000}"/>
    <cellStyle name="40 % - Markeringsfarve5 2 6 6 3" xfId="44018" xr:uid="{00000000-0005-0000-0000-0000D17D0000}"/>
    <cellStyle name="40 % - Markeringsfarve5 2 6 7" xfId="22031" xr:uid="{00000000-0005-0000-0000-0000D27D0000}"/>
    <cellStyle name="40 % - Markeringsfarve5 2 6 8" xfId="37019" xr:uid="{00000000-0005-0000-0000-0000D37D0000}"/>
    <cellStyle name="40 % - Markeringsfarve5 2 7" xfId="4178" xr:uid="{00000000-0005-0000-0000-0000D47D0000}"/>
    <cellStyle name="40 % - Markeringsfarve5 2 7 2" xfId="4179" xr:uid="{00000000-0005-0000-0000-0000D57D0000}"/>
    <cellStyle name="40 % - Markeringsfarve5 2 7 2 2" xfId="4180" xr:uid="{00000000-0005-0000-0000-0000D67D0000}"/>
    <cellStyle name="40 % - Markeringsfarve5 2 7 2 2 2" xfId="7937" xr:uid="{00000000-0005-0000-0000-0000D77D0000}"/>
    <cellStyle name="40 % - Markeringsfarve5 2 7 2 2 2 2" xfId="15839" xr:uid="{00000000-0005-0000-0000-0000D87D0000}"/>
    <cellStyle name="40 % - Markeringsfarve5 2 7 2 2 2 2 2" xfId="32154" xr:uid="{00000000-0005-0000-0000-0000D97D0000}"/>
    <cellStyle name="40 % - Markeringsfarve5 2 7 2 2 2 2 3" xfId="47118" xr:uid="{00000000-0005-0000-0000-0000DA7D0000}"/>
    <cellStyle name="40 % - Markeringsfarve5 2 7 2 2 2 3" xfId="25132" xr:uid="{00000000-0005-0000-0000-0000DB7D0000}"/>
    <cellStyle name="40 % - Markeringsfarve5 2 7 2 2 2 4" xfId="40119" xr:uid="{00000000-0005-0000-0000-0000DC7D0000}"/>
    <cellStyle name="40 % - Markeringsfarve5 2 7 2 2 3" xfId="12740" xr:uid="{00000000-0005-0000-0000-0000DD7D0000}"/>
    <cellStyle name="40 % - Markeringsfarve5 2 7 2 2 3 2" xfId="29060" xr:uid="{00000000-0005-0000-0000-0000DE7D0000}"/>
    <cellStyle name="40 % - Markeringsfarve5 2 7 2 2 3 3" xfId="44025" xr:uid="{00000000-0005-0000-0000-0000DF7D0000}"/>
    <cellStyle name="40 % - Markeringsfarve5 2 7 2 2 4" xfId="22038" xr:uid="{00000000-0005-0000-0000-0000E07D0000}"/>
    <cellStyle name="40 % - Markeringsfarve5 2 7 2 2 5" xfId="37026" xr:uid="{00000000-0005-0000-0000-0000E17D0000}"/>
    <cellStyle name="40 % - Markeringsfarve5 2 7 2 3" xfId="6460" xr:uid="{00000000-0005-0000-0000-0000E27D0000}"/>
    <cellStyle name="40 % - Markeringsfarve5 2 7 2 3 2" xfId="14375" xr:uid="{00000000-0005-0000-0000-0000E37D0000}"/>
    <cellStyle name="40 % - Markeringsfarve5 2 7 2 3 2 2" xfId="30690" xr:uid="{00000000-0005-0000-0000-0000E47D0000}"/>
    <cellStyle name="40 % - Markeringsfarve5 2 7 2 3 2 3" xfId="45654" xr:uid="{00000000-0005-0000-0000-0000E57D0000}"/>
    <cellStyle name="40 % - Markeringsfarve5 2 7 2 3 3" xfId="23668" xr:uid="{00000000-0005-0000-0000-0000E67D0000}"/>
    <cellStyle name="40 % - Markeringsfarve5 2 7 2 3 4" xfId="38655" xr:uid="{00000000-0005-0000-0000-0000E77D0000}"/>
    <cellStyle name="40 % - Markeringsfarve5 2 7 2 4" xfId="12739" xr:uid="{00000000-0005-0000-0000-0000E87D0000}"/>
    <cellStyle name="40 % - Markeringsfarve5 2 7 2 4 2" xfId="29059" xr:uid="{00000000-0005-0000-0000-0000E97D0000}"/>
    <cellStyle name="40 % - Markeringsfarve5 2 7 2 4 3" xfId="44024" xr:uid="{00000000-0005-0000-0000-0000EA7D0000}"/>
    <cellStyle name="40 % - Markeringsfarve5 2 7 2 5" xfId="22037" xr:uid="{00000000-0005-0000-0000-0000EB7D0000}"/>
    <cellStyle name="40 % - Markeringsfarve5 2 7 2 6" xfId="37025" xr:uid="{00000000-0005-0000-0000-0000EC7D0000}"/>
    <cellStyle name="40 % - Markeringsfarve5 2 7 3" xfId="4181" xr:uid="{00000000-0005-0000-0000-0000ED7D0000}"/>
    <cellStyle name="40 % - Markeringsfarve5 2 7 3 2" xfId="7213" xr:uid="{00000000-0005-0000-0000-0000EE7D0000}"/>
    <cellStyle name="40 % - Markeringsfarve5 2 7 3 2 2" xfId="15124" xr:uid="{00000000-0005-0000-0000-0000EF7D0000}"/>
    <cellStyle name="40 % - Markeringsfarve5 2 7 3 2 2 2" xfId="31439" xr:uid="{00000000-0005-0000-0000-0000F07D0000}"/>
    <cellStyle name="40 % - Markeringsfarve5 2 7 3 2 2 3" xfId="46403" xr:uid="{00000000-0005-0000-0000-0000F17D0000}"/>
    <cellStyle name="40 % - Markeringsfarve5 2 7 3 2 3" xfId="24417" xr:uid="{00000000-0005-0000-0000-0000F27D0000}"/>
    <cellStyle name="40 % - Markeringsfarve5 2 7 3 2 4" xfId="39404" xr:uid="{00000000-0005-0000-0000-0000F37D0000}"/>
    <cellStyle name="40 % - Markeringsfarve5 2 7 3 3" xfId="12741" xr:uid="{00000000-0005-0000-0000-0000F47D0000}"/>
    <cellStyle name="40 % - Markeringsfarve5 2 7 3 3 2" xfId="29061" xr:uid="{00000000-0005-0000-0000-0000F57D0000}"/>
    <cellStyle name="40 % - Markeringsfarve5 2 7 3 3 3" xfId="44026" xr:uid="{00000000-0005-0000-0000-0000F67D0000}"/>
    <cellStyle name="40 % - Markeringsfarve5 2 7 3 4" xfId="22039" xr:uid="{00000000-0005-0000-0000-0000F77D0000}"/>
    <cellStyle name="40 % - Markeringsfarve5 2 7 3 5" xfId="37027" xr:uid="{00000000-0005-0000-0000-0000F87D0000}"/>
    <cellStyle name="40 % - Markeringsfarve5 2 7 4" xfId="4182" xr:uid="{00000000-0005-0000-0000-0000F97D0000}"/>
    <cellStyle name="40 % - Markeringsfarve5 2 7 4 2" xfId="8220" xr:uid="{00000000-0005-0000-0000-0000FA7D0000}"/>
    <cellStyle name="40 % - Markeringsfarve5 2 7 4 2 2" xfId="16115" xr:uid="{00000000-0005-0000-0000-0000FB7D0000}"/>
    <cellStyle name="40 % - Markeringsfarve5 2 7 4 2 2 2" xfId="32430" xr:uid="{00000000-0005-0000-0000-0000FC7D0000}"/>
    <cellStyle name="40 % - Markeringsfarve5 2 7 4 2 2 3" xfId="47394" xr:uid="{00000000-0005-0000-0000-0000FD7D0000}"/>
    <cellStyle name="40 % - Markeringsfarve5 2 7 4 2 3" xfId="25408" xr:uid="{00000000-0005-0000-0000-0000FE7D0000}"/>
    <cellStyle name="40 % - Markeringsfarve5 2 7 4 2 4" xfId="40395" xr:uid="{00000000-0005-0000-0000-0000FF7D0000}"/>
    <cellStyle name="40 % - Markeringsfarve5 2 7 4 3" xfId="12742" xr:uid="{00000000-0005-0000-0000-0000007E0000}"/>
    <cellStyle name="40 % - Markeringsfarve5 2 7 4 3 2" xfId="29062" xr:uid="{00000000-0005-0000-0000-0000017E0000}"/>
    <cellStyle name="40 % - Markeringsfarve5 2 7 4 3 3" xfId="44027" xr:uid="{00000000-0005-0000-0000-0000027E0000}"/>
    <cellStyle name="40 % - Markeringsfarve5 2 7 4 4" xfId="22040" xr:uid="{00000000-0005-0000-0000-0000037E0000}"/>
    <cellStyle name="40 % - Markeringsfarve5 2 7 4 5" xfId="37028" xr:uid="{00000000-0005-0000-0000-0000047E0000}"/>
    <cellStyle name="40 % - Markeringsfarve5 2 7 5" xfId="5930" xr:uid="{00000000-0005-0000-0000-0000057E0000}"/>
    <cellStyle name="40 % - Markeringsfarve5 2 7 5 2" xfId="13849" xr:uid="{00000000-0005-0000-0000-0000067E0000}"/>
    <cellStyle name="40 % - Markeringsfarve5 2 7 5 2 2" xfId="30164" xr:uid="{00000000-0005-0000-0000-0000077E0000}"/>
    <cellStyle name="40 % - Markeringsfarve5 2 7 5 2 3" xfId="45128" xr:uid="{00000000-0005-0000-0000-0000087E0000}"/>
    <cellStyle name="40 % - Markeringsfarve5 2 7 5 3" xfId="23142" xr:uid="{00000000-0005-0000-0000-0000097E0000}"/>
    <cellStyle name="40 % - Markeringsfarve5 2 7 5 4" xfId="38129" xr:uid="{00000000-0005-0000-0000-00000A7E0000}"/>
    <cellStyle name="40 % - Markeringsfarve5 2 7 6" xfId="12738" xr:uid="{00000000-0005-0000-0000-00000B7E0000}"/>
    <cellStyle name="40 % - Markeringsfarve5 2 7 6 2" xfId="29058" xr:uid="{00000000-0005-0000-0000-00000C7E0000}"/>
    <cellStyle name="40 % - Markeringsfarve5 2 7 6 3" xfId="44023" xr:uid="{00000000-0005-0000-0000-00000D7E0000}"/>
    <cellStyle name="40 % - Markeringsfarve5 2 7 7" xfId="22036" xr:uid="{00000000-0005-0000-0000-00000E7E0000}"/>
    <cellStyle name="40 % - Markeringsfarve5 2 7 8" xfId="37024" xr:uid="{00000000-0005-0000-0000-00000F7E0000}"/>
    <cellStyle name="40 % - Markeringsfarve5 2 8" xfId="4183" xr:uid="{00000000-0005-0000-0000-0000107E0000}"/>
    <cellStyle name="40 % - Markeringsfarve5 2 8 2" xfId="4184" xr:uid="{00000000-0005-0000-0000-0000117E0000}"/>
    <cellStyle name="40 % - Markeringsfarve5 2 8 2 2" xfId="4185" xr:uid="{00000000-0005-0000-0000-0000127E0000}"/>
    <cellStyle name="40 % - Markeringsfarve5 2 8 2 2 2" xfId="8110" xr:uid="{00000000-0005-0000-0000-0000137E0000}"/>
    <cellStyle name="40 % - Markeringsfarve5 2 8 2 2 2 2" xfId="16012" xr:uid="{00000000-0005-0000-0000-0000147E0000}"/>
    <cellStyle name="40 % - Markeringsfarve5 2 8 2 2 2 2 2" xfId="32327" xr:uid="{00000000-0005-0000-0000-0000157E0000}"/>
    <cellStyle name="40 % - Markeringsfarve5 2 8 2 2 2 2 3" xfId="47291" xr:uid="{00000000-0005-0000-0000-0000167E0000}"/>
    <cellStyle name="40 % - Markeringsfarve5 2 8 2 2 2 3" xfId="25305" xr:uid="{00000000-0005-0000-0000-0000177E0000}"/>
    <cellStyle name="40 % - Markeringsfarve5 2 8 2 2 2 4" xfId="40292" xr:uid="{00000000-0005-0000-0000-0000187E0000}"/>
    <cellStyle name="40 % - Markeringsfarve5 2 8 2 2 3" xfId="12745" xr:uid="{00000000-0005-0000-0000-0000197E0000}"/>
    <cellStyle name="40 % - Markeringsfarve5 2 8 2 2 3 2" xfId="29065" xr:uid="{00000000-0005-0000-0000-00001A7E0000}"/>
    <cellStyle name="40 % - Markeringsfarve5 2 8 2 2 3 3" xfId="44030" xr:uid="{00000000-0005-0000-0000-00001B7E0000}"/>
    <cellStyle name="40 % - Markeringsfarve5 2 8 2 2 4" xfId="22043" xr:uid="{00000000-0005-0000-0000-00001C7E0000}"/>
    <cellStyle name="40 % - Markeringsfarve5 2 8 2 2 5" xfId="37031" xr:uid="{00000000-0005-0000-0000-00001D7E0000}"/>
    <cellStyle name="40 % - Markeringsfarve5 2 8 2 3" xfId="6603" xr:uid="{00000000-0005-0000-0000-00001E7E0000}"/>
    <cellStyle name="40 % - Markeringsfarve5 2 8 2 3 2" xfId="14518" xr:uid="{00000000-0005-0000-0000-00001F7E0000}"/>
    <cellStyle name="40 % - Markeringsfarve5 2 8 2 3 2 2" xfId="30833" xr:uid="{00000000-0005-0000-0000-0000207E0000}"/>
    <cellStyle name="40 % - Markeringsfarve5 2 8 2 3 2 3" xfId="45797" xr:uid="{00000000-0005-0000-0000-0000217E0000}"/>
    <cellStyle name="40 % - Markeringsfarve5 2 8 2 3 3" xfId="23811" xr:uid="{00000000-0005-0000-0000-0000227E0000}"/>
    <cellStyle name="40 % - Markeringsfarve5 2 8 2 3 4" xfId="38798" xr:uid="{00000000-0005-0000-0000-0000237E0000}"/>
    <cellStyle name="40 % - Markeringsfarve5 2 8 2 4" xfId="12744" xr:uid="{00000000-0005-0000-0000-0000247E0000}"/>
    <cellStyle name="40 % - Markeringsfarve5 2 8 2 4 2" xfId="29064" xr:uid="{00000000-0005-0000-0000-0000257E0000}"/>
    <cellStyle name="40 % - Markeringsfarve5 2 8 2 4 3" xfId="44029" xr:uid="{00000000-0005-0000-0000-0000267E0000}"/>
    <cellStyle name="40 % - Markeringsfarve5 2 8 2 5" xfId="22042" xr:uid="{00000000-0005-0000-0000-0000277E0000}"/>
    <cellStyle name="40 % - Markeringsfarve5 2 8 2 6" xfId="37030" xr:uid="{00000000-0005-0000-0000-0000287E0000}"/>
    <cellStyle name="40 % - Markeringsfarve5 2 8 3" xfId="4186" xr:uid="{00000000-0005-0000-0000-0000297E0000}"/>
    <cellStyle name="40 % - Markeringsfarve5 2 8 3 2" xfId="7387" xr:uid="{00000000-0005-0000-0000-00002A7E0000}"/>
    <cellStyle name="40 % - Markeringsfarve5 2 8 3 2 2" xfId="15298" xr:uid="{00000000-0005-0000-0000-00002B7E0000}"/>
    <cellStyle name="40 % - Markeringsfarve5 2 8 3 2 2 2" xfId="31613" xr:uid="{00000000-0005-0000-0000-00002C7E0000}"/>
    <cellStyle name="40 % - Markeringsfarve5 2 8 3 2 2 3" xfId="46577" xr:uid="{00000000-0005-0000-0000-00002D7E0000}"/>
    <cellStyle name="40 % - Markeringsfarve5 2 8 3 2 3" xfId="24591" xr:uid="{00000000-0005-0000-0000-00002E7E0000}"/>
    <cellStyle name="40 % - Markeringsfarve5 2 8 3 2 4" xfId="39578" xr:uid="{00000000-0005-0000-0000-00002F7E0000}"/>
    <cellStyle name="40 % - Markeringsfarve5 2 8 3 3" xfId="12746" xr:uid="{00000000-0005-0000-0000-0000307E0000}"/>
    <cellStyle name="40 % - Markeringsfarve5 2 8 3 3 2" xfId="29066" xr:uid="{00000000-0005-0000-0000-0000317E0000}"/>
    <cellStyle name="40 % - Markeringsfarve5 2 8 3 3 3" xfId="44031" xr:uid="{00000000-0005-0000-0000-0000327E0000}"/>
    <cellStyle name="40 % - Markeringsfarve5 2 8 3 4" xfId="22044" xr:uid="{00000000-0005-0000-0000-0000337E0000}"/>
    <cellStyle name="40 % - Markeringsfarve5 2 8 3 5" xfId="37032" xr:uid="{00000000-0005-0000-0000-0000347E0000}"/>
    <cellStyle name="40 % - Markeringsfarve5 2 8 4" xfId="4187" xr:uid="{00000000-0005-0000-0000-0000357E0000}"/>
    <cellStyle name="40 % - Markeringsfarve5 2 8 4 2" xfId="8549" xr:uid="{00000000-0005-0000-0000-0000367E0000}"/>
    <cellStyle name="40 % - Markeringsfarve5 2 8 4 2 2" xfId="16436" xr:uid="{00000000-0005-0000-0000-0000377E0000}"/>
    <cellStyle name="40 % - Markeringsfarve5 2 8 4 2 2 2" xfId="32751" xr:uid="{00000000-0005-0000-0000-0000387E0000}"/>
    <cellStyle name="40 % - Markeringsfarve5 2 8 4 2 2 3" xfId="47715" xr:uid="{00000000-0005-0000-0000-0000397E0000}"/>
    <cellStyle name="40 % - Markeringsfarve5 2 8 4 2 3" xfId="25729" xr:uid="{00000000-0005-0000-0000-00003A7E0000}"/>
    <cellStyle name="40 % - Markeringsfarve5 2 8 4 2 4" xfId="40716" xr:uid="{00000000-0005-0000-0000-00003B7E0000}"/>
    <cellStyle name="40 % - Markeringsfarve5 2 8 4 3" xfId="12747" xr:uid="{00000000-0005-0000-0000-00003C7E0000}"/>
    <cellStyle name="40 % - Markeringsfarve5 2 8 4 3 2" xfId="29067" xr:uid="{00000000-0005-0000-0000-00003D7E0000}"/>
    <cellStyle name="40 % - Markeringsfarve5 2 8 4 3 3" xfId="44032" xr:uid="{00000000-0005-0000-0000-00003E7E0000}"/>
    <cellStyle name="40 % - Markeringsfarve5 2 8 4 4" xfId="22045" xr:uid="{00000000-0005-0000-0000-00003F7E0000}"/>
    <cellStyle name="40 % - Markeringsfarve5 2 8 4 5" xfId="37033" xr:uid="{00000000-0005-0000-0000-0000407E0000}"/>
    <cellStyle name="40 % - Markeringsfarve5 2 8 5" xfId="5931" xr:uid="{00000000-0005-0000-0000-0000417E0000}"/>
    <cellStyle name="40 % - Markeringsfarve5 2 8 5 2" xfId="13850" xr:uid="{00000000-0005-0000-0000-0000427E0000}"/>
    <cellStyle name="40 % - Markeringsfarve5 2 8 5 2 2" xfId="30165" xr:uid="{00000000-0005-0000-0000-0000437E0000}"/>
    <cellStyle name="40 % - Markeringsfarve5 2 8 5 2 3" xfId="45129" xr:uid="{00000000-0005-0000-0000-0000447E0000}"/>
    <cellStyle name="40 % - Markeringsfarve5 2 8 5 3" xfId="23143" xr:uid="{00000000-0005-0000-0000-0000457E0000}"/>
    <cellStyle name="40 % - Markeringsfarve5 2 8 5 4" xfId="38130" xr:uid="{00000000-0005-0000-0000-0000467E0000}"/>
    <cellStyle name="40 % - Markeringsfarve5 2 8 6" xfId="12743" xr:uid="{00000000-0005-0000-0000-0000477E0000}"/>
    <cellStyle name="40 % - Markeringsfarve5 2 8 6 2" xfId="29063" xr:uid="{00000000-0005-0000-0000-0000487E0000}"/>
    <cellStyle name="40 % - Markeringsfarve5 2 8 6 3" xfId="44028" xr:uid="{00000000-0005-0000-0000-0000497E0000}"/>
    <cellStyle name="40 % - Markeringsfarve5 2 8 7" xfId="22041" xr:uid="{00000000-0005-0000-0000-00004A7E0000}"/>
    <cellStyle name="40 % - Markeringsfarve5 2 8 8" xfId="37029" xr:uid="{00000000-0005-0000-0000-00004B7E0000}"/>
    <cellStyle name="40 % - Markeringsfarve5 2 9" xfId="4188" xr:uid="{00000000-0005-0000-0000-00004C7E0000}"/>
    <cellStyle name="40 % - Markeringsfarve5 2 9 2" xfId="4189" xr:uid="{00000000-0005-0000-0000-00004D7E0000}"/>
    <cellStyle name="40 % - Markeringsfarve5 2 9 2 2" xfId="7463" xr:uid="{00000000-0005-0000-0000-00004E7E0000}"/>
    <cellStyle name="40 % - Markeringsfarve5 2 9 2 2 2" xfId="15365" xr:uid="{00000000-0005-0000-0000-00004F7E0000}"/>
    <cellStyle name="40 % - Markeringsfarve5 2 9 2 2 2 2" xfId="31680" xr:uid="{00000000-0005-0000-0000-0000507E0000}"/>
    <cellStyle name="40 % - Markeringsfarve5 2 9 2 2 2 3" xfId="46644" xr:uid="{00000000-0005-0000-0000-0000517E0000}"/>
    <cellStyle name="40 % - Markeringsfarve5 2 9 2 2 3" xfId="24658" xr:uid="{00000000-0005-0000-0000-0000527E0000}"/>
    <cellStyle name="40 % - Markeringsfarve5 2 9 2 2 4" xfId="39645" xr:uid="{00000000-0005-0000-0000-0000537E0000}"/>
    <cellStyle name="40 % - Markeringsfarve5 2 9 2 3" xfId="12749" xr:uid="{00000000-0005-0000-0000-0000547E0000}"/>
    <cellStyle name="40 % - Markeringsfarve5 2 9 2 3 2" xfId="29069" xr:uid="{00000000-0005-0000-0000-0000557E0000}"/>
    <cellStyle name="40 % - Markeringsfarve5 2 9 2 3 3" xfId="44034" xr:uid="{00000000-0005-0000-0000-0000567E0000}"/>
    <cellStyle name="40 % - Markeringsfarve5 2 9 2 4" xfId="22047" xr:uid="{00000000-0005-0000-0000-0000577E0000}"/>
    <cellStyle name="40 % - Markeringsfarve5 2 9 2 5" xfId="37035" xr:uid="{00000000-0005-0000-0000-0000587E0000}"/>
    <cellStyle name="40 % - Markeringsfarve5 2 9 3" xfId="6060" xr:uid="{00000000-0005-0000-0000-0000597E0000}"/>
    <cellStyle name="40 % - Markeringsfarve5 2 9 3 2" xfId="13978" xr:uid="{00000000-0005-0000-0000-00005A7E0000}"/>
    <cellStyle name="40 % - Markeringsfarve5 2 9 3 2 2" xfId="30293" xr:uid="{00000000-0005-0000-0000-00005B7E0000}"/>
    <cellStyle name="40 % - Markeringsfarve5 2 9 3 2 3" xfId="45257" xr:uid="{00000000-0005-0000-0000-00005C7E0000}"/>
    <cellStyle name="40 % - Markeringsfarve5 2 9 3 3" xfId="23271" xr:uid="{00000000-0005-0000-0000-00005D7E0000}"/>
    <cellStyle name="40 % - Markeringsfarve5 2 9 3 4" xfId="38258" xr:uid="{00000000-0005-0000-0000-00005E7E0000}"/>
    <cellStyle name="40 % - Markeringsfarve5 2 9 4" xfId="12748" xr:uid="{00000000-0005-0000-0000-00005F7E0000}"/>
    <cellStyle name="40 % - Markeringsfarve5 2 9 4 2" xfId="29068" xr:uid="{00000000-0005-0000-0000-0000607E0000}"/>
    <cellStyle name="40 % - Markeringsfarve5 2 9 4 3" xfId="44033" xr:uid="{00000000-0005-0000-0000-0000617E0000}"/>
    <cellStyle name="40 % - Markeringsfarve5 2 9 5" xfId="22046" xr:uid="{00000000-0005-0000-0000-0000627E0000}"/>
    <cellStyle name="40 % - Markeringsfarve5 2 9 6" xfId="37034" xr:uid="{00000000-0005-0000-0000-0000637E0000}"/>
    <cellStyle name="40 % - Markeringsfarve5 3" xfId="4190" xr:uid="{00000000-0005-0000-0000-0000647E0000}"/>
    <cellStyle name="40 % - Markeringsfarve5 3 10" xfId="4191" xr:uid="{00000000-0005-0000-0000-0000657E0000}"/>
    <cellStyle name="40 % - Markeringsfarve5 3 10 2" xfId="6676" xr:uid="{00000000-0005-0000-0000-0000667E0000}"/>
    <cellStyle name="40 % - Markeringsfarve5 3 10 2 2" xfId="14589" xr:uid="{00000000-0005-0000-0000-0000677E0000}"/>
    <cellStyle name="40 % - Markeringsfarve5 3 10 2 2 2" xfId="30904" xr:uid="{00000000-0005-0000-0000-0000687E0000}"/>
    <cellStyle name="40 % - Markeringsfarve5 3 10 2 2 3" xfId="45868" xr:uid="{00000000-0005-0000-0000-0000697E0000}"/>
    <cellStyle name="40 % - Markeringsfarve5 3 10 2 3" xfId="23882" xr:uid="{00000000-0005-0000-0000-00006A7E0000}"/>
    <cellStyle name="40 % - Markeringsfarve5 3 10 2 4" xfId="38869" xr:uid="{00000000-0005-0000-0000-00006B7E0000}"/>
    <cellStyle name="40 % - Markeringsfarve5 3 10 3" xfId="12751" xr:uid="{00000000-0005-0000-0000-00006C7E0000}"/>
    <cellStyle name="40 % - Markeringsfarve5 3 10 3 2" xfId="29071" xr:uid="{00000000-0005-0000-0000-00006D7E0000}"/>
    <cellStyle name="40 % - Markeringsfarve5 3 10 3 3" xfId="44036" xr:uid="{00000000-0005-0000-0000-00006E7E0000}"/>
    <cellStyle name="40 % - Markeringsfarve5 3 10 4" xfId="22049" xr:uid="{00000000-0005-0000-0000-00006F7E0000}"/>
    <cellStyle name="40 % - Markeringsfarve5 3 10 5" xfId="37037" xr:uid="{00000000-0005-0000-0000-0000707E0000}"/>
    <cellStyle name="40 % - Markeringsfarve5 3 11" xfId="4192" xr:uid="{00000000-0005-0000-0000-0000717E0000}"/>
    <cellStyle name="40 % - Markeringsfarve5 3 11 2" xfId="8200" xr:uid="{00000000-0005-0000-0000-0000727E0000}"/>
    <cellStyle name="40 % - Markeringsfarve5 3 11 2 2" xfId="16097" xr:uid="{00000000-0005-0000-0000-0000737E0000}"/>
    <cellStyle name="40 % - Markeringsfarve5 3 11 2 2 2" xfId="32412" xr:uid="{00000000-0005-0000-0000-0000747E0000}"/>
    <cellStyle name="40 % - Markeringsfarve5 3 11 2 2 3" xfId="47376" xr:uid="{00000000-0005-0000-0000-0000757E0000}"/>
    <cellStyle name="40 % - Markeringsfarve5 3 11 2 3" xfId="25390" xr:uid="{00000000-0005-0000-0000-0000767E0000}"/>
    <cellStyle name="40 % - Markeringsfarve5 3 11 2 4" xfId="40377" xr:uid="{00000000-0005-0000-0000-0000777E0000}"/>
    <cellStyle name="40 % - Markeringsfarve5 3 11 3" xfId="12752" xr:uid="{00000000-0005-0000-0000-0000787E0000}"/>
    <cellStyle name="40 % - Markeringsfarve5 3 11 3 2" xfId="29072" xr:uid="{00000000-0005-0000-0000-0000797E0000}"/>
    <cellStyle name="40 % - Markeringsfarve5 3 11 3 3" xfId="44037" xr:uid="{00000000-0005-0000-0000-00007A7E0000}"/>
    <cellStyle name="40 % - Markeringsfarve5 3 11 4" xfId="22050" xr:uid="{00000000-0005-0000-0000-00007B7E0000}"/>
    <cellStyle name="40 % - Markeringsfarve5 3 11 5" xfId="37038" xr:uid="{00000000-0005-0000-0000-00007C7E0000}"/>
    <cellStyle name="40 % - Markeringsfarve5 3 12" xfId="5932" xr:uid="{00000000-0005-0000-0000-00007D7E0000}"/>
    <cellStyle name="40 % - Markeringsfarve5 3 12 2" xfId="13851" xr:uid="{00000000-0005-0000-0000-00007E7E0000}"/>
    <cellStyle name="40 % - Markeringsfarve5 3 12 2 2" xfId="30166" xr:uid="{00000000-0005-0000-0000-00007F7E0000}"/>
    <cellStyle name="40 % - Markeringsfarve5 3 12 2 3" xfId="45130" xr:uid="{00000000-0005-0000-0000-0000807E0000}"/>
    <cellStyle name="40 % - Markeringsfarve5 3 12 3" xfId="23144" xr:uid="{00000000-0005-0000-0000-0000817E0000}"/>
    <cellStyle name="40 % - Markeringsfarve5 3 12 4" xfId="38131" xr:uid="{00000000-0005-0000-0000-0000827E0000}"/>
    <cellStyle name="40 % - Markeringsfarve5 3 13" xfId="12750" xr:uid="{00000000-0005-0000-0000-0000837E0000}"/>
    <cellStyle name="40 % - Markeringsfarve5 3 13 2" xfId="29070" xr:uid="{00000000-0005-0000-0000-0000847E0000}"/>
    <cellStyle name="40 % - Markeringsfarve5 3 13 3" xfId="44035" xr:uid="{00000000-0005-0000-0000-0000857E0000}"/>
    <cellStyle name="40 % - Markeringsfarve5 3 14" xfId="22048" xr:uid="{00000000-0005-0000-0000-0000867E0000}"/>
    <cellStyle name="40 % - Markeringsfarve5 3 15" xfId="37036" xr:uid="{00000000-0005-0000-0000-0000877E0000}"/>
    <cellStyle name="40 % - Markeringsfarve5 3 16" xfId="53337" xr:uid="{00000000-0005-0000-0000-0000887E0000}"/>
    <cellStyle name="40 % - Markeringsfarve5 3 2" xfId="4193" xr:uid="{00000000-0005-0000-0000-0000897E0000}"/>
    <cellStyle name="40 % - Markeringsfarve5 3 2 10" xfId="5933" xr:uid="{00000000-0005-0000-0000-00008A7E0000}"/>
    <cellStyle name="40 % - Markeringsfarve5 3 2 10 2" xfId="13852" xr:uid="{00000000-0005-0000-0000-00008B7E0000}"/>
    <cellStyle name="40 % - Markeringsfarve5 3 2 10 2 2" xfId="30167" xr:uid="{00000000-0005-0000-0000-00008C7E0000}"/>
    <cellStyle name="40 % - Markeringsfarve5 3 2 10 2 3" xfId="45131" xr:uid="{00000000-0005-0000-0000-00008D7E0000}"/>
    <cellStyle name="40 % - Markeringsfarve5 3 2 10 3" xfId="23145" xr:uid="{00000000-0005-0000-0000-00008E7E0000}"/>
    <cellStyle name="40 % - Markeringsfarve5 3 2 10 4" xfId="38132" xr:uid="{00000000-0005-0000-0000-00008F7E0000}"/>
    <cellStyle name="40 % - Markeringsfarve5 3 2 11" xfId="12753" xr:uid="{00000000-0005-0000-0000-0000907E0000}"/>
    <cellStyle name="40 % - Markeringsfarve5 3 2 11 2" xfId="29073" xr:uid="{00000000-0005-0000-0000-0000917E0000}"/>
    <cellStyle name="40 % - Markeringsfarve5 3 2 11 3" xfId="44038" xr:uid="{00000000-0005-0000-0000-0000927E0000}"/>
    <cellStyle name="40 % - Markeringsfarve5 3 2 12" xfId="22051" xr:uid="{00000000-0005-0000-0000-0000937E0000}"/>
    <cellStyle name="40 % - Markeringsfarve5 3 2 13" xfId="37039" xr:uid="{00000000-0005-0000-0000-0000947E0000}"/>
    <cellStyle name="40 % - Markeringsfarve5 3 2 14" xfId="53974" xr:uid="{00000000-0005-0000-0000-0000957E0000}"/>
    <cellStyle name="40 % - Markeringsfarve5 3 2 2" xfId="4194" xr:uid="{00000000-0005-0000-0000-0000967E0000}"/>
    <cellStyle name="40 % - Markeringsfarve5 3 2 2 2" xfId="4195" xr:uid="{00000000-0005-0000-0000-0000977E0000}"/>
    <cellStyle name="40 % - Markeringsfarve5 3 2 2 2 2" xfId="4196" xr:uid="{00000000-0005-0000-0000-0000987E0000}"/>
    <cellStyle name="40 % - Markeringsfarve5 3 2 2 2 2 2" xfId="7609" xr:uid="{00000000-0005-0000-0000-0000997E0000}"/>
    <cellStyle name="40 % - Markeringsfarve5 3 2 2 2 2 2 2" xfId="15511" xr:uid="{00000000-0005-0000-0000-00009A7E0000}"/>
    <cellStyle name="40 % - Markeringsfarve5 3 2 2 2 2 2 2 2" xfId="31826" xr:uid="{00000000-0005-0000-0000-00009B7E0000}"/>
    <cellStyle name="40 % - Markeringsfarve5 3 2 2 2 2 2 2 3" xfId="46790" xr:uid="{00000000-0005-0000-0000-00009C7E0000}"/>
    <cellStyle name="40 % - Markeringsfarve5 3 2 2 2 2 2 3" xfId="24804" xr:uid="{00000000-0005-0000-0000-00009D7E0000}"/>
    <cellStyle name="40 % - Markeringsfarve5 3 2 2 2 2 2 4" xfId="39791" xr:uid="{00000000-0005-0000-0000-00009E7E0000}"/>
    <cellStyle name="40 % - Markeringsfarve5 3 2 2 2 2 3" xfId="12756" xr:uid="{00000000-0005-0000-0000-00009F7E0000}"/>
    <cellStyle name="40 % - Markeringsfarve5 3 2 2 2 2 3 2" xfId="29076" xr:uid="{00000000-0005-0000-0000-0000A07E0000}"/>
    <cellStyle name="40 % - Markeringsfarve5 3 2 2 2 2 3 3" xfId="44041" xr:uid="{00000000-0005-0000-0000-0000A17E0000}"/>
    <cellStyle name="40 % - Markeringsfarve5 3 2 2 2 2 4" xfId="22054" xr:uid="{00000000-0005-0000-0000-0000A27E0000}"/>
    <cellStyle name="40 % - Markeringsfarve5 3 2 2 2 2 5" xfId="37042" xr:uid="{00000000-0005-0000-0000-0000A37E0000}"/>
    <cellStyle name="40 % - Markeringsfarve5 3 2 2 2 3" xfId="6182" xr:uid="{00000000-0005-0000-0000-0000A47E0000}"/>
    <cellStyle name="40 % - Markeringsfarve5 3 2 2 2 3 2" xfId="14100" xr:uid="{00000000-0005-0000-0000-0000A57E0000}"/>
    <cellStyle name="40 % - Markeringsfarve5 3 2 2 2 3 2 2" xfId="30415" xr:uid="{00000000-0005-0000-0000-0000A67E0000}"/>
    <cellStyle name="40 % - Markeringsfarve5 3 2 2 2 3 2 3" xfId="45379" xr:uid="{00000000-0005-0000-0000-0000A77E0000}"/>
    <cellStyle name="40 % - Markeringsfarve5 3 2 2 2 3 3" xfId="23393" xr:uid="{00000000-0005-0000-0000-0000A87E0000}"/>
    <cellStyle name="40 % - Markeringsfarve5 3 2 2 2 3 4" xfId="38380" xr:uid="{00000000-0005-0000-0000-0000A97E0000}"/>
    <cellStyle name="40 % - Markeringsfarve5 3 2 2 2 4" xfId="12755" xr:uid="{00000000-0005-0000-0000-0000AA7E0000}"/>
    <cellStyle name="40 % - Markeringsfarve5 3 2 2 2 4 2" xfId="29075" xr:uid="{00000000-0005-0000-0000-0000AB7E0000}"/>
    <cellStyle name="40 % - Markeringsfarve5 3 2 2 2 4 3" xfId="44040" xr:uid="{00000000-0005-0000-0000-0000AC7E0000}"/>
    <cellStyle name="40 % - Markeringsfarve5 3 2 2 2 5" xfId="22053" xr:uid="{00000000-0005-0000-0000-0000AD7E0000}"/>
    <cellStyle name="40 % - Markeringsfarve5 3 2 2 2 6" xfId="37041" xr:uid="{00000000-0005-0000-0000-0000AE7E0000}"/>
    <cellStyle name="40 % - Markeringsfarve5 3 2 2 3" xfId="4197" xr:uid="{00000000-0005-0000-0000-0000AF7E0000}"/>
    <cellStyle name="40 % - Markeringsfarve5 3 2 2 3 2" xfId="6839" xr:uid="{00000000-0005-0000-0000-0000B07E0000}"/>
    <cellStyle name="40 % - Markeringsfarve5 3 2 2 3 2 2" xfId="14751" xr:uid="{00000000-0005-0000-0000-0000B17E0000}"/>
    <cellStyle name="40 % - Markeringsfarve5 3 2 2 3 2 2 2" xfId="31066" xr:uid="{00000000-0005-0000-0000-0000B27E0000}"/>
    <cellStyle name="40 % - Markeringsfarve5 3 2 2 3 2 2 3" xfId="46030" xr:uid="{00000000-0005-0000-0000-0000B37E0000}"/>
    <cellStyle name="40 % - Markeringsfarve5 3 2 2 3 2 3" xfId="24044" xr:uid="{00000000-0005-0000-0000-0000B47E0000}"/>
    <cellStyle name="40 % - Markeringsfarve5 3 2 2 3 2 4" xfId="39031" xr:uid="{00000000-0005-0000-0000-0000B57E0000}"/>
    <cellStyle name="40 % - Markeringsfarve5 3 2 2 3 3" xfId="12757" xr:uid="{00000000-0005-0000-0000-0000B67E0000}"/>
    <cellStyle name="40 % - Markeringsfarve5 3 2 2 3 3 2" xfId="29077" xr:uid="{00000000-0005-0000-0000-0000B77E0000}"/>
    <cellStyle name="40 % - Markeringsfarve5 3 2 2 3 3 3" xfId="44042" xr:uid="{00000000-0005-0000-0000-0000B87E0000}"/>
    <cellStyle name="40 % - Markeringsfarve5 3 2 2 3 4" xfId="22055" xr:uid="{00000000-0005-0000-0000-0000B97E0000}"/>
    <cellStyle name="40 % - Markeringsfarve5 3 2 2 3 5" xfId="37043" xr:uid="{00000000-0005-0000-0000-0000BA7E0000}"/>
    <cellStyle name="40 % - Markeringsfarve5 3 2 2 4" xfId="4198" xr:uid="{00000000-0005-0000-0000-0000BB7E0000}"/>
    <cellStyle name="40 % - Markeringsfarve5 3 2 2 4 2" xfId="8493" xr:uid="{00000000-0005-0000-0000-0000BC7E0000}"/>
    <cellStyle name="40 % - Markeringsfarve5 3 2 2 4 2 2" xfId="16382" xr:uid="{00000000-0005-0000-0000-0000BD7E0000}"/>
    <cellStyle name="40 % - Markeringsfarve5 3 2 2 4 2 2 2" xfId="32697" xr:uid="{00000000-0005-0000-0000-0000BE7E0000}"/>
    <cellStyle name="40 % - Markeringsfarve5 3 2 2 4 2 2 3" xfId="47661" xr:uid="{00000000-0005-0000-0000-0000BF7E0000}"/>
    <cellStyle name="40 % - Markeringsfarve5 3 2 2 4 2 3" xfId="25675" xr:uid="{00000000-0005-0000-0000-0000C07E0000}"/>
    <cellStyle name="40 % - Markeringsfarve5 3 2 2 4 2 4" xfId="40662" xr:uid="{00000000-0005-0000-0000-0000C17E0000}"/>
    <cellStyle name="40 % - Markeringsfarve5 3 2 2 4 3" xfId="12758" xr:uid="{00000000-0005-0000-0000-0000C27E0000}"/>
    <cellStyle name="40 % - Markeringsfarve5 3 2 2 4 3 2" xfId="29078" xr:uid="{00000000-0005-0000-0000-0000C37E0000}"/>
    <cellStyle name="40 % - Markeringsfarve5 3 2 2 4 3 3" xfId="44043" xr:uid="{00000000-0005-0000-0000-0000C47E0000}"/>
    <cellStyle name="40 % - Markeringsfarve5 3 2 2 4 4" xfId="22056" xr:uid="{00000000-0005-0000-0000-0000C57E0000}"/>
    <cellStyle name="40 % - Markeringsfarve5 3 2 2 4 5" xfId="37044" xr:uid="{00000000-0005-0000-0000-0000C67E0000}"/>
    <cellStyle name="40 % - Markeringsfarve5 3 2 2 5" xfId="5934" xr:uid="{00000000-0005-0000-0000-0000C77E0000}"/>
    <cellStyle name="40 % - Markeringsfarve5 3 2 2 5 2" xfId="13853" xr:uid="{00000000-0005-0000-0000-0000C87E0000}"/>
    <cellStyle name="40 % - Markeringsfarve5 3 2 2 5 2 2" xfId="30168" xr:uid="{00000000-0005-0000-0000-0000C97E0000}"/>
    <cellStyle name="40 % - Markeringsfarve5 3 2 2 5 2 3" xfId="45132" xr:uid="{00000000-0005-0000-0000-0000CA7E0000}"/>
    <cellStyle name="40 % - Markeringsfarve5 3 2 2 5 3" xfId="23146" xr:uid="{00000000-0005-0000-0000-0000CB7E0000}"/>
    <cellStyle name="40 % - Markeringsfarve5 3 2 2 5 4" xfId="38133" xr:uid="{00000000-0005-0000-0000-0000CC7E0000}"/>
    <cellStyle name="40 % - Markeringsfarve5 3 2 2 6" xfId="12754" xr:uid="{00000000-0005-0000-0000-0000CD7E0000}"/>
    <cellStyle name="40 % - Markeringsfarve5 3 2 2 6 2" xfId="29074" xr:uid="{00000000-0005-0000-0000-0000CE7E0000}"/>
    <cellStyle name="40 % - Markeringsfarve5 3 2 2 6 3" xfId="44039" xr:uid="{00000000-0005-0000-0000-0000CF7E0000}"/>
    <cellStyle name="40 % - Markeringsfarve5 3 2 2 7" xfId="22052" xr:uid="{00000000-0005-0000-0000-0000D07E0000}"/>
    <cellStyle name="40 % - Markeringsfarve5 3 2 2 8" xfId="37040" xr:uid="{00000000-0005-0000-0000-0000D17E0000}"/>
    <cellStyle name="40 % - Markeringsfarve5 3 2 2 9" xfId="57141" xr:uid="{00000000-0005-0000-0000-0000D27E0000}"/>
    <cellStyle name="40 % - Markeringsfarve5 3 2 3" xfId="4199" xr:uid="{00000000-0005-0000-0000-0000D37E0000}"/>
    <cellStyle name="40 % - Markeringsfarve5 3 2 3 2" xfId="4200" xr:uid="{00000000-0005-0000-0000-0000D47E0000}"/>
    <cellStyle name="40 % - Markeringsfarve5 3 2 3 2 2" xfId="4201" xr:uid="{00000000-0005-0000-0000-0000D57E0000}"/>
    <cellStyle name="40 % - Markeringsfarve5 3 2 3 2 2 2" xfId="7760" xr:uid="{00000000-0005-0000-0000-0000D67E0000}"/>
    <cellStyle name="40 % - Markeringsfarve5 3 2 3 2 2 2 2" xfId="15662" xr:uid="{00000000-0005-0000-0000-0000D77E0000}"/>
    <cellStyle name="40 % - Markeringsfarve5 3 2 3 2 2 2 2 2" xfId="31977" xr:uid="{00000000-0005-0000-0000-0000D87E0000}"/>
    <cellStyle name="40 % - Markeringsfarve5 3 2 3 2 2 2 2 3" xfId="46941" xr:uid="{00000000-0005-0000-0000-0000D97E0000}"/>
    <cellStyle name="40 % - Markeringsfarve5 3 2 3 2 2 2 3" xfId="24955" xr:uid="{00000000-0005-0000-0000-0000DA7E0000}"/>
    <cellStyle name="40 % - Markeringsfarve5 3 2 3 2 2 2 4" xfId="39942" xr:uid="{00000000-0005-0000-0000-0000DB7E0000}"/>
    <cellStyle name="40 % - Markeringsfarve5 3 2 3 2 2 3" xfId="12761" xr:uid="{00000000-0005-0000-0000-0000DC7E0000}"/>
    <cellStyle name="40 % - Markeringsfarve5 3 2 3 2 2 3 2" xfId="29081" xr:uid="{00000000-0005-0000-0000-0000DD7E0000}"/>
    <cellStyle name="40 % - Markeringsfarve5 3 2 3 2 2 3 3" xfId="44046" xr:uid="{00000000-0005-0000-0000-0000DE7E0000}"/>
    <cellStyle name="40 % - Markeringsfarve5 3 2 3 2 2 4" xfId="22059" xr:uid="{00000000-0005-0000-0000-0000DF7E0000}"/>
    <cellStyle name="40 % - Markeringsfarve5 3 2 3 2 2 5" xfId="37047" xr:uid="{00000000-0005-0000-0000-0000E07E0000}"/>
    <cellStyle name="40 % - Markeringsfarve5 3 2 3 2 3" xfId="6306" xr:uid="{00000000-0005-0000-0000-0000E17E0000}"/>
    <cellStyle name="40 % - Markeringsfarve5 3 2 3 2 3 2" xfId="14224" xr:uid="{00000000-0005-0000-0000-0000E27E0000}"/>
    <cellStyle name="40 % - Markeringsfarve5 3 2 3 2 3 2 2" xfId="30539" xr:uid="{00000000-0005-0000-0000-0000E37E0000}"/>
    <cellStyle name="40 % - Markeringsfarve5 3 2 3 2 3 2 3" xfId="45503" xr:uid="{00000000-0005-0000-0000-0000E47E0000}"/>
    <cellStyle name="40 % - Markeringsfarve5 3 2 3 2 3 3" xfId="23517" xr:uid="{00000000-0005-0000-0000-0000E57E0000}"/>
    <cellStyle name="40 % - Markeringsfarve5 3 2 3 2 3 4" xfId="38504" xr:uid="{00000000-0005-0000-0000-0000E67E0000}"/>
    <cellStyle name="40 % - Markeringsfarve5 3 2 3 2 4" xfId="12760" xr:uid="{00000000-0005-0000-0000-0000E77E0000}"/>
    <cellStyle name="40 % - Markeringsfarve5 3 2 3 2 4 2" xfId="29080" xr:uid="{00000000-0005-0000-0000-0000E87E0000}"/>
    <cellStyle name="40 % - Markeringsfarve5 3 2 3 2 4 3" xfId="44045" xr:uid="{00000000-0005-0000-0000-0000E97E0000}"/>
    <cellStyle name="40 % - Markeringsfarve5 3 2 3 2 5" xfId="22058" xr:uid="{00000000-0005-0000-0000-0000EA7E0000}"/>
    <cellStyle name="40 % - Markeringsfarve5 3 2 3 2 6" xfId="37046" xr:uid="{00000000-0005-0000-0000-0000EB7E0000}"/>
    <cellStyle name="40 % - Markeringsfarve5 3 2 3 3" xfId="4202" xr:uid="{00000000-0005-0000-0000-0000EC7E0000}"/>
    <cellStyle name="40 % - Markeringsfarve5 3 2 3 3 2" xfId="6990" xr:uid="{00000000-0005-0000-0000-0000ED7E0000}"/>
    <cellStyle name="40 % - Markeringsfarve5 3 2 3 3 2 2" xfId="14902" xr:uid="{00000000-0005-0000-0000-0000EE7E0000}"/>
    <cellStyle name="40 % - Markeringsfarve5 3 2 3 3 2 2 2" xfId="31217" xr:uid="{00000000-0005-0000-0000-0000EF7E0000}"/>
    <cellStyle name="40 % - Markeringsfarve5 3 2 3 3 2 2 3" xfId="46181" xr:uid="{00000000-0005-0000-0000-0000F07E0000}"/>
    <cellStyle name="40 % - Markeringsfarve5 3 2 3 3 2 3" xfId="24195" xr:uid="{00000000-0005-0000-0000-0000F17E0000}"/>
    <cellStyle name="40 % - Markeringsfarve5 3 2 3 3 2 4" xfId="39182" xr:uid="{00000000-0005-0000-0000-0000F27E0000}"/>
    <cellStyle name="40 % - Markeringsfarve5 3 2 3 3 3" xfId="12762" xr:uid="{00000000-0005-0000-0000-0000F37E0000}"/>
    <cellStyle name="40 % - Markeringsfarve5 3 2 3 3 3 2" xfId="29082" xr:uid="{00000000-0005-0000-0000-0000F47E0000}"/>
    <cellStyle name="40 % - Markeringsfarve5 3 2 3 3 3 3" xfId="44047" xr:uid="{00000000-0005-0000-0000-0000F57E0000}"/>
    <cellStyle name="40 % - Markeringsfarve5 3 2 3 3 4" xfId="22060" xr:uid="{00000000-0005-0000-0000-0000F67E0000}"/>
    <cellStyle name="40 % - Markeringsfarve5 3 2 3 3 5" xfId="37048" xr:uid="{00000000-0005-0000-0000-0000F77E0000}"/>
    <cellStyle name="40 % - Markeringsfarve5 3 2 3 4" xfId="4203" xr:uid="{00000000-0005-0000-0000-0000F87E0000}"/>
    <cellStyle name="40 % - Markeringsfarve5 3 2 3 4 2" xfId="8703" xr:uid="{00000000-0005-0000-0000-0000F97E0000}"/>
    <cellStyle name="40 % - Markeringsfarve5 3 2 3 4 2 2" xfId="16580" xr:uid="{00000000-0005-0000-0000-0000FA7E0000}"/>
    <cellStyle name="40 % - Markeringsfarve5 3 2 3 4 2 2 2" xfId="32895" xr:uid="{00000000-0005-0000-0000-0000FB7E0000}"/>
    <cellStyle name="40 % - Markeringsfarve5 3 2 3 4 2 2 3" xfId="47859" xr:uid="{00000000-0005-0000-0000-0000FC7E0000}"/>
    <cellStyle name="40 % - Markeringsfarve5 3 2 3 4 2 3" xfId="25873" xr:uid="{00000000-0005-0000-0000-0000FD7E0000}"/>
    <cellStyle name="40 % - Markeringsfarve5 3 2 3 4 2 4" xfId="40860" xr:uid="{00000000-0005-0000-0000-0000FE7E0000}"/>
    <cellStyle name="40 % - Markeringsfarve5 3 2 3 4 3" xfId="12763" xr:uid="{00000000-0005-0000-0000-0000FF7E0000}"/>
    <cellStyle name="40 % - Markeringsfarve5 3 2 3 4 3 2" xfId="29083" xr:uid="{00000000-0005-0000-0000-0000007F0000}"/>
    <cellStyle name="40 % - Markeringsfarve5 3 2 3 4 3 3" xfId="44048" xr:uid="{00000000-0005-0000-0000-0000017F0000}"/>
    <cellStyle name="40 % - Markeringsfarve5 3 2 3 4 4" xfId="22061" xr:uid="{00000000-0005-0000-0000-0000027F0000}"/>
    <cellStyle name="40 % - Markeringsfarve5 3 2 3 4 5" xfId="37049" xr:uid="{00000000-0005-0000-0000-0000037F0000}"/>
    <cellStyle name="40 % - Markeringsfarve5 3 2 3 5" xfId="5935" xr:uid="{00000000-0005-0000-0000-0000047F0000}"/>
    <cellStyle name="40 % - Markeringsfarve5 3 2 3 5 2" xfId="13854" xr:uid="{00000000-0005-0000-0000-0000057F0000}"/>
    <cellStyle name="40 % - Markeringsfarve5 3 2 3 5 2 2" xfId="30169" xr:uid="{00000000-0005-0000-0000-0000067F0000}"/>
    <cellStyle name="40 % - Markeringsfarve5 3 2 3 5 2 3" xfId="45133" xr:uid="{00000000-0005-0000-0000-0000077F0000}"/>
    <cellStyle name="40 % - Markeringsfarve5 3 2 3 5 3" xfId="23147" xr:uid="{00000000-0005-0000-0000-0000087F0000}"/>
    <cellStyle name="40 % - Markeringsfarve5 3 2 3 5 4" xfId="38134" xr:uid="{00000000-0005-0000-0000-0000097F0000}"/>
    <cellStyle name="40 % - Markeringsfarve5 3 2 3 6" xfId="12759" xr:uid="{00000000-0005-0000-0000-00000A7F0000}"/>
    <cellStyle name="40 % - Markeringsfarve5 3 2 3 6 2" xfId="29079" xr:uid="{00000000-0005-0000-0000-00000B7F0000}"/>
    <cellStyle name="40 % - Markeringsfarve5 3 2 3 6 3" xfId="44044" xr:uid="{00000000-0005-0000-0000-00000C7F0000}"/>
    <cellStyle name="40 % - Markeringsfarve5 3 2 3 7" xfId="22057" xr:uid="{00000000-0005-0000-0000-00000D7F0000}"/>
    <cellStyle name="40 % - Markeringsfarve5 3 2 3 8" xfId="37045" xr:uid="{00000000-0005-0000-0000-00000E7F0000}"/>
    <cellStyle name="40 % - Markeringsfarve5 3 2 4" xfId="4204" xr:uid="{00000000-0005-0000-0000-00000F7F0000}"/>
    <cellStyle name="40 % - Markeringsfarve5 3 2 4 2" xfId="4205" xr:uid="{00000000-0005-0000-0000-0000107F0000}"/>
    <cellStyle name="40 % - Markeringsfarve5 3 2 4 2 2" xfId="4206" xr:uid="{00000000-0005-0000-0000-0000117F0000}"/>
    <cellStyle name="40 % - Markeringsfarve5 3 2 4 2 2 2" xfId="7847" xr:uid="{00000000-0005-0000-0000-0000127F0000}"/>
    <cellStyle name="40 % - Markeringsfarve5 3 2 4 2 2 2 2" xfId="15749" xr:uid="{00000000-0005-0000-0000-0000137F0000}"/>
    <cellStyle name="40 % - Markeringsfarve5 3 2 4 2 2 2 2 2" xfId="32064" xr:uid="{00000000-0005-0000-0000-0000147F0000}"/>
    <cellStyle name="40 % - Markeringsfarve5 3 2 4 2 2 2 2 3" xfId="47028" xr:uid="{00000000-0005-0000-0000-0000157F0000}"/>
    <cellStyle name="40 % - Markeringsfarve5 3 2 4 2 2 2 3" xfId="25042" xr:uid="{00000000-0005-0000-0000-0000167F0000}"/>
    <cellStyle name="40 % - Markeringsfarve5 3 2 4 2 2 2 4" xfId="40029" xr:uid="{00000000-0005-0000-0000-0000177F0000}"/>
    <cellStyle name="40 % - Markeringsfarve5 3 2 4 2 2 3" xfId="12766" xr:uid="{00000000-0005-0000-0000-0000187F0000}"/>
    <cellStyle name="40 % - Markeringsfarve5 3 2 4 2 2 3 2" xfId="29086" xr:uid="{00000000-0005-0000-0000-0000197F0000}"/>
    <cellStyle name="40 % - Markeringsfarve5 3 2 4 2 2 3 3" xfId="44051" xr:uid="{00000000-0005-0000-0000-00001A7F0000}"/>
    <cellStyle name="40 % - Markeringsfarve5 3 2 4 2 2 4" xfId="22064" xr:uid="{00000000-0005-0000-0000-00001B7F0000}"/>
    <cellStyle name="40 % - Markeringsfarve5 3 2 4 2 2 5" xfId="37052" xr:uid="{00000000-0005-0000-0000-00001C7F0000}"/>
    <cellStyle name="40 % - Markeringsfarve5 3 2 4 2 3" xfId="6384" xr:uid="{00000000-0005-0000-0000-00001D7F0000}"/>
    <cellStyle name="40 % - Markeringsfarve5 3 2 4 2 3 2" xfId="14299" xr:uid="{00000000-0005-0000-0000-00001E7F0000}"/>
    <cellStyle name="40 % - Markeringsfarve5 3 2 4 2 3 2 2" xfId="30614" xr:uid="{00000000-0005-0000-0000-00001F7F0000}"/>
    <cellStyle name="40 % - Markeringsfarve5 3 2 4 2 3 2 3" xfId="45578" xr:uid="{00000000-0005-0000-0000-0000207F0000}"/>
    <cellStyle name="40 % - Markeringsfarve5 3 2 4 2 3 3" xfId="23592" xr:uid="{00000000-0005-0000-0000-0000217F0000}"/>
    <cellStyle name="40 % - Markeringsfarve5 3 2 4 2 3 4" xfId="38579" xr:uid="{00000000-0005-0000-0000-0000227F0000}"/>
    <cellStyle name="40 % - Markeringsfarve5 3 2 4 2 4" xfId="12765" xr:uid="{00000000-0005-0000-0000-0000237F0000}"/>
    <cellStyle name="40 % - Markeringsfarve5 3 2 4 2 4 2" xfId="29085" xr:uid="{00000000-0005-0000-0000-0000247F0000}"/>
    <cellStyle name="40 % - Markeringsfarve5 3 2 4 2 4 3" xfId="44050" xr:uid="{00000000-0005-0000-0000-0000257F0000}"/>
    <cellStyle name="40 % - Markeringsfarve5 3 2 4 2 5" xfId="22063" xr:uid="{00000000-0005-0000-0000-0000267F0000}"/>
    <cellStyle name="40 % - Markeringsfarve5 3 2 4 2 6" xfId="37051" xr:uid="{00000000-0005-0000-0000-0000277F0000}"/>
    <cellStyle name="40 % - Markeringsfarve5 3 2 4 3" xfId="4207" xr:uid="{00000000-0005-0000-0000-0000287F0000}"/>
    <cellStyle name="40 % - Markeringsfarve5 3 2 4 3 2" xfId="7123" xr:uid="{00000000-0005-0000-0000-0000297F0000}"/>
    <cellStyle name="40 % - Markeringsfarve5 3 2 4 3 2 2" xfId="15034" xr:uid="{00000000-0005-0000-0000-00002A7F0000}"/>
    <cellStyle name="40 % - Markeringsfarve5 3 2 4 3 2 2 2" xfId="31349" xr:uid="{00000000-0005-0000-0000-00002B7F0000}"/>
    <cellStyle name="40 % - Markeringsfarve5 3 2 4 3 2 2 3" xfId="46313" xr:uid="{00000000-0005-0000-0000-00002C7F0000}"/>
    <cellStyle name="40 % - Markeringsfarve5 3 2 4 3 2 3" xfId="24327" xr:uid="{00000000-0005-0000-0000-00002D7F0000}"/>
    <cellStyle name="40 % - Markeringsfarve5 3 2 4 3 2 4" xfId="39314" xr:uid="{00000000-0005-0000-0000-00002E7F0000}"/>
    <cellStyle name="40 % - Markeringsfarve5 3 2 4 3 3" xfId="12767" xr:uid="{00000000-0005-0000-0000-00002F7F0000}"/>
    <cellStyle name="40 % - Markeringsfarve5 3 2 4 3 3 2" xfId="29087" xr:uid="{00000000-0005-0000-0000-0000307F0000}"/>
    <cellStyle name="40 % - Markeringsfarve5 3 2 4 3 3 3" xfId="44052" xr:uid="{00000000-0005-0000-0000-0000317F0000}"/>
    <cellStyle name="40 % - Markeringsfarve5 3 2 4 3 4" xfId="22065" xr:uid="{00000000-0005-0000-0000-0000327F0000}"/>
    <cellStyle name="40 % - Markeringsfarve5 3 2 4 3 5" xfId="37053" xr:uid="{00000000-0005-0000-0000-0000337F0000}"/>
    <cellStyle name="40 % - Markeringsfarve5 3 2 4 4" xfId="4208" xr:uid="{00000000-0005-0000-0000-0000347F0000}"/>
    <cellStyle name="40 % - Markeringsfarve5 3 2 4 4 2" xfId="8423" xr:uid="{00000000-0005-0000-0000-0000357F0000}"/>
    <cellStyle name="40 % - Markeringsfarve5 3 2 4 4 2 2" xfId="16313" xr:uid="{00000000-0005-0000-0000-0000367F0000}"/>
    <cellStyle name="40 % - Markeringsfarve5 3 2 4 4 2 2 2" xfId="32628" xr:uid="{00000000-0005-0000-0000-0000377F0000}"/>
    <cellStyle name="40 % - Markeringsfarve5 3 2 4 4 2 2 3" xfId="47592" xr:uid="{00000000-0005-0000-0000-0000387F0000}"/>
    <cellStyle name="40 % - Markeringsfarve5 3 2 4 4 2 3" xfId="25606" xr:uid="{00000000-0005-0000-0000-0000397F0000}"/>
    <cellStyle name="40 % - Markeringsfarve5 3 2 4 4 2 4" xfId="40593" xr:uid="{00000000-0005-0000-0000-00003A7F0000}"/>
    <cellStyle name="40 % - Markeringsfarve5 3 2 4 4 3" xfId="12768" xr:uid="{00000000-0005-0000-0000-00003B7F0000}"/>
    <cellStyle name="40 % - Markeringsfarve5 3 2 4 4 3 2" xfId="29088" xr:uid="{00000000-0005-0000-0000-00003C7F0000}"/>
    <cellStyle name="40 % - Markeringsfarve5 3 2 4 4 3 3" xfId="44053" xr:uid="{00000000-0005-0000-0000-00003D7F0000}"/>
    <cellStyle name="40 % - Markeringsfarve5 3 2 4 4 4" xfId="22066" xr:uid="{00000000-0005-0000-0000-00003E7F0000}"/>
    <cellStyle name="40 % - Markeringsfarve5 3 2 4 4 5" xfId="37054" xr:uid="{00000000-0005-0000-0000-00003F7F0000}"/>
    <cellStyle name="40 % - Markeringsfarve5 3 2 4 5" xfId="5936" xr:uid="{00000000-0005-0000-0000-0000407F0000}"/>
    <cellStyle name="40 % - Markeringsfarve5 3 2 4 5 2" xfId="13855" xr:uid="{00000000-0005-0000-0000-0000417F0000}"/>
    <cellStyle name="40 % - Markeringsfarve5 3 2 4 5 2 2" xfId="30170" xr:uid="{00000000-0005-0000-0000-0000427F0000}"/>
    <cellStyle name="40 % - Markeringsfarve5 3 2 4 5 2 3" xfId="45134" xr:uid="{00000000-0005-0000-0000-0000437F0000}"/>
    <cellStyle name="40 % - Markeringsfarve5 3 2 4 5 3" xfId="23148" xr:uid="{00000000-0005-0000-0000-0000447F0000}"/>
    <cellStyle name="40 % - Markeringsfarve5 3 2 4 5 4" xfId="38135" xr:uid="{00000000-0005-0000-0000-0000457F0000}"/>
    <cellStyle name="40 % - Markeringsfarve5 3 2 4 6" xfId="12764" xr:uid="{00000000-0005-0000-0000-0000467F0000}"/>
    <cellStyle name="40 % - Markeringsfarve5 3 2 4 6 2" xfId="29084" xr:uid="{00000000-0005-0000-0000-0000477F0000}"/>
    <cellStyle name="40 % - Markeringsfarve5 3 2 4 6 3" xfId="44049" xr:uid="{00000000-0005-0000-0000-0000487F0000}"/>
    <cellStyle name="40 % - Markeringsfarve5 3 2 4 7" xfId="22062" xr:uid="{00000000-0005-0000-0000-0000497F0000}"/>
    <cellStyle name="40 % - Markeringsfarve5 3 2 4 8" xfId="37050" xr:uid="{00000000-0005-0000-0000-00004A7F0000}"/>
    <cellStyle name="40 % - Markeringsfarve5 3 2 5" xfId="4209" xr:uid="{00000000-0005-0000-0000-00004B7F0000}"/>
    <cellStyle name="40 % - Markeringsfarve5 3 2 5 2" xfId="4210" xr:uid="{00000000-0005-0000-0000-00004C7F0000}"/>
    <cellStyle name="40 % - Markeringsfarve5 3 2 5 2 2" xfId="4211" xr:uid="{00000000-0005-0000-0000-00004D7F0000}"/>
    <cellStyle name="40 % - Markeringsfarve5 3 2 5 2 2 2" xfId="7964" xr:uid="{00000000-0005-0000-0000-00004E7F0000}"/>
    <cellStyle name="40 % - Markeringsfarve5 3 2 5 2 2 2 2" xfId="15866" xr:uid="{00000000-0005-0000-0000-00004F7F0000}"/>
    <cellStyle name="40 % - Markeringsfarve5 3 2 5 2 2 2 2 2" xfId="32181" xr:uid="{00000000-0005-0000-0000-0000507F0000}"/>
    <cellStyle name="40 % - Markeringsfarve5 3 2 5 2 2 2 2 3" xfId="47145" xr:uid="{00000000-0005-0000-0000-0000517F0000}"/>
    <cellStyle name="40 % - Markeringsfarve5 3 2 5 2 2 2 3" xfId="25159" xr:uid="{00000000-0005-0000-0000-0000527F0000}"/>
    <cellStyle name="40 % - Markeringsfarve5 3 2 5 2 2 2 4" xfId="40146" xr:uid="{00000000-0005-0000-0000-0000537F0000}"/>
    <cellStyle name="40 % - Markeringsfarve5 3 2 5 2 2 3" xfId="12771" xr:uid="{00000000-0005-0000-0000-0000547F0000}"/>
    <cellStyle name="40 % - Markeringsfarve5 3 2 5 2 2 3 2" xfId="29091" xr:uid="{00000000-0005-0000-0000-0000557F0000}"/>
    <cellStyle name="40 % - Markeringsfarve5 3 2 5 2 2 3 3" xfId="44056" xr:uid="{00000000-0005-0000-0000-0000567F0000}"/>
    <cellStyle name="40 % - Markeringsfarve5 3 2 5 2 2 4" xfId="22069" xr:uid="{00000000-0005-0000-0000-0000577F0000}"/>
    <cellStyle name="40 % - Markeringsfarve5 3 2 5 2 2 5" xfId="37057" xr:uid="{00000000-0005-0000-0000-0000587F0000}"/>
    <cellStyle name="40 % - Markeringsfarve5 3 2 5 2 3" xfId="6483" xr:uid="{00000000-0005-0000-0000-0000597F0000}"/>
    <cellStyle name="40 % - Markeringsfarve5 3 2 5 2 3 2" xfId="14398" xr:uid="{00000000-0005-0000-0000-00005A7F0000}"/>
    <cellStyle name="40 % - Markeringsfarve5 3 2 5 2 3 2 2" xfId="30713" xr:uid="{00000000-0005-0000-0000-00005B7F0000}"/>
    <cellStyle name="40 % - Markeringsfarve5 3 2 5 2 3 2 3" xfId="45677" xr:uid="{00000000-0005-0000-0000-00005C7F0000}"/>
    <cellStyle name="40 % - Markeringsfarve5 3 2 5 2 3 3" xfId="23691" xr:uid="{00000000-0005-0000-0000-00005D7F0000}"/>
    <cellStyle name="40 % - Markeringsfarve5 3 2 5 2 3 4" xfId="38678" xr:uid="{00000000-0005-0000-0000-00005E7F0000}"/>
    <cellStyle name="40 % - Markeringsfarve5 3 2 5 2 4" xfId="12770" xr:uid="{00000000-0005-0000-0000-00005F7F0000}"/>
    <cellStyle name="40 % - Markeringsfarve5 3 2 5 2 4 2" xfId="29090" xr:uid="{00000000-0005-0000-0000-0000607F0000}"/>
    <cellStyle name="40 % - Markeringsfarve5 3 2 5 2 4 3" xfId="44055" xr:uid="{00000000-0005-0000-0000-0000617F0000}"/>
    <cellStyle name="40 % - Markeringsfarve5 3 2 5 2 5" xfId="22068" xr:uid="{00000000-0005-0000-0000-0000627F0000}"/>
    <cellStyle name="40 % - Markeringsfarve5 3 2 5 2 6" xfId="37056" xr:uid="{00000000-0005-0000-0000-0000637F0000}"/>
    <cellStyle name="40 % - Markeringsfarve5 3 2 5 3" xfId="4212" xr:uid="{00000000-0005-0000-0000-0000647F0000}"/>
    <cellStyle name="40 % - Markeringsfarve5 3 2 5 3 2" xfId="7240" xr:uid="{00000000-0005-0000-0000-0000657F0000}"/>
    <cellStyle name="40 % - Markeringsfarve5 3 2 5 3 2 2" xfId="15151" xr:uid="{00000000-0005-0000-0000-0000667F0000}"/>
    <cellStyle name="40 % - Markeringsfarve5 3 2 5 3 2 2 2" xfId="31466" xr:uid="{00000000-0005-0000-0000-0000677F0000}"/>
    <cellStyle name="40 % - Markeringsfarve5 3 2 5 3 2 2 3" xfId="46430" xr:uid="{00000000-0005-0000-0000-0000687F0000}"/>
    <cellStyle name="40 % - Markeringsfarve5 3 2 5 3 2 3" xfId="24444" xr:uid="{00000000-0005-0000-0000-0000697F0000}"/>
    <cellStyle name="40 % - Markeringsfarve5 3 2 5 3 2 4" xfId="39431" xr:uid="{00000000-0005-0000-0000-00006A7F0000}"/>
    <cellStyle name="40 % - Markeringsfarve5 3 2 5 3 3" xfId="12772" xr:uid="{00000000-0005-0000-0000-00006B7F0000}"/>
    <cellStyle name="40 % - Markeringsfarve5 3 2 5 3 3 2" xfId="29092" xr:uid="{00000000-0005-0000-0000-00006C7F0000}"/>
    <cellStyle name="40 % - Markeringsfarve5 3 2 5 3 3 3" xfId="44057" xr:uid="{00000000-0005-0000-0000-00006D7F0000}"/>
    <cellStyle name="40 % - Markeringsfarve5 3 2 5 3 4" xfId="22070" xr:uid="{00000000-0005-0000-0000-00006E7F0000}"/>
    <cellStyle name="40 % - Markeringsfarve5 3 2 5 3 5" xfId="37058" xr:uid="{00000000-0005-0000-0000-00006F7F0000}"/>
    <cellStyle name="40 % - Markeringsfarve5 3 2 5 4" xfId="4213" xr:uid="{00000000-0005-0000-0000-0000707F0000}"/>
    <cellStyle name="40 % - Markeringsfarve5 3 2 5 4 2" xfId="8667" xr:uid="{00000000-0005-0000-0000-0000717F0000}"/>
    <cellStyle name="40 % - Markeringsfarve5 3 2 5 4 2 2" xfId="16548" xr:uid="{00000000-0005-0000-0000-0000727F0000}"/>
    <cellStyle name="40 % - Markeringsfarve5 3 2 5 4 2 2 2" xfId="32863" xr:uid="{00000000-0005-0000-0000-0000737F0000}"/>
    <cellStyle name="40 % - Markeringsfarve5 3 2 5 4 2 2 3" xfId="47827" xr:uid="{00000000-0005-0000-0000-0000747F0000}"/>
    <cellStyle name="40 % - Markeringsfarve5 3 2 5 4 2 3" xfId="25841" xr:uid="{00000000-0005-0000-0000-0000757F0000}"/>
    <cellStyle name="40 % - Markeringsfarve5 3 2 5 4 2 4" xfId="40828" xr:uid="{00000000-0005-0000-0000-0000767F0000}"/>
    <cellStyle name="40 % - Markeringsfarve5 3 2 5 4 3" xfId="12773" xr:uid="{00000000-0005-0000-0000-0000777F0000}"/>
    <cellStyle name="40 % - Markeringsfarve5 3 2 5 4 3 2" xfId="29093" xr:uid="{00000000-0005-0000-0000-0000787F0000}"/>
    <cellStyle name="40 % - Markeringsfarve5 3 2 5 4 3 3" xfId="44058" xr:uid="{00000000-0005-0000-0000-0000797F0000}"/>
    <cellStyle name="40 % - Markeringsfarve5 3 2 5 4 4" xfId="22071" xr:uid="{00000000-0005-0000-0000-00007A7F0000}"/>
    <cellStyle name="40 % - Markeringsfarve5 3 2 5 4 5" xfId="37059" xr:uid="{00000000-0005-0000-0000-00007B7F0000}"/>
    <cellStyle name="40 % - Markeringsfarve5 3 2 5 5" xfId="5937" xr:uid="{00000000-0005-0000-0000-00007C7F0000}"/>
    <cellStyle name="40 % - Markeringsfarve5 3 2 5 5 2" xfId="13856" xr:uid="{00000000-0005-0000-0000-00007D7F0000}"/>
    <cellStyle name="40 % - Markeringsfarve5 3 2 5 5 2 2" xfId="30171" xr:uid="{00000000-0005-0000-0000-00007E7F0000}"/>
    <cellStyle name="40 % - Markeringsfarve5 3 2 5 5 2 3" xfId="45135" xr:uid="{00000000-0005-0000-0000-00007F7F0000}"/>
    <cellStyle name="40 % - Markeringsfarve5 3 2 5 5 3" xfId="23149" xr:uid="{00000000-0005-0000-0000-0000807F0000}"/>
    <cellStyle name="40 % - Markeringsfarve5 3 2 5 5 4" xfId="38136" xr:uid="{00000000-0005-0000-0000-0000817F0000}"/>
    <cellStyle name="40 % - Markeringsfarve5 3 2 5 6" xfId="12769" xr:uid="{00000000-0005-0000-0000-0000827F0000}"/>
    <cellStyle name="40 % - Markeringsfarve5 3 2 5 6 2" xfId="29089" xr:uid="{00000000-0005-0000-0000-0000837F0000}"/>
    <cellStyle name="40 % - Markeringsfarve5 3 2 5 6 3" xfId="44054" xr:uid="{00000000-0005-0000-0000-0000847F0000}"/>
    <cellStyle name="40 % - Markeringsfarve5 3 2 5 7" xfId="22067" xr:uid="{00000000-0005-0000-0000-0000857F0000}"/>
    <cellStyle name="40 % - Markeringsfarve5 3 2 5 8" xfId="37055" xr:uid="{00000000-0005-0000-0000-0000867F0000}"/>
    <cellStyle name="40 % - Markeringsfarve5 3 2 6" xfId="4214" xr:uid="{00000000-0005-0000-0000-0000877F0000}"/>
    <cellStyle name="40 % - Markeringsfarve5 3 2 6 2" xfId="4215" xr:uid="{00000000-0005-0000-0000-0000887F0000}"/>
    <cellStyle name="40 % - Markeringsfarve5 3 2 6 2 2" xfId="4216" xr:uid="{00000000-0005-0000-0000-0000897F0000}"/>
    <cellStyle name="40 % - Markeringsfarve5 3 2 6 2 2 2" xfId="8114" xr:uid="{00000000-0005-0000-0000-00008A7F0000}"/>
    <cellStyle name="40 % - Markeringsfarve5 3 2 6 2 2 2 2" xfId="16016" xr:uid="{00000000-0005-0000-0000-00008B7F0000}"/>
    <cellStyle name="40 % - Markeringsfarve5 3 2 6 2 2 2 2 2" xfId="32331" xr:uid="{00000000-0005-0000-0000-00008C7F0000}"/>
    <cellStyle name="40 % - Markeringsfarve5 3 2 6 2 2 2 2 3" xfId="47295" xr:uid="{00000000-0005-0000-0000-00008D7F0000}"/>
    <cellStyle name="40 % - Markeringsfarve5 3 2 6 2 2 2 3" xfId="25309" xr:uid="{00000000-0005-0000-0000-00008E7F0000}"/>
    <cellStyle name="40 % - Markeringsfarve5 3 2 6 2 2 2 4" xfId="40296" xr:uid="{00000000-0005-0000-0000-00008F7F0000}"/>
    <cellStyle name="40 % - Markeringsfarve5 3 2 6 2 2 3" xfId="12776" xr:uid="{00000000-0005-0000-0000-0000907F0000}"/>
    <cellStyle name="40 % - Markeringsfarve5 3 2 6 2 2 3 2" xfId="29096" xr:uid="{00000000-0005-0000-0000-0000917F0000}"/>
    <cellStyle name="40 % - Markeringsfarve5 3 2 6 2 2 3 3" xfId="44061" xr:uid="{00000000-0005-0000-0000-0000927F0000}"/>
    <cellStyle name="40 % - Markeringsfarve5 3 2 6 2 2 4" xfId="22074" xr:uid="{00000000-0005-0000-0000-0000937F0000}"/>
    <cellStyle name="40 % - Markeringsfarve5 3 2 6 2 2 5" xfId="37062" xr:uid="{00000000-0005-0000-0000-0000947F0000}"/>
    <cellStyle name="40 % - Markeringsfarve5 3 2 6 2 3" xfId="6607" xr:uid="{00000000-0005-0000-0000-0000957F0000}"/>
    <cellStyle name="40 % - Markeringsfarve5 3 2 6 2 3 2" xfId="14522" xr:uid="{00000000-0005-0000-0000-0000967F0000}"/>
    <cellStyle name="40 % - Markeringsfarve5 3 2 6 2 3 2 2" xfId="30837" xr:uid="{00000000-0005-0000-0000-0000977F0000}"/>
    <cellStyle name="40 % - Markeringsfarve5 3 2 6 2 3 2 3" xfId="45801" xr:uid="{00000000-0005-0000-0000-0000987F0000}"/>
    <cellStyle name="40 % - Markeringsfarve5 3 2 6 2 3 3" xfId="23815" xr:uid="{00000000-0005-0000-0000-0000997F0000}"/>
    <cellStyle name="40 % - Markeringsfarve5 3 2 6 2 3 4" xfId="38802" xr:uid="{00000000-0005-0000-0000-00009A7F0000}"/>
    <cellStyle name="40 % - Markeringsfarve5 3 2 6 2 4" xfId="12775" xr:uid="{00000000-0005-0000-0000-00009B7F0000}"/>
    <cellStyle name="40 % - Markeringsfarve5 3 2 6 2 4 2" xfId="29095" xr:uid="{00000000-0005-0000-0000-00009C7F0000}"/>
    <cellStyle name="40 % - Markeringsfarve5 3 2 6 2 4 3" xfId="44060" xr:uid="{00000000-0005-0000-0000-00009D7F0000}"/>
    <cellStyle name="40 % - Markeringsfarve5 3 2 6 2 5" xfId="22073" xr:uid="{00000000-0005-0000-0000-00009E7F0000}"/>
    <cellStyle name="40 % - Markeringsfarve5 3 2 6 2 6" xfId="37061" xr:uid="{00000000-0005-0000-0000-00009F7F0000}"/>
    <cellStyle name="40 % - Markeringsfarve5 3 2 6 3" xfId="4217" xr:uid="{00000000-0005-0000-0000-0000A07F0000}"/>
    <cellStyle name="40 % - Markeringsfarve5 3 2 6 3 2" xfId="7391" xr:uid="{00000000-0005-0000-0000-0000A17F0000}"/>
    <cellStyle name="40 % - Markeringsfarve5 3 2 6 3 2 2" xfId="15302" xr:uid="{00000000-0005-0000-0000-0000A27F0000}"/>
    <cellStyle name="40 % - Markeringsfarve5 3 2 6 3 2 2 2" xfId="31617" xr:uid="{00000000-0005-0000-0000-0000A37F0000}"/>
    <cellStyle name="40 % - Markeringsfarve5 3 2 6 3 2 2 3" xfId="46581" xr:uid="{00000000-0005-0000-0000-0000A47F0000}"/>
    <cellStyle name="40 % - Markeringsfarve5 3 2 6 3 2 3" xfId="24595" xr:uid="{00000000-0005-0000-0000-0000A57F0000}"/>
    <cellStyle name="40 % - Markeringsfarve5 3 2 6 3 2 4" xfId="39582" xr:uid="{00000000-0005-0000-0000-0000A67F0000}"/>
    <cellStyle name="40 % - Markeringsfarve5 3 2 6 3 3" xfId="12777" xr:uid="{00000000-0005-0000-0000-0000A77F0000}"/>
    <cellStyle name="40 % - Markeringsfarve5 3 2 6 3 3 2" xfId="29097" xr:uid="{00000000-0005-0000-0000-0000A87F0000}"/>
    <cellStyle name="40 % - Markeringsfarve5 3 2 6 3 3 3" xfId="44062" xr:uid="{00000000-0005-0000-0000-0000A97F0000}"/>
    <cellStyle name="40 % - Markeringsfarve5 3 2 6 3 4" xfId="22075" xr:uid="{00000000-0005-0000-0000-0000AA7F0000}"/>
    <cellStyle name="40 % - Markeringsfarve5 3 2 6 3 5" xfId="37063" xr:uid="{00000000-0005-0000-0000-0000AB7F0000}"/>
    <cellStyle name="40 % - Markeringsfarve5 3 2 6 4" xfId="4218" xr:uid="{00000000-0005-0000-0000-0000AC7F0000}"/>
    <cellStyle name="40 % - Markeringsfarve5 3 2 6 4 2" xfId="8391" xr:uid="{00000000-0005-0000-0000-0000AD7F0000}"/>
    <cellStyle name="40 % - Markeringsfarve5 3 2 6 4 2 2" xfId="16284" xr:uid="{00000000-0005-0000-0000-0000AE7F0000}"/>
    <cellStyle name="40 % - Markeringsfarve5 3 2 6 4 2 2 2" xfId="32599" xr:uid="{00000000-0005-0000-0000-0000AF7F0000}"/>
    <cellStyle name="40 % - Markeringsfarve5 3 2 6 4 2 2 3" xfId="47563" xr:uid="{00000000-0005-0000-0000-0000B07F0000}"/>
    <cellStyle name="40 % - Markeringsfarve5 3 2 6 4 2 3" xfId="25577" xr:uid="{00000000-0005-0000-0000-0000B17F0000}"/>
    <cellStyle name="40 % - Markeringsfarve5 3 2 6 4 2 4" xfId="40564" xr:uid="{00000000-0005-0000-0000-0000B27F0000}"/>
    <cellStyle name="40 % - Markeringsfarve5 3 2 6 4 3" xfId="12778" xr:uid="{00000000-0005-0000-0000-0000B37F0000}"/>
    <cellStyle name="40 % - Markeringsfarve5 3 2 6 4 3 2" xfId="29098" xr:uid="{00000000-0005-0000-0000-0000B47F0000}"/>
    <cellStyle name="40 % - Markeringsfarve5 3 2 6 4 3 3" xfId="44063" xr:uid="{00000000-0005-0000-0000-0000B57F0000}"/>
    <cellStyle name="40 % - Markeringsfarve5 3 2 6 4 4" xfId="22076" xr:uid="{00000000-0005-0000-0000-0000B67F0000}"/>
    <cellStyle name="40 % - Markeringsfarve5 3 2 6 4 5" xfId="37064" xr:uid="{00000000-0005-0000-0000-0000B77F0000}"/>
    <cellStyle name="40 % - Markeringsfarve5 3 2 6 5" xfId="5938" xr:uid="{00000000-0005-0000-0000-0000B87F0000}"/>
    <cellStyle name="40 % - Markeringsfarve5 3 2 6 5 2" xfId="13857" xr:uid="{00000000-0005-0000-0000-0000B97F0000}"/>
    <cellStyle name="40 % - Markeringsfarve5 3 2 6 5 2 2" xfId="30172" xr:uid="{00000000-0005-0000-0000-0000BA7F0000}"/>
    <cellStyle name="40 % - Markeringsfarve5 3 2 6 5 2 3" xfId="45136" xr:uid="{00000000-0005-0000-0000-0000BB7F0000}"/>
    <cellStyle name="40 % - Markeringsfarve5 3 2 6 5 3" xfId="23150" xr:uid="{00000000-0005-0000-0000-0000BC7F0000}"/>
    <cellStyle name="40 % - Markeringsfarve5 3 2 6 5 4" xfId="38137" xr:uid="{00000000-0005-0000-0000-0000BD7F0000}"/>
    <cellStyle name="40 % - Markeringsfarve5 3 2 6 6" xfId="12774" xr:uid="{00000000-0005-0000-0000-0000BE7F0000}"/>
    <cellStyle name="40 % - Markeringsfarve5 3 2 6 6 2" xfId="29094" xr:uid="{00000000-0005-0000-0000-0000BF7F0000}"/>
    <cellStyle name="40 % - Markeringsfarve5 3 2 6 6 3" xfId="44059" xr:uid="{00000000-0005-0000-0000-0000C07F0000}"/>
    <cellStyle name="40 % - Markeringsfarve5 3 2 6 7" xfId="22072" xr:uid="{00000000-0005-0000-0000-0000C17F0000}"/>
    <cellStyle name="40 % - Markeringsfarve5 3 2 6 8" xfId="37060" xr:uid="{00000000-0005-0000-0000-0000C27F0000}"/>
    <cellStyle name="40 % - Markeringsfarve5 3 2 7" xfId="4219" xr:uid="{00000000-0005-0000-0000-0000C37F0000}"/>
    <cellStyle name="40 % - Markeringsfarve5 3 2 7 2" xfId="4220" xr:uid="{00000000-0005-0000-0000-0000C47F0000}"/>
    <cellStyle name="40 % - Markeringsfarve5 3 2 7 2 2" xfId="7490" xr:uid="{00000000-0005-0000-0000-0000C57F0000}"/>
    <cellStyle name="40 % - Markeringsfarve5 3 2 7 2 2 2" xfId="15392" xr:uid="{00000000-0005-0000-0000-0000C67F0000}"/>
    <cellStyle name="40 % - Markeringsfarve5 3 2 7 2 2 2 2" xfId="31707" xr:uid="{00000000-0005-0000-0000-0000C77F0000}"/>
    <cellStyle name="40 % - Markeringsfarve5 3 2 7 2 2 2 3" xfId="46671" xr:uid="{00000000-0005-0000-0000-0000C87F0000}"/>
    <cellStyle name="40 % - Markeringsfarve5 3 2 7 2 2 3" xfId="24685" xr:uid="{00000000-0005-0000-0000-0000C97F0000}"/>
    <cellStyle name="40 % - Markeringsfarve5 3 2 7 2 2 4" xfId="39672" xr:uid="{00000000-0005-0000-0000-0000CA7F0000}"/>
    <cellStyle name="40 % - Markeringsfarve5 3 2 7 2 3" xfId="12780" xr:uid="{00000000-0005-0000-0000-0000CB7F0000}"/>
    <cellStyle name="40 % - Markeringsfarve5 3 2 7 2 3 2" xfId="29100" xr:uid="{00000000-0005-0000-0000-0000CC7F0000}"/>
    <cellStyle name="40 % - Markeringsfarve5 3 2 7 2 3 3" xfId="44065" xr:uid="{00000000-0005-0000-0000-0000CD7F0000}"/>
    <cellStyle name="40 % - Markeringsfarve5 3 2 7 2 4" xfId="22078" xr:uid="{00000000-0005-0000-0000-0000CE7F0000}"/>
    <cellStyle name="40 % - Markeringsfarve5 3 2 7 2 5" xfId="37066" xr:uid="{00000000-0005-0000-0000-0000CF7F0000}"/>
    <cellStyle name="40 % - Markeringsfarve5 3 2 7 3" xfId="6083" xr:uid="{00000000-0005-0000-0000-0000D07F0000}"/>
    <cellStyle name="40 % - Markeringsfarve5 3 2 7 3 2" xfId="14001" xr:uid="{00000000-0005-0000-0000-0000D17F0000}"/>
    <cellStyle name="40 % - Markeringsfarve5 3 2 7 3 2 2" xfId="30316" xr:uid="{00000000-0005-0000-0000-0000D27F0000}"/>
    <cellStyle name="40 % - Markeringsfarve5 3 2 7 3 2 3" xfId="45280" xr:uid="{00000000-0005-0000-0000-0000D37F0000}"/>
    <cellStyle name="40 % - Markeringsfarve5 3 2 7 3 3" xfId="23294" xr:uid="{00000000-0005-0000-0000-0000D47F0000}"/>
    <cellStyle name="40 % - Markeringsfarve5 3 2 7 3 4" xfId="38281" xr:uid="{00000000-0005-0000-0000-0000D57F0000}"/>
    <cellStyle name="40 % - Markeringsfarve5 3 2 7 4" xfId="12779" xr:uid="{00000000-0005-0000-0000-0000D67F0000}"/>
    <cellStyle name="40 % - Markeringsfarve5 3 2 7 4 2" xfId="29099" xr:uid="{00000000-0005-0000-0000-0000D77F0000}"/>
    <cellStyle name="40 % - Markeringsfarve5 3 2 7 4 3" xfId="44064" xr:uid="{00000000-0005-0000-0000-0000D87F0000}"/>
    <cellStyle name="40 % - Markeringsfarve5 3 2 7 5" xfId="22077" xr:uid="{00000000-0005-0000-0000-0000D97F0000}"/>
    <cellStyle name="40 % - Markeringsfarve5 3 2 7 6" xfId="37065" xr:uid="{00000000-0005-0000-0000-0000DA7F0000}"/>
    <cellStyle name="40 % - Markeringsfarve5 3 2 8" xfId="4221" xr:uid="{00000000-0005-0000-0000-0000DB7F0000}"/>
    <cellStyle name="40 % - Markeringsfarve5 3 2 8 2" xfId="6718" xr:uid="{00000000-0005-0000-0000-0000DC7F0000}"/>
    <cellStyle name="40 % - Markeringsfarve5 3 2 8 2 2" xfId="14630" xr:uid="{00000000-0005-0000-0000-0000DD7F0000}"/>
    <cellStyle name="40 % - Markeringsfarve5 3 2 8 2 2 2" xfId="30945" xr:uid="{00000000-0005-0000-0000-0000DE7F0000}"/>
    <cellStyle name="40 % - Markeringsfarve5 3 2 8 2 2 3" xfId="45909" xr:uid="{00000000-0005-0000-0000-0000DF7F0000}"/>
    <cellStyle name="40 % - Markeringsfarve5 3 2 8 2 3" xfId="23923" xr:uid="{00000000-0005-0000-0000-0000E07F0000}"/>
    <cellStyle name="40 % - Markeringsfarve5 3 2 8 2 4" xfId="38910" xr:uid="{00000000-0005-0000-0000-0000E17F0000}"/>
    <cellStyle name="40 % - Markeringsfarve5 3 2 8 3" xfId="12781" xr:uid="{00000000-0005-0000-0000-0000E27F0000}"/>
    <cellStyle name="40 % - Markeringsfarve5 3 2 8 3 2" xfId="29101" xr:uid="{00000000-0005-0000-0000-0000E37F0000}"/>
    <cellStyle name="40 % - Markeringsfarve5 3 2 8 3 3" xfId="44066" xr:uid="{00000000-0005-0000-0000-0000E47F0000}"/>
    <cellStyle name="40 % - Markeringsfarve5 3 2 8 4" xfId="22079" xr:uid="{00000000-0005-0000-0000-0000E57F0000}"/>
    <cellStyle name="40 % - Markeringsfarve5 3 2 8 5" xfId="37067" xr:uid="{00000000-0005-0000-0000-0000E67F0000}"/>
    <cellStyle name="40 % - Markeringsfarve5 3 2 9" xfId="4222" xr:uid="{00000000-0005-0000-0000-0000E77F0000}"/>
    <cellStyle name="40 % - Markeringsfarve5 3 2 9 2" xfId="8153" xr:uid="{00000000-0005-0000-0000-0000E87F0000}"/>
    <cellStyle name="40 % - Markeringsfarve5 3 2 9 2 2" xfId="16051" xr:uid="{00000000-0005-0000-0000-0000E97F0000}"/>
    <cellStyle name="40 % - Markeringsfarve5 3 2 9 2 2 2" xfId="32366" xr:uid="{00000000-0005-0000-0000-0000EA7F0000}"/>
    <cellStyle name="40 % - Markeringsfarve5 3 2 9 2 2 3" xfId="47330" xr:uid="{00000000-0005-0000-0000-0000EB7F0000}"/>
    <cellStyle name="40 % - Markeringsfarve5 3 2 9 2 3" xfId="25344" xr:uid="{00000000-0005-0000-0000-0000EC7F0000}"/>
    <cellStyle name="40 % - Markeringsfarve5 3 2 9 2 4" xfId="40331" xr:uid="{00000000-0005-0000-0000-0000ED7F0000}"/>
    <cellStyle name="40 % - Markeringsfarve5 3 2 9 3" xfId="12782" xr:uid="{00000000-0005-0000-0000-0000EE7F0000}"/>
    <cellStyle name="40 % - Markeringsfarve5 3 2 9 3 2" xfId="29102" xr:uid="{00000000-0005-0000-0000-0000EF7F0000}"/>
    <cellStyle name="40 % - Markeringsfarve5 3 2 9 3 3" xfId="44067" xr:uid="{00000000-0005-0000-0000-0000F07F0000}"/>
    <cellStyle name="40 % - Markeringsfarve5 3 2 9 4" xfId="22080" xr:uid="{00000000-0005-0000-0000-0000F17F0000}"/>
    <cellStyle name="40 % - Markeringsfarve5 3 2 9 5" xfId="37068" xr:uid="{00000000-0005-0000-0000-0000F27F0000}"/>
    <cellStyle name="40 % - Markeringsfarve5 3 3" xfId="4223" xr:uid="{00000000-0005-0000-0000-0000F37F0000}"/>
    <cellStyle name="40 % - Markeringsfarve5 3 3 10" xfId="5939" xr:uid="{00000000-0005-0000-0000-0000F47F0000}"/>
    <cellStyle name="40 % - Markeringsfarve5 3 3 10 2" xfId="13858" xr:uid="{00000000-0005-0000-0000-0000F57F0000}"/>
    <cellStyle name="40 % - Markeringsfarve5 3 3 10 2 2" xfId="30173" xr:uid="{00000000-0005-0000-0000-0000F67F0000}"/>
    <cellStyle name="40 % - Markeringsfarve5 3 3 10 2 3" xfId="45137" xr:uid="{00000000-0005-0000-0000-0000F77F0000}"/>
    <cellStyle name="40 % - Markeringsfarve5 3 3 10 3" xfId="23151" xr:uid="{00000000-0005-0000-0000-0000F87F0000}"/>
    <cellStyle name="40 % - Markeringsfarve5 3 3 10 4" xfId="38138" xr:uid="{00000000-0005-0000-0000-0000F97F0000}"/>
    <cellStyle name="40 % - Markeringsfarve5 3 3 11" xfId="12783" xr:uid="{00000000-0005-0000-0000-0000FA7F0000}"/>
    <cellStyle name="40 % - Markeringsfarve5 3 3 11 2" xfId="29103" xr:uid="{00000000-0005-0000-0000-0000FB7F0000}"/>
    <cellStyle name="40 % - Markeringsfarve5 3 3 11 3" xfId="44068" xr:uid="{00000000-0005-0000-0000-0000FC7F0000}"/>
    <cellStyle name="40 % - Markeringsfarve5 3 3 12" xfId="22081" xr:uid="{00000000-0005-0000-0000-0000FD7F0000}"/>
    <cellStyle name="40 % - Markeringsfarve5 3 3 13" xfId="37069" xr:uid="{00000000-0005-0000-0000-0000FE7F0000}"/>
    <cellStyle name="40 % - Markeringsfarve5 3 3 14" xfId="56518" xr:uid="{00000000-0005-0000-0000-0000FF7F0000}"/>
    <cellStyle name="40 % - Markeringsfarve5 3 3 2" xfId="4224" xr:uid="{00000000-0005-0000-0000-000000800000}"/>
    <cellStyle name="40 % - Markeringsfarve5 3 3 2 2" xfId="4225" xr:uid="{00000000-0005-0000-0000-000001800000}"/>
    <cellStyle name="40 % - Markeringsfarve5 3 3 2 2 2" xfId="4226" xr:uid="{00000000-0005-0000-0000-000002800000}"/>
    <cellStyle name="40 % - Markeringsfarve5 3 3 2 2 2 2" xfId="7648" xr:uid="{00000000-0005-0000-0000-000003800000}"/>
    <cellStyle name="40 % - Markeringsfarve5 3 3 2 2 2 2 2" xfId="15550" xr:uid="{00000000-0005-0000-0000-000004800000}"/>
    <cellStyle name="40 % - Markeringsfarve5 3 3 2 2 2 2 2 2" xfId="31865" xr:uid="{00000000-0005-0000-0000-000005800000}"/>
    <cellStyle name="40 % - Markeringsfarve5 3 3 2 2 2 2 2 3" xfId="46829" xr:uid="{00000000-0005-0000-0000-000006800000}"/>
    <cellStyle name="40 % - Markeringsfarve5 3 3 2 2 2 2 3" xfId="24843" xr:uid="{00000000-0005-0000-0000-000007800000}"/>
    <cellStyle name="40 % - Markeringsfarve5 3 3 2 2 2 2 4" xfId="39830" xr:uid="{00000000-0005-0000-0000-000008800000}"/>
    <cellStyle name="40 % - Markeringsfarve5 3 3 2 2 2 3" xfId="12786" xr:uid="{00000000-0005-0000-0000-000009800000}"/>
    <cellStyle name="40 % - Markeringsfarve5 3 3 2 2 2 3 2" xfId="29106" xr:uid="{00000000-0005-0000-0000-00000A800000}"/>
    <cellStyle name="40 % - Markeringsfarve5 3 3 2 2 2 3 3" xfId="44071" xr:uid="{00000000-0005-0000-0000-00000B800000}"/>
    <cellStyle name="40 % - Markeringsfarve5 3 3 2 2 2 4" xfId="22084" xr:uid="{00000000-0005-0000-0000-00000C800000}"/>
    <cellStyle name="40 % - Markeringsfarve5 3 3 2 2 2 5" xfId="37072" xr:uid="{00000000-0005-0000-0000-00000D800000}"/>
    <cellStyle name="40 % - Markeringsfarve5 3 3 2 2 3" xfId="6215" xr:uid="{00000000-0005-0000-0000-00000E800000}"/>
    <cellStyle name="40 % - Markeringsfarve5 3 3 2 2 3 2" xfId="14133" xr:uid="{00000000-0005-0000-0000-00000F800000}"/>
    <cellStyle name="40 % - Markeringsfarve5 3 3 2 2 3 2 2" xfId="30448" xr:uid="{00000000-0005-0000-0000-000010800000}"/>
    <cellStyle name="40 % - Markeringsfarve5 3 3 2 2 3 2 3" xfId="45412" xr:uid="{00000000-0005-0000-0000-000011800000}"/>
    <cellStyle name="40 % - Markeringsfarve5 3 3 2 2 3 3" xfId="23426" xr:uid="{00000000-0005-0000-0000-000012800000}"/>
    <cellStyle name="40 % - Markeringsfarve5 3 3 2 2 3 4" xfId="38413" xr:uid="{00000000-0005-0000-0000-000013800000}"/>
    <cellStyle name="40 % - Markeringsfarve5 3 3 2 2 4" xfId="12785" xr:uid="{00000000-0005-0000-0000-000014800000}"/>
    <cellStyle name="40 % - Markeringsfarve5 3 3 2 2 4 2" xfId="29105" xr:uid="{00000000-0005-0000-0000-000015800000}"/>
    <cellStyle name="40 % - Markeringsfarve5 3 3 2 2 4 3" xfId="44070" xr:uid="{00000000-0005-0000-0000-000016800000}"/>
    <cellStyle name="40 % - Markeringsfarve5 3 3 2 2 5" xfId="22083" xr:uid="{00000000-0005-0000-0000-000017800000}"/>
    <cellStyle name="40 % - Markeringsfarve5 3 3 2 2 6" xfId="37071" xr:uid="{00000000-0005-0000-0000-000018800000}"/>
    <cellStyle name="40 % - Markeringsfarve5 3 3 2 3" xfId="4227" xr:uid="{00000000-0005-0000-0000-000019800000}"/>
    <cellStyle name="40 % - Markeringsfarve5 3 3 2 3 2" xfId="6878" xr:uid="{00000000-0005-0000-0000-00001A800000}"/>
    <cellStyle name="40 % - Markeringsfarve5 3 3 2 3 2 2" xfId="14790" xr:uid="{00000000-0005-0000-0000-00001B800000}"/>
    <cellStyle name="40 % - Markeringsfarve5 3 3 2 3 2 2 2" xfId="31105" xr:uid="{00000000-0005-0000-0000-00001C800000}"/>
    <cellStyle name="40 % - Markeringsfarve5 3 3 2 3 2 2 3" xfId="46069" xr:uid="{00000000-0005-0000-0000-00001D800000}"/>
    <cellStyle name="40 % - Markeringsfarve5 3 3 2 3 2 3" xfId="24083" xr:uid="{00000000-0005-0000-0000-00001E800000}"/>
    <cellStyle name="40 % - Markeringsfarve5 3 3 2 3 2 4" xfId="39070" xr:uid="{00000000-0005-0000-0000-00001F800000}"/>
    <cellStyle name="40 % - Markeringsfarve5 3 3 2 3 3" xfId="12787" xr:uid="{00000000-0005-0000-0000-000020800000}"/>
    <cellStyle name="40 % - Markeringsfarve5 3 3 2 3 3 2" xfId="29107" xr:uid="{00000000-0005-0000-0000-000021800000}"/>
    <cellStyle name="40 % - Markeringsfarve5 3 3 2 3 3 3" xfId="44072" xr:uid="{00000000-0005-0000-0000-000022800000}"/>
    <cellStyle name="40 % - Markeringsfarve5 3 3 2 3 4" xfId="22085" xr:uid="{00000000-0005-0000-0000-000023800000}"/>
    <cellStyle name="40 % - Markeringsfarve5 3 3 2 3 5" xfId="37073" xr:uid="{00000000-0005-0000-0000-000024800000}"/>
    <cellStyle name="40 % - Markeringsfarve5 3 3 2 4" xfId="4228" xr:uid="{00000000-0005-0000-0000-000025800000}"/>
    <cellStyle name="40 % - Markeringsfarve5 3 3 2 4 2" xfId="8350" xr:uid="{00000000-0005-0000-0000-000026800000}"/>
    <cellStyle name="40 % - Markeringsfarve5 3 3 2 4 2 2" xfId="16244" xr:uid="{00000000-0005-0000-0000-000027800000}"/>
    <cellStyle name="40 % - Markeringsfarve5 3 3 2 4 2 2 2" xfId="32559" xr:uid="{00000000-0005-0000-0000-000028800000}"/>
    <cellStyle name="40 % - Markeringsfarve5 3 3 2 4 2 2 3" xfId="47523" xr:uid="{00000000-0005-0000-0000-000029800000}"/>
    <cellStyle name="40 % - Markeringsfarve5 3 3 2 4 2 3" xfId="25537" xr:uid="{00000000-0005-0000-0000-00002A800000}"/>
    <cellStyle name="40 % - Markeringsfarve5 3 3 2 4 2 4" xfId="40524" xr:uid="{00000000-0005-0000-0000-00002B800000}"/>
    <cellStyle name="40 % - Markeringsfarve5 3 3 2 4 3" xfId="12788" xr:uid="{00000000-0005-0000-0000-00002C800000}"/>
    <cellStyle name="40 % - Markeringsfarve5 3 3 2 4 3 2" xfId="29108" xr:uid="{00000000-0005-0000-0000-00002D800000}"/>
    <cellStyle name="40 % - Markeringsfarve5 3 3 2 4 3 3" xfId="44073" xr:uid="{00000000-0005-0000-0000-00002E800000}"/>
    <cellStyle name="40 % - Markeringsfarve5 3 3 2 4 4" xfId="22086" xr:uid="{00000000-0005-0000-0000-00002F800000}"/>
    <cellStyle name="40 % - Markeringsfarve5 3 3 2 4 5" xfId="37074" xr:uid="{00000000-0005-0000-0000-000030800000}"/>
    <cellStyle name="40 % - Markeringsfarve5 3 3 2 5" xfId="5940" xr:uid="{00000000-0005-0000-0000-000031800000}"/>
    <cellStyle name="40 % - Markeringsfarve5 3 3 2 5 2" xfId="13859" xr:uid="{00000000-0005-0000-0000-000032800000}"/>
    <cellStyle name="40 % - Markeringsfarve5 3 3 2 5 2 2" xfId="30174" xr:uid="{00000000-0005-0000-0000-000033800000}"/>
    <cellStyle name="40 % - Markeringsfarve5 3 3 2 5 2 3" xfId="45138" xr:uid="{00000000-0005-0000-0000-000034800000}"/>
    <cellStyle name="40 % - Markeringsfarve5 3 3 2 5 3" xfId="23152" xr:uid="{00000000-0005-0000-0000-000035800000}"/>
    <cellStyle name="40 % - Markeringsfarve5 3 3 2 5 4" xfId="38139" xr:uid="{00000000-0005-0000-0000-000036800000}"/>
    <cellStyle name="40 % - Markeringsfarve5 3 3 2 6" xfId="12784" xr:uid="{00000000-0005-0000-0000-000037800000}"/>
    <cellStyle name="40 % - Markeringsfarve5 3 3 2 6 2" xfId="29104" xr:uid="{00000000-0005-0000-0000-000038800000}"/>
    <cellStyle name="40 % - Markeringsfarve5 3 3 2 6 3" xfId="44069" xr:uid="{00000000-0005-0000-0000-000039800000}"/>
    <cellStyle name="40 % - Markeringsfarve5 3 3 2 7" xfId="22082" xr:uid="{00000000-0005-0000-0000-00003A800000}"/>
    <cellStyle name="40 % - Markeringsfarve5 3 3 2 8" xfId="37070" xr:uid="{00000000-0005-0000-0000-00003B800000}"/>
    <cellStyle name="40 % - Markeringsfarve5 3 3 3" xfId="4229" xr:uid="{00000000-0005-0000-0000-00003C800000}"/>
    <cellStyle name="40 % - Markeringsfarve5 3 3 3 2" xfId="4230" xr:uid="{00000000-0005-0000-0000-00003D800000}"/>
    <cellStyle name="40 % - Markeringsfarve5 3 3 3 2 2" xfId="4231" xr:uid="{00000000-0005-0000-0000-00003E800000}"/>
    <cellStyle name="40 % - Markeringsfarve5 3 3 3 2 2 2" xfId="7761" xr:uid="{00000000-0005-0000-0000-00003F800000}"/>
    <cellStyle name="40 % - Markeringsfarve5 3 3 3 2 2 2 2" xfId="15663" xr:uid="{00000000-0005-0000-0000-000040800000}"/>
    <cellStyle name="40 % - Markeringsfarve5 3 3 3 2 2 2 2 2" xfId="31978" xr:uid="{00000000-0005-0000-0000-000041800000}"/>
    <cellStyle name="40 % - Markeringsfarve5 3 3 3 2 2 2 2 3" xfId="46942" xr:uid="{00000000-0005-0000-0000-000042800000}"/>
    <cellStyle name="40 % - Markeringsfarve5 3 3 3 2 2 2 3" xfId="24956" xr:uid="{00000000-0005-0000-0000-000043800000}"/>
    <cellStyle name="40 % - Markeringsfarve5 3 3 3 2 2 2 4" xfId="39943" xr:uid="{00000000-0005-0000-0000-000044800000}"/>
    <cellStyle name="40 % - Markeringsfarve5 3 3 3 2 2 3" xfId="12791" xr:uid="{00000000-0005-0000-0000-000045800000}"/>
    <cellStyle name="40 % - Markeringsfarve5 3 3 3 2 2 3 2" xfId="29111" xr:uid="{00000000-0005-0000-0000-000046800000}"/>
    <cellStyle name="40 % - Markeringsfarve5 3 3 3 2 2 3 3" xfId="44076" xr:uid="{00000000-0005-0000-0000-000047800000}"/>
    <cellStyle name="40 % - Markeringsfarve5 3 3 3 2 2 4" xfId="22089" xr:uid="{00000000-0005-0000-0000-000048800000}"/>
    <cellStyle name="40 % - Markeringsfarve5 3 3 3 2 2 5" xfId="37077" xr:uid="{00000000-0005-0000-0000-000049800000}"/>
    <cellStyle name="40 % - Markeringsfarve5 3 3 3 2 3" xfId="6307" xr:uid="{00000000-0005-0000-0000-00004A800000}"/>
    <cellStyle name="40 % - Markeringsfarve5 3 3 3 2 3 2" xfId="14225" xr:uid="{00000000-0005-0000-0000-00004B800000}"/>
    <cellStyle name="40 % - Markeringsfarve5 3 3 3 2 3 2 2" xfId="30540" xr:uid="{00000000-0005-0000-0000-00004C800000}"/>
    <cellStyle name="40 % - Markeringsfarve5 3 3 3 2 3 2 3" xfId="45504" xr:uid="{00000000-0005-0000-0000-00004D800000}"/>
    <cellStyle name="40 % - Markeringsfarve5 3 3 3 2 3 3" xfId="23518" xr:uid="{00000000-0005-0000-0000-00004E800000}"/>
    <cellStyle name="40 % - Markeringsfarve5 3 3 3 2 3 4" xfId="38505" xr:uid="{00000000-0005-0000-0000-00004F800000}"/>
    <cellStyle name="40 % - Markeringsfarve5 3 3 3 2 4" xfId="12790" xr:uid="{00000000-0005-0000-0000-000050800000}"/>
    <cellStyle name="40 % - Markeringsfarve5 3 3 3 2 4 2" xfId="29110" xr:uid="{00000000-0005-0000-0000-000051800000}"/>
    <cellStyle name="40 % - Markeringsfarve5 3 3 3 2 4 3" xfId="44075" xr:uid="{00000000-0005-0000-0000-000052800000}"/>
    <cellStyle name="40 % - Markeringsfarve5 3 3 3 2 5" xfId="22088" xr:uid="{00000000-0005-0000-0000-000053800000}"/>
    <cellStyle name="40 % - Markeringsfarve5 3 3 3 2 6" xfId="37076" xr:uid="{00000000-0005-0000-0000-000054800000}"/>
    <cellStyle name="40 % - Markeringsfarve5 3 3 3 3" xfId="4232" xr:uid="{00000000-0005-0000-0000-000055800000}"/>
    <cellStyle name="40 % - Markeringsfarve5 3 3 3 3 2" xfId="6991" xr:uid="{00000000-0005-0000-0000-000056800000}"/>
    <cellStyle name="40 % - Markeringsfarve5 3 3 3 3 2 2" xfId="14903" xr:uid="{00000000-0005-0000-0000-000057800000}"/>
    <cellStyle name="40 % - Markeringsfarve5 3 3 3 3 2 2 2" xfId="31218" xr:uid="{00000000-0005-0000-0000-000058800000}"/>
    <cellStyle name="40 % - Markeringsfarve5 3 3 3 3 2 2 3" xfId="46182" xr:uid="{00000000-0005-0000-0000-000059800000}"/>
    <cellStyle name="40 % - Markeringsfarve5 3 3 3 3 2 3" xfId="24196" xr:uid="{00000000-0005-0000-0000-00005A800000}"/>
    <cellStyle name="40 % - Markeringsfarve5 3 3 3 3 2 4" xfId="39183" xr:uid="{00000000-0005-0000-0000-00005B800000}"/>
    <cellStyle name="40 % - Markeringsfarve5 3 3 3 3 3" xfId="12792" xr:uid="{00000000-0005-0000-0000-00005C800000}"/>
    <cellStyle name="40 % - Markeringsfarve5 3 3 3 3 3 2" xfId="29112" xr:uid="{00000000-0005-0000-0000-00005D800000}"/>
    <cellStyle name="40 % - Markeringsfarve5 3 3 3 3 3 3" xfId="44077" xr:uid="{00000000-0005-0000-0000-00005E800000}"/>
    <cellStyle name="40 % - Markeringsfarve5 3 3 3 3 4" xfId="22090" xr:uid="{00000000-0005-0000-0000-00005F800000}"/>
    <cellStyle name="40 % - Markeringsfarve5 3 3 3 3 5" xfId="37078" xr:uid="{00000000-0005-0000-0000-000060800000}"/>
    <cellStyle name="40 % - Markeringsfarve5 3 3 3 4" xfId="4233" xr:uid="{00000000-0005-0000-0000-000061800000}"/>
    <cellStyle name="40 % - Markeringsfarve5 3 3 3 4 2" xfId="8569" xr:uid="{00000000-0005-0000-0000-000062800000}"/>
    <cellStyle name="40 % - Markeringsfarve5 3 3 3 4 2 2" xfId="16453" xr:uid="{00000000-0005-0000-0000-000063800000}"/>
    <cellStyle name="40 % - Markeringsfarve5 3 3 3 4 2 2 2" xfId="32768" xr:uid="{00000000-0005-0000-0000-000064800000}"/>
    <cellStyle name="40 % - Markeringsfarve5 3 3 3 4 2 2 3" xfId="47732" xr:uid="{00000000-0005-0000-0000-000065800000}"/>
    <cellStyle name="40 % - Markeringsfarve5 3 3 3 4 2 3" xfId="25746" xr:uid="{00000000-0005-0000-0000-000066800000}"/>
    <cellStyle name="40 % - Markeringsfarve5 3 3 3 4 2 4" xfId="40733" xr:uid="{00000000-0005-0000-0000-000067800000}"/>
    <cellStyle name="40 % - Markeringsfarve5 3 3 3 4 3" xfId="12793" xr:uid="{00000000-0005-0000-0000-000068800000}"/>
    <cellStyle name="40 % - Markeringsfarve5 3 3 3 4 3 2" xfId="29113" xr:uid="{00000000-0005-0000-0000-000069800000}"/>
    <cellStyle name="40 % - Markeringsfarve5 3 3 3 4 3 3" xfId="44078" xr:uid="{00000000-0005-0000-0000-00006A800000}"/>
    <cellStyle name="40 % - Markeringsfarve5 3 3 3 4 4" xfId="22091" xr:uid="{00000000-0005-0000-0000-00006B800000}"/>
    <cellStyle name="40 % - Markeringsfarve5 3 3 3 4 5" xfId="37079" xr:uid="{00000000-0005-0000-0000-00006C800000}"/>
    <cellStyle name="40 % - Markeringsfarve5 3 3 3 5" xfId="5941" xr:uid="{00000000-0005-0000-0000-00006D800000}"/>
    <cellStyle name="40 % - Markeringsfarve5 3 3 3 5 2" xfId="13860" xr:uid="{00000000-0005-0000-0000-00006E800000}"/>
    <cellStyle name="40 % - Markeringsfarve5 3 3 3 5 2 2" xfId="30175" xr:uid="{00000000-0005-0000-0000-00006F800000}"/>
    <cellStyle name="40 % - Markeringsfarve5 3 3 3 5 2 3" xfId="45139" xr:uid="{00000000-0005-0000-0000-000070800000}"/>
    <cellStyle name="40 % - Markeringsfarve5 3 3 3 5 3" xfId="23153" xr:uid="{00000000-0005-0000-0000-000071800000}"/>
    <cellStyle name="40 % - Markeringsfarve5 3 3 3 5 4" xfId="38140" xr:uid="{00000000-0005-0000-0000-000072800000}"/>
    <cellStyle name="40 % - Markeringsfarve5 3 3 3 6" xfId="12789" xr:uid="{00000000-0005-0000-0000-000073800000}"/>
    <cellStyle name="40 % - Markeringsfarve5 3 3 3 6 2" xfId="29109" xr:uid="{00000000-0005-0000-0000-000074800000}"/>
    <cellStyle name="40 % - Markeringsfarve5 3 3 3 6 3" xfId="44074" xr:uid="{00000000-0005-0000-0000-000075800000}"/>
    <cellStyle name="40 % - Markeringsfarve5 3 3 3 7" xfId="22087" xr:uid="{00000000-0005-0000-0000-000076800000}"/>
    <cellStyle name="40 % - Markeringsfarve5 3 3 3 8" xfId="37075" xr:uid="{00000000-0005-0000-0000-000077800000}"/>
    <cellStyle name="40 % - Markeringsfarve5 3 3 4" xfId="4234" xr:uid="{00000000-0005-0000-0000-000078800000}"/>
    <cellStyle name="40 % - Markeringsfarve5 3 3 4 2" xfId="4235" xr:uid="{00000000-0005-0000-0000-000079800000}"/>
    <cellStyle name="40 % - Markeringsfarve5 3 3 4 2 2" xfId="4236" xr:uid="{00000000-0005-0000-0000-00007A800000}"/>
    <cellStyle name="40 % - Markeringsfarve5 3 3 4 2 2 2" xfId="7886" xr:uid="{00000000-0005-0000-0000-00007B800000}"/>
    <cellStyle name="40 % - Markeringsfarve5 3 3 4 2 2 2 2" xfId="15788" xr:uid="{00000000-0005-0000-0000-00007C800000}"/>
    <cellStyle name="40 % - Markeringsfarve5 3 3 4 2 2 2 2 2" xfId="32103" xr:uid="{00000000-0005-0000-0000-00007D800000}"/>
    <cellStyle name="40 % - Markeringsfarve5 3 3 4 2 2 2 2 3" xfId="47067" xr:uid="{00000000-0005-0000-0000-00007E800000}"/>
    <cellStyle name="40 % - Markeringsfarve5 3 3 4 2 2 2 3" xfId="25081" xr:uid="{00000000-0005-0000-0000-00007F800000}"/>
    <cellStyle name="40 % - Markeringsfarve5 3 3 4 2 2 2 4" xfId="40068" xr:uid="{00000000-0005-0000-0000-000080800000}"/>
    <cellStyle name="40 % - Markeringsfarve5 3 3 4 2 2 3" xfId="12796" xr:uid="{00000000-0005-0000-0000-000081800000}"/>
    <cellStyle name="40 % - Markeringsfarve5 3 3 4 2 2 3 2" xfId="29116" xr:uid="{00000000-0005-0000-0000-000082800000}"/>
    <cellStyle name="40 % - Markeringsfarve5 3 3 4 2 2 3 3" xfId="44081" xr:uid="{00000000-0005-0000-0000-000083800000}"/>
    <cellStyle name="40 % - Markeringsfarve5 3 3 4 2 2 4" xfId="22094" xr:uid="{00000000-0005-0000-0000-000084800000}"/>
    <cellStyle name="40 % - Markeringsfarve5 3 3 4 2 2 5" xfId="37082" xr:uid="{00000000-0005-0000-0000-000085800000}"/>
    <cellStyle name="40 % - Markeringsfarve5 3 3 4 2 3" xfId="6417" xr:uid="{00000000-0005-0000-0000-000086800000}"/>
    <cellStyle name="40 % - Markeringsfarve5 3 3 4 2 3 2" xfId="14332" xr:uid="{00000000-0005-0000-0000-000087800000}"/>
    <cellStyle name="40 % - Markeringsfarve5 3 3 4 2 3 2 2" xfId="30647" xr:uid="{00000000-0005-0000-0000-000088800000}"/>
    <cellStyle name="40 % - Markeringsfarve5 3 3 4 2 3 2 3" xfId="45611" xr:uid="{00000000-0005-0000-0000-000089800000}"/>
    <cellStyle name="40 % - Markeringsfarve5 3 3 4 2 3 3" xfId="23625" xr:uid="{00000000-0005-0000-0000-00008A800000}"/>
    <cellStyle name="40 % - Markeringsfarve5 3 3 4 2 3 4" xfId="38612" xr:uid="{00000000-0005-0000-0000-00008B800000}"/>
    <cellStyle name="40 % - Markeringsfarve5 3 3 4 2 4" xfId="12795" xr:uid="{00000000-0005-0000-0000-00008C800000}"/>
    <cellStyle name="40 % - Markeringsfarve5 3 3 4 2 4 2" xfId="29115" xr:uid="{00000000-0005-0000-0000-00008D800000}"/>
    <cellStyle name="40 % - Markeringsfarve5 3 3 4 2 4 3" xfId="44080" xr:uid="{00000000-0005-0000-0000-00008E800000}"/>
    <cellStyle name="40 % - Markeringsfarve5 3 3 4 2 5" xfId="22093" xr:uid="{00000000-0005-0000-0000-00008F800000}"/>
    <cellStyle name="40 % - Markeringsfarve5 3 3 4 2 6" xfId="37081" xr:uid="{00000000-0005-0000-0000-000090800000}"/>
    <cellStyle name="40 % - Markeringsfarve5 3 3 4 3" xfId="4237" xr:uid="{00000000-0005-0000-0000-000091800000}"/>
    <cellStyle name="40 % - Markeringsfarve5 3 3 4 3 2" xfId="7162" xr:uid="{00000000-0005-0000-0000-000092800000}"/>
    <cellStyle name="40 % - Markeringsfarve5 3 3 4 3 2 2" xfId="15073" xr:uid="{00000000-0005-0000-0000-000093800000}"/>
    <cellStyle name="40 % - Markeringsfarve5 3 3 4 3 2 2 2" xfId="31388" xr:uid="{00000000-0005-0000-0000-000094800000}"/>
    <cellStyle name="40 % - Markeringsfarve5 3 3 4 3 2 2 3" xfId="46352" xr:uid="{00000000-0005-0000-0000-000095800000}"/>
    <cellStyle name="40 % - Markeringsfarve5 3 3 4 3 2 3" xfId="24366" xr:uid="{00000000-0005-0000-0000-000096800000}"/>
    <cellStyle name="40 % - Markeringsfarve5 3 3 4 3 2 4" xfId="39353" xr:uid="{00000000-0005-0000-0000-000097800000}"/>
    <cellStyle name="40 % - Markeringsfarve5 3 3 4 3 3" xfId="12797" xr:uid="{00000000-0005-0000-0000-000098800000}"/>
    <cellStyle name="40 % - Markeringsfarve5 3 3 4 3 3 2" xfId="29117" xr:uid="{00000000-0005-0000-0000-000099800000}"/>
    <cellStyle name="40 % - Markeringsfarve5 3 3 4 3 3 3" xfId="44082" xr:uid="{00000000-0005-0000-0000-00009A800000}"/>
    <cellStyle name="40 % - Markeringsfarve5 3 3 4 3 4" xfId="22095" xr:uid="{00000000-0005-0000-0000-00009B800000}"/>
    <cellStyle name="40 % - Markeringsfarve5 3 3 4 3 5" xfId="37083" xr:uid="{00000000-0005-0000-0000-00009C800000}"/>
    <cellStyle name="40 % - Markeringsfarve5 3 3 4 4" xfId="4238" xr:uid="{00000000-0005-0000-0000-00009D800000}"/>
    <cellStyle name="40 % - Markeringsfarve5 3 3 4 4 2" xfId="8219" xr:uid="{00000000-0005-0000-0000-00009E800000}"/>
    <cellStyle name="40 % - Markeringsfarve5 3 3 4 4 2 2" xfId="16114" xr:uid="{00000000-0005-0000-0000-00009F800000}"/>
    <cellStyle name="40 % - Markeringsfarve5 3 3 4 4 2 2 2" xfId="32429" xr:uid="{00000000-0005-0000-0000-0000A0800000}"/>
    <cellStyle name="40 % - Markeringsfarve5 3 3 4 4 2 2 3" xfId="47393" xr:uid="{00000000-0005-0000-0000-0000A1800000}"/>
    <cellStyle name="40 % - Markeringsfarve5 3 3 4 4 2 3" xfId="25407" xr:uid="{00000000-0005-0000-0000-0000A2800000}"/>
    <cellStyle name="40 % - Markeringsfarve5 3 3 4 4 2 4" xfId="40394" xr:uid="{00000000-0005-0000-0000-0000A3800000}"/>
    <cellStyle name="40 % - Markeringsfarve5 3 3 4 4 3" xfId="12798" xr:uid="{00000000-0005-0000-0000-0000A4800000}"/>
    <cellStyle name="40 % - Markeringsfarve5 3 3 4 4 3 2" xfId="29118" xr:uid="{00000000-0005-0000-0000-0000A5800000}"/>
    <cellStyle name="40 % - Markeringsfarve5 3 3 4 4 3 3" xfId="44083" xr:uid="{00000000-0005-0000-0000-0000A6800000}"/>
    <cellStyle name="40 % - Markeringsfarve5 3 3 4 4 4" xfId="22096" xr:uid="{00000000-0005-0000-0000-0000A7800000}"/>
    <cellStyle name="40 % - Markeringsfarve5 3 3 4 4 5" xfId="37084" xr:uid="{00000000-0005-0000-0000-0000A8800000}"/>
    <cellStyle name="40 % - Markeringsfarve5 3 3 4 5" xfId="5942" xr:uid="{00000000-0005-0000-0000-0000A9800000}"/>
    <cellStyle name="40 % - Markeringsfarve5 3 3 4 5 2" xfId="13861" xr:uid="{00000000-0005-0000-0000-0000AA800000}"/>
    <cellStyle name="40 % - Markeringsfarve5 3 3 4 5 2 2" xfId="30176" xr:uid="{00000000-0005-0000-0000-0000AB800000}"/>
    <cellStyle name="40 % - Markeringsfarve5 3 3 4 5 2 3" xfId="45140" xr:uid="{00000000-0005-0000-0000-0000AC800000}"/>
    <cellStyle name="40 % - Markeringsfarve5 3 3 4 5 3" xfId="23154" xr:uid="{00000000-0005-0000-0000-0000AD800000}"/>
    <cellStyle name="40 % - Markeringsfarve5 3 3 4 5 4" xfId="38141" xr:uid="{00000000-0005-0000-0000-0000AE800000}"/>
    <cellStyle name="40 % - Markeringsfarve5 3 3 4 6" xfId="12794" xr:uid="{00000000-0005-0000-0000-0000AF800000}"/>
    <cellStyle name="40 % - Markeringsfarve5 3 3 4 6 2" xfId="29114" xr:uid="{00000000-0005-0000-0000-0000B0800000}"/>
    <cellStyle name="40 % - Markeringsfarve5 3 3 4 6 3" xfId="44079" xr:uid="{00000000-0005-0000-0000-0000B1800000}"/>
    <cellStyle name="40 % - Markeringsfarve5 3 3 4 7" xfId="22092" xr:uid="{00000000-0005-0000-0000-0000B2800000}"/>
    <cellStyle name="40 % - Markeringsfarve5 3 3 4 8" xfId="37080" xr:uid="{00000000-0005-0000-0000-0000B3800000}"/>
    <cellStyle name="40 % - Markeringsfarve5 3 3 5" xfId="4239" xr:uid="{00000000-0005-0000-0000-0000B4800000}"/>
    <cellStyle name="40 % - Markeringsfarve5 3 3 5 2" xfId="4240" xr:uid="{00000000-0005-0000-0000-0000B5800000}"/>
    <cellStyle name="40 % - Markeringsfarve5 3 3 5 2 2" xfId="4241" xr:uid="{00000000-0005-0000-0000-0000B6800000}"/>
    <cellStyle name="40 % - Markeringsfarve5 3 3 5 2 2 2" xfId="8003" xr:uid="{00000000-0005-0000-0000-0000B7800000}"/>
    <cellStyle name="40 % - Markeringsfarve5 3 3 5 2 2 2 2" xfId="15905" xr:uid="{00000000-0005-0000-0000-0000B8800000}"/>
    <cellStyle name="40 % - Markeringsfarve5 3 3 5 2 2 2 2 2" xfId="32220" xr:uid="{00000000-0005-0000-0000-0000B9800000}"/>
    <cellStyle name="40 % - Markeringsfarve5 3 3 5 2 2 2 2 3" xfId="47184" xr:uid="{00000000-0005-0000-0000-0000BA800000}"/>
    <cellStyle name="40 % - Markeringsfarve5 3 3 5 2 2 2 3" xfId="25198" xr:uid="{00000000-0005-0000-0000-0000BB800000}"/>
    <cellStyle name="40 % - Markeringsfarve5 3 3 5 2 2 2 4" xfId="40185" xr:uid="{00000000-0005-0000-0000-0000BC800000}"/>
    <cellStyle name="40 % - Markeringsfarve5 3 3 5 2 2 3" xfId="12801" xr:uid="{00000000-0005-0000-0000-0000BD800000}"/>
    <cellStyle name="40 % - Markeringsfarve5 3 3 5 2 2 3 2" xfId="29121" xr:uid="{00000000-0005-0000-0000-0000BE800000}"/>
    <cellStyle name="40 % - Markeringsfarve5 3 3 5 2 2 3 3" xfId="44086" xr:uid="{00000000-0005-0000-0000-0000BF800000}"/>
    <cellStyle name="40 % - Markeringsfarve5 3 3 5 2 2 4" xfId="22099" xr:uid="{00000000-0005-0000-0000-0000C0800000}"/>
    <cellStyle name="40 % - Markeringsfarve5 3 3 5 2 2 5" xfId="37087" xr:uid="{00000000-0005-0000-0000-0000C1800000}"/>
    <cellStyle name="40 % - Markeringsfarve5 3 3 5 2 3" xfId="6516" xr:uid="{00000000-0005-0000-0000-0000C2800000}"/>
    <cellStyle name="40 % - Markeringsfarve5 3 3 5 2 3 2" xfId="14431" xr:uid="{00000000-0005-0000-0000-0000C3800000}"/>
    <cellStyle name="40 % - Markeringsfarve5 3 3 5 2 3 2 2" xfId="30746" xr:uid="{00000000-0005-0000-0000-0000C4800000}"/>
    <cellStyle name="40 % - Markeringsfarve5 3 3 5 2 3 2 3" xfId="45710" xr:uid="{00000000-0005-0000-0000-0000C5800000}"/>
    <cellStyle name="40 % - Markeringsfarve5 3 3 5 2 3 3" xfId="23724" xr:uid="{00000000-0005-0000-0000-0000C6800000}"/>
    <cellStyle name="40 % - Markeringsfarve5 3 3 5 2 3 4" xfId="38711" xr:uid="{00000000-0005-0000-0000-0000C7800000}"/>
    <cellStyle name="40 % - Markeringsfarve5 3 3 5 2 4" xfId="12800" xr:uid="{00000000-0005-0000-0000-0000C8800000}"/>
    <cellStyle name="40 % - Markeringsfarve5 3 3 5 2 4 2" xfId="29120" xr:uid="{00000000-0005-0000-0000-0000C9800000}"/>
    <cellStyle name="40 % - Markeringsfarve5 3 3 5 2 4 3" xfId="44085" xr:uid="{00000000-0005-0000-0000-0000CA800000}"/>
    <cellStyle name="40 % - Markeringsfarve5 3 3 5 2 5" xfId="22098" xr:uid="{00000000-0005-0000-0000-0000CB800000}"/>
    <cellStyle name="40 % - Markeringsfarve5 3 3 5 2 6" xfId="37086" xr:uid="{00000000-0005-0000-0000-0000CC800000}"/>
    <cellStyle name="40 % - Markeringsfarve5 3 3 5 3" xfId="4242" xr:uid="{00000000-0005-0000-0000-0000CD800000}"/>
    <cellStyle name="40 % - Markeringsfarve5 3 3 5 3 2" xfId="7279" xr:uid="{00000000-0005-0000-0000-0000CE800000}"/>
    <cellStyle name="40 % - Markeringsfarve5 3 3 5 3 2 2" xfId="15190" xr:uid="{00000000-0005-0000-0000-0000CF800000}"/>
    <cellStyle name="40 % - Markeringsfarve5 3 3 5 3 2 2 2" xfId="31505" xr:uid="{00000000-0005-0000-0000-0000D0800000}"/>
    <cellStyle name="40 % - Markeringsfarve5 3 3 5 3 2 2 3" xfId="46469" xr:uid="{00000000-0005-0000-0000-0000D1800000}"/>
    <cellStyle name="40 % - Markeringsfarve5 3 3 5 3 2 3" xfId="24483" xr:uid="{00000000-0005-0000-0000-0000D2800000}"/>
    <cellStyle name="40 % - Markeringsfarve5 3 3 5 3 2 4" xfId="39470" xr:uid="{00000000-0005-0000-0000-0000D3800000}"/>
    <cellStyle name="40 % - Markeringsfarve5 3 3 5 3 3" xfId="12802" xr:uid="{00000000-0005-0000-0000-0000D4800000}"/>
    <cellStyle name="40 % - Markeringsfarve5 3 3 5 3 3 2" xfId="29122" xr:uid="{00000000-0005-0000-0000-0000D5800000}"/>
    <cellStyle name="40 % - Markeringsfarve5 3 3 5 3 3 3" xfId="44087" xr:uid="{00000000-0005-0000-0000-0000D6800000}"/>
    <cellStyle name="40 % - Markeringsfarve5 3 3 5 3 4" xfId="22100" xr:uid="{00000000-0005-0000-0000-0000D7800000}"/>
    <cellStyle name="40 % - Markeringsfarve5 3 3 5 3 5" xfId="37088" xr:uid="{00000000-0005-0000-0000-0000D8800000}"/>
    <cellStyle name="40 % - Markeringsfarve5 3 3 5 4" xfId="4243" xr:uid="{00000000-0005-0000-0000-0000D9800000}"/>
    <cellStyle name="40 % - Markeringsfarve5 3 3 5 4 2" xfId="8534" xr:uid="{00000000-0005-0000-0000-0000DA800000}"/>
    <cellStyle name="40 % - Markeringsfarve5 3 3 5 4 2 2" xfId="16422" xr:uid="{00000000-0005-0000-0000-0000DB800000}"/>
    <cellStyle name="40 % - Markeringsfarve5 3 3 5 4 2 2 2" xfId="32737" xr:uid="{00000000-0005-0000-0000-0000DC800000}"/>
    <cellStyle name="40 % - Markeringsfarve5 3 3 5 4 2 2 3" xfId="47701" xr:uid="{00000000-0005-0000-0000-0000DD800000}"/>
    <cellStyle name="40 % - Markeringsfarve5 3 3 5 4 2 3" xfId="25715" xr:uid="{00000000-0005-0000-0000-0000DE800000}"/>
    <cellStyle name="40 % - Markeringsfarve5 3 3 5 4 2 4" xfId="40702" xr:uid="{00000000-0005-0000-0000-0000DF800000}"/>
    <cellStyle name="40 % - Markeringsfarve5 3 3 5 4 3" xfId="12803" xr:uid="{00000000-0005-0000-0000-0000E0800000}"/>
    <cellStyle name="40 % - Markeringsfarve5 3 3 5 4 3 2" xfId="29123" xr:uid="{00000000-0005-0000-0000-0000E1800000}"/>
    <cellStyle name="40 % - Markeringsfarve5 3 3 5 4 3 3" xfId="44088" xr:uid="{00000000-0005-0000-0000-0000E2800000}"/>
    <cellStyle name="40 % - Markeringsfarve5 3 3 5 4 4" xfId="22101" xr:uid="{00000000-0005-0000-0000-0000E3800000}"/>
    <cellStyle name="40 % - Markeringsfarve5 3 3 5 4 5" xfId="37089" xr:uid="{00000000-0005-0000-0000-0000E4800000}"/>
    <cellStyle name="40 % - Markeringsfarve5 3 3 5 5" xfId="5943" xr:uid="{00000000-0005-0000-0000-0000E5800000}"/>
    <cellStyle name="40 % - Markeringsfarve5 3 3 5 5 2" xfId="13862" xr:uid="{00000000-0005-0000-0000-0000E6800000}"/>
    <cellStyle name="40 % - Markeringsfarve5 3 3 5 5 2 2" xfId="30177" xr:uid="{00000000-0005-0000-0000-0000E7800000}"/>
    <cellStyle name="40 % - Markeringsfarve5 3 3 5 5 2 3" xfId="45141" xr:uid="{00000000-0005-0000-0000-0000E8800000}"/>
    <cellStyle name="40 % - Markeringsfarve5 3 3 5 5 3" xfId="23155" xr:uid="{00000000-0005-0000-0000-0000E9800000}"/>
    <cellStyle name="40 % - Markeringsfarve5 3 3 5 5 4" xfId="38142" xr:uid="{00000000-0005-0000-0000-0000EA800000}"/>
    <cellStyle name="40 % - Markeringsfarve5 3 3 5 6" xfId="12799" xr:uid="{00000000-0005-0000-0000-0000EB800000}"/>
    <cellStyle name="40 % - Markeringsfarve5 3 3 5 6 2" xfId="29119" xr:uid="{00000000-0005-0000-0000-0000EC800000}"/>
    <cellStyle name="40 % - Markeringsfarve5 3 3 5 6 3" xfId="44084" xr:uid="{00000000-0005-0000-0000-0000ED800000}"/>
    <cellStyle name="40 % - Markeringsfarve5 3 3 5 7" xfId="22097" xr:uid="{00000000-0005-0000-0000-0000EE800000}"/>
    <cellStyle name="40 % - Markeringsfarve5 3 3 5 8" xfId="37085" xr:uid="{00000000-0005-0000-0000-0000EF800000}"/>
    <cellStyle name="40 % - Markeringsfarve5 3 3 6" xfId="4244" xr:uid="{00000000-0005-0000-0000-0000F0800000}"/>
    <cellStyle name="40 % - Markeringsfarve5 3 3 6 2" xfId="4245" xr:uid="{00000000-0005-0000-0000-0000F1800000}"/>
    <cellStyle name="40 % - Markeringsfarve5 3 3 6 2 2" xfId="4246" xr:uid="{00000000-0005-0000-0000-0000F2800000}"/>
    <cellStyle name="40 % - Markeringsfarve5 3 3 6 2 2 2" xfId="8115" xr:uid="{00000000-0005-0000-0000-0000F3800000}"/>
    <cellStyle name="40 % - Markeringsfarve5 3 3 6 2 2 2 2" xfId="16017" xr:uid="{00000000-0005-0000-0000-0000F4800000}"/>
    <cellStyle name="40 % - Markeringsfarve5 3 3 6 2 2 2 2 2" xfId="32332" xr:uid="{00000000-0005-0000-0000-0000F5800000}"/>
    <cellStyle name="40 % - Markeringsfarve5 3 3 6 2 2 2 2 3" xfId="47296" xr:uid="{00000000-0005-0000-0000-0000F6800000}"/>
    <cellStyle name="40 % - Markeringsfarve5 3 3 6 2 2 2 3" xfId="25310" xr:uid="{00000000-0005-0000-0000-0000F7800000}"/>
    <cellStyle name="40 % - Markeringsfarve5 3 3 6 2 2 2 4" xfId="40297" xr:uid="{00000000-0005-0000-0000-0000F8800000}"/>
    <cellStyle name="40 % - Markeringsfarve5 3 3 6 2 2 3" xfId="12806" xr:uid="{00000000-0005-0000-0000-0000F9800000}"/>
    <cellStyle name="40 % - Markeringsfarve5 3 3 6 2 2 3 2" xfId="29126" xr:uid="{00000000-0005-0000-0000-0000FA800000}"/>
    <cellStyle name="40 % - Markeringsfarve5 3 3 6 2 2 3 3" xfId="44091" xr:uid="{00000000-0005-0000-0000-0000FB800000}"/>
    <cellStyle name="40 % - Markeringsfarve5 3 3 6 2 2 4" xfId="22104" xr:uid="{00000000-0005-0000-0000-0000FC800000}"/>
    <cellStyle name="40 % - Markeringsfarve5 3 3 6 2 2 5" xfId="37092" xr:uid="{00000000-0005-0000-0000-0000FD800000}"/>
    <cellStyle name="40 % - Markeringsfarve5 3 3 6 2 3" xfId="6608" xr:uid="{00000000-0005-0000-0000-0000FE800000}"/>
    <cellStyle name="40 % - Markeringsfarve5 3 3 6 2 3 2" xfId="14523" xr:uid="{00000000-0005-0000-0000-0000FF800000}"/>
    <cellStyle name="40 % - Markeringsfarve5 3 3 6 2 3 2 2" xfId="30838" xr:uid="{00000000-0005-0000-0000-000000810000}"/>
    <cellStyle name="40 % - Markeringsfarve5 3 3 6 2 3 2 3" xfId="45802" xr:uid="{00000000-0005-0000-0000-000001810000}"/>
    <cellStyle name="40 % - Markeringsfarve5 3 3 6 2 3 3" xfId="23816" xr:uid="{00000000-0005-0000-0000-000002810000}"/>
    <cellStyle name="40 % - Markeringsfarve5 3 3 6 2 3 4" xfId="38803" xr:uid="{00000000-0005-0000-0000-000003810000}"/>
    <cellStyle name="40 % - Markeringsfarve5 3 3 6 2 4" xfId="12805" xr:uid="{00000000-0005-0000-0000-000004810000}"/>
    <cellStyle name="40 % - Markeringsfarve5 3 3 6 2 4 2" xfId="29125" xr:uid="{00000000-0005-0000-0000-000005810000}"/>
    <cellStyle name="40 % - Markeringsfarve5 3 3 6 2 4 3" xfId="44090" xr:uid="{00000000-0005-0000-0000-000006810000}"/>
    <cellStyle name="40 % - Markeringsfarve5 3 3 6 2 5" xfId="22103" xr:uid="{00000000-0005-0000-0000-000007810000}"/>
    <cellStyle name="40 % - Markeringsfarve5 3 3 6 2 6" xfId="37091" xr:uid="{00000000-0005-0000-0000-000008810000}"/>
    <cellStyle name="40 % - Markeringsfarve5 3 3 6 3" xfId="4247" xr:uid="{00000000-0005-0000-0000-000009810000}"/>
    <cellStyle name="40 % - Markeringsfarve5 3 3 6 3 2" xfId="7392" xr:uid="{00000000-0005-0000-0000-00000A810000}"/>
    <cellStyle name="40 % - Markeringsfarve5 3 3 6 3 2 2" xfId="15303" xr:uid="{00000000-0005-0000-0000-00000B810000}"/>
    <cellStyle name="40 % - Markeringsfarve5 3 3 6 3 2 2 2" xfId="31618" xr:uid="{00000000-0005-0000-0000-00000C810000}"/>
    <cellStyle name="40 % - Markeringsfarve5 3 3 6 3 2 2 3" xfId="46582" xr:uid="{00000000-0005-0000-0000-00000D810000}"/>
    <cellStyle name="40 % - Markeringsfarve5 3 3 6 3 2 3" xfId="24596" xr:uid="{00000000-0005-0000-0000-00000E810000}"/>
    <cellStyle name="40 % - Markeringsfarve5 3 3 6 3 2 4" xfId="39583" xr:uid="{00000000-0005-0000-0000-00000F810000}"/>
    <cellStyle name="40 % - Markeringsfarve5 3 3 6 3 3" xfId="12807" xr:uid="{00000000-0005-0000-0000-000010810000}"/>
    <cellStyle name="40 % - Markeringsfarve5 3 3 6 3 3 2" xfId="29127" xr:uid="{00000000-0005-0000-0000-000011810000}"/>
    <cellStyle name="40 % - Markeringsfarve5 3 3 6 3 3 3" xfId="44092" xr:uid="{00000000-0005-0000-0000-000012810000}"/>
    <cellStyle name="40 % - Markeringsfarve5 3 3 6 3 4" xfId="22105" xr:uid="{00000000-0005-0000-0000-000013810000}"/>
    <cellStyle name="40 % - Markeringsfarve5 3 3 6 3 5" xfId="37093" xr:uid="{00000000-0005-0000-0000-000014810000}"/>
    <cellStyle name="40 % - Markeringsfarve5 3 3 6 4" xfId="4248" xr:uid="{00000000-0005-0000-0000-000015810000}"/>
    <cellStyle name="40 % - Markeringsfarve5 3 3 6 4 2" xfId="8186" xr:uid="{00000000-0005-0000-0000-000016810000}"/>
    <cellStyle name="40 % - Markeringsfarve5 3 3 6 4 2 2" xfId="16084" xr:uid="{00000000-0005-0000-0000-000017810000}"/>
    <cellStyle name="40 % - Markeringsfarve5 3 3 6 4 2 2 2" xfId="32399" xr:uid="{00000000-0005-0000-0000-000018810000}"/>
    <cellStyle name="40 % - Markeringsfarve5 3 3 6 4 2 2 3" xfId="47363" xr:uid="{00000000-0005-0000-0000-000019810000}"/>
    <cellStyle name="40 % - Markeringsfarve5 3 3 6 4 2 3" xfId="25377" xr:uid="{00000000-0005-0000-0000-00001A810000}"/>
    <cellStyle name="40 % - Markeringsfarve5 3 3 6 4 2 4" xfId="40364" xr:uid="{00000000-0005-0000-0000-00001B810000}"/>
    <cellStyle name="40 % - Markeringsfarve5 3 3 6 4 3" xfId="12808" xr:uid="{00000000-0005-0000-0000-00001C810000}"/>
    <cellStyle name="40 % - Markeringsfarve5 3 3 6 4 3 2" xfId="29128" xr:uid="{00000000-0005-0000-0000-00001D810000}"/>
    <cellStyle name="40 % - Markeringsfarve5 3 3 6 4 3 3" xfId="44093" xr:uid="{00000000-0005-0000-0000-00001E810000}"/>
    <cellStyle name="40 % - Markeringsfarve5 3 3 6 4 4" xfId="22106" xr:uid="{00000000-0005-0000-0000-00001F810000}"/>
    <cellStyle name="40 % - Markeringsfarve5 3 3 6 4 5" xfId="37094" xr:uid="{00000000-0005-0000-0000-000020810000}"/>
    <cellStyle name="40 % - Markeringsfarve5 3 3 6 5" xfId="5944" xr:uid="{00000000-0005-0000-0000-000021810000}"/>
    <cellStyle name="40 % - Markeringsfarve5 3 3 6 5 2" xfId="13863" xr:uid="{00000000-0005-0000-0000-000022810000}"/>
    <cellStyle name="40 % - Markeringsfarve5 3 3 6 5 2 2" xfId="30178" xr:uid="{00000000-0005-0000-0000-000023810000}"/>
    <cellStyle name="40 % - Markeringsfarve5 3 3 6 5 2 3" xfId="45142" xr:uid="{00000000-0005-0000-0000-000024810000}"/>
    <cellStyle name="40 % - Markeringsfarve5 3 3 6 5 3" xfId="23156" xr:uid="{00000000-0005-0000-0000-000025810000}"/>
    <cellStyle name="40 % - Markeringsfarve5 3 3 6 5 4" xfId="38143" xr:uid="{00000000-0005-0000-0000-000026810000}"/>
    <cellStyle name="40 % - Markeringsfarve5 3 3 6 6" xfId="12804" xr:uid="{00000000-0005-0000-0000-000027810000}"/>
    <cellStyle name="40 % - Markeringsfarve5 3 3 6 6 2" xfId="29124" xr:uid="{00000000-0005-0000-0000-000028810000}"/>
    <cellStyle name="40 % - Markeringsfarve5 3 3 6 6 3" xfId="44089" xr:uid="{00000000-0005-0000-0000-000029810000}"/>
    <cellStyle name="40 % - Markeringsfarve5 3 3 6 7" xfId="22102" xr:uid="{00000000-0005-0000-0000-00002A810000}"/>
    <cellStyle name="40 % - Markeringsfarve5 3 3 6 8" xfId="37090" xr:uid="{00000000-0005-0000-0000-00002B810000}"/>
    <cellStyle name="40 % - Markeringsfarve5 3 3 7" xfId="4249" xr:uid="{00000000-0005-0000-0000-00002C810000}"/>
    <cellStyle name="40 % - Markeringsfarve5 3 3 7 2" xfId="4250" xr:uid="{00000000-0005-0000-0000-00002D810000}"/>
    <cellStyle name="40 % - Markeringsfarve5 3 3 7 2 2" xfId="7529" xr:uid="{00000000-0005-0000-0000-00002E810000}"/>
    <cellStyle name="40 % - Markeringsfarve5 3 3 7 2 2 2" xfId="15431" xr:uid="{00000000-0005-0000-0000-00002F810000}"/>
    <cellStyle name="40 % - Markeringsfarve5 3 3 7 2 2 2 2" xfId="31746" xr:uid="{00000000-0005-0000-0000-000030810000}"/>
    <cellStyle name="40 % - Markeringsfarve5 3 3 7 2 2 2 3" xfId="46710" xr:uid="{00000000-0005-0000-0000-000031810000}"/>
    <cellStyle name="40 % - Markeringsfarve5 3 3 7 2 2 3" xfId="24724" xr:uid="{00000000-0005-0000-0000-000032810000}"/>
    <cellStyle name="40 % - Markeringsfarve5 3 3 7 2 2 4" xfId="39711" xr:uid="{00000000-0005-0000-0000-000033810000}"/>
    <cellStyle name="40 % - Markeringsfarve5 3 3 7 2 3" xfId="12810" xr:uid="{00000000-0005-0000-0000-000034810000}"/>
    <cellStyle name="40 % - Markeringsfarve5 3 3 7 2 3 2" xfId="29130" xr:uid="{00000000-0005-0000-0000-000035810000}"/>
    <cellStyle name="40 % - Markeringsfarve5 3 3 7 2 3 3" xfId="44095" xr:uid="{00000000-0005-0000-0000-000036810000}"/>
    <cellStyle name="40 % - Markeringsfarve5 3 3 7 2 4" xfId="22108" xr:uid="{00000000-0005-0000-0000-000037810000}"/>
    <cellStyle name="40 % - Markeringsfarve5 3 3 7 2 5" xfId="37096" xr:uid="{00000000-0005-0000-0000-000038810000}"/>
    <cellStyle name="40 % - Markeringsfarve5 3 3 7 3" xfId="6116" xr:uid="{00000000-0005-0000-0000-000039810000}"/>
    <cellStyle name="40 % - Markeringsfarve5 3 3 7 3 2" xfId="14034" xr:uid="{00000000-0005-0000-0000-00003A810000}"/>
    <cellStyle name="40 % - Markeringsfarve5 3 3 7 3 2 2" xfId="30349" xr:uid="{00000000-0005-0000-0000-00003B810000}"/>
    <cellStyle name="40 % - Markeringsfarve5 3 3 7 3 2 3" xfId="45313" xr:uid="{00000000-0005-0000-0000-00003C810000}"/>
    <cellStyle name="40 % - Markeringsfarve5 3 3 7 3 3" xfId="23327" xr:uid="{00000000-0005-0000-0000-00003D810000}"/>
    <cellStyle name="40 % - Markeringsfarve5 3 3 7 3 4" xfId="38314" xr:uid="{00000000-0005-0000-0000-00003E810000}"/>
    <cellStyle name="40 % - Markeringsfarve5 3 3 7 4" xfId="12809" xr:uid="{00000000-0005-0000-0000-00003F810000}"/>
    <cellStyle name="40 % - Markeringsfarve5 3 3 7 4 2" xfId="29129" xr:uid="{00000000-0005-0000-0000-000040810000}"/>
    <cellStyle name="40 % - Markeringsfarve5 3 3 7 4 3" xfId="44094" xr:uid="{00000000-0005-0000-0000-000041810000}"/>
    <cellStyle name="40 % - Markeringsfarve5 3 3 7 5" xfId="22107" xr:uid="{00000000-0005-0000-0000-000042810000}"/>
    <cellStyle name="40 % - Markeringsfarve5 3 3 7 6" xfId="37095" xr:uid="{00000000-0005-0000-0000-000043810000}"/>
    <cellStyle name="40 % - Markeringsfarve5 3 3 8" xfId="4251" xr:uid="{00000000-0005-0000-0000-000044810000}"/>
    <cellStyle name="40 % - Markeringsfarve5 3 3 8 2" xfId="6757" xr:uid="{00000000-0005-0000-0000-000045810000}"/>
    <cellStyle name="40 % - Markeringsfarve5 3 3 8 2 2" xfId="14669" xr:uid="{00000000-0005-0000-0000-000046810000}"/>
    <cellStyle name="40 % - Markeringsfarve5 3 3 8 2 2 2" xfId="30984" xr:uid="{00000000-0005-0000-0000-000047810000}"/>
    <cellStyle name="40 % - Markeringsfarve5 3 3 8 2 2 3" xfId="45948" xr:uid="{00000000-0005-0000-0000-000048810000}"/>
    <cellStyle name="40 % - Markeringsfarve5 3 3 8 2 3" xfId="23962" xr:uid="{00000000-0005-0000-0000-000049810000}"/>
    <cellStyle name="40 % - Markeringsfarve5 3 3 8 2 4" xfId="38949" xr:uid="{00000000-0005-0000-0000-00004A810000}"/>
    <cellStyle name="40 % - Markeringsfarve5 3 3 8 3" xfId="12811" xr:uid="{00000000-0005-0000-0000-00004B810000}"/>
    <cellStyle name="40 % - Markeringsfarve5 3 3 8 3 2" xfId="29131" xr:uid="{00000000-0005-0000-0000-00004C810000}"/>
    <cellStyle name="40 % - Markeringsfarve5 3 3 8 3 3" xfId="44096" xr:uid="{00000000-0005-0000-0000-00004D810000}"/>
    <cellStyle name="40 % - Markeringsfarve5 3 3 8 4" xfId="22109" xr:uid="{00000000-0005-0000-0000-00004E810000}"/>
    <cellStyle name="40 % - Markeringsfarve5 3 3 8 5" xfId="37097" xr:uid="{00000000-0005-0000-0000-00004F810000}"/>
    <cellStyle name="40 % - Markeringsfarve5 3 3 9" xfId="4252" xr:uid="{00000000-0005-0000-0000-000050810000}"/>
    <cellStyle name="40 % - Markeringsfarve5 3 3 9 2" xfId="8626" xr:uid="{00000000-0005-0000-0000-000051810000}"/>
    <cellStyle name="40 % - Markeringsfarve5 3 3 9 2 2" xfId="16508" xr:uid="{00000000-0005-0000-0000-000052810000}"/>
    <cellStyle name="40 % - Markeringsfarve5 3 3 9 2 2 2" xfId="32823" xr:uid="{00000000-0005-0000-0000-000053810000}"/>
    <cellStyle name="40 % - Markeringsfarve5 3 3 9 2 2 3" xfId="47787" xr:uid="{00000000-0005-0000-0000-000054810000}"/>
    <cellStyle name="40 % - Markeringsfarve5 3 3 9 2 3" xfId="25801" xr:uid="{00000000-0005-0000-0000-000055810000}"/>
    <cellStyle name="40 % - Markeringsfarve5 3 3 9 2 4" xfId="40788" xr:uid="{00000000-0005-0000-0000-000056810000}"/>
    <cellStyle name="40 % - Markeringsfarve5 3 3 9 3" xfId="12812" xr:uid="{00000000-0005-0000-0000-000057810000}"/>
    <cellStyle name="40 % - Markeringsfarve5 3 3 9 3 2" xfId="29132" xr:uid="{00000000-0005-0000-0000-000058810000}"/>
    <cellStyle name="40 % - Markeringsfarve5 3 3 9 3 3" xfId="44097" xr:uid="{00000000-0005-0000-0000-000059810000}"/>
    <cellStyle name="40 % - Markeringsfarve5 3 3 9 4" xfId="22110" xr:uid="{00000000-0005-0000-0000-00005A810000}"/>
    <cellStyle name="40 % - Markeringsfarve5 3 3 9 5" xfId="37098" xr:uid="{00000000-0005-0000-0000-00005B810000}"/>
    <cellStyle name="40 % - Markeringsfarve5 3 4" xfId="4253" xr:uid="{00000000-0005-0000-0000-00005C810000}"/>
    <cellStyle name="40 % - Markeringsfarve5 3 4 2" xfId="4254" xr:uid="{00000000-0005-0000-0000-00005D810000}"/>
    <cellStyle name="40 % - Markeringsfarve5 3 4 2 2" xfId="4255" xr:uid="{00000000-0005-0000-0000-00005E810000}"/>
    <cellStyle name="40 % - Markeringsfarve5 3 4 2 2 2" xfId="7570" xr:uid="{00000000-0005-0000-0000-00005F810000}"/>
    <cellStyle name="40 % - Markeringsfarve5 3 4 2 2 2 2" xfId="15472" xr:uid="{00000000-0005-0000-0000-000060810000}"/>
    <cellStyle name="40 % - Markeringsfarve5 3 4 2 2 2 2 2" xfId="31787" xr:uid="{00000000-0005-0000-0000-000061810000}"/>
    <cellStyle name="40 % - Markeringsfarve5 3 4 2 2 2 2 3" xfId="46751" xr:uid="{00000000-0005-0000-0000-000062810000}"/>
    <cellStyle name="40 % - Markeringsfarve5 3 4 2 2 2 3" xfId="24765" xr:uid="{00000000-0005-0000-0000-000063810000}"/>
    <cellStyle name="40 % - Markeringsfarve5 3 4 2 2 2 4" xfId="39752" xr:uid="{00000000-0005-0000-0000-000064810000}"/>
    <cellStyle name="40 % - Markeringsfarve5 3 4 2 2 3" xfId="12815" xr:uid="{00000000-0005-0000-0000-000065810000}"/>
    <cellStyle name="40 % - Markeringsfarve5 3 4 2 2 3 2" xfId="29135" xr:uid="{00000000-0005-0000-0000-000066810000}"/>
    <cellStyle name="40 % - Markeringsfarve5 3 4 2 2 3 3" xfId="44100" xr:uid="{00000000-0005-0000-0000-000067810000}"/>
    <cellStyle name="40 % - Markeringsfarve5 3 4 2 2 4" xfId="22113" xr:uid="{00000000-0005-0000-0000-000068810000}"/>
    <cellStyle name="40 % - Markeringsfarve5 3 4 2 2 5" xfId="37101" xr:uid="{00000000-0005-0000-0000-000069810000}"/>
    <cellStyle name="40 % - Markeringsfarve5 3 4 2 3" xfId="6149" xr:uid="{00000000-0005-0000-0000-00006A810000}"/>
    <cellStyle name="40 % - Markeringsfarve5 3 4 2 3 2" xfId="14067" xr:uid="{00000000-0005-0000-0000-00006B810000}"/>
    <cellStyle name="40 % - Markeringsfarve5 3 4 2 3 2 2" xfId="30382" xr:uid="{00000000-0005-0000-0000-00006C810000}"/>
    <cellStyle name="40 % - Markeringsfarve5 3 4 2 3 2 3" xfId="45346" xr:uid="{00000000-0005-0000-0000-00006D810000}"/>
    <cellStyle name="40 % - Markeringsfarve5 3 4 2 3 3" xfId="23360" xr:uid="{00000000-0005-0000-0000-00006E810000}"/>
    <cellStyle name="40 % - Markeringsfarve5 3 4 2 3 4" xfId="38347" xr:uid="{00000000-0005-0000-0000-00006F810000}"/>
    <cellStyle name="40 % - Markeringsfarve5 3 4 2 4" xfId="12814" xr:uid="{00000000-0005-0000-0000-000070810000}"/>
    <cellStyle name="40 % - Markeringsfarve5 3 4 2 4 2" xfId="29134" xr:uid="{00000000-0005-0000-0000-000071810000}"/>
    <cellStyle name="40 % - Markeringsfarve5 3 4 2 4 3" xfId="44099" xr:uid="{00000000-0005-0000-0000-000072810000}"/>
    <cellStyle name="40 % - Markeringsfarve5 3 4 2 5" xfId="22112" xr:uid="{00000000-0005-0000-0000-000073810000}"/>
    <cellStyle name="40 % - Markeringsfarve5 3 4 2 6" xfId="37100" xr:uid="{00000000-0005-0000-0000-000074810000}"/>
    <cellStyle name="40 % - Markeringsfarve5 3 4 3" xfId="4256" xr:uid="{00000000-0005-0000-0000-000075810000}"/>
    <cellStyle name="40 % - Markeringsfarve5 3 4 3 2" xfId="6800" xr:uid="{00000000-0005-0000-0000-000076810000}"/>
    <cellStyle name="40 % - Markeringsfarve5 3 4 3 2 2" xfId="14712" xr:uid="{00000000-0005-0000-0000-000077810000}"/>
    <cellStyle name="40 % - Markeringsfarve5 3 4 3 2 2 2" xfId="31027" xr:uid="{00000000-0005-0000-0000-000078810000}"/>
    <cellStyle name="40 % - Markeringsfarve5 3 4 3 2 2 3" xfId="45991" xr:uid="{00000000-0005-0000-0000-000079810000}"/>
    <cellStyle name="40 % - Markeringsfarve5 3 4 3 2 3" xfId="24005" xr:uid="{00000000-0005-0000-0000-00007A810000}"/>
    <cellStyle name="40 % - Markeringsfarve5 3 4 3 2 4" xfId="38992" xr:uid="{00000000-0005-0000-0000-00007B810000}"/>
    <cellStyle name="40 % - Markeringsfarve5 3 4 3 3" xfId="12816" xr:uid="{00000000-0005-0000-0000-00007C810000}"/>
    <cellStyle name="40 % - Markeringsfarve5 3 4 3 3 2" xfId="29136" xr:uid="{00000000-0005-0000-0000-00007D810000}"/>
    <cellStyle name="40 % - Markeringsfarve5 3 4 3 3 3" xfId="44101" xr:uid="{00000000-0005-0000-0000-00007E810000}"/>
    <cellStyle name="40 % - Markeringsfarve5 3 4 3 4" xfId="22114" xr:uid="{00000000-0005-0000-0000-00007F810000}"/>
    <cellStyle name="40 % - Markeringsfarve5 3 4 3 5" xfId="37102" xr:uid="{00000000-0005-0000-0000-000080810000}"/>
    <cellStyle name="40 % - Markeringsfarve5 3 4 4" xfId="4257" xr:uid="{00000000-0005-0000-0000-000081810000}"/>
    <cellStyle name="40 % - Markeringsfarve5 3 4 4 2" xfId="6642" xr:uid="{00000000-0005-0000-0000-000082810000}"/>
    <cellStyle name="40 % - Markeringsfarve5 3 4 4 2 2" xfId="14556" xr:uid="{00000000-0005-0000-0000-000083810000}"/>
    <cellStyle name="40 % - Markeringsfarve5 3 4 4 2 2 2" xfId="30871" xr:uid="{00000000-0005-0000-0000-000084810000}"/>
    <cellStyle name="40 % - Markeringsfarve5 3 4 4 2 2 3" xfId="45835" xr:uid="{00000000-0005-0000-0000-000085810000}"/>
    <cellStyle name="40 % - Markeringsfarve5 3 4 4 2 3" xfId="23849" xr:uid="{00000000-0005-0000-0000-000086810000}"/>
    <cellStyle name="40 % - Markeringsfarve5 3 4 4 2 4" xfId="38836" xr:uid="{00000000-0005-0000-0000-000087810000}"/>
    <cellStyle name="40 % - Markeringsfarve5 3 4 4 3" xfId="12817" xr:uid="{00000000-0005-0000-0000-000088810000}"/>
    <cellStyle name="40 % - Markeringsfarve5 3 4 4 3 2" xfId="29137" xr:uid="{00000000-0005-0000-0000-000089810000}"/>
    <cellStyle name="40 % - Markeringsfarve5 3 4 4 3 3" xfId="44102" xr:uid="{00000000-0005-0000-0000-00008A810000}"/>
    <cellStyle name="40 % - Markeringsfarve5 3 4 4 4" xfId="22115" xr:uid="{00000000-0005-0000-0000-00008B810000}"/>
    <cellStyle name="40 % - Markeringsfarve5 3 4 4 5" xfId="37103" xr:uid="{00000000-0005-0000-0000-00008C810000}"/>
    <cellStyle name="40 % - Markeringsfarve5 3 4 5" xfId="5945" xr:uid="{00000000-0005-0000-0000-00008D810000}"/>
    <cellStyle name="40 % - Markeringsfarve5 3 4 5 2" xfId="13864" xr:uid="{00000000-0005-0000-0000-00008E810000}"/>
    <cellStyle name="40 % - Markeringsfarve5 3 4 5 2 2" xfId="30179" xr:uid="{00000000-0005-0000-0000-00008F810000}"/>
    <cellStyle name="40 % - Markeringsfarve5 3 4 5 2 3" xfId="45143" xr:uid="{00000000-0005-0000-0000-000090810000}"/>
    <cellStyle name="40 % - Markeringsfarve5 3 4 5 3" xfId="23157" xr:uid="{00000000-0005-0000-0000-000091810000}"/>
    <cellStyle name="40 % - Markeringsfarve5 3 4 5 4" xfId="38144" xr:uid="{00000000-0005-0000-0000-000092810000}"/>
    <cellStyle name="40 % - Markeringsfarve5 3 4 6" xfId="12813" xr:uid="{00000000-0005-0000-0000-000093810000}"/>
    <cellStyle name="40 % - Markeringsfarve5 3 4 6 2" xfId="29133" xr:uid="{00000000-0005-0000-0000-000094810000}"/>
    <cellStyle name="40 % - Markeringsfarve5 3 4 6 3" xfId="44098" xr:uid="{00000000-0005-0000-0000-000095810000}"/>
    <cellStyle name="40 % - Markeringsfarve5 3 4 7" xfId="22111" xr:uid="{00000000-0005-0000-0000-000096810000}"/>
    <cellStyle name="40 % - Markeringsfarve5 3 4 8" xfId="37099" xr:uid="{00000000-0005-0000-0000-000097810000}"/>
    <cellStyle name="40 % - Markeringsfarve5 3 5" xfId="4258" xr:uid="{00000000-0005-0000-0000-000098810000}"/>
    <cellStyle name="40 % - Markeringsfarve5 3 5 2" xfId="4259" xr:uid="{00000000-0005-0000-0000-000099810000}"/>
    <cellStyle name="40 % - Markeringsfarve5 3 5 2 2" xfId="4260" xr:uid="{00000000-0005-0000-0000-00009A810000}"/>
    <cellStyle name="40 % - Markeringsfarve5 3 5 2 2 2" xfId="7759" xr:uid="{00000000-0005-0000-0000-00009B810000}"/>
    <cellStyle name="40 % - Markeringsfarve5 3 5 2 2 2 2" xfId="15661" xr:uid="{00000000-0005-0000-0000-00009C810000}"/>
    <cellStyle name="40 % - Markeringsfarve5 3 5 2 2 2 2 2" xfId="31976" xr:uid="{00000000-0005-0000-0000-00009D810000}"/>
    <cellStyle name="40 % - Markeringsfarve5 3 5 2 2 2 2 3" xfId="46940" xr:uid="{00000000-0005-0000-0000-00009E810000}"/>
    <cellStyle name="40 % - Markeringsfarve5 3 5 2 2 2 3" xfId="24954" xr:uid="{00000000-0005-0000-0000-00009F810000}"/>
    <cellStyle name="40 % - Markeringsfarve5 3 5 2 2 2 4" xfId="39941" xr:uid="{00000000-0005-0000-0000-0000A0810000}"/>
    <cellStyle name="40 % - Markeringsfarve5 3 5 2 2 3" xfId="12820" xr:uid="{00000000-0005-0000-0000-0000A1810000}"/>
    <cellStyle name="40 % - Markeringsfarve5 3 5 2 2 3 2" xfId="29140" xr:uid="{00000000-0005-0000-0000-0000A2810000}"/>
    <cellStyle name="40 % - Markeringsfarve5 3 5 2 2 3 3" xfId="44105" xr:uid="{00000000-0005-0000-0000-0000A3810000}"/>
    <cellStyle name="40 % - Markeringsfarve5 3 5 2 2 4" xfId="22118" xr:uid="{00000000-0005-0000-0000-0000A4810000}"/>
    <cellStyle name="40 % - Markeringsfarve5 3 5 2 2 5" xfId="37106" xr:uid="{00000000-0005-0000-0000-0000A5810000}"/>
    <cellStyle name="40 % - Markeringsfarve5 3 5 2 3" xfId="6305" xr:uid="{00000000-0005-0000-0000-0000A6810000}"/>
    <cellStyle name="40 % - Markeringsfarve5 3 5 2 3 2" xfId="14223" xr:uid="{00000000-0005-0000-0000-0000A7810000}"/>
    <cellStyle name="40 % - Markeringsfarve5 3 5 2 3 2 2" xfId="30538" xr:uid="{00000000-0005-0000-0000-0000A8810000}"/>
    <cellStyle name="40 % - Markeringsfarve5 3 5 2 3 2 3" xfId="45502" xr:uid="{00000000-0005-0000-0000-0000A9810000}"/>
    <cellStyle name="40 % - Markeringsfarve5 3 5 2 3 3" xfId="23516" xr:uid="{00000000-0005-0000-0000-0000AA810000}"/>
    <cellStyle name="40 % - Markeringsfarve5 3 5 2 3 4" xfId="38503" xr:uid="{00000000-0005-0000-0000-0000AB810000}"/>
    <cellStyle name="40 % - Markeringsfarve5 3 5 2 4" xfId="12819" xr:uid="{00000000-0005-0000-0000-0000AC810000}"/>
    <cellStyle name="40 % - Markeringsfarve5 3 5 2 4 2" xfId="29139" xr:uid="{00000000-0005-0000-0000-0000AD810000}"/>
    <cellStyle name="40 % - Markeringsfarve5 3 5 2 4 3" xfId="44104" xr:uid="{00000000-0005-0000-0000-0000AE810000}"/>
    <cellStyle name="40 % - Markeringsfarve5 3 5 2 5" xfId="22117" xr:uid="{00000000-0005-0000-0000-0000AF810000}"/>
    <cellStyle name="40 % - Markeringsfarve5 3 5 2 6" xfId="37105" xr:uid="{00000000-0005-0000-0000-0000B0810000}"/>
    <cellStyle name="40 % - Markeringsfarve5 3 5 3" xfId="4261" xr:uid="{00000000-0005-0000-0000-0000B1810000}"/>
    <cellStyle name="40 % - Markeringsfarve5 3 5 3 2" xfId="6989" xr:uid="{00000000-0005-0000-0000-0000B2810000}"/>
    <cellStyle name="40 % - Markeringsfarve5 3 5 3 2 2" xfId="14901" xr:uid="{00000000-0005-0000-0000-0000B3810000}"/>
    <cellStyle name="40 % - Markeringsfarve5 3 5 3 2 2 2" xfId="31216" xr:uid="{00000000-0005-0000-0000-0000B4810000}"/>
    <cellStyle name="40 % - Markeringsfarve5 3 5 3 2 2 3" xfId="46180" xr:uid="{00000000-0005-0000-0000-0000B5810000}"/>
    <cellStyle name="40 % - Markeringsfarve5 3 5 3 2 3" xfId="24194" xr:uid="{00000000-0005-0000-0000-0000B6810000}"/>
    <cellStyle name="40 % - Markeringsfarve5 3 5 3 2 4" xfId="39181" xr:uid="{00000000-0005-0000-0000-0000B7810000}"/>
    <cellStyle name="40 % - Markeringsfarve5 3 5 3 3" xfId="12821" xr:uid="{00000000-0005-0000-0000-0000B8810000}"/>
    <cellStyle name="40 % - Markeringsfarve5 3 5 3 3 2" xfId="29141" xr:uid="{00000000-0005-0000-0000-0000B9810000}"/>
    <cellStyle name="40 % - Markeringsfarve5 3 5 3 3 3" xfId="44106" xr:uid="{00000000-0005-0000-0000-0000BA810000}"/>
    <cellStyle name="40 % - Markeringsfarve5 3 5 3 4" xfId="22119" xr:uid="{00000000-0005-0000-0000-0000BB810000}"/>
    <cellStyle name="40 % - Markeringsfarve5 3 5 3 5" xfId="37107" xr:uid="{00000000-0005-0000-0000-0000BC810000}"/>
    <cellStyle name="40 % - Markeringsfarve5 3 5 4" xfId="4262" xr:uid="{00000000-0005-0000-0000-0000BD810000}"/>
    <cellStyle name="40 % - Markeringsfarve5 3 5 4 2" xfId="7018" xr:uid="{00000000-0005-0000-0000-0000BE810000}"/>
    <cellStyle name="40 % - Markeringsfarve5 3 5 4 2 2" xfId="14930" xr:uid="{00000000-0005-0000-0000-0000BF810000}"/>
    <cellStyle name="40 % - Markeringsfarve5 3 5 4 2 2 2" xfId="31245" xr:uid="{00000000-0005-0000-0000-0000C0810000}"/>
    <cellStyle name="40 % - Markeringsfarve5 3 5 4 2 2 3" xfId="46209" xr:uid="{00000000-0005-0000-0000-0000C1810000}"/>
    <cellStyle name="40 % - Markeringsfarve5 3 5 4 2 3" xfId="24223" xr:uid="{00000000-0005-0000-0000-0000C2810000}"/>
    <cellStyle name="40 % - Markeringsfarve5 3 5 4 2 4" xfId="39210" xr:uid="{00000000-0005-0000-0000-0000C3810000}"/>
    <cellStyle name="40 % - Markeringsfarve5 3 5 4 3" xfId="12822" xr:uid="{00000000-0005-0000-0000-0000C4810000}"/>
    <cellStyle name="40 % - Markeringsfarve5 3 5 4 3 2" xfId="29142" xr:uid="{00000000-0005-0000-0000-0000C5810000}"/>
    <cellStyle name="40 % - Markeringsfarve5 3 5 4 3 3" xfId="44107" xr:uid="{00000000-0005-0000-0000-0000C6810000}"/>
    <cellStyle name="40 % - Markeringsfarve5 3 5 4 4" xfId="22120" xr:uid="{00000000-0005-0000-0000-0000C7810000}"/>
    <cellStyle name="40 % - Markeringsfarve5 3 5 4 5" xfId="37108" xr:uid="{00000000-0005-0000-0000-0000C8810000}"/>
    <cellStyle name="40 % - Markeringsfarve5 3 5 5" xfId="5946" xr:uid="{00000000-0005-0000-0000-0000C9810000}"/>
    <cellStyle name="40 % - Markeringsfarve5 3 5 5 2" xfId="13865" xr:uid="{00000000-0005-0000-0000-0000CA810000}"/>
    <cellStyle name="40 % - Markeringsfarve5 3 5 5 2 2" xfId="30180" xr:uid="{00000000-0005-0000-0000-0000CB810000}"/>
    <cellStyle name="40 % - Markeringsfarve5 3 5 5 2 3" xfId="45144" xr:uid="{00000000-0005-0000-0000-0000CC810000}"/>
    <cellStyle name="40 % - Markeringsfarve5 3 5 5 3" xfId="23158" xr:uid="{00000000-0005-0000-0000-0000CD810000}"/>
    <cellStyle name="40 % - Markeringsfarve5 3 5 5 4" xfId="38145" xr:uid="{00000000-0005-0000-0000-0000CE810000}"/>
    <cellStyle name="40 % - Markeringsfarve5 3 5 6" xfId="12818" xr:uid="{00000000-0005-0000-0000-0000CF810000}"/>
    <cellStyle name="40 % - Markeringsfarve5 3 5 6 2" xfId="29138" xr:uid="{00000000-0005-0000-0000-0000D0810000}"/>
    <cellStyle name="40 % - Markeringsfarve5 3 5 6 3" xfId="44103" xr:uid="{00000000-0005-0000-0000-0000D1810000}"/>
    <cellStyle name="40 % - Markeringsfarve5 3 5 7" xfId="22116" xr:uid="{00000000-0005-0000-0000-0000D2810000}"/>
    <cellStyle name="40 % - Markeringsfarve5 3 5 8" xfId="37104" xr:uid="{00000000-0005-0000-0000-0000D3810000}"/>
    <cellStyle name="40 % - Markeringsfarve5 3 6" xfId="4263" xr:uid="{00000000-0005-0000-0000-0000D4810000}"/>
    <cellStyle name="40 % - Markeringsfarve5 3 6 2" xfId="4264" xr:uid="{00000000-0005-0000-0000-0000D5810000}"/>
    <cellStyle name="40 % - Markeringsfarve5 3 6 2 2" xfId="4265" xr:uid="{00000000-0005-0000-0000-0000D6810000}"/>
    <cellStyle name="40 % - Markeringsfarve5 3 6 2 2 2" xfId="7808" xr:uid="{00000000-0005-0000-0000-0000D7810000}"/>
    <cellStyle name="40 % - Markeringsfarve5 3 6 2 2 2 2" xfId="15710" xr:uid="{00000000-0005-0000-0000-0000D8810000}"/>
    <cellStyle name="40 % - Markeringsfarve5 3 6 2 2 2 2 2" xfId="32025" xr:uid="{00000000-0005-0000-0000-0000D9810000}"/>
    <cellStyle name="40 % - Markeringsfarve5 3 6 2 2 2 2 3" xfId="46989" xr:uid="{00000000-0005-0000-0000-0000DA810000}"/>
    <cellStyle name="40 % - Markeringsfarve5 3 6 2 2 2 3" xfId="25003" xr:uid="{00000000-0005-0000-0000-0000DB810000}"/>
    <cellStyle name="40 % - Markeringsfarve5 3 6 2 2 2 4" xfId="39990" xr:uid="{00000000-0005-0000-0000-0000DC810000}"/>
    <cellStyle name="40 % - Markeringsfarve5 3 6 2 2 3" xfId="12825" xr:uid="{00000000-0005-0000-0000-0000DD810000}"/>
    <cellStyle name="40 % - Markeringsfarve5 3 6 2 2 3 2" xfId="29145" xr:uid="{00000000-0005-0000-0000-0000DE810000}"/>
    <cellStyle name="40 % - Markeringsfarve5 3 6 2 2 3 3" xfId="44110" xr:uid="{00000000-0005-0000-0000-0000DF810000}"/>
    <cellStyle name="40 % - Markeringsfarve5 3 6 2 2 4" xfId="22123" xr:uid="{00000000-0005-0000-0000-0000E0810000}"/>
    <cellStyle name="40 % - Markeringsfarve5 3 6 2 2 5" xfId="37111" xr:uid="{00000000-0005-0000-0000-0000E1810000}"/>
    <cellStyle name="40 % - Markeringsfarve5 3 6 2 3" xfId="6351" xr:uid="{00000000-0005-0000-0000-0000E2810000}"/>
    <cellStyle name="40 % - Markeringsfarve5 3 6 2 3 2" xfId="14266" xr:uid="{00000000-0005-0000-0000-0000E3810000}"/>
    <cellStyle name="40 % - Markeringsfarve5 3 6 2 3 2 2" xfId="30581" xr:uid="{00000000-0005-0000-0000-0000E4810000}"/>
    <cellStyle name="40 % - Markeringsfarve5 3 6 2 3 2 3" xfId="45545" xr:uid="{00000000-0005-0000-0000-0000E5810000}"/>
    <cellStyle name="40 % - Markeringsfarve5 3 6 2 3 3" xfId="23559" xr:uid="{00000000-0005-0000-0000-0000E6810000}"/>
    <cellStyle name="40 % - Markeringsfarve5 3 6 2 3 4" xfId="38546" xr:uid="{00000000-0005-0000-0000-0000E7810000}"/>
    <cellStyle name="40 % - Markeringsfarve5 3 6 2 4" xfId="12824" xr:uid="{00000000-0005-0000-0000-0000E8810000}"/>
    <cellStyle name="40 % - Markeringsfarve5 3 6 2 4 2" xfId="29144" xr:uid="{00000000-0005-0000-0000-0000E9810000}"/>
    <cellStyle name="40 % - Markeringsfarve5 3 6 2 4 3" xfId="44109" xr:uid="{00000000-0005-0000-0000-0000EA810000}"/>
    <cellStyle name="40 % - Markeringsfarve5 3 6 2 5" xfId="22122" xr:uid="{00000000-0005-0000-0000-0000EB810000}"/>
    <cellStyle name="40 % - Markeringsfarve5 3 6 2 6" xfId="37110" xr:uid="{00000000-0005-0000-0000-0000EC810000}"/>
    <cellStyle name="40 % - Markeringsfarve5 3 6 3" xfId="4266" xr:uid="{00000000-0005-0000-0000-0000ED810000}"/>
    <cellStyle name="40 % - Markeringsfarve5 3 6 3 2" xfId="7084" xr:uid="{00000000-0005-0000-0000-0000EE810000}"/>
    <cellStyle name="40 % - Markeringsfarve5 3 6 3 2 2" xfId="14995" xr:uid="{00000000-0005-0000-0000-0000EF810000}"/>
    <cellStyle name="40 % - Markeringsfarve5 3 6 3 2 2 2" xfId="31310" xr:uid="{00000000-0005-0000-0000-0000F0810000}"/>
    <cellStyle name="40 % - Markeringsfarve5 3 6 3 2 2 3" xfId="46274" xr:uid="{00000000-0005-0000-0000-0000F1810000}"/>
    <cellStyle name="40 % - Markeringsfarve5 3 6 3 2 3" xfId="24288" xr:uid="{00000000-0005-0000-0000-0000F2810000}"/>
    <cellStyle name="40 % - Markeringsfarve5 3 6 3 2 4" xfId="39275" xr:uid="{00000000-0005-0000-0000-0000F3810000}"/>
    <cellStyle name="40 % - Markeringsfarve5 3 6 3 3" xfId="12826" xr:uid="{00000000-0005-0000-0000-0000F4810000}"/>
    <cellStyle name="40 % - Markeringsfarve5 3 6 3 3 2" xfId="29146" xr:uid="{00000000-0005-0000-0000-0000F5810000}"/>
    <cellStyle name="40 % - Markeringsfarve5 3 6 3 3 3" xfId="44111" xr:uid="{00000000-0005-0000-0000-0000F6810000}"/>
    <cellStyle name="40 % - Markeringsfarve5 3 6 3 4" xfId="22124" xr:uid="{00000000-0005-0000-0000-0000F7810000}"/>
    <cellStyle name="40 % - Markeringsfarve5 3 6 3 5" xfId="37112" xr:uid="{00000000-0005-0000-0000-0000F8810000}"/>
    <cellStyle name="40 % - Markeringsfarve5 3 6 4" xfId="4267" xr:uid="{00000000-0005-0000-0000-0000F9810000}"/>
    <cellStyle name="40 % - Markeringsfarve5 3 6 4 2" xfId="8466" xr:uid="{00000000-0005-0000-0000-0000FA810000}"/>
    <cellStyle name="40 % - Markeringsfarve5 3 6 4 2 2" xfId="16356" xr:uid="{00000000-0005-0000-0000-0000FB810000}"/>
    <cellStyle name="40 % - Markeringsfarve5 3 6 4 2 2 2" xfId="32671" xr:uid="{00000000-0005-0000-0000-0000FC810000}"/>
    <cellStyle name="40 % - Markeringsfarve5 3 6 4 2 2 3" xfId="47635" xr:uid="{00000000-0005-0000-0000-0000FD810000}"/>
    <cellStyle name="40 % - Markeringsfarve5 3 6 4 2 3" xfId="25649" xr:uid="{00000000-0005-0000-0000-0000FE810000}"/>
    <cellStyle name="40 % - Markeringsfarve5 3 6 4 2 4" xfId="40636" xr:uid="{00000000-0005-0000-0000-0000FF810000}"/>
    <cellStyle name="40 % - Markeringsfarve5 3 6 4 3" xfId="12827" xr:uid="{00000000-0005-0000-0000-000000820000}"/>
    <cellStyle name="40 % - Markeringsfarve5 3 6 4 3 2" xfId="29147" xr:uid="{00000000-0005-0000-0000-000001820000}"/>
    <cellStyle name="40 % - Markeringsfarve5 3 6 4 3 3" xfId="44112" xr:uid="{00000000-0005-0000-0000-000002820000}"/>
    <cellStyle name="40 % - Markeringsfarve5 3 6 4 4" xfId="22125" xr:uid="{00000000-0005-0000-0000-000003820000}"/>
    <cellStyle name="40 % - Markeringsfarve5 3 6 4 5" xfId="37113" xr:uid="{00000000-0005-0000-0000-000004820000}"/>
    <cellStyle name="40 % - Markeringsfarve5 3 6 5" xfId="5947" xr:uid="{00000000-0005-0000-0000-000005820000}"/>
    <cellStyle name="40 % - Markeringsfarve5 3 6 5 2" xfId="13866" xr:uid="{00000000-0005-0000-0000-000006820000}"/>
    <cellStyle name="40 % - Markeringsfarve5 3 6 5 2 2" xfId="30181" xr:uid="{00000000-0005-0000-0000-000007820000}"/>
    <cellStyle name="40 % - Markeringsfarve5 3 6 5 2 3" xfId="45145" xr:uid="{00000000-0005-0000-0000-000008820000}"/>
    <cellStyle name="40 % - Markeringsfarve5 3 6 5 3" xfId="23159" xr:uid="{00000000-0005-0000-0000-000009820000}"/>
    <cellStyle name="40 % - Markeringsfarve5 3 6 5 4" xfId="38146" xr:uid="{00000000-0005-0000-0000-00000A820000}"/>
    <cellStyle name="40 % - Markeringsfarve5 3 6 6" xfId="12823" xr:uid="{00000000-0005-0000-0000-00000B820000}"/>
    <cellStyle name="40 % - Markeringsfarve5 3 6 6 2" xfId="29143" xr:uid="{00000000-0005-0000-0000-00000C820000}"/>
    <cellStyle name="40 % - Markeringsfarve5 3 6 6 3" xfId="44108" xr:uid="{00000000-0005-0000-0000-00000D820000}"/>
    <cellStyle name="40 % - Markeringsfarve5 3 6 7" xfId="22121" xr:uid="{00000000-0005-0000-0000-00000E820000}"/>
    <cellStyle name="40 % - Markeringsfarve5 3 6 8" xfId="37109" xr:uid="{00000000-0005-0000-0000-00000F820000}"/>
    <cellStyle name="40 % - Markeringsfarve5 3 7" xfId="4268" xr:uid="{00000000-0005-0000-0000-000010820000}"/>
    <cellStyle name="40 % - Markeringsfarve5 3 7 2" xfId="4269" xr:uid="{00000000-0005-0000-0000-000011820000}"/>
    <cellStyle name="40 % - Markeringsfarve5 3 7 2 2" xfId="4270" xr:uid="{00000000-0005-0000-0000-000012820000}"/>
    <cellStyle name="40 % - Markeringsfarve5 3 7 2 2 2" xfId="7925" xr:uid="{00000000-0005-0000-0000-000013820000}"/>
    <cellStyle name="40 % - Markeringsfarve5 3 7 2 2 2 2" xfId="15827" xr:uid="{00000000-0005-0000-0000-000014820000}"/>
    <cellStyle name="40 % - Markeringsfarve5 3 7 2 2 2 2 2" xfId="32142" xr:uid="{00000000-0005-0000-0000-000015820000}"/>
    <cellStyle name="40 % - Markeringsfarve5 3 7 2 2 2 2 3" xfId="47106" xr:uid="{00000000-0005-0000-0000-000016820000}"/>
    <cellStyle name="40 % - Markeringsfarve5 3 7 2 2 2 3" xfId="25120" xr:uid="{00000000-0005-0000-0000-000017820000}"/>
    <cellStyle name="40 % - Markeringsfarve5 3 7 2 2 2 4" xfId="40107" xr:uid="{00000000-0005-0000-0000-000018820000}"/>
    <cellStyle name="40 % - Markeringsfarve5 3 7 2 2 3" xfId="12830" xr:uid="{00000000-0005-0000-0000-000019820000}"/>
    <cellStyle name="40 % - Markeringsfarve5 3 7 2 2 3 2" xfId="29150" xr:uid="{00000000-0005-0000-0000-00001A820000}"/>
    <cellStyle name="40 % - Markeringsfarve5 3 7 2 2 3 3" xfId="44115" xr:uid="{00000000-0005-0000-0000-00001B820000}"/>
    <cellStyle name="40 % - Markeringsfarve5 3 7 2 2 4" xfId="22128" xr:uid="{00000000-0005-0000-0000-00001C820000}"/>
    <cellStyle name="40 % - Markeringsfarve5 3 7 2 2 5" xfId="37116" xr:uid="{00000000-0005-0000-0000-00001D820000}"/>
    <cellStyle name="40 % - Markeringsfarve5 3 7 2 3" xfId="6450" xr:uid="{00000000-0005-0000-0000-00001E820000}"/>
    <cellStyle name="40 % - Markeringsfarve5 3 7 2 3 2" xfId="14365" xr:uid="{00000000-0005-0000-0000-00001F820000}"/>
    <cellStyle name="40 % - Markeringsfarve5 3 7 2 3 2 2" xfId="30680" xr:uid="{00000000-0005-0000-0000-000020820000}"/>
    <cellStyle name="40 % - Markeringsfarve5 3 7 2 3 2 3" xfId="45644" xr:uid="{00000000-0005-0000-0000-000021820000}"/>
    <cellStyle name="40 % - Markeringsfarve5 3 7 2 3 3" xfId="23658" xr:uid="{00000000-0005-0000-0000-000022820000}"/>
    <cellStyle name="40 % - Markeringsfarve5 3 7 2 3 4" xfId="38645" xr:uid="{00000000-0005-0000-0000-000023820000}"/>
    <cellStyle name="40 % - Markeringsfarve5 3 7 2 4" xfId="12829" xr:uid="{00000000-0005-0000-0000-000024820000}"/>
    <cellStyle name="40 % - Markeringsfarve5 3 7 2 4 2" xfId="29149" xr:uid="{00000000-0005-0000-0000-000025820000}"/>
    <cellStyle name="40 % - Markeringsfarve5 3 7 2 4 3" xfId="44114" xr:uid="{00000000-0005-0000-0000-000026820000}"/>
    <cellStyle name="40 % - Markeringsfarve5 3 7 2 5" xfId="22127" xr:uid="{00000000-0005-0000-0000-000027820000}"/>
    <cellStyle name="40 % - Markeringsfarve5 3 7 2 6" xfId="37115" xr:uid="{00000000-0005-0000-0000-000028820000}"/>
    <cellStyle name="40 % - Markeringsfarve5 3 7 3" xfId="4271" xr:uid="{00000000-0005-0000-0000-000029820000}"/>
    <cellStyle name="40 % - Markeringsfarve5 3 7 3 2" xfId="7201" xr:uid="{00000000-0005-0000-0000-00002A820000}"/>
    <cellStyle name="40 % - Markeringsfarve5 3 7 3 2 2" xfId="15112" xr:uid="{00000000-0005-0000-0000-00002B820000}"/>
    <cellStyle name="40 % - Markeringsfarve5 3 7 3 2 2 2" xfId="31427" xr:uid="{00000000-0005-0000-0000-00002C820000}"/>
    <cellStyle name="40 % - Markeringsfarve5 3 7 3 2 2 3" xfId="46391" xr:uid="{00000000-0005-0000-0000-00002D820000}"/>
    <cellStyle name="40 % - Markeringsfarve5 3 7 3 2 3" xfId="24405" xr:uid="{00000000-0005-0000-0000-00002E820000}"/>
    <cellStyle name="40 % - Markeringsfarve5 3 7 3 2 4" xfId="39392" xr:uid="{00000000-0005-0000-0000-00002F820000}"/>
    <cellStyle name="40 % - Markeringsfarve5 3 7 3 3" xfId="12831" xr:uid="{00000000-0005-0000-0000-000030820000}"/>
    <cellStyle name="40 % - Markeringsfarve5 3 7 3 3 2" xfId="29151" xr:uid="{00000000-0005-0000-0000-000031820000}"/>
    <cellStyle name="40 % - Markeringsfarve5 3 7 3 3 3" xfId="44116" xr:uid="{00000000-0005-0000-0000-000032820000}"/>
    <cellStyle name="40 % - Markeringsfarve5 3 7 3 4" xfId="22129" xr:uid="{00000000-0005-0000-0000-000033820000}"/>
    <cellStyle name="40 % - Markeringsfarve5 3 7 3 5" xfId="37117" xr:uid="{00000000-0005-0000-0000-000034820000}"/>
    <cellStyle name="40 % - Markeringsfarve5 3 7 4" xfId="4272" xr:uid="{00000000-0005-0000-0000-000035820000}"/>
    <cellStyle name="40 % - Markeringsfarve5 3 7 4 2" xfId="8701" xr:uid="{00000000-0005-0000-0000-000036820000}"/>
    <cellStyle name="40 % - Markeringsfarve5 3 7 4 2 2" xfId="16578" xr:uid="{00000000-0005-0000-0000-000037820000}"/>
    <cellStyle name="40 % - Markeringsfarve5 3 7 4 2 2 2" xfId="32893" xr:uid="{00000000-0005-0000-0000-000038820000}"/>
    <cellStyle name="40 % - Markeringsfarve5 3 7 4 2 2 3" xfId="47857" xr:uid="{00000000-0005-0000-0000-000039820000}"/>
    <cellStyle name="40 % - Markeringsfarve5 3 7 4 2 3" xfId="25871" xr:uid="{00000000-0005-0000-0000-00003A820000}"/>
    <cellStyle name="40 % - Markeringsfarve5 3 7 4 2 4" xfId="40858" xr:uid="{00000000-0005-0000-0000-00003B820000}"/>
    <cellStyle name="40 % - Markeringsfarve5 3 7 4 3" xfId="12832" xr:uid="{00000000-0005-0000-0000-00003C820000}"/>
    <cellStyle name="40 % - Markeringsfarve5 3 7 4 3 2" xfId="29152" xr:uid="{00000000-0005-0000-0000-00003D820000}"/>
    <cellStyle name="40 % - Markeringsfarve5 3 7 4 3 3" xfId="44117" xr:uid="{00000000-0005-0000-0000-00003E820000}"/>
    <cellStyle name="40 % - Markeringsfarve5 3 7 4 4" xfId="22130" xr:uid="{00000000-0005-0000-0000-00003F820000}"/>
    <cellStyle name="40 % - Markeringsfarve5 3 7 4 5" xfId="37118" xr:uid="{00000000-0005-0000-0000-000040820000}"/>
    <cellStyle name="40 % - Markeringsfarve5 3 7 5" xfId="5948" xr:uid="{00000000-0005-0000-0000-000041820000}"/>
    <cellStyle name="40 % - Markeringsfarve5 3 7 5 2" xfId="13867" xr:uid="{00000000-0005-0000-0000-000042820000}"/>
    <cellStyle name="40 % - Markeringsfarve5 3 7 5 2 2" xfId="30182" xr:uid="{00000000-0005-0000-0000-000043820000}"/>
    <cellStyle name="40 % - Markeringsfarve5 3 7 5 2 3" xfId="45146" xr:uid="{00000000-0005-0000-0000-000044820000}"/>
    <cellStyle name="40 % - Markeringsfarve5 3 7 5 3" xfId="23160" xr:uid="{00000000-0005-0000-0000-000045820000}"/>
    <cellStyle name="40 % - Markeringsfarve5 3 7 5 4" xfId="38147" xr:uid="{00000000-0005-0000-0000-000046820000}"/>
    <cellStyle name="40 % - Markeringsfarve5 3 7 6" xfId="12828" xr:uid="{00000000-0005-0000-0000-000047820000}"/>
    <cellStyle name="40 % - Markeringsfarve5 3 7 6 2" xfId="29148" xr:uid="{00000000-0005-0000-0000-000048820000}"/>
    <cellStyle name="40 % - Markeringsfarve5 3 7 6 3" xfId="44113" xr:uid="{00000000-0005-0000-0000-000049820000}"/>
    <cellStyle name="40 % - Markeringsfarve5 3 7 7" xfId="22126" xr:uid="{00000000-0005-0000-0000-00004A820000}"/>
    <cellStyle name="40 % - Markeringsfarve5 3 7 8" xfId="37114" xr:uid="{00000000-0005-0000-0000-00004B820000}"/>
    <cellStyle name="40 % - Markeringsfarve5 3 8" xfId="4273" xr:uid="{00000000-0005-0000-0000-00004C820000}"/>
    <cellStyle name="40 % - Markeringsfarve5 3 8 2" xfId="4274" xr:uid="{00000000-0005-0000-0000-00004D820000}"/>
    <cellStyle name="40 % - Markeringsfarve5 3 8 2 2" xfId="4275" xr:uid="{00000000-0005-0000-0000-00004E820000}"/>
    <cellStyle name="40 % - Markeringsfarve5 3 8 2 2 2" xfId="8113" xr:uid="{00000000-0005-0000-0000-00004F820000}"/>
    <cellStyle name="40 % - Markeringsfarve5 3 8 2 2 2 2" xfId="16015" xr:uid="{00000000-0005-0000-0000-000050820000}"/>
    <cellStyle name="40 % - Markeringsfarve5 3 8 2 2 2 2 2" xfId="32330" xr:uid="{00000000-0005-0000-0000-000051820000}"/>
    <cellStyle name="40 % - Markeringsfarve5 3 8 2 2 2 2 3" xfId="47294" xr:uid="{00000000-0005-0000-0000-000052820000}"/>
    <cellStyle name="40 % - Markeringsfarve5 3 8 2 2 2 3" xfId="25308" xr:uid="{00000000-0005-0000-0000-000053820000}"/>
    <cellStyle name="40 % - Markeringsfarve5 3 8 2 2 2 4" xfId="40295" xr:uid="{00000000-0005-0000-0000-000054820000}"/>
    <cellStyle name="40 % - Markeringsfarve5 3 8 2 2 3" xfId="12835" xr:uid="{00000000-0005-0000-0000-000055820000}"/>
    <cellStyle name="40 % - Markeringsfarve5 3 8 2 2 3 2" xfId="29155" xr:uid="{00000000-0005-0000-0000-000056820000}"/>
    <cellStyle name="40 % - Markeringsfarve5 3 8 2 2 3 3" xfId="44120" xr:uid="{00000000-0005-0000-0000-000057820000}"/>
    <cellStyle name="40 % - Markeringsfarve5 3 8 2 2 4" xfId="22133" xr:uid="{00000000-0005-0000-0000-000058820000}"/>
    <cellStyle name="40 % - Markeringsfarve5 3 8 2 2 5" xfId="37121" xr:uid="{00000000-0005-0000-0000-000059820000}"/>
    <cellStyle name="40 % - Markeringsfarve5 3 8 2 3" xfId="6606" xr:uid="{00000000-0005-0000-0000-00005A820000}"/>
    <cellStyle name="40 % - Markeringsfarve5 3 8 2 3 2" xfId="14521" xr:uid="{00000000-0005-0000-0000-00005B820000}"/>
    <cellStyle name="40 % - Markeringsfarve5 3 8 2 3 2 2" xfId="30836" xr:uid="{00000000-0005-0000-0000-00005C820000}"/>
    <cellStyle name="40 % - Markeringsfarve5 3 8 2 3 2 3" xfId="45800" xr:uid="{00000000-0005-0000-0000-00005D820000}"/>
    <cellStyle name="40 % - Markeringsfarve5 3 8 2 3 3" xfId="23814" xr:uid="{00000000-0005-0000-0000-00005E820000}"/>
    <cellStyle name="40 % - Markeringsfarve5 3 8 2 3 4" xfId="38801" xr:uid="{00000000-0005-0000-0000-00005F820000}"/>
    <cellStyle name="40 % - Markeringsfarve5 3 8 2 4" xfId="12834" xr:uid="{00000000-0005-0000-0000-000060820000}"/>
    <cellStyle name="40 % - Markeringsfarve5 3 8 2 4 2" xfId="29154" xr:uid="{00000000-0005-0000-0000-000061820000}"/>
    <cellStyle name="40 % - Markeringsfarve5 3 8 2 4 3" xfId="44119" xr:uid="{00000000-0005-0000-0000-000062820000}"/>
    <cellStyle name="40 % - Markeringsfarve5 3 8 2 5" xfId="22132" xr:uid="{00000000-0005-0000-0000-000063820000}"/>
    <cellStyle name="40 % - Markeringsfarve5 3 8 2 6" xfId="37120" xr:uid="{00000000-0005-0000-0000-000064820000}"/>
    <cellStyle name="40 % - Markeringsfarve5 3 8 3" xfId="4276" xr:uid="{00000000-0005-0000-0000-000065820000}"/>
    <cellStyle name="40 % - Markeringsfarve5 3 8 3 2" xfId="7390" xr:uid="{00000000-0005-0000-0000-000066820000}"/>
    <cellStyle name="40 % - Markeringsfarve5 3 8 3 2 2" xfId="15301" xr:uid="{00000000-0005-0000-0000-000067820000}"/>
    <cellStyle name="40 % - Markeringsfarve5 3 8 3 2 2 2" xfId="31616" xr:uid="{00000000-0005-0000-0000-000068820000}"/>
    <cellStyle name="40 % - Markeringsfarve5 3 8 3 2 2 3" xfId="46580" xr:uid="{00000000-0005-0000-0000-000069820000}"/>
    <cellStyle name="40 % - Markeringsfarve5 3 8 3 2 3" xfId="24594" xr:uid="{00000000-0005-0000-0000-00006A820000}"/>
    <cellStyle name="40 % - Markeringsfarve5 3 8 3 2 4" xfId="39581" xr:uid="{00000000-0005-0000-0000-00006B820000}"/>
    <cellStyle name="40 % - Markeringsfarve5 3 8 3 3" xfId="12836" xr:uid="{00000000-0005-0000-0000-00006C820000}"/>
    <cellStyle name="40 % - Markeringsfarve5 3 8 3 3 2" xfId="29156" xr:uid="{00000000-0005-0000-0000-00006D820000}"/>
    <cellStyle name="40 % - Markeringsfarve5 3 8 3 3 3" xfId="44121" xr:uid="{00000000-0005-0000-0000-00006E820000}"/>
    <cellStyle name="40 % - Markeringsfarve5 3 8 3 4" xfId="22134" xr:uid="{00000000-0005-0000-0000-00006F820000}"/>
    <cellStyle name="40 % - Markeringsfarve5 3 8 3 5" xfId="37122" xr:uid="{00000000-0005-0000-0000-000070820000}"/>
    <cellStyle name="40 % - Markeringsfarve5 3 8 4" xfId="4277" xr:uid="{00000000-0005-0000-0000-000071820000}"/>
    <cellStyle name="40 % - Markeringsfarve5 3 8 4 2" xfId="8421" xr:uid="{00000000-0005-0000-0000-000072820000}"/>
    <cellStyle name="40 % - Markeringsfarve5 3 8 4 2 2" xfId="16311" xr:uid="{00000000-0005-0000-0000-000073820000}"/>
    <cellStyle name="40 % - Markeringsfarve5 3 8 4 2 2 2" xfId="32626" xr:uid="{00000000-0005-0000-0000-000074820000}"/>
    <cellStyle name="40 % - Markeringsfarve5 3 8 4 2 2 3" xfId="47590" xr:uid="{00000000-0005-0000-0000-000075820000}"/>
    <cellStyle name="40 % - Markeringsfarve5 3 8 4 2 3" xfId="25604" xr:uid="{00000000-0005-0000-0000-000076820000}"/>
    <cellStyle name="40 % - Markeringsfarve5 3 8 4 2 4" xfId="40591" xr:uid="{00000000-0005-0000-0000-000077820000}"/>
    <cellStyle name="40 % - Markeringsfarve5 3 8 4 3" xfId="12837" xr:uid="{00000000-0005-0000-0000-000078820000}"/>
    <cellStyle name="40 % - Markeringsfarve5 3 8 4 3 2" xfId="29157" xr:uid="{00000000-0005-0000-0000-000079820000}"/>
    <cellStyle name="40 % - Markeringsfarve5 3 8 4 3 3" xfId="44122" xr:uid="{00000000-0005-0000-0000-00007A820000}"/>
    <cellStyle name="40 % - Markeringsfarve5 3 8 4 4" xfId="22135" xr:uid="{00000000-0005-0000-0000-00007B820000}"/>
    <cellStyle name="40 % - Markeringsfarve5 3 8 4 5" xfId="37123" xr:uid="{00000000-0005-0000-0000-00007C820000}"/>
    <cellStyle name="40 % - Markeringsfarve5 3 8 5" xfId="5949" xr:uid="{00000000-0005-0000-0000-00007D820000}"/>
    <cellStyle name="40 % - Markeringsfarve5 3 8 5 2" xfId="13868" xr:uid="{00000000-0005-0000-0000-00007E820000}"/>
    <cellStyle name="40 % - Markeringsfarve5 3 8 5 2 2" xfId="30183" xr:uid="{00000000-0005-0000-0000-00007F820000}"/>
    <cellStyle name="40 % - Markeringsfarve5 3 8 5 2 3" xfId="45147" xr:uid="{00000000-0005-0000-0000-000080820000}"/>
    <cellStyle name="40 % - Markeringsfarve5 3 8 5 3" xfId="23161" xr:uid="{00000000-0005-0000-0000-000081820000}"/>
    <cellStyle name="40 % - Markeringsfarve5 3 8 5 4" xfId="38148" xr:uid="{00000000-0005-0000-0000-000082820000}"/>
    <cellStyle name="40 % - Markeringsfarve5 3 8 6" xfId="12833" xr:uid="{00000000-0005-0000-0000-000083820000}"/>
    <cellStyle name="40 % - Markeringsfarve5 3 8 6 2" xfId="29153" xr:uid="{00000000-0005-0000-0000-000084820000}"/>
    <cellStyle name="40 % - Markeringsfarve5 3 8 6 3" xfId="44118" xr:uid="{00000000-0005-0000-0000-000085820000}"/>
    <cellStyle name="40 % - Markeringsfarve5 3 8 7" xfId="22131" xr:uid="{00000000-0005-0000-0000-000086820000}"/>
    <cellStyle name="40 % - Markeringsfarve5 3 8 8" xfId="37119" xr:uid="{00000000-0005-0000-0000-000087820000}"/>
    <cellStyle name="40 % - Markeringsfarve5 3 9" xfId="4278" xr:uid="{00000000-0005-0000-0000-000088820000}"/>
    <cellStyle name="40 % - Markeringsfarve5 3 9 2" xfId="4279" xr:uid="{00000000-0005-0000-0000-000089820000}"/>
    <cellStyle name="40 % - Markeringsfarve5 3 9 2 2" xfId="7451" xr:uid="{00000000-0005-0000-0000-00008A820000}"/>
    <cellStyle name="40 % - Markeringsfarve5 3 9 2 2 2" xfId="15353" xr:uid="{00000000-0005-0000-0000-00008B820000}"/>
    <cellStyle name="40 % - Markeringsfarve5 3 9 2 2 2 2" xfId="31668" xr:uid="{00000000-0005-0000-0000-00008C820000}"/>
    <cellStyle name="40 % - Markeringsfarve5 3 9 2 2 2 3" xfId="46632" xr:uid="{00000000-0005-0000-0000-00008D820000}"/>
    <cellStyle name="40 % - Markeringsfarve5 3 9 2 2 3" xfId="24646" xr:uid="{00000000-0005-0000-0000-00008E820000}"/>
    <cellStyle name="40 % - Markeringsfarve5 3 9 2 2 4" xfId="39633" xr:uid="{00000000-0005-0000-0000-00008F820000}"/>
    <cellStyle name="40 % - Markeringsfarve5 3 9 2 3" xfId="12839" xr:uid="{00000000-0005-0000-0000-000090820000}"/>
    <cellStyle name="40 % - Markeringsfarve5 3 9 2 3 2" xfId="29159" xr:uid="{00000000-0005-0000-0000-000091820000}"/>
    <cellStyle name="40 % - Markeringsfarve5 3 9 2 3 3" xfId="44124" xr:uid="{00000000-0005-0000-0000-000092820000}"/>
    <cellStyle name="40 % - Markeringsfarve5 3 9 2 4" xfId="22137" xr:uid="{00000000-0005-0000-0000-000093820000}"/>
    <cellStyle name="40 % - Markeringsfarve5 3 9 2 5" xfId="37125" xr:uid="{00000000-0005-0000-0000-000094820000}"/>
    <cellStyle name="40 % - Markeringsfarve5 3 9 3" xfId="6050" xr:uid="{00000000-0005-0000-0000-000095820000}"/>
    <cellStyle name="40 % - Markeringsfarve5 3 9 3 2" xfId="13968" xr:uid="{00000000-0005-0000-0000-000096820000}"/>
    <cellStyle name="40 % - Markeringsfarve5 3 9 3 2 2" xfId="30283" xr:uid="{00000000-0005-0000-0000-000097820000}"/>
    <cellStyle name="40 % - Markeringsfarve5 3 9 3 2 3" xfId="45247" xr:uid="{00000000-0005-0000-0000-000098820000}"/>
    <cellStyle name="40 % - Markeringsfarve5 3 9 3 3" xfId="23261" xr:uid="{00000000-0005-0000-0000-000099820000}"/>
    <cellStyle name="40 % - Markeringsfarve5 3 9 3 4" xfId="38248" xr:uid="{00000000-0005-0000-0000-00009A820000}"/>
    <cellStyle name="40 % - Markeringsfarve5 3 9 4" xfId="12838" xr:uid="{00000000-0005-0000-0000-00009B820000}"/>
    <cellStyle name="40 % - Markeringsfarve5 3 9 4 2" xfId="29158" xr:uid="{00000000-0005-0000-0000-00009C820000}"/>
    <cellStyle name="40 % - Markeringsfarve5 3 9 4 3" xfId="44123" xr:uid="{00000000-0005-0000-0000-00009D820000}"/>
    <cellStyle name="40 % - Markeringsfarve5 3 9 5" xfId="22136" xr:uid="{00000000-0005-0000-0000-00009E820000}"/>
    <cellStyle name="40 % - Markeringsfarve5 3 9 6" xfId="37124" xr:uid="{00000000-0005-0000-0000-00009F820000}"/>
    <cellStyle name="40 % - Markeringsfarve5 4" xfId="4280" xr:uid="{00000000-0005-0000-0000-0000A0820000}"/>
    <cellStyle name="40 % - Markeringsfarve5 4 10" xfId="5950" xr:uid="{00000000-0005-0000-0000-0000A1820000}"/>
    <cellStyle name="40 % - Markeringsfarve5 4 10 2" xfId="13869" xr:uid="{00000000-0005-0000-0000-0000A2820000}"/>
    <cellStyle name="40 % - Markeringsfarve5 4 10 2 2" xfId="30184" xr:uid="{00000000-0005-0000-0000-0000A3820000}"/>
    <cellStyle name="40 % - Markeringsfarve5 4 10 2 3" xfId="45148" xr:uid="{00000000-0005-0000-0000-0000A4820000}"/>
    <cellStyle name="40 % - Markeringsfarve5 4 10 3" xfId="23162" xr:uid="{00000000-0005-0000-0000-0000A5820000}"/>
    <cellStyle name="40 % - Markeringsfarve5 4 10 4" xfId="38149" xr:uid="{00000000-0005-0000-0000-0000A6820000}"/>
    <cellStyle name="40 % - Markeringsfarve5 4 11" xfId="12840" xr:uid="{00000000-0005-0000-0000-0000A7820000}"/>
    <cellStyle name="40 % - Markeringsfarve5 4 11 2" xfId="29160" xr:uid="{00000000-0005-0000-0000-0000A8820000}"/>
    <cellStyle name="40 % - Markeringsfarve5 4 11 3" xfId="44125" xr:uid="{00000000-0005-0000-0000-0000A9820000}"/>
    <cellStyle name="40 % - Markeringsfarve5 4 12" xfId="22138" xr:uid="{00000000-0005-0000-0000-0000AA820000}"/>
    <cellStyle name="40 % - Markeringsfarve5 4 13" xfId="37126" xr:uid="{00000000-0005-0000-0000-0000AB820000}"/>
    <cellStyle name="40 % - Markeringsfarve5 4 14" xfId="53338" xr:uid="{00000000-0005-0000-0000-0000AC820000}"/>
    <cellStyle name="40 % - Markeringsfarve5 4 2" xfId="4281" xr:uid="{00000000-0005-0000-0000-0000AD820000}"/>
    <cellStyle name="40 % - Markeringsfarve5 4 2 2" xfId="4282" xr:uid="{00000000-0005-0000-0000-0000AE820000}"/>
    <cellStyle name="40 % - Markeringsfarve5 4 2 2 2" xfId="4283" xr:uid="{00000000-0005-0000-0000-0000AF820000}"/>
    <cellStyle name="40 % - Markeringsfarve5 4 2 2 2 2" xfId="7595" xr:uid="{00000000-0005-0000-0000-0000B0820000}"/>
    <cellStyle name="40 % - Markeringsfarve5 4 2 2 2 2 2" xfId="15497" xr:uid="{00000000-0005-0000-0000-0000B1820000}"/>
    <cellStyle name="40 % - Markeringsfarve5 4 2 2 2 2 2 2" xfId="31812" xr:uid="{00000000-0005-0000-0000-0000B2820000}"/>
    <cellStyle name="40 % - Markeringsfarve5 4 2 2 2 2 2 3" xfId="46776" xr:uid="{00000000-0005-0000-0000-0000B3820000}"/>
    <cellStyle name="40 % - Markeringsfarve5 4 2 2 2 2 3" xfId="24790" xr:uid="{00000000-0005-0000-0000-0000B4820000}"/>
    <cellStyle name="40 % - Markeringsfarve5 4 2 2 2 2 4" xfId="39777" xr:uid="{00000000-0005-0000-0000-0000B5820000}"/>
    <cellStyle name="40 % - Markeringsfarve5 4 2 2 2 3" xfId="12843" xr:uid="{00000000-0005-0000-0000-0000B6820000}"/>
    <cellStyle name="40 % - Markeringsfarve5 4 2 2 2 3 2" xfId="29163" xr:uid="{00000000-0005-0000-0000-0000B7820000}"/>
    <cellStyle name="40 % - Markeringsfarve5 4 2 2 2 3 3" xfId="44128" xr:uid="{00000000-0005-0000-0000-0000B8820000}"/>
    <cellStyle name="40 % - Markeringsfarve5 4 2 2 2 4" xfId="22141" xr:uid="{00000000-0005-0000-0000-0000B9820000}"/>
    <cellStyle name="40 % - Markeringsfarve5 4 2 2 2 5" xfId="37129" xr:uid="{00000000-0005-0000-0000-0000BA820000}"/>
    <cellStyle name="40 % - Markeringsfarve5 4 2 2 3" xfId="6170" xr:uid="{00000000-0005-0000-0000-0000BB820000}"/>
    <cellStyle name="40 % - Markeringsfarve5 4 2 2 3 2" xfId="14088" xr:uid="{00000000-0005-0000-0000-0000BC820000}"/>
    <cellStyle name="40 % - Markeringsfarve5 4 2 2 3 2 2" xfId="30403" xr:uid="{00000000-0005-0000-0000-0000BD820000}"/>
    <cellStyle name="40 % - Markeringsfarve5 4 2 2 3 2 3" xfId="45367" xr:uid="{00000000-0005-0000-0000-0000BE820000}"/>
    <cellStyle name="40 % - Markeringsfarve5 4 2 2 3 3" xfId="23381" xr:uid="{00000000-0005-0000-0000-0000BF820000}"/>
    <cellStyle name="40 % - Markeringsfarve5 4 2 2 3 4" xfId="38368" xr:uid="{00000000-0005-0000-0000-0000C0820000}"/>
    <cellStyle name="40 % - Markeringsfarve5 4 2 2 4" xfId="12842" xr:uid="{00000000-0005-0000-0000-0000C1820000}"/>
    <cellStyle name="40 % - Markeringsfarve5 4 2 2 4 2" xfId="29162" xr:uid="{00000000-0005-0000-0000-0000C2820000}"/>
    <cellStyle name="40 % - Markeringsfarve5 4 2 2 4 3" xfId="44127" xr:uid="{00000000-0005-0000-0000-0000C3820000}"/>
    <cellStyle name="40 % - Markeringsfarve5 4 2 2 5" xfId="22140" xr:uid="{00000000-0005-0000-0000-0000C4820000}"/>
    <cellStyle name="40 % - Markeringsfarve5 4 2 2 6" xfId="37128" xr:uid="{00000000-0005-0000-0000-0000C5820000}"/>
    <cellStyle name="40 % - Markeringsfarve5 4 2 2 7" xfId="57142" xr:uid="{00000000-0005-0000-0000-0000C6820000}"/>
    <cellStyle name="40 % - Markeringsfarve5 4 2 3" xfId="4284" xr:uid="{00000000-0005-0000-0000-0000C7820000}"/>
    <cellStyle name="40 % - Markeringsfarve5 4 2 3 2" xfId="6825" xr:uid="{00000000-0005-0000-0000-0000C8820000}"/>
    <cellStyle name="40 % - Markeringsfarve5 4 2 3 2 2" xfId="14737" xr:uid="{00000000-0005-0000-0000-0000C9820000}"/>
    <cellStyle name="40 % - Markeringsfarve5 4 2 3 2 2 2" xfId="31052" xr:uid="{00000000-0005-0000-0000-0000CA820000}"/>
    <cellStyle name="40 % - Markeringsfarve5 4 2 3 2 2 3" xfId="46016" xr:uid="{00000000-0005-0000-0000-0000CB820000}"/>
    <cellStyle name="40 % - Markeringsfarve5 4 2 3 2 3" xfId="24030" xr:uid="{00000000-0005-0000-0000-0000CC820000}"/>
    <cellStyle name="40 % - Markeringsfarve5 4 2 3 2 4" xfId="39017" xr:uid="{00000000-0005-0000-0000-0000CD820000}"/>
    <cellStyle name="40 % - Markeringsfarve5 4 2 3 3" xfId="12844" xr:uid="{00000000-0005-0000-0000-0000CE820000}"/>
    <cellStyle name="40 % - Markeringsfarve5 4 2 3 3 2" xfId="29164" xr:uid="{00000000-0005-0000-0000-0000CF820000}"/>
    <cellStyle name="40 % - Markeringsfarve5 4 2 3 3 3" xfId="44129" xr:uid="{00000000-0005-0000-0000-0000D0820000}"/>
    <cellStyle name="40 % - Markeringsfarve5 4 2 3 4" xfId="22142" xr:uid="{00000000-0005-0000-0000-0000D1820000}"/>
    <cellStyle name="40 % - Markeringsfarve5 4 2 3 5" xfId="37130" xr:uid="{00000000-0005-0000-0000-0000D2820000}"/>
    <cellStyle name="40 % - Markeringsfarve5 4 2 4" xfId="4285" xr:uid="{00000000-0005-0000-0000-0000D3820000}"/>
    <cellStyle name="40 % - Markeringsfarve5 4 2 4 2" xfId="8694" xr:uid="{00000000-0005-0000-0000-0000D4820000}"/>
    <cellStyle name="40 % - Markeringsfarve5 4 2 4 2 2" xfId="16571" xr:uid="{00000000-0005-0000-0000-0000D5820000}"/>
    <cellStyle name="40 % - Markeringsfarve5 4 2 4 2 2 2" xfId="32886" xr:uid="{00000000-0005-0000-0000-0000D6820000}"/>
    <cellStyle name="40 % - Markeringsfarve5 4 2 4 2 2 3" xfId="47850" xr:uid="{00000000-0005-0000-0000-0000D7820000}"/>
    <cellStyle name="40 % - Markeringsfarve5 4 2 4 2 3" xfId="25864" xr:uid="{00000000-0005-0000-0000-0000D8820000}"/>
    <cellStyle name="40 % - Markeringsfarve5 4 2 4 2 4" xfId="40851" xr:uid="{00000000-0005-0000-0000-0000D9820000}"/>
    <cellStyle name="40 % - Markeringsfarve5 4 2 4 3" xfId="12845" xr:uid="{00000000-0005-0000-0000-0000DA820000}"/>
    <cellStyle name="40 % - Markeringsfarve5 4 2 4 3 2" xfId="29165" xr:uid="{00000000-0005-0000-0000-0000DB820000}"/>
    <cellStyle name="40 % - Markeringsfarve5 4 2 4 3 3" xfId="44130" xr:uid="{00000000-0005-0000-0000-0000DC820000}"/>
    <cellStyle name="40 % - Markeringsfarve5 4 2 4 4" xfId="22143" xr:uid="{00000000-0005-0000-0000-0000DD820000}"/>
    <cellStyle name="40 % - Markeringsfarve5 4 2 4 5" xfId="37131" xr:uid="{00000000-0005-0000-0000-0000DE820000}"/>
    <cellStyle name="40 % - Markeringsfarve5 4 2 5" xfId="5951" xr:uid="{00000000-0005-0000-0000-0000DF820000}"/>
    <cellStyle name="40 % - Markeringsfarve5 4 2 5 2" xfId="13870" xr:uid="{00000000-0005-0000-0000-0000E0820000}"/>
    <cellStyle name="40 % - Markeringsfarve5 4 2 5 2 2" xfId="30185" xr:uid="{00000000-0005-0000-0000-0000E1820000}"/>
    <cellStyle name="40 % - Markeringsfarve5 4 2 5 2 3" xfId="45149" xr:uid="{00000000-0005-0000-0000-0000E2820000}"/>
    <cellStyle name="40 % - Markeringsfarve5 4 2 5 3" xfId="23163" xr:uid="{00000000-0005-0000-0000-0000E3820000}"/>
    <cellStyle name="40 % - Markeringsfarve5 4 2 5 4" xfId="38150" xr:uid="{00000000-0005-0000-0000-0000E4820000}"/>
    <cellStyle name="40 % - Markeringsfarve5 4 2 6" xfId="12841" xr:uid="{00000000-0005-0000-0000-0000E5820000}"/>
    <cellStyle name="40 % - Markeringsfarve5 4 2 6 2" xfId="29161" xr:uid="{00000000-0005-0000-0000-0000E6820000}"/>
    <cellStyle name="40 % - Markeringsfarve5 4 2 6 3" xfId="44126" xr:uid="{00000000-0005-0000-0000-0000E7820000}"/>
    <cellStyle name="40 % - Markeringsfarve5 4 2 7" xfId="22139" xr:uid="{00000000-0005-0000-0000-0000E8820000}"/>
    <cellStyle name="40 % - Markeringsfarve5 4 2 8" xfId="37127" xr:uid="{00000000-0005-0000-0000-0000E9820000}"/>
    <cellStyle name="40 % - Markeringsfarve5 4 2 9" xfId="53975" xr:uid="{00000000-0005-0000-0000-0000EA820000}"/>
    <cellStyle name="40 % - Markeringsfarve5 4 3" xfId="4286" xr:uid="{00000000-0005-0000-0000-0000EB820000}"/>
    <cellStyle name="40 % - Markeringsfarve5 4 3 2" xfId="4287" xr:uid="{00000000-0005-0000-0000-0000EC820000}"/>
    <cellStyle name="40 % - Markeringsfarve5 4 3 2 2" xfId="4288" xr:uid="{00000000-0005-0000-0000-0000ED820000}"/>
    <cellStyle name="40 % - Markeringsfarve5 4 3 2 2 2" xfId="7762" xr:uid="{00000000-0005-0000-0000-0000EE820000}"/>
    <cellStyle name="40 % - Markeringsfarve5 4 3 2 2 2 2" xfId="15664" xr:uid="{00000000-0005-0000-0000-0000EF820000}"/>
    <cellStyle name="40 % - Markeringsfarve5 4 3 2 2 2 2 2" xfId="31979" xr:uid="{00000000-0005-0000-0000-0000F0820000}"/>
    <cellStyle name="40 % - Markeringsfarve5 4 3 2 2 2 2 3" xfId="46943" xr:uid="{00000000-0005-0000-0000-0000F1820000}"/>
    <cellStyle name="40 % - Markeringsfarve5 4 3 2 2 2 3" xfId="24957" xr:uid="{00000000-0005-0000-0000-0000F2820000}"/>
    <cellStyle name="40 % - Markeringsfarve5 4 3 2 2 2 4" xfId="39944" xr:uid="{00000000-0005-0000-0000-0000F3820000}"/>
    <cellStyle name="40 % - Markeringsfarve5 4 3 2 2 3" xfId="12848" xr:uid="{00000000-0005-0000-0000-0000F4820000}"/>
    <cellStyle name="40 % - Markeringsfarve5 4 3 2 2 3 2" xfId="29168" xr:uid="{00000000-0005-0000-0000-0000F5820000}"/>
    <cellStyle name="40 % - Markeringsfarve5 4 3 2 2 3 3" xfId="44133" xr:uid="{00000000-0005-0000-0000-0000F6820000}"/>
    <cellStyle name="40 % - Markeringsfarve5 4 3 2 2 4" xfId="22146" xr:uid="{00000000-0005-0000-0000-0000F7820000}"/>
    <cellStyle name="40 % - Markeringsfarve5 4 3 2 2 5" xfId="37134" xr:uid="{00000000-0005-0000-0000-0000F8820000}"/>
    <cellStyle name="40 % - Markeringsfarve5 4 3 2 3" xfId="6308" xr:uid="{00000000-0005-0000-0000-0000F9820000}"/>
    <cellStyle name="40 % - Markeringsfarve5 4 3 2 3 2" xfId="14226" xr:uid="{00000000-0005-0000-0000-0000FA820000}"/>
    <cellStyle name="40 % - Markeringsfarve5 4 3 2 3 2 2" xfId="30541" xr:uid="{00000000-0005-0000-0000-0000FB820000}"/>
    <cellStyle name="40 % - Markeringsfarve5 4 3 2 3 2 3" xfId="45505" xr:uid="{00000000-0005-0000-0000-0000FC820000}"/>
    <cellStyle name="40 % - Markeringsfarve5 4 3 2 3 3" xfId="23519" xr:uid="{00000000-0005-0000-0000-0000FD820000}"/>
    <cellStyle name="40 % - Markeringsfarve5 4 3 2 3 4" xfId="38506" xr:uid="{00000000-0005-0000-0000-0000FE820000}"/>
    <cellStyle name="40 % - Markeringsfarve5 4 3 2 4" xfId="12847" xr:uid="{00000000-0005-0000-0000-0000FF820000}"/>
    <cellStyle name="40 % - Markeringsfarve5 4 3 2 4 2" xfId="29167" xr:uid="{00000000-0005-0000-0000-000000830000}"/>
    <cellStyle name="40 % - Markeringsfarve5 4 3 2 4 3" xfId="44132" xr:uid="{00000000-0005-0000-0000-000001830000}"/>
    <cellStyle name="40 % - Markeringsfarve5 4 3 2 5" xfId="22145" xr:uid="{00000000-0005-0000-0000-000002830000}"/>
    <cellStyle name="40 % - Markeringsfarve5 4 3 2 6" xfId="37133" xr:uid="{00000000-0005-0000-0000-000003830000}"/>
    <cellStyle name="40 % - Markeringsfarve5 4 3 3" xfId="4289" xr:uid="{00000000-0005-0000-0000-000004830000}"/>
    <cellStyle name="40 % - Markeringsfarve5 4 3 3 2" xfId="6992" xr:uid="{00000000-0005-0000-0000-000005830000}"/>
    <cellStyle name="40 % - Markeringsfarve5 4 3 3 2 2" xfId="14904" xr:uid="{00000000-0005-0000-0000-000006830000}"/>
    <cellStyle name="40 % - Markeringsfarve5 4 3 3 2 2 2" xfId="31219" xr:uid="{00000000-0005-0000-0000-000007830000}"/>
    <cellStyle name="40 % - Markeringsfarve5 4 3 3 2 2 3" xfId="46183" xr:uid="{00000000-0005-0000-0000-000008830000}"/>
    <cellStyle name="40 % - Markeringsfarve5 4 3 3 2 3" xfId="24197" xr:uid="{00000000-0005-0000-0000-000009830000}"/>
    <cellStyle name="40 % - Markeringsfarve5 4 3 3 2 4" xfId="39184" xr:uid="{00000000-0005-0000-0000-00000A830000}"/>
    <cellStyle name="40 % - Markeringsfarve5 4 3 3 3" xfId="12849" xr:uid="{00000000-0005-0000-0000-00000B830000}"/>
    <cellStyle name="40 % - Markeringsfarve5 4 3 3 3 2" xfId="29169" xr:uid="{00000000-0005-0000-0000-00000C830000}"/>
    <cellStyle name="40 % - Markeringsfarve5 4 3 3 3 3" xfId="44134" xr:uid="{00000000-0005-0000-0000-00000D830000}"/>
    <cellStyle name="40 % - Markeringsfarve5 4 3 3 4" xfId="22147" xr:uid="{00000000-0005-0000-0000-00000E830000}"/>
    <cellStyle name="40 % - Markeringsfarve5 4 3 3 5" xfId="37135" xr:uid="{00000000-0005-0000-0000-00000F830000}"/>
    <cellStyle name="40 % - Markeringsfarve5 4 3 4" xfId="4290" xr:uid="{00000000-0005-0000-0000-000010830000}"/>
    <cellStyle name="40 % - Markeringsfarve5 4 3 4 2" xfId="8415" xr:uid="{00000000-0005-0000-0000-000011830000}"/>
    <cellStyle name="40 % - Markeringsfarve5 4 3 4 2 2" xfId="16305" xr:uid="{00000000-0005-0000-0000-000012830000}"/>
    <cellStyle name="40 % - Markeringsfarve5 4 3 4 2 2 2" xfId="32620" xr:uid="{00000000-0005-0000-0000-000013830000}"/>
    <cellStyle name="40 % - Markeringsfarve5 4 3 4 2 2 3" xfId="47584" xr:uid="{00000000-0005-0000-0000-000014830000}"/>
    <cellStyle name="40 % - Markeringsfarve5 4 3 4 2 3" xfId="25598" xr:uid="{00000000-0005-0000-0000-000015830000}"/>
    <cellStyle name="40 % - Markeringsfarve5 4 3 4 2 4" xfId="40585" xr:uid="{00000000-0005-0000-0000-000016830000}"/>
    <cellStyle name="40 % - Markeringsfarve5 4 3 4 3" xfId="12850" xr:uid="{00000000-0005-0000-0000-000017830000}"/>
    <cellStyle name="40 % - Markeringsfarve5 4 3 4 3 2" xfId="29170" xr:uid="{00000000-0005-0000-0000-000018830000}"/>
    <cellStyle name="40 % - Markeringsfarve5 4 3 4 3 3" xfId="44135" xr:uid="{00000000-0005-0000-0000-000019830000}"/>
    <cellStyle name="40 % - Markeringsfarve5 4 3 4 4" xfId="22148" xr:uid="{00000000-0005-0000-0000-00001A830000}"/>
    <cellStyle name="40 % - Markeringsfarve5 4 3 4 5" xfId="37136" xr:uid="{00000000-0005-0000-0000-00001B830000}"/>
    <cellStyle name="40 % - Markeringsfarve5 4 3 5" xfId="5952" xr:uid="{00000000-0005-0000-0000-00001C830000}"/>
    <cellStyle name="40 % - Markeringsfarve5 4 3 5 2" xfId="13871" xr:uid="{00000000-0005-0000-0000-00001D830000}"/>
    <cellStyle name="40 % - Markeringsfarve5 4 3 5 2 2" xfId="30186" xr:uid="{00000000-0005-0000-0000-00001E830000}"/>
    <cellStyle name="40 % - Markeringsfarve5 4 3 5 2 3" xfId="45150" xr:uid="{00000000-0005-0000-0000-00001F830000}"/>
    <cellStyle name="40 % - Markeringsfarve5 4 3 5 3" xfId="23164" xr:uid="{00000000-0005-0000-0000-000020830000}"/>
    <cellStyle name="40 % - Markeringsfarve5 4 3 5 4" xfId="38151" xr:uid="{00000000-0005-0000-0000-000021830000}"/>
    <cellStyle name="40 % - Markeringsfarve5 4 3 6" xfId="12846" xr:uid="{00000000-0005-0000-0000-000022830000}"/>
    <cellStyle name="40 % - Markeringsfarve5 4 3 6 2" xfId="29166" xr:uid="{00000000-0005-0000-0000-000023830000}"/>
    <cellStyle name="40 % - Markeringsfarve5 4 3 6 3" xfId="44131" xr:uid="{00000000-0005-0000-0000-000024830000}"/>
    <cellStyle name="40 % - Markeringsfarve5 4 3 7" xfId="22144" xr:uid="{00000000-0005-0000-0000-000025830000}"/>
    <cellStyle name="40 % - Markeringsfarve5 4 3 8" xfId="37132" xr:uid="{00000000-0005-0000-0000-000026830000}"/>
    <cellStyle name="40 % - Markeringsfarve5 4 3 9" xfId="56519" xr:uid="{00000000-0005-0000-0000-000027830000}"/>
    <cellStyle name="40 % - Markeringsfarve5 4 4" xfId="4291" xr:uid="{00000000-0005-0000-0000-000028830000}"/>
    <cellStyle name="40 % - Markeringsfarve5 4 4 2" xfId="4292" xr:uid="{00000000-0005-0000-0000-000029830000}"/>
    <cellStyle name="40 % - Markeringsfarve5 4 4 2 2" xfId="4293" xr:uid="{00000000-0005-0000-0000-00002A830000}"/>
    <cellStyle name="40 % - Markeringsfarve5 4 4 2 2 2" xfId="7833" xr:uid="{00000000-0005-0000-0000-00002B830000}"/>
    <cellStyle name="40 % - Markeringsfarve5 4 4 2 2 2 2" xfId="15735" xr:uid="{00000000-0005-0000-0000-00002C830000}"/>
    <cellStyle name="40 % - Markeringsfarve5 4 4 2 2 2 2 2" xfId="32050" xr:uid="{00000000-0005-0000-0000-00002D830000}"/>
    <cellStyle name="40 % - Markeringsfarve5 4 4 2 2 2 2 3" xfId="47014" xr:uid="{00000000-0005-0000-0000-00002E830000}"/>
    <cellStyle name="40 % - Markeringsfarve5 4 4 2 2 2 3" xfId="25028" xr:uid="{00000000-0005-0000-0000-00002F830000}"/>
    <cellStyle name="40 % - Markeringsfarve5 4 4 2 2 2 4" xfId="40015" xr:uid="{00000000-0005-0000-0000-000030830000}"/>
    <cellStyle name="40 % - Markeringsfarve5 4 4 2 2 3" xfId="12853" xr:uid="{00000000-0005-0000-0000-000031830000}"/>
    <cellStyle name="40 % - Markeringsfarve5 4 4 2 2 3 2" xfId="29173" xr:uid="{00000000-0005-0000-0000-000032830000}"/>
    <cellStyle name="40 % - Markeringsfarve5 4 4 2 2 3 3" xfId="44138" xr:uid="{00000000-0005-0000-0000-000033830000}"/>
    <cellStyle name="40 % - Markeringsfarve5 4 4 2 2 4" xfId="22151" xr:uid="{00000000-0005-0000-0000-000034830000}"/>
    <cellStyle name="40 % - Markeringsfarve5 4 4 2 2 5" xfId="37139" xr:uid="{00000000-0005-0000-0000-000035830000}"/>
    <cellStyle name="40 % - Markeringsfarve5 4 4 2 3" xfId="6372" xr:uid="{00000000-0005-0000-0000-000036830000}"/>
    <cellStyle name="40 % - Markeringsfarve5 4 4 2 3 2" xfId="14287" xr:uid="{00000000-0005-0000-0000-000037830000}"/>
    <cellStyle name="40 % - Markeringsfarve5 4 4 2 3 2 2" xfId="30602" xr:uid="{00000000-0005-0000-0000-000038830000}"/>
    <cellStyle name="40 % - Markeringsfarve5 4 4 2 3 2 3" xfId="45566" xr:uid="{00000000-0005-0000-0000-000039830000}"/>
    <cellStyle name="40 % - Markeringsfarve5 4 4 2 3 3" xfId="23580" xr:uid="{00000000-0005-0000-0000-00003A830000}"/>
    <cellStyle name="40 % - Markeringsfarve5 4 4 2 3 4" xfId="38567" xr:uid="{00000000-0005-0000-0000-00003B830000}"/>
    <cellStyle name="40 % - Markeringsfarve5 4 4 2 4" xfId="12852" xr:uid="{00000000-0005-0000-0000-00003C830000}"/>
    <cellStyle name="40 % - Markeringsfarve5 4 4 2 4 2" xfId="29172" xr:uid="{00000000-0005-0000-0000-00003D830000}"/>
    <cellStyle name="40 % - Markeringsfarve5 4 4 2 4 3" xfId="44137" xr:uid="{00000000-0005-0000-0000-00003E830000}"/>
    <cellStyle name="40 % - Markeringsfarve5 4 4 2 5" xfId="22150" xr:uid="{00000000-0005-0000-0000-00003F830000}"/>
    <cellStyle name="40 % - Markeringsfarve5 4 4 2 6" xfId="37138" xr:uid="{00000000-0005-0000-0000-000040830000}"/>
    <cellStyle name="40 % - Markeringsfarve5 4 4 3" xfId="4294" xr:uid="{00000000-0005-0000-0000-000041830000}"/>
    <cellStyle name="40 % - Markeringsfarve5 4 4 3 2" xfId="7109" xr:uid="{00000000-0005-0000-0000-000042830000}"/>
    <cellStyle name="40 % - Markeringsfarve5 4 4 3 2 2" xfId="15020" xr:uid="{00000000-0005-0000-0000-000043830000}"/>
    <cellStyle name="40 % - Markeringsfarve5 4 4 3 2 2 2" xfId="31335" xr:uid="{00000000-0005-0000-0000-000044830000}"/>
    <cellStyle name="40 % - Markeringsfarve5 4 4 3 2 2 3" xfId="46299" xr:uid="{00000000-0005-0000-0000-000045830000}"/>
    <cellStyle name="40 % - Markeringsfarve5 4 4 3 2 3" xfId="24313" xr:uid="{00000000-0005-0000-0000-000046830000}"/>
    <cellStyle name="40 % - Markeringsfarve5 4 4 3 2 4" xfId="39300" xr:uid="{00000000-0005-0000-0000-000047830000}"/>
    <cellStyle name="40 % - Markeringsfarve5 4 4 3 3" xfId="12854" xr:uid="{00000000-0005-0000-0000-000048830000}"/>
    <cellStyle name="40 % - Markeringsfarve5 4 4 3 3 2" xfId="29174" xr:uid="{00000000-0005-0000-0000-000049830000}"/>
    <cellStyle name="40 % - Markeringsfarve5 4 4 3 3 3" xfId="44139" xr:uid="{00000000-0005-0000-0000-00004A830000}"/>
    <cellStyle name="40 % - Markeringsfarve5 4 4 3 4" xfId="22152" xr:uid="{00000000-0005-0000-0000-00004B830000}"/>
    <cellStyle name="40 % - Markeringsfarve5 4 4 3 5" xfId="37140" xr:uid="{00000000-0005-0000-0000-00004C830000}"/>
    <cellStyle name="40 % - Markeringsfarve5 4 4 4" xfId="4295" xr:uid="{00000000-0005-0000-0000-00004D830000}"/>
    <cellStyle name="40 % - Markeringsfarve5 4 4 4 2" xfId="8641" xr:uid="{00000000-0005-0000-0000-00004E830000}"/>
    <cellStyle name="40 % - Markeringsfarve5 4 4 4 2 2" xfId="16523" xr:uid="{00000000-0005-0000-0000-00004F830000}"/>
    <cellStyle name="40 % - Markeringsfarve5 4 4 4 2 2 2" xfId="32838" xr:uid="{00000000-0005-0000-0000-000050830000}"/>
    <cellStyle name="40 % - Markeringsfarve5 4 4 4 2 2 3" xfId="47802" xr:uid="{00000000-0005-0000-0000-000051830000}"/>
    <cellStyle name="40 % - Markeringsfarve5 4 4 4 2 3" xfId="25816" xr:uid="{00000000-0005-0000-0000-000052830000}"/>
    <cellStyle name="40 % - Markeringsfarve5 4 4 4 2 4" xfId="40803" xr:uid="{00000000-0005-0000-0000-000053830000}"/>
    <cellStyle name="40 % - Markeringsfarve5 4 4 4 3" xfId="12855" xr:uid="{00000000-0005-0000-0000-000054830000}"/>
    <cellStyle name="40 % - Markeringsfarve5 4 4 4 3 2" xfId="29175" xr:uid="{00000000-0005-0000-0000-000055830000}"/>
    <cellStyle name="40 % - Markeringsfarve5 4 4 4 3 3" xfId="44140" xr:uid="{00000000-0005-0000-0000-000056830000}"/>
    <cellStyle name="40 % - Markeringsfarve5 4 4 4 4" xfId="22153" xr:uid="{00000000-0005-0000-0000-000057830000}"/>
    <cellStyle name="40 % - Markeringsfarve5 4 4 4 5" xfId="37141" xr:uid="{00000000-0005-0000-0000-000058830000}"/>
    <cellStyle name="40 % - Markeringsfarve5 4 4 5" xfId="5953" xr:uid="{00000000-0005-0000-0000-000059830000}"/>
    <cellStyle name="40 % - Markeringsfarve5 4 4 5 2" xfId="13872" xr:uid="{00000000-0005-0000-0000-00005A830000}"/>
    <cellStyle name="40 % - Markeringsfarve5 4 4 5 2 2" xfId="30187" xr:uid="{00000000-0005-0000-0000-00005B830000}"/>
    <cellStyle name="40 % - Markeringsfarve5 4 4 5 2 3" xfId="45151" xr:uid="{00000000-0005-0000-0000-00005C830000}"/>
    <cellStyle name="40 % - Markeringsfarve5 4 4 5 3" xfId="23165" xr:uid="{00000000-0005-0000-0000-00005D830000}"/>
    <cellStyle name="40 % - Markeringsfarve5 4 4 5 4" xfId="38152" xr:uid="{00000000-0005-0000-0000-00005E830000}"/>
    <cellStyle name="40 % - Markeringsfarve5 4 4 6" xfId="12851" xr:uid="{00000000-0005-0000-0000-00005F830000}"/>
    <cellStyle name="40 % - Markeringsfarve5 4 4 6 2" xfId="29171" xr:uid="{00000000-0005-0000-0000-000060830000}"/>
    <cellStyle name="40 % - Markeringsfarve5 4 4 6 3" xfId="44136" xr:uid="{00000000-0005-0000-0000-000061830000}"/>
    <cellStyle name="40 % - Markeringsfarve5 4 4 7" xfId="22149" xr:uid="{00000000-0005-0000-0000-000062830000}"/>
    <cellStyle name="40 % - Markeringsfarve5 4 4 8" xfId="37137" xr:uid="{00000000-0005-0000-0000-000063830000}"/>
    <cellStyle name="40 % - Markeringsfarve5 4 5" xfId="4296" xr:uid="{00000000-0005-0000-0000-000064830000}"/>
    <cellStyle name="40 % - Markeringsfarve5 4 5 2" xfId="4297" xr:uid="{00000000-0005-0000-0000-000065830000}"/>
    <cellStyle name="40 % - Markeringsfarve5 4 5 2 2" xfId="4298" xr:uid="{00000000-0005-0000-0000-000066830000}"/>
    <cellStyle name="40 % - Markeringsfarve5 4 5 2 2 2" xfId="7950" xr:uid="{00000000-0005-0000-0000-000067830000}"/>
    <cellStyle name="40 % - Markeringsfarve5 4 5 2 2 2 2" xfId="15852" xr:uid="{00000000-0005-0000-0000-000068830000}"/>
    <cellStyle name="40 % - Markeringsfarve5 4 5 2 2 2 2 2" xfId="32167" xr:uid="{00000000-0005-0000-0000-000069830000}"/>
    <cellStyle name="40 % - Markeringsfarve5 4 5 2 2 2 2 3" xfId="47131" xr:uid="{00000000-0005-0000-0000-00006A830000}"/>
    <cellStyle name="40 % - Markeringsfarve5 4 5 2 2 2 3" xfId="25145" xr:uid="{00000000-0005-0000-0000-00006B830000}"/>
    <cellStyle name="40 % - Markeringsfarve5 4 5 2 2 2 4" xfId="40132" xr:uid="{00000000-0005-0000-0000-00006C830000}"/>
    <cellStyle name="40 % - Markeringsfarve5 4 5 2 2 3" xfId="12858" xr:uid="{00000000-0005-0000-0000-00006D830000}"/>
    <cellStyle name="40 % - Markeringsfarve5 4 5 2 2 3 2" xfId="29178" xr:uid="{00000000-0005-0000-0000-00006E830000}"/>
    <cellStyle name="40 % - Markeringsfarve5 4 5 2 2 3 3" xfId="44143" xr:uid="{00000000-0005-0000-0000-00006F830000}"/>
    <cellStyle name="40 % - Markeringsfarve5 4 5 2 2 4" xfId="22156" xr:uid="{00000000-0005-0000-0000-000070830000}"/>
    <cellStyle name="40 % - Markeringsfarve5 4 5 2 2 5" xfId="37144" xr:uid="{00000000-0005-0000-0000-000071830000}"/>
    <cellStyle name="40 % - Markeringsfarve5 4 5 2 3" xfId="6471" xr:uid="{00000000-0005-0000-0000-000072830000}"/>
    <cellStyle name="40 % - Markeringsfarve5 4 5 2 3 2" xfId="14386" xr:uid="{00000000-0005-0000-0000-000073830000}"/>
    <cellStyle name="40 % - Markeringsfarve5 4 5 2 3 2 2" xfId="30701" xr:uid="{00000000-0005-0000-0000-000074830000}"/>
    <cellStyle name="40 % - Markeringsfarve5 4 5 2 3 2 3" xfId="45665" xr:uid="{00000000-0005-0000-0000-000075830000}"/>
    <cellStyle name="40 % - Markeringsfarve5 4 5 2 3 3" xfId="23679" xr:uid="{00000000-0005-0000-0000-000076830000}"/>
    <cellStyle name="40 % - Markeringsfarve5 4 5 2 3 4" xfId="38666" xr:uid="{00000000-0005-0000-0000-000077830000}"/>
    <cellStyle name="40 % - Markeringsfarve5 4 5 2 4" xfId="12857" xr:uid="{00000000-0005-0000-0000-000078830000}"/>
    <cellStyle name="40 % - Markeringsfarve5 4 5 2 4 2" xfId="29177" xr:uid="{00000000-0005-0000-0000-000079830000}"/>
    <cellStyle name="40 % - Markeringsfarve5 4 5 2 4 3" xfId="44142" xr:uid="{00000000-0005-0000-0000-00007A830000}"/>
    <cellStyle name="40 % - Markeringsfarve5 4 5 2 5" xfId="22155" xr:uid="{00000000-0005-0000-0000-00007B830000}"/>
    <cellStyle name="40 % - Markeringsfarve5 4 5 2 6" xfId="37143" xr:uid="{00000000-0005-0000-0000-00007C830000}"/>
    <cellStyle name="40 % - Markeringsfarve5 4 5 3" xfId="4299" xr:uid="{00000000-0005-0000-0000-00007D830000}"/>
    <cellStyle name="40 % - Markeringsfarve5 4 5 3 2" xfId="7226" xr:uid="{00000000-0005-0000-0000-00007E830000}"/>
    <cellStyle name="40 % - Markeringsfarve5 4 5 3 2 2" xfId="15137" xr:uid="{00000000-0005-0000-0000-00007F830000}"/>
    <cellStyle name="40 % - Markeringsfarve5 4 5 3 2 2 2" xfId="31452" xr:uid="{00000000-0005-0000-0000-000080830000}"/>
    <cellStyle name="40 % - Markeringsfarve5 4 5 3 2 2 3" xfId="46416" xr:uid="{00000000-0005-0000-0000-000081830000}"/>
    <cellStyle name="40 % - Markeringsfarve5 4 5 3 2 3" xfId="24430" xr:uid="{00000000-0005-0000-0000-000082830000}"/>
    <cellStyle name="40 % - Markeringsfarve5 4 5 3 2 4" xfId="39417" xr:uid="{00000000-0005-0000-0000-000083830000}"/>
    <cellStyle name="40 % - Markeringsfarve5 4 5 3 3" xfId="12859" xr:uid="{00000000-0005-0000-0000-000084830000}"/>
    <cellStyle name="40 % - Markeringsfarve5 4 5 3 3 2" xfId="29179" xr:uid="{00000000-0005-0000-0000-000085830000}"/>
    <cellStyle name="40 % - Markeringsfarve5 4 5 3 3 3" xfId="44144" xr:uid="{00000000-0005-0000-0000-000086830000}"/>
    <cellStyle name="40 % - Markeringsfarve5 4 5 3 4" xfId="22157" xr:uid="{00000000-0005-0000-0000-000087830000}"/>
    <cellStyle name="40 % - Markeringsfarve5 4 5 3 5" xfId="37145" xr:uid="{00000000-0005-0000-0000-000088830000}"/>
    <cellStyle name="40 % - Markeringsfarve5 4 5 4" xfId="4300" xr:uid="{00000000-0005-0000-0000-000089830000}"/>
    <cellStyle name="40 % - Markeringsfarve5 4 5 4 2" xfId="8366" xr:uid="{00000000-0005-0000-0000-00008A830000}"/>
    <cellStyle name="40 % - Markeringsfarve5 4 5 4 2 2" xfId="16260" xr:uid="{00000000-0005-0000-0000-00008B830000}"/>
    <cellStyle name="40 % - Markeringsfarve5 4 5 4 2 2 2" xfId="32575" xr:uid="{00000000-0005-0000-0000-00008C830000}"/>
    <cellStyle name="40 % - Markeringsfarve5 4 5 4 2 2 3" xfId="47539" xr:uid="{00000000-0005-0000-0000-00008D830000}"/>
    <cellStyle name="40 % - Markeringsfarve5 4 5 4 2 3" xfId="25553" xr:uid="{00000000-0005-0000-0000-00008E830000}"/>
    <cellStyle name="40 % - Markeringsfarve5 4 5 4 2 4" xfId="40540" xr:uid="{00000000-0005-0000-0000-00008F830000}"/>
    <cellStyle name="40 % - Markeringsfarve5 4 5 4 3" xfId="12860" xr:uid="{00000000-0005-0000-0000-000090830000}"/>
    <cellStyle name="40 % - Markeringsfarve5 4 5 4 3 2" xfId="29180" xr:uid="{00000000-0005-0000-0000-000091830000}"/>
    <cellStyle name="40 % - Markeringsfarve5 4 5 4 3 3" xfId="44145" xr:uid="{00000000-0005-0000-0000-000092830000}"/>
    <cellStyle name="40 % - Markeringsfarve5 4 5 4 4" xfId="22158" xr:uid="{00000000-0005-0000-0000-000093830000}"/>
    <cellStyle name="40 % - Markeringsfarve5 4 5 4 5" xfId="37146" xr:uid="{00000000-0005-0000-0000-000094830000}"/>
    <cellStyle name="40 % - Markeringsfarve5 4 5 5" xfId="5954" xr:uid="{00000000-0005-0000-0000-000095830000}"/>
    <cellStyle name="40 % - Markeringsfarve5 4 5 5 2" xfId="13873" xr:uid="{00000000-0005-0000-0000-000096830000}"/>
    <cellStyle name="40 % - Markeringsfarve5 4 5 5 2 2" xfId="30188" xr:uid="{00000000-0005-0000-0000-000097830000}"/>
    <cellStyle name="40 % - Markeringsfarve5 4 5 5 2 3" xfId="45152" xr:uid="{00000000-0005-0000-0000-000098830000}"/>
    <cellStyle name="40 % - Markeringsfarve5 4 5 5 3" xfId="23166" xr:uid="{00000000-0005-0000-0000-000099830000}"/>
    <cellStyle name="40 % - Markeringsfarve5 4 5 5 4" xfId="38153" xr:uid="{00000000-0005-0000-0000-00009A830000}"/>
    <cellStyle name="40 % - Markeringsfarve5 4 5 6" xfId="12856" xr:uid="{00000000-0005-0000-0000-00009B830000}"/>
    <cellStyle name="40 % - Markeringsfarve5 4 5 6 2" xfId="29176" xr:uid="{00000000-0005-0000-0000-00009C830000}"/>
    <cellStyle name="40 % - Markeringsfarve5 4 5 6 3" xfId="44141" xr:uid="{00000000-0005-0000-0000-00009D830000}"/>
    <cellStyle name="40 % - Markeringsfarve5 4 5 7" xfId="22154" xr:uid="{00000000-0005-0000-0000-00009E830000}"/>
    <cellStyle name="40 % - Markeringsfarve5 4 5 8" xfId="37142" xr:uid="{00000000-0005-0000-0000-00009F830000}"/>
    <cellStyle name="40 % - Markeringsfarve5 4 6" xfId="4301" xr:uid="{00000000-0005-0000-0000-0000A0830000}"/>
    <cellStyle name="40 % - Markeringsfarve5 4 6 2" xfId="4302" xr:uid="{00000000-0005-0000-0000-0000A1830000}"/>
    <cellStyle name="40 % - Markeringsfarve5 4 6 2 2" xfId="4303" xr:uid="{00000000-0005-0000-0000-0000A2830000}"/>
    <cellStyle name="40 % - Markeringsfarve5 4 6 2 2 2" xfId="8116" xr:uid="{00000000-0005-0000-0000-0000A3830000}"/>
    <cellStyle name="40 % - Markeringsfarve5 4 6 2 2 2 2" xfId="16018" xr:uid="{00000000-0005-0000-0000-0000A4830000}"/>
    <cellStyle name="40 % - Markeringsfarve5 4 6 2 2 2 2 2" xfId="32333" xr:uid="{00000000-0005-0000-0000-0000A5830000}"/>
    <cellStyle name="40 % - Markeringsfarve5 4 6 2 2 2 2 3" xfId="47297" xr:uid="{00000000-0005-0000-0000-0000A6830000}"/>
    <cellStyle name="40 % - Markeringsfarve5 4 6 2 2 2 3" xfId="25311" xr:uid="{00000000-0005-0000-0000-0000A7830000}"/>
    <cellStyle name="40 % - Markeringsfarve5 4 6 2 2 2 4" xfId="40298" xr:uid="{00000000-0005-0000-0000-0000A8830000}"/>
    <cellStyle name="40 % - Markeringsfarve5 4 6 2 2 3" xfId="12863" xr:uid="{00000000-0005-0000-0000-0000A9830000}"/>
    <cellStyle name="40 % - Markeringsfarve5 4 6 2 2 3 2" xfId="29183" xr:uid="{00000000-0005-0000-0000-0000AA830000}"/>
    <cellStyle name="40 % - Markeringsfarve5 4 6 2 2 3 3" xfId="44148" xr:uid="{00000000-0005-0000-0000-0000AB830000}"/>
    <cellStyle name="40 % - Markeringsfarve5 4 6 2 2 4" xfId="22161" xr:uid="{00000000-0005-0000-0000-0000AC830000}"/>
    <cellStyle name="40 % - Markeringsfarve5 4 6 2 2 5" xfId="37149" xr:uid="{00000000-0005-0000-0000-0000AD830000}"/>
    <cellStyle name="40 % - Markeringsfarve5 4 6 2 3" xfId="6609" xr:uid="{00000000-0005-0000-0000-0000AE830000}"/>
    <cellStyle name="40 % - Markeringsfarve5 4 6 2 3 2" xfId="14524" xr:uid="{00000000-0005-0000-0000-0000AF830000}"/>
    <cellStyle name="40 % - Markeringsfarve5 4 6 2 3 2 2" xfId="30839" xr:uid="{00000000-0005-0000-0000-0000B0830000}"/>
    <cellStyle name="40 % - Markeringsfarve5 4 6 2 3 2 3" xfId="45803" xr:uid="{00000000-0005-0000-0000-0000B1830000}"/>
    <cellStyle name="40 % - Markeringsfarve5 4 6 2 3 3" xfId="23817" xr:uid="{00000000-0005-0000-0000-0000B2830000}"/>
    <cellStyle name="40 % - Markeringsfarve5 4 6 2 3 4" xfId="38804" xr:uid="{00000000-0005-0000-0000-0000B3830000}"/>
    <cellStyle name="40 % - Markeringsfarve5 4 6 2 4" xfId="12862" xr:uid="{00000000-0005-0000-0000-0000B4830000}"/>
    <cellStyle name="40 % - Markeringsfarve5 4 6 2 4 2" xfId="29182" xr:uid="{00000000-0005-0000-0000-0000B5830000}"/>
    <cellStyle name="40 % - Markeringsfarve5 4 6 2 4 3" xfId="44147" xr:uid="{00000000-0005-0000-0000-0000B6830000}"/>
    <cellStyle name="40 % - Markeringsfarve5 4 6 2 5" xfId="22160" xr:uid="{00000000-0005-0000-0000-0000B7830000}"/>
    <cellStyle name="40 % - Markeringsfarve5 4 6 2 6" xfId="37148" xr:uid="{00000000-0005-0000-0000-0000B8830000}"/>
    <cellStyle name="40 % - Markeringsfarve5 4 6 3" xfId="4304" xr:uid="{00000000-0005-0000-0000-0000B9830000}"/>
    <cellStyle name="40 % - Markeringsfarve5 4 6 3 2" xfId="7393" xr:uid="{00000000-0005-0000-0000-0000BA830000}"/>
    <cellStyle name="40 % - Markeringsfarve5 4 6 3 2 2" xfId="15304" xr:uid="{00000000-0005-0000-0000-0000BB830000}"/>
    <cellStyle name="40 % - Markeringsfarve5 4 6 3 2 2 2" xfId="31619" xr:uid="{00000000-0005-0000-0000-0000BC830000}"/>
    <cellStyle name="40 % - Markeringsfarve5 4 6 3 2 2 3" xfId="46583" xr:uid="{00000000-0005-0000-0000-0000BD830000}"/>
    <cellStyle name="40 % - Markeringsfarve5 4 6 3 2 3" xfId="24597" xr:uid="{00000000-0005-0000-0000-0000BE830000}"/>
    <cellStyle name="40 % - Markeringsfarve5 4 6 3 2 4" xfId="39584" xr:uid="{00000000-0005-0000-0000-0000BF830000}"/>
    <cellStyle name="40 % - Markeringsfarve5 4 6 3 3" xfId="12864" xr:uid="{00000000-0005-0000-0000-0000C0830000}"/>
    <cellStyle name="40 % - Markeringsfarve5 4 6 3 3 2" xfId="29184" xr:uid="{00000000-0005-0000-0000-0000C1830000}"/>
    <cellStyle name="40 % - Markeringsfarve5 4 6 3 3 3" xfId="44149" xr:uid="{00000000-0005-0000-0000-0000C2830000}"/>
    <cellStyle name="40 % - Markeringsfarve5 4 6 3 4" xfId="22162" xr:uid="{00000000-0005-0000-0000-0000C3830000}"/>
    <cellStyle name="40 % - Markeringsfarve5 4 6 3 5" xfId="37150" xr:uid="{00000000-0005-0000-0000-0000C4830000}"/>
    <cellStyle name="40 % - Markeringsfarve5 4 6 4" xfId="4305" xr:uid="{00000000-0005-0000-0000-0000C5830000}"/>
    <cellStyle name="40 % - Markeringsfarve5 4 6 4 2" xfId="8602" xr:uid="{00000000-0005-0000-0000-0000C6830000}"/>
    <cellStyle name="40 % - Markeringsfarve5 4 6 4 2 2" xfId="16486" xr:uid="{00000000-0005-0000-0000-0000C7830000}"/>
    <cellStyle name="40 % - Markeringsfarve5 4 6 4 2 2 2" xfId="32801" xr:uid="{00000000-0005-0000-0000-0000C8830000}"/>
    <cellStyle name="40 % - Markeringsfarve5 4 6 4 2 2 3" xfId="47765" xr:uid="{00000000-0005-0000-0000-0000C9830000}"/>
    <cellStyle name="40 % - Markeringsfarve5 4 6 4 2 3" xfId="25779" xr:uid="{00000000-0005-0000-0000-0000CA830000}"/>
    <cellStyle name="40 % - Markeringsfarve5 4 6 4 2 4" xfId="40766" xr:uid="{00000000-0005-0000-0000-0000CB830000}"/>
    <cellStyle name="40 % - Markeringsfarve5 4 6 4 3" xfId="12865" xr:uid="{00000000-0005-0000-0000-0000CC830000}"/>
    <cellStyle name="40 % - Markeringsfarve5 4 6 4 3 2" xfId="29185" xr:uid="{00000000-0005-0000-0000-0000CD830000}"/>
    <cellStyle name="40 % - Markeringsfarve5 4 6 4 3 3" xfId="44150" xr:uid="{00000000-0005-0000-0000-0000CE830000}"/>
    <cellStyle name="40 % - Markeringsfarve5 4 6 4 4" xfId="22163" xr:uid="{00000000-0005-0000-0000-0000CF830000}"/>
    <cellStyle name="40 % - Markeringsfarve5 4 6 4 5" xfId="37151" xr:uid="{00000000-0005-0000-0000-0000D0830000}"/>
    <cellStyle name="40 % - Markeringsfarve5 4 6 5" xfId="5955" xr:uid="{00000000-0005-0000-0000-0000D1830000}"/>
    <cellStyle name="40 % - Markeringsfarve5 4 6 5 2" xfId="13874" xr:uid="{00000000-0005-0000-0000-0000D2830000}"/>
    <cellStyle name="40 % - Markeringsfarve5 4 6 5 2 2" xfId="30189" xr:uid="{00000000-0005-0000-0000-0000D3830000}"/>
    <cellStyle name="40 % - Markeringsfarve5 4 6 5 2 3" xfId="45153" xr:uid="{00000000-0005-0000-0000-0000D4830000}"/>
    <cellStyle name="40 % - Markeringsfarve5 4 6 5 3" xfId="23167" xr:uid="{00000000-0005-0000-0000-0000D5830000}"/>
    <cellStyle name="40 % - Markeringsfarve5 4 6 5 4" xfId="38154" xr:uid="{00000000-0005-0000-0000-0000D6830000}"/>
    <cellStyle name="40 % - Markeringsfarve5 4 6 6" xfId="12861" xr:uid="{00000000-0005-0000-0000-0000D7830000}"/>
    <cellStyle name="40 % - Markeringsfarve5 4 6 6 2" xfId="29181" xr:uid="{00000000-0005-0000-0000-0000D8830000}"/>
    <cellStyle name="40 % - Markeringsfarve5 4 6 6 3" xfId="44146" xr:uid="{00000000-0005-0000-0000-0000D9830000}"/>
    <cellStyle name="40 % - Markeringsfarve5 4 6 7" xfId="22159" xr:uid="{00000000-0005-0000-0000-0000DA830000}"/>
    <cellStyle name="40 % - Markeringsfarve5 4 6 8" xfId="37147" xr:uid="{00000000-0005-0000-0000-0000DB830000}"/>
    <cellStyle name="40 % - Markeringsfarve5 4 7" xfId="4306" xr:uid="{00000000-0005-0000-0000-0000DC830000}"/>
    <cellStyle name="40 % - Markeringsfarve5 4 7 2" xfId="4307" xr:uid="{00000000-0005-0000-0000-0000DD830000}"/>
    <cellStyle name="40 % - Markeringsfarve5 4 7 2 2" xfId="7476" xr:uid="{00000000-0005-0000-0000-0000DE830000}"/>
    <cellStyle name="40 % - Markeringsfarve5 4 7 2 2 2" xfId="15378" xr:uid="{00000000-0005-0000-0000-0000DF830000}"/>
    <cellStyle name="40 % - Markeringsfarve5 4 7 2 2 2 2" xfId="31693" xr:uid="{00000000-0005-0000-0000-0000E0830000}"/>
    <cellStyle name="40 % - Markeringsfarve5 4 7 2 2 2 3" xfId="46657" xr:uid="{00000000-0005-0000-0000-0000E1830000}"/>
    <cellStyle name="40 % - Markeringsfarve5 4 7 2 2 3" xfId="24671" xr:uid="{00000000-0005-0000-0000-0000E2830000}"/>
    <cellStyle name="40 % - Markeringsfarve5 4 7 2 2 4" xfId="39658" xr:uid="{00000000-0005-0000-0000-0000E3830000}"/>
    <cellStyle name="40 % - Markeringsfarve5 4 7 2 3" xfId="12867" xr:uid="{00000000-0005-0000-0000-0000E4830000}"/>
    <cellStyle name="40 % - Markeringsfarve5 4 7 2 3 2" xfId="29187" xr:uid="{00000000-0005-0000-0000-0000E5830000}"/>
    <cellStyle name="40 % - Markeringsfarve5 4 7 2 3 3" xfId="44152" xr:uid="{00000000-0005-0000-0000-0000E6830000}"/>
    <cellStyle name="40 % - Markeringsfarve5 4 7 2 4" xfId="22165" xr:uid="{00000000-0005-0000-0000-0000E7830000}"/>
    <cellStyle name="40 % - Markeringsfarve5 4 7 2 5" xfId="37153" xr:uid="{00000000-0005-0000-0000-0000E8830000}"/>
    <cellStyle name="40 % - Markeringsfarve5 4 7 3" xfId="6071" xr:uid="{00000000-0005-0000-0000-0000E9830000}"/>
    <cellStyle name="40 % - Markeringsfarve5 4 7 3 2" xfId="13989" xr:uid="{00000000-0005-0000-0000-0000EA830000}"/>
    <cellStyle name="40 % - Markeringsfarve5 4 7 3 2 2" xfId="30304" xr:uid="{00000000-0005-0000-0000-0000EB830000}"/>
    <cellStyle name="40 % - Markeringsfarve5 4 7 3 2 3" xfId="45268" xr:uid="{00000000-0005-0000-0000-0000EC830000}"/>
    <cellStyle name="40 % - Markeringsfarve5 4 7 3 3" xfId="23282" xr:uid="{00000000-0005-0000-0000-0000ED830000}"/>
    <cellStyle name="40 % - Markeringsfarve5 4 7 3 4" xfId="38269" xr:uid="{00000000-0005-0000-0000-0000EE830000}"/>
    <cellStyle name="40 % - Markeringsfarve5 4 7 4" xfId="12866" xr:uid="{00000000-0005-0000-0000-0000EF830000}"/>
    <cellStyle name="40 % - Markeringsfarve5 4 7 4 2" xfId="29186" xr:uid="{00000000-0005-0000-0000-0000F0830000}"/>
    <cellStyle name="40 % - Markeringsfarve5 4 7 4 3" xfId="44151" xr:uid="{00000000-0005-0000-0000-0000F1830000}"/>
    <cellStyle name="40 % - Markeringsfarve5 4 7 5" xfId="22164" xr:uid="{00000000-0005-0000-0000-0000F2830000}"/>
    <cellStyle name="40 % - Markeringsfarve5 4 7 6" xfId="37152" xr:uid="{00000000-0005-0000-0000-0000F3830000}"/>
    <cellStyle name="40 % - Markeringsfarve5 4 8" xfId="4308" xr:uid="{00000000-0005-0000-0000-0000F4830000}"/>
    <cellStyle name="40 % - Markeringsfarve5 4 8 2" xfId="6704" xr:uid="{00000000-0005-0000-0000-0000F5830000}"/>
    <cellStyle name="40 % - Markeringsfarve5 4 8 2 2" xfId="14616" xr:uid="{00000000-0005-0000-0000-0000F6830000}"/>
    <cellStyle name="40 % - Markeringsfarve5 4 8 2 2 2" xfId="30931" xr:uid="{00000000-0005-0000-0000-0000F7830000}"/>
    <cellStyle name="40 % - Markeringsfarve5 4 8 2 2 3" xfId="45895" xr:uid="{00000000-0005-0000-0000-0000F8830000}"/>
    <cellStyle name="40 % - Markeringsfarve5 4 8 2 3" xfId="23909" xr:uid="{00000000-0005-0000-0000-0000F9830000}"/>
    <cellStyle name="40 % - Markeringsfarve5 4 8 2 4" xfId="38896" xr:uid="{00000000-0005-0000-0000-0000FA830000}"/>
    <cellStyle name="40 % - Markeringsfarve5 4 8 3" xfId="12868" xr:uid="{00000000-0005-0000-0000-0000FB830000}"/>
    <cellStyle name="40 % - Markeringsfarve5 4 8 3 2" xfId="29188" xr:uid="{00000000-0005-0000-0000-0000FC830000}"/>
    <cellStyle name="40 % - Markeringsfarve5 4 8 3 3" xfId="44153" xr:uid="{00000000-0005-0000-0000-0000FD830000}"/>
    <cellStyle name="40 % - Markeringsfarve5 4 8 4" xfId="22166" xr:uid="{00000000-0005-0000-0000-0000FE830000}"/>
    <cellStyle name="40 % - Markeringsfarve5 4 8 5" xfId="37154" xr:uid="{00000000-0005-0000-0000-0000FF830000}"/>
    <cellStyle name="40 % - Markeringsfarve5 4 9" xfId="4309" xr:uid="{00000000-0005-0000-0000-000000840000}"/>
    <cellStyle name="40 % - Markeringsfarve5 4 9 2" xfId="7031" xr:uid="{00000000-0005-0000-0000-000001840000}"/>
    <cellStyle name="40 % - Markeringsfarve5 4 9 2 2" xfId="14942" xr:uid="{00000000-0005-0000-0000-000002840000}"/>
    <cellStyle name="40 % - Markeringsfarve5 4 9 2 2 2" xfId="31257" xr:uid="{00000000-0005-0000-0000-000003840000}"/>
    <cellStyle name="40 % - Markeringsfarve5 4 9 2 2 3" xfId="46221" xr:uid="{00000000-0005-0000-0000-000004840000}"/>
    <cellStyle name="40 % - Markeringsfarve5 4 9 2 3" xfId="24235" xr:uid="{00000000-0005-0000-0000-000005840000}"/>
    <cellStyle name="40 % - Markeringsfarve5 4 9 2 4" xfId="39222" xr:uid="{00000000-0005-0000-0000-000006840000}"/>
    <cellStyle name="40 % - Markeringsfarve5 4 9 3" xfId="12869" xr:uid="{00000000-0005-0000-0000-000007840000}"/>
    <cellStyle name="40 % - Markeringsfarve5 4 9 3 2" xfId="29189" xr:uid="{00000000-0005-0000-0000-000008840000}"/>
    <cellStyle name="40 % - Markeringsfarve5 4 9 3 3" xfId="44154" xr:uid="{00000000-0005-0000-0000-000009840000}"/>
    <cellStyle name="40 % - Markeringsfarve5 4 9 4" xfId="22167" xr:uid="{00000000-0005-0000-0000-00000A840000}"/>
    <cellStyle name="40 % - Markeringsfarve5 4 9 5" xfId="37155" xr:uid="{00000000-0005-0000-0000-00000B840000}"/>
    <cellStyle name="40 % - Markeringsfarve5 5" xfId="4310" xr:uid="{00000000-0005-0000-0000-00000C840000}"/>
    <cellStyle name="40 % - Markeringsfarve5 5 10" xfId="5956" xr:uid="{00000000-0005-0000-0000-00000D840000}"/>
    <cellStyle name="40 % - Markeringsfarve5 5 10 2" xfId="13875" xr:uid="{00000000-0005-0000-0000-00000E840000}"/>
    <cellStyle name="40 % - Markeringsfarve5 5 10 2 2" xfId="30190" xr:uid="{00000000-0005-0000-0000-00000F840000}"/>
    <cellStyle name="40 % - Markeringsfarve5 5 10 2 3" xfId="45154" xr:uid="{00000000-0005-0000-0000-000010840000}"/>
    <cellStyle name="40 % - Markeringsfarve5 5 10 3" xfId="23168" xr:uid="{00000000-0005-0000-0000-000011840000}"/>
    <cellStyle name="40 % - Markeringsfarve5 5 10 4" xfId="38155" xr:uid="{00000000-0005-0000-0000-000012840000}"/>
    <cellStyle name="40 % - Markeringsfarve5 5 11" xfId="12870" xr:uid="{00000000-0005-0000-0000-000013840000}"/>
    <cellStyle name="40 % - Markeringsfarve5 5 11 2" xfId="29190" xr:uid="{00000000-0005-0000-0000-000014840000}"/>
    <cellStyle name="40 % - Markeringsfarve5 5 11 3" xfId="44155" xr:uid="{00000000-0005-0000-0000-000015840000}"/>
    <cellStyle name="40 % - Markeringsfarve5 5 12" xfId="22168" xr:uid="{00000000-0005-0000-0000-000016840000}"/>
    <cellStyle name="40 % - Markeringsfarve5 5 13" xfId="37156" xr:uid="{00000000-0005-0000-0000-000017840000}"/>
    <cellStyle name="40 % - Markeringsfarve5 5 14" xfId="53339" xr:uid="{00000000-0005-0000-0000-000018840000}"/>
    <cellStyle name="40 % - Markeringsfarve5 5 2" xfId="4311" xr:uid="{00000000-0005-0000-0000-000019840000}"/>
    <cellStyle name="40 % - Markeringsfarve5 5 2 2" xfId="4312" xr:uid="{00000000-0005-0000-0000-00001A840000}"/>
    <cellStyle name="40 % - Markeringsfarve5 5 2 2 2" xfId="4313" xr:uid="{00000000-0005-0000-0000-00001B840000}"/>
    <cellStyle name="40 % - Markeringsfarve5 5 2 2 2 2" xfId="7634" xr:uid="{00000000-0005-0000-0000-00001C840000}"/>
    <cellStyle name="40 % - Markeringsfarve5 5 2 2 2 2 2" xfId="15536" xr:uid="{00000000-0005-0000-0000-00001D840000}"/>
    <cellStyle name="40 % - Markeringsfarve5 5 2 2 2 2 2 2" xfId="31851" xr:uid="{00000000-0005-0000-0000-00001E840000}"/>
    <cellStyle name="40 % - Markeringsfarve5 5 2 2 2 2 2 3" xfId="46815" xr:uid="{00000000-0005-0000-0000-00001F840000}"/>
    <cellStyle name="40 % - Markeringsfarve5 5 2 2 2 2 3" xfId="24829" xr:uid="{00000000-0005-0000-0000-000020840000}"/>
    <cellStyle name="40 % - Markeringsfarve5 5 2 2 2 2 4" xfId="39816" xr:uid="{00000000-0005-0000-0000-000021840000}"/>
    <cellStyle name="40 % - Markeringsfarve5 5 2 2 2 3" xfId="12873" xr:uid="{00000000-0005-0000-0000-000022840000}"/>
    <cellStyle name="40 % - Markeringsfarve5 5 2 2 2 3 2" xfId="29193" xr:uid="{00000000-0005-0000-0000-000023840000}"/>
    <cellStyle name="40 % - Markeringsfarve5 5 2 2 2 3 3" xfId="44158" xr:uid="{00000000-0005-0000-0000-000024840000}"/>
    <cellStyle name="40 % - Markeringsfarve5 5 2 2 2 4" xfId="22171" xr:uid="{00000000-0005-0000-0000-000025840000}"/>
    <cellStyle name="40 % - Markeringsfarve5 5 2 2 2 5" xfId="37159" xr:uid="{00000000-0005-0000-0000-000026840000}"/>
    <cellStyle name="40 % - Markeringsfarve5 5 2 2 3" xfId="6203" xr:uid="{00000000-0005-0000-0000-000027840000}"/>
    <cellStyle name="40 % - Markeringsfarve5 5 2 2 3 2" xfId="14121" xr:uid="{00000000-0005-0000-0000-000028840000}"/>
    <cellStyle name="40 % - Markeringsfarve5 5 2 2 3 2 2" xfId="30436" xr:uid="{00000000-0005-0000-0000-000029840000}"/>
    <cellStyle name="40 % - Markeringsfarve5 5 2 2 3 2 3" xfId="45400" xr:uid="{00000000-0005-0000-0000-00002A840000}"/>
    <cellStyle name="40 % - Markeringsfarve5 5 2 2 3 3" xfId="23414" xr:uid="{00000000-0005-0000-0000-00002B840000}"/>
    <cellStyle name="40 % - Markeringsfarve5 5 2 2 3 4" xfId="38401" xr:uid="{00000000-0005-0000-0000-00002C840000}"/>
    <cellStyle name="40 % - Markeringsfarve5 5 2 2 4" xfId="12872" xr:uid="{00000000-0005-0000-0000-00002D840000}"/>
    <cellStyle name="40 % - Markeringsfarve5 5 2 2 4 2" xfId="29192" xr:uid="{00000000-0005-0000-0000-00002E840000}"/>
    <cellStyle name="40 % - Markeringsfarve5 5 2 2 4 3" xfId="44157" xr:uid="{00000000-0005-0000-0000-00002F840000}"/>
    <cellStyle name="40 % - Markeringsfarve5 5 2 2 5" xfId="22170" xr:uid="{00000000-0005-0000-0000-000030840000}"/>
    <cellStyle name="40 % - Markeringsfarve5 5 2 2 6" xfId="37158" xr:uid="{00000000-0005-0000-0000-000031840000}"/>
    <cellStyle name="40 % - Markeringsfarve5 5 2 2 7" xfId="57143" xr:uid="{00000000-0005-0000-0000-000032840000}"/>
    <cellStyle name="40 % - Markeringsfarve5 5 2 3" xfId="4314" xr:uid="{00000000-0005-0000-0000-000033840000}"/>
    <cellStyle name="40 % - Markeringsfarve5 5 2 3 2" xfId="6864" xr:uid="{00000000-0005-0000-0000-000034840000}"/>
    <cellStyle name="40 % - Markeringsfarve5 5 2 3 2 2" xfId="14776" xr:uid="{00000000-0005-0000-0000-000035840000}"/>
    <cellStyle name="40 % - Markeringsfarve5 5 2 3 2 2 2" xfId="31091" xr:uid="{00000000-0005-0000-0000-000036840000}"/>
    <cellStyle name="40 % - Markeringsfarve5 5 2 3 2 2 3" xfId="46055" xr:uid="{00000000-0005-0000-0000-000037840000}"/>
    <cellStyle name="40 % - Markeringsfarve5 5 2 3 2 3" xfId="24069" xr:uid="{00000000-0005-0000-0000-000038840000}"/>
    <cellStyle name="40 % - Markeringsfarve5 5 2 3 2 4" xfId="39056" xr:uid="{00000000-0005-0000-0000-000039840000}"/>
    <cellStyle name="40 % - Markeringsfarve5 5 2 3 3" xfId="12874" xr:uid="{00000000-0005-0000-0000-00003A840000}"/>
    <cellStyle name="40 % - Markeringsfarve5 5 2 3 3 2" xfId="29194" xr:uid="{00000000-0005-0000-0000-00003B840000}"/>
    <cellStyle name="40 % - Markeringsfarve5 5 2 3 3 3" xfId="44159" xr:uid="{00000000-0005-0000-0000-00003C840000}"/>
    <cellStyle name="40 % - Markeringsfarve5 5 2 3 4" xfId="22172" xr:uid="{00000000-0005-0000-0000-00003D840000}"/>
    <cellStyle name="40 % - Markeringsfarve5 5 2 3 5" xfId="37160" xr:uid="{00000000-0005-0000-0000-00003E840000}"/>
    <cellStyle name="40 % - Markeringsfarve5 5 2 4" xfId="4315" xr:uid="{00000000-0005-0000-0000-00003F840000}"/>
    <cellStyle name="40 % - Markeringsfarve5 5 2 4 2" xfId="8511" xr:uid="{00000000-0005-0000-0000-000040840000}"/>
    <cellStyle name="40 % - Markeringsfarve5 5 2 4 2 2" xfId="16399" xr:uid="{00000000-0005-0000-0000-000041840000}"/>
    <cellStyle name="40 % - Markeringsfarve5 5 2 4 2 2 2" xfId="32714" xr:uid="{00000000-0005-0000-0000-000042840000}"/>
    <cellStyle name="40 % - Markeringsfarve5 5 2 4 2 2 3" xfId="47678" xr:uid="{00000000-0005-0000-0000-000043840000}"/>
    <cellStyle name="40 % - Markeringsfarve5 5 2 4 2 3" xfId="25692" xr:uid="{00000000-0005-0000-0000-000044840000}"/>
    <cellStyle name="40 % - Markeringsfarve5 5 2 4 2 4" xfId="40679" xr:uid="{00000000-0005-0000-0000-000045840000}"/>
    <cellStyle name="40 % - Markeringsfarve5 5 2 4 3" xfId="12875" xr:uid="{00000000-0005-0000-0000-000046840000}"/>
    <cellStyle name="40 % - Markeringsfarve5 5 2 4 3 2" xfId="29195" xr:uid="{00000000-0005-0000-0000-000047840000}"/>
    <cellStyle name="40 % - Markeringsfarve5 5 2 4 3 3" xfId="44160" xr:uid="{00000000-0005-0000-0000-000048840000}"/>
    <cellStyle name="40 % - Markeringsfarve5 5 2 4 4" xfId="22173" xr:uid="{00000000-0005-0000-0000-000049840000}"/>
    <cellStyle name="40 % - Markeringsfarve5 5 2 4 5" xfId="37161" xr:uid="{00000000-0005-0000-0000-00004A840000}"/>
    <cellStyle name="40 % - Markeringsfarve5 5 2 5" xfId="5957" xr:uid="{00000000-0005-0000-0000-00004B840000}"/>
    <cellStyle name="40 % - Markeringsfarve5 5 2 5 2" xfId="13876" xr:uid="{00000000-0005-0000-0000-00004C840000}"/>
    <cellStyle name="40 % - Markeringsfarve5 5 2 5 2 2" xfId="30191" xr:uid="{00000000-0005-0000-0000-00004D840000}"/>
    <cellStyle name="40 % - Markeringsfarve5 5 2 5 2 3" xfId="45155" xr:uid="{00000000-0005-0000-0000-00004E840000}"/>
    <cellStyle name="40 % - Markeringsfarve5 5 2 5 3" xfId="23169" xr:uid="{00000000-0005-0000-0000-00004F840000}"/>
    <cellStyle name="40 % - Markeringsfarve5 5 2 5 4" xfId="38156" xr:uid="{00000000-0005-0000-0000-000050840000}"/>
    <cellStyle name="40 % - Markeringsfarve5 5 2 6" xfId="12871" xr:uid="{00000000-0005-0000-0000-000051840000}"/>
    <cellStyle name="40 % - Markeringsfarve5 5 2 6 2" xfId="29191" xr:uid="{00000000-0005-0000-0000-000052840000}"/>
    <cellStyle name="40 % - Markeringsfarve5 5 2 6 3" xfId="44156" xr:uid="{00000000-0005-0000-0000-000053840000}"/>
    <cellStyle name="40 % - Markeringsfarve5 5 2 7" xfId="22169" xr:uid="{00000000-0005-0000-0000-000054840000}"/>
    <cellStyle name="40 % - Markeringsfarve5 5 2 8" xfId="37157" xr:uid="{00000000-0005-0000-0000-000055840000}"/>
    <cellStyle name="40 % - Markeringsfarve5 5 2 9" xfId="53976" xr:uid="{00000000-0005-0000-0000-000056840000}"/>
    <cellStyle name="40 % - Markeringsfarve5 5 3" xfId="4316" xr:uid="{00000000-0005-0000-0000-000057840000}"/>
    <cellStyle name="40 % - Markeringsfarve5 5 3 2" xfId="4317" xr:uid="{00000000-0005-0000-0000-000058840000}"/>
    <cellStyle name="40 % - Markeringsfarve5 5 3 2 2" xfId="4318" xr:uid="{00000000-0005-0000-0000-000059840000}"/>
    <cellStyle name="40 % - Markeringsfarve5 5 3 2 2 2" xfId="7763" xr:uid="{00000000-0005-0000-0000-00005A840000}"/>
    <cellStyle name="40 % - Markeringsfarve5 5 3 2 2 2 2" xfId="15665" xr:uid="{00000000-0005-0000-0000-00005B840000}"/>
    <cellStyle name="40 % - Markeringsfarve5 5 3 2 2 2 2 2" xfId="31980" xr:uid="{00000000-0005-0000-0000-00005C840000}"/>
    <cellStyle name="40 % - Markeringsfarve5 5 3 2 2 2 2 3" xfId="46944" xr:uid="{00000000-0005-0000-0000-00005D840000}"/>
    <cellStyle name="40 % - Markeringsfarve5 5 3 2 2 2 3" xfId="24958" xr:uid="{00000000-0005-0000-0000-00005E840000}"/>
    <cellStyle name="40 % - Markeringsfarve5 5 3 2 2 2 4" xfId="39945" xr:uid="{00000000-0005-0000-0000-00005F840000}"/>
    <cellStyle name="40 % - Markeringsfarve5 5 3 2 2 3" xfId="12878" xr:uid="{00000000-0005-0000-0000-000060840000}"/>
    <cellStyle name="40 % - Markeringsfarve5 5 3 2 2 3 2" xfId="29198" xr:uid="{00000000-0005-0000-0000-000061840000}"/>
    <cellStyle name="40 % - Markeringsfarve5 5 3 2 2 3 3" xfId="44163" xr:uid="{00000000-0005-0000-0000-000062840000}"/>
    <cellStyle name="40 % - Markeringsfarve5 5 3 2 2 4" xfId="22176" xr:uid="{00000000-0005-0000-0000-000063840000}"/>
    <cellStyle name="40 % - Markeringsfarve5 5 3 2 2 5" xfId="37164" xr:uid="{00000000-0005-0000-0000-000064840000}"/>
    <cellStyle name="40 % - Markeringsfarve5 5 3 2 3" xfId="6309" xr:uid="{00000000-0005-0000-0000-000065840000}"/>
    <cellStyle name="40 % - Markeringsfarve5 5 3 2 3 2" xfId="14227" xr:uid="{00000000-0005-0000-0000-000066840000}"/>
    <cellStyle name="40 % - Markeringsfarve5 5 3 2 3 2 2" xfId="30542" xr:uid="{00000000-0005-0000-0000-000067840000}"/>
    <cellStyle name="40 % - Markeringsfarve5 5 3 2 3 2 3" xfId="45506" xr:uid="{00000000-0005-0000-0000-000068840000}"/>
    <cellStyle name="40 % - Markeringsfarve5 5 3 2 3 3" xfId="23520" xr:uid="{00000000-0005-0000-0000-000069840000}"/>
    <cellStyle name="40 % - Markeringsfarve5 5 3 2 3 4" xfId="38507" xr:uid="{00000000-0005-0000-0000-00006A840000}"/>
    <cellStyle name="40 % - Markeringsfarve5 5 3 2 4" xfId="12877" xr:uid="{00000000-0005-0000-0000-00006B840000}"/>
    <cellStyle name="40 % - Markeringsfarve5 5 3 2 4 2" xfId="29197" xr:uid="{00000000-0005-0000-0000-00006C840000}"/>
    <cellStyle name="40 % - Markeringsfarve5 5 3 2 4 3" xfId="44162" xr:uid="{00000000-0005-0000-0000-00006D840000}"/>
    <cellStyle name="40 % - Markeringsfarve5 5 3 2 5" xfId="22175" xr:uid="{00000000-0005-0000-0000-00006E840000}"/>
    <cellStyle name="40 % - Markeringsfarve5 5 3 2 6" xfId="37163" xr:uid="{00000000-0005-0000-0000-00006F840000}"/>
    <cellStyle name="40 % - Markeringsfarve5 5 3 3" xfId="4319" xr:uid="{00000000-0005-0000-0000-000070840000}"/>
    <cellStyle name="40 % - Markeringsfarve5 5 3 3 2" xfId="6993" xr:uid="{00000000-0005-0000-0000-000071840000}"/>
    <cellStyle name="40 % - Markeringsfarve5 5 3 3 2 2" xfId="14905" xr:uid="{00000000-0005-0000-0000-000072840000}"/>
    <cellStyle name="40 % - Markeringsfarve5 5 3 3 2 2 2" xfId="31220" xr:uid="{00000000-0005-0000-0000-000073840000}"/>
    <cellStyle name="40 % - Markeringsfarve5 5 3 3 2 2 3" xfId="46184" xr:uid="{00000000-0005-0000-0000-000074840000}"/>
    <cellStyle name="40 % - Markeringsfarve5 5 3 3 2 3" xfId="24198" xr:uid="{00000000-0005-0000-0000-000075840000}"/>
    <cellStyle name="40 % - Markeringsfarve5 5 3 3 2 4" xfId="39185" xr:uid="{00000000-0005-0000-0000-000076840000}"/>
    <cellStyle name="40 % - Markeringsfarve5 5 3 3 3" xfId="12879" xr:uid="{00000000-0005-0000-0000-000077840000}"/>
    <cellStyle name="40 % - Markeringsfarve5 5 3 3 3 2" xfId="29199" xr:uid="{00000000-0005-0000-0000-000078840000}"/>
    <cellStyle name="40 % - Markeringsfarve5 5 3 3 3 3" xfId="44164" xr:uid="{00000000-0005-0000-0000-000079840000}"/>
    <cellStyle name="40 % - Markeringsfarve5 5 3 3 4" xfId="22177" xr:uid="{00000000-0005-0000-0000-00007A840000}"/>
    <cellStyle name="40 % - Markeringsfarve5 5 3 3 5" xfId="37165" xr:uid="{00000000-0005-0000-0000-00007B840000}"/>
    <cellStyle name="40 % - Markeringsfarve5 5 3 4" xfId="4320" xr:uid="{00000000-0005-0000-0000-00007C840000}"/>
    <cellStyle name="40 % - Markeringsfarve5 5 3 4 2" xfId="8566" xr:uid="{00000000-0005-0000-0000-00007D840000}"/>
    <cellStyle name="40 % - Markeringsfarve5 5 3 4 2 2" xfId="16450" xr:uid="{00000000-0005-0000-0000-00007E840000}"/>
    <cellStyle name="40 % - Markeringsfarve5 5 3 4 2 2 2" xfId="32765" xr:uid="{00000000-0005-0000-0000-00007F840000}"/>
    <cellStyle name="40 % - Markeringsfarve5 5 3 4 2 2 3" xfId="47729" xr:uid="{00000000-0005-0000-0000-000080840000}"/>
    <cellStyle name="40 % - Markeringsfarve5 5 3 4 2 3" xfId="25743" xr:uid="{00000000-0005-0000-0000-000081840000}"/>
    <cellStyle name="40 % - Markeringsfarve5 5 3 4 2 4" xfId="40730" xr:uid="{00000000-0005-0000-0000-000082840000}"/>
    <cellStyle name="40 % - Markeringsfarve5 5 3 4 3" xfId="12880" xr:uid="{00000000-0005-0000-0000-000083840000}"/>
    <cellStyle name="40 % - Markeringsfarve5 5 3 4 3 2" xfId="29200" xr:uid="{00000000-0005-0000-0000-000084840000}"/>
    <cellStyle name="40 % - Markeringsfarve5 5 3 4 3 3" xfId="44165" xr:uid="{00000000-0005-0000-0000-000085840000}"/>
    <cellStyle name="40 % - Markeringsfarve5 5 3 4 4" xfId="22178" xr:uid="{00000000-0005-0000-0000-000086840000}"/>
    <cellStyle name="40 % - Markeringsfarve5 5 3 4 5" xfId="37166" xr:uid="{00000000-0005-0000-0000-000087840000}"/>
    <cellStyle name="40 % - Markeringsfarve5 5 3 5" xfId="5958" xr:uid="{00000000-0005-0000-0000-000088840000}"/>
    <cellStyle name="40 % - Markeringsfarve5 5 3 5 2" xfId="13877" xr:uid="{00000000-0005-0000-0000-000089840000}"/>
    <cellStyle name="40 % - Markeringsfarve5 5 3 5 2 2" xfId="30192" xr:uid="{00000000-0005-0000-0000-00008A840000}"/>
    <cellStyle name="40 % - Markeringsfarve5 5 3 5 2 3" xfId="45156" xr:uid="{00000000-0005-0000-0000-00008B840000}"/>
    <cellStyle name="40 % - Markeringsfarve5 5 3 5 3" xfId="23170" xr:uid="{00000000-0005-0000-0000-00008C840000}"/>
    <cellStyle name="40 % - Markeringsfarve5 5 3 5 4" xfId="38157" xr:uid="{00000000-0005-0000-0000-00008D840000}"/>
    <cellStyle name="40 % - Markeringsfarve5 5 3 6" xfId="12876" xr:uid="{00000000-0005-0000-0000-00008E840000}"/>
    <cellStyle name="40 % - Markeringsfarve5 5 3 6 2" xfId="29196" xr:uid="{00000000-0005-0000-0000-00008F840000}"/>
    <cellStyle name="40 % - Markeringsfarve5 5 3 6 3" xfId="44161" xr:uid="{00000000-0005-0000-0000-000090840000}"/>
    <cellStyle name="40 % - Markeringsfarve5 5 3 7" xfId="22174" xr:uid="{00000000-0005-0000-0000-000091840000}"/>
    <cellStyle name="40 % - Markeringsfarve5 5 3 8" xfId="37162" xr:uid="{00000000-0005-0000-0000-000092840000}"/>
    <cellStyle name="40 % - Markeringsfarve5 5 3 9" xfId="56520" xr:uid="{00000000-0005-0000-0000-000093840000}"/>
    <cellStyle name="40 % - Markeringsfarve5 5 4" xfId="4321" xr:uid="{00000000-0005-0000-0000-000094840000}"/>
    <cellStyle name="40 % - Markeringsfarve5 5 4 2" xfId="4322" xr:uid="{00000000-0005-0000-0000-000095840000}"/>
    <cellStyle name="40 % - Markeringsfarve5 5 4 2 2" xfId="4323" xr:uid="{00000000-0005-0000-0000-000096840000}"/>
    <cellStyle name="40 % - Markeringsfarve5 5 4 2 2 2" xfId="7872" xr:uid="{00000000-0005-0000-0000-000097840000}"/>
    <cellStyle name="40 % - Markeringsfarve5 5 4 2 2 2 2" xfId="15774" xr:uid="{00000000-0005-0000-0000-000098840000}"/>
    <cellStyle name="40 % - Markeringsfarve5 5 4 2 2 2 2 2" xfId="32089" xr:uid="{00000000-0005-0000-0000-000099840000}"/>
    <cellStyle name="40 % - Markeringsfarve5 5 4 2 2 2 2 3" xfId="47053" xr:uid="{00000000-0005-0000-0000-00009A840000}"/>
    <cellStyle name="40 % - Markeringsfarve5 5 4 2 2 2 3" xfId="25067" xr:uid="{00000000-0005-0000-0000-00009B840000}"/>
    <cellStyle name="40 % - Markeringsfarve5 5 4 2 2 2 4" xfId="40054" xr:uid="{00000000-0005-0000-0000-00009C840000}"/>
    <cellStyle name="40 % - Markeringsfarve5 5 4 2 2 3" xfId="12883" xr:uid="{00000000-0005-0000-0000-00009D840000}"/>
    <cellStyle name="40 % - Markeringsfarve5 5 4 2 2 3 2" xfId="29203" xr:uid="{00000000-0005-0000-0000-00009E840000}"/>
    <cellStyle name="40 % - Markeringsfarve5 5 4 2 2 3 3" xfId="44168" xr:uid="{00000000-0005-0000-0000-00009F840000}"/>
    <cellStyle name="40 % - Markeringsfarve5 5 4 2 2 4" xfId="22181" xr:uid="{00000000-0005-0000-0000-0000A0840000}"/>
    <cellStyle name="40 % - Markeringsfarve5 5 4 2 2 5" xfId="37169" xr:uid="{00000000-0005-0000-0000-0000A1840000}"/>
    <cellStyle name="40 % - Markeringsfarve5 5 4 2 3" xfId="6405" xr:uid="{00000000-0005-0000-0000-0000A2840000}"/>
    <cellStyle name="40 % - Markeringsfarve5 5 4 2 3 2" xfId="14320" xr:uid="{00000000-0005-0000-0000-0000A3840000}"/>
    <cellStyle name="40 % - Markeringsfarve5 5 4 2 3 2 2" xfId="30635" xr:uid="{00000000-0005-0000-0000-0000A4840000}"/>
    <cellStyle name="40 % - Markeringsfarve5 5 4 2 3 2 3" xfId="45599" xr:uid="{00000000-0005-0000-0000-0000A5840000}"/>
    <cellStyle name="40 % - Markeringsfarve5 5 4 2 3 3" xfId="23613" xr:uid="{00000000-0005-0000-0000-0000A6840000}"/>
    <cellStyle name="40 % - Markeringsfarve5 5 4 2 3 4" xfId="38600" xr:uid="{00000000-0005-0000-0000-0000A7840000}"/>
    <cellStyle name="40 % - Markeringsfarve5 5 4 2 4" xfId="12882" xr:uid="{00000000-0005-0000-0000-0000A8840000}"/>
    <cellStyle name="40 % - Markeringsfarve5 5 4 2 4 2" xfId="29202" xr:uid="{00000000-0005-0000-0000-0000A9840000}"/>
    <cellStyle name="40 % - Markeringsfarve5 5 4 2 4 3" xfId="44167" xr:uid="{00000000-0005-0000-0000-0000AA840000}"/>
    <cellStyle name="40 % - Markeringsfarve5 5 4 2 5" xfId="22180" xr:uid="{00000000-0005-0000-0000-0000AB840000}"/>
    <cellStyle name="40 % - Markeringsfarve5 5 4 2 6" xfId="37168" xr:uid="{00000000-0005-0000-0000-0000AC840000}"/>
    <cellStyle name="40 % - Markeringsfarve5 5 4 3" xfId="4324" xr:uid="{00000000-0005-0000-0000-0000AD840000}"/>
    <cellStyle name="40 % - Markeringsfarve5 5 4 3 2" xfId="7148" xr:uid="{00000000-0005-0000-0000-0000AE840000}"/>
    <cellStyle name="40 % - Markeringsfarve5 5 4 3 2 2" xfId="15059" xr:uid="{00000000-0005-0000-0000-0000AF840000}"/>
    <cellStyle name="40 % - Markeringsfarve5 5 4 3 2 2 2" xfId="31374" xr:uid="{00000000-0005-0000-0000-0000B0840000}"/>
    <cellStyle name="40 % - Markeringsfarve5 5 4 3 2 2 3" xfId="46338" xr:uid="{00000000-0005-0000-0000-0000B1840000}"/>
    <cellStyle name="40 % - Markeringsfarve5 5 4 3 2 3" xfId="24352" xr:uid="{00000000-0005-0000-0000-0000B2840000}"/>
    <cellStyle name="40 % - Markeringsfarve5 5 4 3 2 4" xfId="39339" xr:uid="{00000000-0005-0000-0000-0000B3840000}"/>
    <cellStyle name="40 % - Markeringsfarve5 5 4 3 3" xfId="12884" xr:uid="{00000000-0005-0000-0000-0000B4840000}"/>
    <cellStyle name="40 % - Markeringsfarve5 5 4 3 3 2" xfId="29204" xr:uid="{00000000-0005-0000-0000-0000B5840000}"/>
    <cellStyle name="40 % - Markeringsfarve5 5 4 3 3 3" xfId="44169" xr:uid="{00000000-0005-0000-0000-0000B6840000}"/>
    <cellStyle name="40 % - Markeringsfarve5 5 4 3 4" xfId="22182" xr:uid="{00000000-0005-0000-0000-0000B7840000}"/>
    <cellStyle name="40 % - Markeringsfarve5 5 4 3 5" xfId="37170" xr:uid="{00000000-0005-0000-0000-0000B8840000}"/>
    <cellStyle name="40 % - Markeringsfarve5 5 4 4" xfId="4325" xr:uid="{00000000-0005-0000-0000-0000B9840000}"/>
    <cellStyle name="40 % - Markeringsfarve5 5 4 4 2" xfId="8216" xr:uid="{00000000-0005-0000-0000-0000BA840000}"/>
    <cellStyle name="40 % - Markeringsfarve5 5 4 4 2 2" xfId="16111" xr:uid="{00000000-0005-0000-0000-0000BB840000}"/>
    <cellStyle name="40 % - Markeringsfarve5 5 4 4 2 2 2" xfId="32426" xr:uid="{00000000-0005-0000-0000-0000BC840000}"/>
    <cellStyle name="40 % - Markeringsfarve5 5 4 4 2 2 3" xfId="47390" xr:uid="{00000000-0005-0000-0000-0000BD840000}"/>
    <cellStyle name="40 % - Markeringsfarve5 5 4 4 2 3" xfId="25404" xr:uid="{00000000-0005-0000-0000-0000BE840000}"/>
    <cellStyle name="40 % - Markeringsfarve5 5 4 4 2 4" xfId="40391" xr:uid="{00000000-0005-0000-0000-0000BF840000}"/>
    <cellStyle name="40 % - Markeringsfarve5 5 4 4 3" xfId="12885" xr:uid="{00000000-0005-0000-0000-0000C0840000}"/>
    <cellStyle name="40 % - Markeringsfarve5 5 4 4 3 2" xfId="29205" xr:uid="{00000000-0005-0000-0000-0000C1840000}"/>
    <cellStyle name="40 % - Markeringsfarve5 5 4 4 3 3" xfId="44170" xr:uid="{00000000-0005-0000-0000-0000C2840000}"/>
    <cellStyle name="40 % - Markeringsfarve5 5 4 4 4" xfId="22183" xr:uid="{00000000-0005-0000-0000-0000C3840000}"/>
    <cellStyle name="40 % - Markeringsfarve5 5 4 4 5" xfId="37171" xr:uid="{00000000-0005-0000-0000-0000C4840000}"/>
    <cellStyle name="40 % - Markeringsfarve5 5 4 5" xfId="5959" xr:uid="{00000000-0005-0000-0000-0000C5840000}"/>
    <cellStyle name="40 % - Markeringsfarve5 5 4 5 2" xfId="13878" xr:uid="{00000000-0005-0000-0000-0000C6840000}"/>
    <cellStyle name="40 % - Markeringsfarve5 5 4 5 2 2" xfId="30193" xr:uid="{00000000-0005-0000-0000-0000C7840000}"/>
    <cellStyle name="40 % - Markeringsfarve5 5 4 5 2 3" xfId="45157" xr:uid="{00000000-0005-0000-0000-0000C8840000}"/>
    <cellStyle name="40 % - Markeringsfarve5 5 4 5 3" xfId="23171" xr:uid="{00000000-0005-0000-0000-0000C9840000}"/>
    <cellStyle name="40 % - Markeringsfarve5 5 4 5 4" xfId="38158" xr:uid="{00000000-0005-0000-0000-0000CA840000}"/>
    <cellStyle name="40 % - Markeringsfarve5 5 4 6" xfId="12881" xr:uid="{00000000-0005-0000-0000-0000CB840000}"/>
    <cellStyle name="40 % - Markeringsfarve5 5 4 6 2" xfId="29201" xr:uid="{00000000-0005-0000-0000-0000CC840000}"/>
    <cellStyle name="40 % - Markeringsfarve5 5 4 6 3" xfId="44166" xr:uid="{00000000-0005-0000-0000-0000CD840000}"/>
    <cellStyle name="40 % - Markeringsfarve5 5 4 7" xfId="22179" xr:uid="{00000000-0005-0000-0000-0000CE840000}"/>
    <cellStyle name="40 % - Markeringsfarve5 5 4 8" xfId="37167" xr:uid="{00000000-0005-0000-0000-0000CF840000}"/>
    <cellStyle name="40 % - Markeringsfarve5 5 5" xfId="4326" xr:uid="{00000000-0005-0000-0000-0000D0840000}"/>
    <cellStyle name="40 % - Markeringsfarve5 5 5 2" xfId="4327" xr:uid="{00000000-0005-0000-0000-0000D1840000}"/>
    <cellStyle name="40 % - Markeringsfarve5 5 5 2 2" xfId="4328" xr:uid="{00000000-0005-0000-0000-0000D2840000}"/>
    <cellStyle name="40 % - Markeringsfarve5 5 5 2 2 2" xfId="7989" xr:uid="{00000000-0005-0000-0000-0000D3840000}"/>
    <cellStyle name="40 % - Markeringsfarve5 5 5 2 2 2 2" xfId="15891" xr:uid="{00000000-0005-0000-0000-0000D4840000}"/>
    <cellStyle name="40 % - Markeringsfarve5 5 5 2 2 2 2 2" xfId="32206" xr:uid="{00000000-0005-0000-0000-0000D5840000}"/>
    <cellStyle name="40 % - Markeringsfarve5 5 5 2 2 2 2 3" xfId="47170" xr:uid="{00000000-0005-0000-0000-0000D6840000}"/>
    <cellStyle name="40 % - Markeringsfarve5 5 5 2 2 2 3" xfId="25184" xr:uid="{00000000-0005-0000-0000-0000D7840000}"/>
    <cellStyle name="40 % - Markeringsfarve5 5 5 2 2 2 4" xfId="40171" xr:uid="{00000000-0005-0000-0000-0000D8840000}"/>
    <cellStyle name="40 % - Markeringsfarve5 5 5 2 2 3" xfId="12888" xr:uid="{00000000-0005-0000-0000-0000D9840000}"/>
    <cellStyle name="40 % - Markeringsfarve5 5 5 2 2 3 2" xfId="29208" xr:uid="{00000000-0005-0000-0000-0000DA840000}"/>
    <cellStyle name="40 % - Markeringsfarve5 5 5 2 2 3 3" xfId="44173" xr:uid="{00000000-0005-0000-0000-0000DB840000}"/>
    <cellStyle name="40 % - Markeringsfarve5 5 5 2 2 4" xfId="22186" xr:uid="{00000000-0005-0000-0000-0000DC840000}"/>
    <cellStyle name="40 % - Markeringsfarve5 5 5 2 2 5" xfId="37174" xr:uid="{00000000-0005-0000-0000-0000DD840000}"/>
    <cellStyle name="40 % - Markeringsfarve5 5 5 2 3" xfId="6504" xr:uid="{00000000-0005-0000-0000-0000DE840000}"/>
    <cellStyle name="40 % - Markeringsfarve5 5 5 2 3 2" xfId="14419" xr:uid="{00000000-0005-0000-0000-0000DF840000}"/>
    <cellStyle name="40 % - Markeringsfarve5 5 5 2 3 2 2" xfId="30734" xr:uid="{00000000-0005-0000-0000-0000E0840000}"/>
    <cellStyle name="40 % - Markeringsfarve5 5 5 2 3 2 3" xfId="45698" xr:uid="{00000000-0005-0000-0000-0000E1840000}"/>
    <cellStyle name="40 % - Markeringsfarve5 5 5 2 3 3" xfId="23712" xr:uid="{00000000-0005-0000-0000-0000E2840000}"/>
    <cellStyle name="40 % - Markeringsfarve5 5 5 2 3 4" xfId="38699" xr:uid="{00000000-0005-0000-0000-0000E3840000}"/>
    <cellStyle name="40 % - Markeringsfarve5 5 5 2 4" xfId="12887" xr:uid="{00000000-0005-0000-0000-0000E4840000}"/>
    <cellStyle name="40 % - Markeringsfarve5 5 5 2 4 2" xfId="29207" xr:uid="{00000000-0005-0000-0000-0000E5840000}"/>
    <cellStyle name="40 % - Markeringsfarve5 5 5 2 4 3" xfId="44172" xr:uid="{00000000-0005-0000-0000-0000E6840000}"/>
    <cellStyle name="40 % - Markeringsfarve5 5 5 2 5" xfId="22185" xr:uid="{00000000-0005-0000-0000-0000E7840000}"/>
    <cellStyle name="40 % - Markeringsfarve5 5 5 2 6" xfId="37173" xr:uid="{00000000-0005-0000-0000-0000E8840000}"/>
    <cellStyle name="40 % - Markeringsfarve5 5 5 3" xfId="4329" xr:uid="{00000000-0005-0000-0000-0000E9840000}"/>
    <cellStyle name="40 % - Markeringsfarve5 5 5 3 2" xfId="7265" xr:uid="{00000000-0005-0000-0000-0000EA840000}"/>
    <cellStyle name="40 % - Markeringsfarve5 5 5 3 2 2" xfId="15176" xr:uid="{00000000-0005-0000-0000-0000EB840000}"/>
    <cellStyle name="40 % - Markeringsfarve5 5 5 3 2 2 2" xfId="31491" xr:uid="{00000000-0005-0000-0000-0000EC840000}"/>
    <cellStyle name="40 % - Markeringsfarve5 5 5 3 2 2 3" xfId="46455" xr:uid="{00000000-0005-0000-0000-0000ED840000}"/>
    <cellStyle name="40 % - Markeringsfarve5 5 5 3 2 3" xfId="24469" xr:uid="{00000000-0005-0000-0000-0000EE840000}"/>
    <cellStyle name="40 % - Markeringsfarve5 5 5 3 2 4" xfId="39456" xr:uid="{00000000-0005-0000-0000-0000EF840000}"/>
    <cellStyle name="40 % - Markeringsfarve5 5 5 3 3" xfId="12889" xr:uid="{00000000-0005-0000-0000-0000F0840000}"/>
    <cellStyle name="40 % - Markeringsfarve5 5 5 3 3 2" xfId="29209" xr:uid="{00000000-0005-0000-0000-0000F1840000}"/>
    <cellStyle name="40 % - Markeringsfarve5 5 5 3 3 3" xfId="44174" xr:uid="{00000000-0005-0000-0000-0000F2840000}"/>
    <cellStyle name="40 % - Markeringsfarve5 5 5 3 4" xfId="22187" xr:uid="{00000000-0005-0000-0000-0000F3840000}"/>
    <cellStyle name="40 % - Markeringsfarve5 5 5 3 5" xfId="37175" xr:uid="{00000000-0005-0000-0000-0000F4840000}"/>
    <cellStyle name="40 % - Markeringsfarve5 5 5 4" xfId="4330" xr:uid="{00000000-0005-0000-0000-0000F5840000}"/>
    <cellStyle name="40 % - Markeringsfarve5 5 5 4 2" xfId="8160" xr:uid="{00000000-0005-0000-0000-0000F6840000}"/>
    <cellStyle name="40 % - Markeringsfarve5 5 5 4 2 2" xfId="16058" xr:uid="{00000000-0005-0000-0000-0000F7840000}"/>
    <cellStyle name="40 % - Markeringsfarve5 5 5 4 2 2 2" xfId="32373" xr:uid="{00000000-0005-0000-0000-0000F8840000}"/>
    <cellStyle name="40 % - Markeringsfarve5 5 5 4 2 2 3" xfId="47337" xr:uid="{00000000-0005-0000-0000-0000F9840000}"/>
    <cellStyle name="40 % - Markeringsfarve5 5 5 4 2 3" xfId="25351" xr:uid="{00000000-0005-0000-0000-0000FA840000}"/>
    <cellStyle name="40 % - Markeringsfarve5 5 5 4 2 4" xfId="40338" xr:uid="{00000000-0005-0000-0000-0000FB840000}"/>
    <cellStyle name="40 % - Markeringsfarve5 5 5 4 3" xfId="12890" xr:uid="{00000000-0005-0000-0000-0000FC840000}"/>
    <cellStyle name="40 % - Markeringsfarve5 5 5 4 3 2" xfId="29210" xr:uid="{00000000-0005-0000-0000-0000FD840000}"/>
    <cellStyle name="40 % - Markeringsfarve5 5 5 4 3 3" xfId="44175" xr:uid="{00000000-0005-0000-0000-0000FE840000}"/>
    <cellStyle name="40 % - Markeringsfarve5 5 5 4 4" xfId="22188" xr:uid="{00000000-0005-0000-0000-0000FF840000}"/>
    <cellStyle name="40 % - Markeringsfarve5 5 5 4 5" xfId="37176" xr:uid="{00000000-0005-0000-0000-000000850000}"/>
    <cellStyle name="40 % - Markeringsfarve5 5 5 5" xfId="5960" xr:uid="{00000000-0005-0000-0000-000001850000}"/>
    <cellStyle name="40 % - Markeringsfarve5 5 5 5 2" xfId="13879" xr:uid="{00000000-0005-0000-0000-000002850000}"/>
    <cellStyle name="40 % - Markeringsfarve5 5 5 5 2 2" xfId="30194" xr:uid="{00000000-0005-0000-0000-000003850000}"/>
    <cellStyle name="40 % - Markeringsfarve5 5 5 5 2 3" xfId="45158" xr:uid="{00000000-0005-0000-0000-000004850000}"/>
    <cellStyle name="40 % - Markeringsfarve5 5 5 5 3" xfId="23172" xr:uid="{00000000-0005-0000-0000-000005850000}"/>
    <cellStyle name="40 % - Markeringsfarve5 5 5 5 4" xfId="38159" xr:uid="{00000000-0005-0000-0000-000006850000}"/>
    <cellStyle name="40 % - Markeringsfarve5 5 5 6" xfId="12886" xr:uid="{00000000-0005-0000-0000-000007850000}"/>
    <cellStyle name="40 % - Markeringsfarve5 5 5 6 2" xfId="29206" xr:uid="{00000000-0005-0000-0000-000008850000}"/>
    <cellStyle name="40 % - Markeringsfarve5 5 5 6 3" xfId="44171" xr:uid="{00000000-0005-0000-0000-000009850000}"/>
    <cellStyle name="40 % - Markeringsfarve5 5 5 7" xfId="22184" xr:uid="{00000000-0005-0000-0000-00000A850000}"/>
    <cellStyle name="40 % - Markeringsfarve5 5 5 8" xfId="37172" xr:uid="{00000000-0005-0000-0000-00000B850000}"/>
    <cellStyle name="40 % - Markeringsfarve5 5 6" xfId="4331" xr:uid="{00000000-0005-0000-0000-00000C850000}"/>
    <cellStyle name="40 % - Markeringsfarve5 5 6 2" xfId="4332" xr:uid="{00000000-0005-0000-0000-00000D850000}"/>
    <cellStyle name="40 % - Markeringsfarve5 5 6 2 2" xfId="4333" xr:uid="{00000000-0005-0000-0000-00000E850000}"/>
    <cellStyle name="40 % - Markeringsfarve5 5 6 2 2 2" xfId="8117" xr:uid="{00000000-0005-0000-0000-00000F850000}"/>
    <cellStyle name="40 % - Markeringsfarve5 5 6 2 2 2 2" xfId="16019" xr:uid="{00000000-0005-0000-0000-000010850000}"/>
    <cellStyle name="40 % - Markeringsfarve5 5 6 2 2 2 2 2" xfId="32334" xr:uid="{00000000-0005-0000-0000-000011850000}"/>
    <cellStyle name="40 % - Markeringsfarve5 5 6 2 2 2 2 3" xfId="47298" xr:uid="{00000000-0005-0000-0000-000012850000}"/>
    <cellStyle name="40 % - Markeringsfarve5 5 6 2 2 2 3" xfId="25312" xr:uid="{00000000-0005-0000-0000-000013850000}"/>
    <cellStyle name="40 % - Markeringsfarve5 5 6 2 2 2 4" xfId="40299" xr:uid="{00000000-0005-0000-0000-000014850000}"/>
    <cellStyle name="40 % - Markeringsfarve5 5 6 2 2 3" xfId="12893" xr:uid="{00000000-0005-0000-0000-000015850000}"/>
    <cellStyle name="40 % - Markeringsfarve5 5 6 2 2 3 2" xfId="29213" xr:uid="{00000000-0005-0000-0000-000016850000}"/>
    <cellStyle name="40 % - Markeringsfarve5 5 6 2 2 3 3" xfId="44178" xr:uid="{00000000-0005-0000-0000-000017850000}"/>
    <cellStyle name="40 % - Markeringsfarve5 5 6 2 2 4" xfId="22191" xr:uid="{00000000-0005-0000-0000-000018850000}"/>
    <cellStyle name="40 % - Markeringsfarve5 5 6 2 2 5" xfId="37179" xr:uid="{00000000-0005-0000-0000-000019850000}"/>
    <cellStyle name="40 % - Markeringsfarve5 5 6 2 3" xfId="6610" xr:uid="{00000000-0005-0000-0000-00001A850000}"/>
    <cellStyle name="40 % - Markeringsfarve5 5 6 2 3 2" xfId="14525" xr:uid="{00000000-0005-0000-0000-00001B850000}"/>
    <cellStyle name="40 % - Markeringsfarve5 5 6 2 3 2 2" xfId="30840" xr:uid="{00000000-0005-0000-0000-00001C850000}"/>
    <cellStyle name="40 % - Markeringsfarve5 5 6 2 3 2 3" xfId="45804" xr:uid="{00000000-0005-0000-0000-00001D850000}"/>
    <cellStyle name="40 % - Markeringsfarve5 5 6 2 3 3" xfId="23818" xr:uid="{00000000-0005-0000-0000-00001E850000}"/>
    <cellStyle name="40 % - Markeringsfarve5 5 6 2 3 4" xfId="38805" xr:uid="{00000000-0005-0000-0000-00001F850000}"/>
    <cellStyle name="40 % - Markeringsfarve5 5 6 2 4" xfId="12892" xr:uid="{00000000-0005-0000-0000-000020850000}"/>
    <cellStyle name="40 % - Markeringsfarve5 5 6 2 4 2" xfId="29212" xr:uid="{00000000-0005-0000-0000-000021850000}"/>
    <cellStyle name="40 % - Markeringsfarve5 5 6 2 4 3" xfId="44177" xr:uid="{00000000-0005-0000-0000-000022850000}"/>
    <cellStyle name="40 % - Markeringsfarve5 5 6 2 5" xfId="22190" xr:uid="{00000000-0005-0000-0000-000023850000}"/>
    <cellStyle name="40 % - Markeringsfarve5 5 6 2 6" xfId="37178" xr:uid="{00000000-0005-0000-0000-000024850000}"/>
    <cellStyle name="40 % - Markeringsfarve5 5 6 3" xfId="4334" xr:uid="{00000000-0005-0000-0000-000025850000}"/>
    <cellStyle name="40 % - Markeringsfarve5 5 6 3 2" xfId="7394" xr:uid="{00000000-0005-0000-0000-000026850000}"/>
    <cellStyle name="40 % - Markeringsfarve5 5 6 3 2 2" xfId="15305" xr:uid="{00000000-0005-0000-0000-000027850000}"/>
    <cellStyle name="40 % - Markeringsfarve5 5 6 3 2 2 2" xfId="31620" xr:uid="{00000000-0005-0000-0000-000028850000}"/>
    <cellStyle name="40 % - Markeringsfarve5 5 6 3 2 2 3" xfId="46584" xr:uid="{00000000-0005-0000-0000-000029850000}"/>
    <cellStyle name="40 % - Markeringsfarve5 5 6 3 2 3" xfId="24598" xr:uid="{00000000-0005-0000-0000-00002A850000}"/>
    <cellStyle name="40 % - Markeringsfarve5 5 6 3 2 4" xfId="39585" xr:uid="{00000000-0005-0000-0000-00002B850000}"/>
    <cellStyle name="40 % - Markeringsfarve5 5 6 3 3" xfId="12894" xr:uid="{00000000-0005-0000-0000-00002C850000}"/>
    <cellStyle name="40 % - Markeringsfarve5 5 6 3 3 2" xfId="29214" xr:uid="{00000000-0005-0000-0000-00002D850000}"/>
    <cellStyle name="40 % - Markeringsfarve5 5 6 3 3 3" xfId="44179" xr:uid="{00000000-0005-0000-0000-00002E850000}"/>
    <cellStyle name="40 % - Markeringsfarve5 5 6 3 4" xfId="22192" xr:uid="{00000000-0005-0000-0000-00002F850000}"/>
    <cellStyle name="40 % - Markeringsfarve5 5 6 3 5" xfId="37180" xr:uid="{00000000-0005-0000-0000-000030850000}"/>
    <cellStyle name="40 % - Markeringsfarve5 5 6 4" xfId="4335" xr:uid="{00000000-0005-0000-0000-000031850000}"/>
    <cellStyle name="40 % - Markeringsfarve5 5 6 4 2" xfId="8497" xr:uid="{00000000-0005-0000-0000-000032850000}"/>
    <cellStyle name="40 % - Markeringsfarve5 5 6 4 2 2" xfId="16386" xr:uid="{00000000-0005-0000-0000-000033850000}"/>
    <cellStyle name="40 % - Markeringsfarve5 5 6 4 2 2 2" xfId="32701" xr:uid="{00000000-0005-0000-0000-000034850000}"/>
    <cellStyle name="40 % - Markeringsfarve5 5 6 4 2 2 3" xfId="47665" xr:uid="{00000000-0005-0000-0000-000035850000}"/>
    <cellStyle name="40 % - Markeringsfarve5 5 6 4 2 3" xfId="25679" xr:uid="{00000000-0005-0000-0000-000036850000}"/>
    <cellStyle name="40 % - Markeringsfarve5 5 6 4 2 4" xfId="40666" xr:uid="{00000000-0005-0000-0000-000037850000}"/>
    <cellStyle name="40 % - Markeringsfarve5 5 6 4 3" xfId="12895" xr:uid="{00000000-0005-0000-0000-000038850000}"/>
    <cellStyle name="40 % - Markeringsfarve5 5 6 4 3 2" xfId="29215" xr:uid="{00000000-0005-0000-0000-000039850000}"/>
    <cellStyle name="40 % - Markeringsfarve5 5 6 4 3 3" xfId="44180" xr:uid="{00000000-0005-0000-0000-00003A850000}"/>
    <cellStyle name="40 % - Markeringsfarve5 5 6 4 4" xfId="22193" xr:uid="{00000000-0005-0000-0000-00003B850000}"/>
    <cellStyle name="40 % - Markeringsfarve5 5 6 4 5" xfId="37181" xr:uid="{00000000-0005-0000-0000-00003C850000}"/>
    <cellStyle name="40 % - Markeringsfarve5 5 6 5" xfId="5961" xr:uid="{00000000-0005-0000-0000-00003D850000}"/>
    <cellStyle name="40 % - Markeringsfarve5 5 6 5 2" xfId="13880" xr:uid="{00000000-0005-0000-0000-00003E850000}"/>
    <cellStyle name="40 % - Markeringsfarve5 5 6 5 2 2" xfId="30195" xr:uid="{00000000-0005-0000-0000-00003F850000}"/>
    <cellStyle name="40 % - Markeringsfarve5 5 6 5 2 3" xfId="45159" xr:uid="{00000000-0005-0000-0000-000040850000}"/>
    <cellStyle name="40 % - Markeringsfarve5 5 6 5 3" xfId="23173" xr:uid="{00000000-0005-0000-0000-000041850000}"/>
    <cellStyle name="40 % - Markeringsfarve5 5 6 5 4" xfId="38160" xr:uid="{00000000-0005-0000-0000-000042850000}"/>
    <cellStyle name="40 % - Markeringsfarve5 5 6 6" xfId="12891" xr:uid="{00000000-0005-0000-0000-000043850000}"/>
    <cellStyle name="40 % - Markeringsfarve5 5 6 6 2" xfId="29211" xr:uid="{00000000-0005-0000-0000-000044850000}"/>
    <cellStyle name="40 % - Markeringsfarve5 5 6 6 3" xfId="44176" xr:uid="{00000000-0005-0000-0000-000045850000}"/>
    <cellStyle name="40 % - Markeringsfarve5 5 6 7" xfId="22189" xr:uid="{00000000-0005-0000-0000-000046850000}"/>
    <cellStyle name="40 % - Markeringsfarve5 5 6 8" xfId="37177" xr:uid="{00000000-0005-0000-0000-000047850000}"/>
    <cellStyle name="40 % - Markeringsfarve5 5 7" xfId="4336" xr:uid="{00000000-0005-0000-0000-000048850000}"/>
    <cellStyle name="40 % - Markeringsfarve5 5 7 2" xfId="4337" xr:uid="{00000000-0005-0000-0000-000049850000}"/>
    <cellStyle name="40 % - Markeringsfarve5 5 7 2 2" xfId="7515" xr:uid="{00000000-0005-0000-0000-00004A850000}"/>
    <cellStyle name="40 % - Markeringsfarve5 5 7 2 2 2" xfId="15417" xr:uid="{00000000-0005-0000-0000-00004B850000}"/>
    <cellStyle name="40 % - Markeringsfarve5 5 7 2 2 2 2" xfId="31732" xr:uid="{00000000-0005-0000-0000-00004C850000}"/>
    <cellStyle name="40 % - Markeringsfarve5 5 7 2 2 2 3" xfId="46696" xr:uid="{00000000-0005-0000-0000-00004D850000}"/>
    <cellStyle name="40 % - Markeringsfarve5 5 7 2 2 3" xfId="24710" xr:uid="{00000000-0005-0000-0000-00004E850000}"/>
    <cellStyle name="40 % - Markeringsfarve5 5 7 2 2 4" xfId="39697" xr:uid="{00000000-0005-0000-0000-00004F850000}"/>
    <cellStyle name="40 % - Markeringsfarve5 5 7 2 3" xfId="12897" xr:uid="{00000000-0005-0000-0000-000050850000}"/>
    <cellStyle name="40 % - Markeringsfarve5 5 7 2 3 2" xfId="29217" xr:uid="{00000000-0005-0000-0000-000051850000}"/>
    <cellStyle name="40 % - Markeringsfarve5 5 7 2 3 3" xfId="44182" xr:uid="{00000000-0005-0000-0000-000052850000}"/>
    <cellStyle name="40 % - Markeringsfarve5 5 7 2 4" xfId="22195" xr:uid="{00000000-0005-0000-0000-000053850000}"/>
    <cellStyle name="40 % - Markeringsfarve5 5 7 2 5" xfId="37183" xr:uid="{00000000-0005-0000-0000-000054850000}"/>
    <cellStyle name="40 % - Markeringsfarve5 5 7 3" xfId="6104" xr:uid="{00000000-0005-0000-0000-000055850000}"/>
    <cellStyle name="40 % - Markeringsfarve5 5 7 3 2" xfId="14022" xr:uid="{00000000-0005-0000-0000-000056850000}"/>
    <cellStyle name="40 % - Markeringsfarve5 5 7 3 2 2" xfId="30337" xr:uid="{00000000-0005-0000-0000-000057850000}"/>
    <cellStyle name="40 % - Markeringsfarve5 5 7 3 2 3" xfId="45301" xr:uid="{00000000-0005-0000-0000-000058850000}"/>
    <cellStyle name="40 % - Markeringsfarve5 5 7 3 3" xfId="23315" xr:uid="{00000000-0005-0000-0000-000059850000}"/>
    <cellStyle name="40 % - Markeringsfarve5 5 7 3 4" xfId="38302" xr:uid="{00000000-0005-0000-0000-00005A850000}"/>
    <cellStyle name="40 % - Markeringsfarve5 5 7 4" xfId="12896" xr:uid="{00000000-0005-0000-0000-00005B850000}"/>
    <cellStyle name="40 % - Markeringsfarve5 5 7 4 2" xfId="29216" xr:uid="{00000000-0005-0000-0000-00005C850000}"/>
    <cellStyle name="40 % - Markeringsfarve5 5 7 4 3" xfId="44181" xr:uid="{00000000-0005-0000-0000-00005D850000}"/>
    <cellStyle name="40 % - Markeringsfarve5 5 7 5" xfId="22194" xr:uid="{00000000-0005-0000-0000-00005E850000}"/>
    <cellStyle name="40 % - Markeringsfarve5 5 7 6" xfId="37182" xr:uid="{00000000-0005-0000-0000-00005F850000}"/>
    <cellStyle name="40 % - Markeringsfarve5 5 8" xfId="4338" xr:uid="{00000000-0005-0000-0000-000060850000}"/>
    <cellStyle name="40 % - Markeringsfarve5 5 8 2" xfId="6743" xr:uid="{00000000-0005-0000-0000-000061850000}"/>
    <cellStyle name="40 % - Markeringsfarve5 5 8 2 2" xfId="14655" xr:uid="{00000000-0005-0000-0000-000062850000}"/>
    <cellStyle name="40 % - Markeringsfarve5 5 8 2 2 2" xfId="30970" xr:uid="{00000000-0005-0000-0000-000063850000}"/>
    <cellStyle name="40 % - Markeringsfarve5 5 8 2 2 3" xfId="45934" xr:uid="{00000000-0005-0000-0000-000064850000}"/>
    <cellStyle name="40 % - Markeringsfarve5 5 8 2 3" xfId="23948" xr:uid="{00000000-0005-0000-0000-000065850000}"/>
    <cellStyle name="40 % - Markeringsfarve5 5 8 2 4" xfId="38935" xr:uid="{00000000-0005-0000-0000-000066850000}"/>
    <cellStyle name="40 % - Markeringsfarve5 5 8 3" xfId="12898" xr:uid="{00000000-0005-0000-0000-000067850000}"/>
    <cellStyle name="40 % - Markeringsfarve5 5 8 3 2" xfId="29218" xr:uid="{00000000-0005-0000-0000-000068850000}"/>
    <cellStyle name="40 % - Markeringsfarve5 5 8 3 3" xfId="44183" xr:uid="{00000000-0005-0000-0000-000069850000}"/>
    <cellStyle name="40 % - Markeringsfarve5 5 8 4" xfId="22196" xr:uid="{00000000-0005-0000-0000-00006A850000}"/>
    <cellStyle name="40 % - Markeringsfarve5 5 8 5" xfId="37184" xr:uid="{00000000-0005-0000-0000-00006B850000}"/>
    <cellStyle name="40 % - Markeringsfarve5 5 9" xfId="4339" xr:uid="{00000000-0005-0000-0000-00006C850000}"/>
    <cellStyle name="40 % - Markeringsfarve5 5 9 2" xfId="8324" xr:uid="{00000000-0005-0000-0000-00006D850000}"/>
    <cellStyle name="40 % - Markeringsfarve5 5 9 2 2" xfId="16219" xr:uid="{00000000-0005-0000-0000-00006E850000}"/>
    <cellStyle name="40 % - Markeringsfarve5 5 9 2 2 2" xfId="32534" xr:uid="{00000000-0005-0000-0000-00006F850000}"/>
    <cellStyle name="40 % - Markeringsfarve5 5 9 2 2 3" xfId="47498" xr:uid="{00000000-0005-0000-0000-000070850000}"/>
    <cellStyle name="40 % - Markeringsfarve5 5 9 2 3" xfId="25512" xr:uid="{00000000-0005-0000-0000-000071850000}"/>
    <cellStyle name="40 % - Markeringsfarve5 5 9 2 4" xfId="40499" xr:uid="{00000000-0005-0000-0000-000072850000}"/>
    <cellStyle name="40 % - Markeringsfarve5 5 9 3" xfId="12899" xr:uid="{00000000-0005-0000-0000-000073850000}"/>
    <cellStyle name="40 % - Markeringsfarve5 5 9 3 2" xfId="29219" xr:uid="{00000000-0005-0000-0000-000074850000}"/>
    <cellStyle name="40 % - Markeringsfarve5 5 9 3 3" xfId="44184" xr:uid="{00000000-0005-0000-0000-000075850000}"/>
    <cellStyle name="40 % - Markeringsfarve5 5 9 4" xfId="22197" xr:uid="{00000000-0005-0000-0000-000076850000}"/>
    <cellStyle name="40 % - Markeringsfarve5 5 9 5" xfId="37185" xr:uid="{00000000-0005-0000-0000-000077850000}"/>
    <cellStyle name="40 % - Markeringsfarve5 6" xfId="4340" xr:uid="{00000000-0005-0000-0000-000078850000}"/>
    <cellStyle name="40 % - Markeringsfarve5 6 2" xfId="4341" xr:uid="{00000000-0005-0000-0000-000079850000}"/>
    <cellStyle name="40 % - Markeringsfarve5 6 2 2" xfId="4342" xr:uid="{00000000-0005-0000-0000-00007A850000}"/>
    <cellStyle name="40 % - Markeringsfarve5 6 2 2 2" xfId="7556" xr:uid="{00000000-0005-0000-0000-00007B850000}"/>
    <cellStyle name="40 % - Markeringsfarve5 6 2 2 2 2" xfId="15458" xr:uid="{00000000-0005-0000-0000-00007C850000}"/>
    <cellStyle name="40 % - Markeringsfarve5 6 2 2 2 2 2" xfId="31773" xr:uid="{00000000-0005-0000-0000-00007D850000}"/>
    <cellStyle name="40 % - Markeringsfarve5 6 2 2 2 2 3" xfId="46737" xr:uid="{00000000-0005-0000-0000-00007E850000}"/>
    <cellStyle name="40 % - Markeringsfarve5 6 2 2 2 3" xfId="24751" xr:uid="{00000000-0005-0000-0000-00007F850000}"/>
    <cellStyle name="40 % - Markeringsfarve5 6 2 2 2 4" xfId="39738" xr:uid="{00000000-0005-0000-0000-000080850000}"/>
    <cellStyle name="40 % - Markeringsfarve5 6 2 2 3" xfId="12902" xr:uid="{00000000-0005-0000-0000-000081850000}"/>
    <cellStyle name="40 % - Markeringsfarve5 6 2 2 3 2" xfId="29222" xr:uid="{00000000-0005-0000-0000-000082850000}"/>
    <cellStyle name="40 % - Markeringsfarve5 6 2 2 3 3" xfId="44187" xr:uid="{00000000-0005-0000-0000-000083850000}"/>
    <cellStyle name="40 % - Markeringsfarve5 6 2 2 4" xfId="22200" xr:uid="{00000000-0005-0000-0000-000084850000}"/>
    <cellStyle name="40 % - Markeringsfarve5 6 2 2 5" xfId="37188" xr:uid="{00000000-0005-0000-0000-000085850000}"/>
    <cellStyle name="40 % - Markeringsfarve5 6 2 2 6" xfId="57144" xr:uid="{00000000-0005-0000-0000-000086850000}"/>
    <cellStyle name="40 % - Markeringsfarve5 6 2 3" xfId="6137" xr:uid="{00000000-0005-0000-0000-000087850000}"/>
    <cellStyle name="40 % - Markeringsfarve5 6 2 3 2" xfId="14055" xr:uid="{00000000-0005-0000-0000-000088850000}"/>
    <cellStyle name="40 % - Markeringsfarve5 6 2 3 2 2" xfId="30370" xr:uid="{00000000-0005-0000-0000-000089850000}"/>
    <cellStyle name="40 % - Markeringsfarve5 6 2 3 2 3" xfId="45334" xr:uid="{00000000-0005-0000-0000-00008A850000}"/>
    <cellStyle name="40 % - Markeringsfarve5 6 2 3 3" xfId="23348" xr:uid="{00000000-0005-0000-0000-00008B850000}"/>
    <cellStyle name="40 % - Markeringsfarve5 6 2 3 4" xfId="38335" xr:uid="{00000000-0005-0000-0000-00008C850000}"/>
    <cellStyle name="40 % - Markeringsfarve5 6 2 4" xfId="12901" xr:uid="{00000000-0005-0000-0000-00008D850000}"/>
    <cellStyle name="40 % - Markeringsfarve5 6 2 4 2" xfId="29221" xr:uid="{00000000-0005-0000-0000-00008E850000}"/>
    <cellStyle name="40 % - Markeringsfarve5 6 2 4 3" xfId="44186" xr:uid="{00000000-0005-0000-0000-00008F850000}"/>
    <cellStyle name="40 % - Markeringsfarve5 6 2 5" xfId="22199" xr:uid="{00000000-0005-0000-0000-000090850000}"/>
    <cellStyle name="40 % - Markeringsfarve5 6 2 6" xfId="37187" xr:uid="{00000000-0005-0000-0000-000091850000}"/>
    <cellStyle name="40 % - Markeringsfarve5 6 2 7" xfId="53977" xr:uid="{00000000-0005-0000-0000-000092850000}"/>
    <cellStyle name="40 % - Markeringsfarve5 6 3" xfId="4343" xr:uid="{00000000-0005-0000-0000-000093850000}"/>
    <cellStyle name="40 % - Markeringsfarve5 6 3 2" xfId="6786" xr:uid="{00000000-0005-0000-0000-000094850000}"/>
    <cellStyle name="40 % - Markeringsfarve5 6 3 2 2" xfId="14698" xr:uid="{00000000-0005-0000-0000-000095850000}"/>
    <cellStyle name="40 % - Markeringsfarve5 6 3 2 2 2" xfId="31013" xr:uid="{00000000-0005-0000-0000-000096850000}"/>
    <cellStyle name="40 % - Markeringsfarve5 6 3 2 2 3" xfId="45977" xr:uid="{00000000-0005-0000-0000-000097850000}"/>
    <cellStyle name="40 % - Markeringsfarve5 6 3 2 3" xfId="23991" xr:uid="{00000000-0005-0000-0000-000098850000}"/>
    <cellStyle name="40 % - Markeringsfarve5 6 3 2 4" xfId="38978" xr:uid="{00000000-0005-0000-0000-000099850000}"/>
    <cellStyle name="40 % - Markeringsfarve5 6 3 3" xfId="12903" xr:uid="{00000000-0005-0000-0000-00009A850000}"/>
    <cellStyle name="40 % - Markeringsfarve5 6 3 3 2" xfId="29223" xr:uid="{00000000-0005-0000-0000-00009B850000}"/>
    <cellStyle name="40 % - Markeringsfarve5 6 3 3 3" xfId="44188" xr:uid="{00000000-0005-0000-0000-00009C850000}"/>
    <cellStyle name="40 % - Markeringsfarve5 6 3 4" xfId="22201" xr:uid="{00000000-0005-0000-0000-00009D850000}"/>
    <cellStyle name="40 % - Markeringsfarve5 6 3 5" xfId="37189" xr:uid="{00000000-0005-0000-0000-00009E850000}"/>
    <cellStyle name="40 % - Markeringsfarve5 6 3 6" xfId="56521" xr:uid="{00000000-0005-0000-0000-00009F850000}"/>
    <cellStyle name="40 % - Markeringsfarve5 6 4" xfId="4344" xr:uid="{00000000-0005-0000-0000-0000A0850000}"/>
    <cellStyle name="40 % - Markeringsfarve5 6 4 2" xfId="8700" xr:uid="{00000000-0005-0000-0000-0000A1850000}"/>
    <cellStyle name="40 % - Markeringsfarve5 6 4 2 2" xfId="16577" xr:uid="{00000000-0005-0000-0000-0000A2850000}"/>
    <cellStyle name="40 % - Markeringsfarve5 6 4 2 2 2" xfId="32892" xr:uid="{00000000-0005-0000-0000-0000A3850000}"/>
    <cellStyle name="40 % - Markeringsfarve5 6 4 2 2 3" xfId="47856" xr:uid="{00000000-0005-0000-0000-0000A4850000}"/>
    <cellStyle name="40 % - Markeringsfarve5 6 4 2 3" xfId="25870" xr:uid="{00000000-0005-0000-0000-0000A5850000}"/>
    <cellStyle name="40 % - Markeringsfarve5 6 4 2 4" xfId="40857" xr:uid="{00000000-0005-0000-0000-0000A6850000}"/>
    <cellStyle name="40 % - Markeringsfarve5 6 4 3" xfId="12904" xr:uid="{00000000-0005-0000-0000-0000A7850000}"/>
    <cellStyle name="40 % - Markeringsfarve5 6 4 3 2" xfId="29224" xr:uid="{00000000-0005-0000-0000-0000A8850000}"/>
    <cellStyle name="40 % - Markeringsfarve5 6 4 3 3" xfId="44189" xr:uid="{00000000-0005-0000-0000-0000A9850000}"/>
    <cellStyle name="40 % - Markeringsfarve5 6 4 4" xfId="22202" xr:uid="{00000000-0005-0000-0000-0000AA850000}"/>
    <cellStyle name="40 % - Markeringsfarve5 6 4 5" xfId="37190" xr:uid="{00000000-0005-0000-0000-0000AB850000}"/>
    <cellStyle name="40 % - Markeringsfarve5 6 5" xfId="5962" xr:uid="{00000000-0005-0000-0000-0000AC850000}"/>
    <cellStyle name="40 % - Markeringsfarve5 6 5 2" xfId="13881" xr:uid="{00000000-0005-0000-0000-0000AD850000}"/>
    <cellStyle name="40 % - Markeringsfarve5 6 5 2 2" xfId="30196" xr:uid="{00000000-0005-0000-0000-0000AE850000}"/>
    <cellStyle name="40 % - Markeringsfarve5 6 5 2 3" xfId="45160" xr:uid="{00000000-0005-0000-0000-0000AF850000}"/>
    <cellStyle name="40 % - Markeringsfarve5 6 5 3" xfId="23174" xr:uid="{00000000-0005-0000-0000-0000B0850000}"/>
    <cellStyle name="40 % - Markeringsfarve5 6 5 4" xfId="38161" xr:uid="{00000000-0005-0000-0000-0000B1850000}"/>
    <cellStyle name="40 % - Markeringsfarve5 6 6" xfId="12900" xr:uid="{00000000-0005-0000-0000-0000B2850000}"/>
    <cellStyle name="40 % - Markeringsfarve5 6 6 2" xfId="29220" xr:uid="{00000000-0005-0000-0000-0000B3850000}"/>
    <cellStyle name="40 % - Markeringsfarve5 6 6 3" xfId="44185" xr:uid="{00000000-0005-0000-0000-0000B4850000}"/>
    <cellStyle name="40 % - Markeringsfarve5 6 7" xfId="22198" xr:uid="{00000000-0005-0000-0000-0000B5850000}"/>
    <cellStyle name="40 % - Markeringsfarve5 6 8" xfId="37186" xr:uid="{00000000-0005-0000-0000-0000B6850000}"/>
    <cellStyle name="40 % - Markeringsfarve5 6 9" xfId="53340" xr:uid="{00000000-0005-0000-0000-0000B7850000}"/>
    <cellStyle name="40 % - Markeringsfarve5 7" xfId="4345" xr:uid="{00000000-0005-0000-0000-0000B8850000}"/>
    <cellStyle name="40 % - Markeringsfarve5 7 2" xfId="4346" xr:uid="{00000000-0005-0000-0000-0000B9850000}"/>
    <cellStyle name="40 % - Markeringsfarve5 7 2 2" xfId="4347" xr:uid="{00000000-0005-0000-0000-0000BA850000}"/>
    <cellStyle name="40 % - Markeringsfarve5 7 2 2 2" xfId="7755" xr:uid="{00000000-0005-0000-0000-0000BB850000}"/>
    <cellStyle name="40 % - Markeringsfarve5 7 2 2 2 2" xfId="15657" xr:uid="{00000000-0005-0000-0000-0000BC850000}"/>
    <cellStyle name="40 % - Markeringsfarve5 7 2 2 2 2 2" xfId="31972" xr:uid="{00000000-0005-0000-0000-0000BD850000}"/>
    <cellStyle name="40 % - Markeringsfarve5 7 2 2 2 2 3" xfId="46936" xr:uid="{00000000-0005-0000-0000-0000BE850000}"/>
    <cellStyle name="40 % - Markeringsfarve5 7 2 2 2 3" xfId="24950" xr:uid="{00000000-0005-0000-0000-0000BF850000}"/>
    <cellStyle name="40 % - Markeringsfarve5 7 2 2 2 4" xfId="39937" xr:uid="{00000000-0005-0000-0000-0000C0850000}"/>
    <cellStyle name="40 % - Markeringsfarve5 7 2 2 3" xfId="12907" xr:uid="{00000000-0005-0000-0000-0000C1850000}"/>
    <cellStyle name="40 % - Markeringsfarve5 7 2 2 3 2" xfId="29227" xr:uid="{00000000-0005-0000-0000-0000C2850000}"/>
    <cellStyle name="40 % - Markeringsfarve5 7 2 2 3 3" xfId="44192" xr:uid="{00000000-0005-0000-0000-0000C3850000}"/>
    <cellStyle name="40 % - Markeringsfarve5 7 2 2 4" xfId="22205" xr:uid="{00000000-0005-0000-0000-0000C4850000}"/>
    <cellStyle name="40 % - Markeringsfarve5 7 2 2 5" xfId="37193" xr:uid="{00000000-0005-0000-0000-0000C5850000}"/>
    <cellStyle name="40 % - Markeringsfarve5 7 2 3" xfId="6301" xr:uid="{00000000-0005-0000-0000-0000C6850000}"/>
    <cellStyle name="40 % - Markeringsfarve5 7 2 3 2" xfId="14219" xr:uid="{00000000-0005-0000-0000-0000C7850000}"/>
    <cellStyle name="40 % - Markeringsfarve5 7 2 3 2 2" xfId="30534" xr:uid="{00000000-0005-0000-0000-0000C8850000}"/>
    <cellStyle name="40 % - Markeringsfarve5 7 2 3 2 3" xfId="45498" xr:uid="{00000000-0005-0000-0000-0000C9850000}"/>
    <cellStyle name="40 % - Markeringsfarve5 7 2 3 3" xfId="23512" xr:uid="{00000000-0005-0000-0000-0000CA850000}"/>
    <cellStyle name="40 % - Markeringsfarve5 7 2 3 4" xfId="38499" xr:uid="{00000000-0005-0000-0000-0000CB850000}"/>
    <cellStyle name="40 % - Markeringsfarve5 7 2 4" xfId="12906" xr:uid="{00000000-0005-0000-0000-0000CC850000}"/>
    <cellStyle name="40 % - Markeringsfarve5 7 2 4 2" xfId="29226" xr:uid="{00000000-0005-0000-0000-0000CD850000}"/>
    <cellStyle name="40 % - Markeringsfarve5 7 2 4 3" xfId="44191" xr:uid="{00000000-0005-0000-0000-0000CE850000}"/>
    <cellStyle name="40 % - Markeringsfarve5 7 2 5" xfId="22204" xr:uid="{00000000-0005-0000-0000-0000CF850000}"/>
    <cellStyle name="40 % - Markeringsfarve5 7 2 6" xfId="37192" xr:uid="{00000000-0005-0000-0000-0000D0850000}"/>
    <cellStyle name="40 % - Markeringsfarve5 7 2 7" xfId="57063" xr:uid="{00000000-0005-0000-0000-0000D1850000}"/>
    <cellStyle name="40 % - Markeringsfarve5 7 3" xfId="4348" xr:uid="{00000000-0005-0000-0000-0000D2850000}"/>
    <cellStyle name="40 % - Markeringsfarve5 7 3 2" xfId="6985" xr:uid="{00000000-0005-0000-0000-0000D3850000}"/>
    <cellStyle name="40 % - Markeringsfarve5 7 3 2 2" xfId="14897" xr:uid="{00000000-0005-0000-0000-0000D4850000}"/>
    <cellStyle name="40 % - Markeringsfarve5 7 3 2 2 2" xfId="31212" xr:uid="{00000000-0005-0000-0000-0000D5850000}"/>
    <cellStyle name="40 % - Markeringsfarve5 7 3 2 2 3" xfId="46176" xr:uid="{00000000-0005-0000-0000-0000D6850000}"/>
    <cellStyle name="40 % - Markeringsfarve5 7 3 2 3" xfId="24190" xr:uid="{00000000-0005-0000-0000-0000D7850000}"/>
    <cellStyle name="40 % - Markeringsfarve5 7 3 2 4" xfId="39177" xr:uid="{00000000-0005-0000-0000-0000D8850000}"/>
    <cellStyle name="40 % - Markeringsfarve5 7 3 3" xfId="12908" xr:uid="{00000000-0005-0000-0000-0000D9850000}"/>
    <cellStyle name="40 % - Markeringsfarve5 7 3 3 2" xfId="29228" xr:uid="{00000000-0005-0000-0000-0000DA850000}"/>
    <cellStyle name="40 % - Markeringsfarve5 7 3 3 3" xfId="44193" xr:uid="{00000000-0005-0000-0000-0000DB850000}"/>
    <cellStyle name="40 % - Markeringsfarve5 7 3 4" xfId="22206" xr:uid="{00000000-0005-0000-0000-0000DC850000}"/>
    <cellStyle name="40 % - Markeringsfarve5 7 3 5" xfId="37194" xr:uid="{00000000-0005-0000-0000-0000DD850000}"/>
    <cellStyle name="40 % - Markeringsfarve5 7 4" xfId="4349" xr:uid="{00000000-0005-0000-0000-0000DE850000}"/>
    <cellStyle name="40 % - Markeringsfarve5 7 4 2" xfId="8420" xr:uid="{00000000-0005-0000-0000-0000DF850000}"/>
    <cellStyle name="40 % - Markeringsfarve5 7 4 2 2" xfId="16310" xr:uid="{00000000-0005-0000-0000-0000E0850000}"/>
    <cellStyle name="40 % - Markeringsfarve5 7 4 2 2 2" xfId="32625" xr:uid="{00000000-0005-0000-0000-0000E1850000}"/>
    <cellStyle name="40 % - Markeringsfarve5 7 4 2 2 3" xfId="47589" xr:uid="{00000000-0005-0000-0000-0000E2850000}"/>
    <cellStyle name="40 % - Markeringsfarve5 7 4 2 3" xfId="25603" xr:uid="{00000000-0005-0000-0000-0000E3850000}"/>
    <cellStyle name="40 % - Markeringsfarve5 7 4 2 4" xfId="40590" xr:uid="{00000000-0005-0000-0000-0000E4850000}"/>
    <cellStyle name="40 % - Markeringsfarve5 7 4 3" xfId="12909" xr:uid="{00000000-0005-0000-0000-0000E5850000}"/>
    <cellStyle name="40 % - Markeringsfarve5 7 4 3 2" xfId="29229" xr:uid="{00000000-0005-0000-0000-0000E6850000}"/>
    <cellStyle name="40 % - Markeringsfarve5 7 4 3 3" xfId="44194" xr:uid="{00000000-0005-0000-0000-0000E7850000}"/>
    <cellStyle name="40 % - Markeringsfarve5 7 4 4" xfId="22207" xr:uid="{00000000-0005-0000-0000-0000E8850000}"/>
    <cellStyle name="40 % - Markeringsfarve5 7 4 5" xfId="37195" xr:uid="{00000000-0005-0000-0000-0000E9850000}"/>
    <cellStyle name="40 % - Markeringsfarve5 7 5" xfId="5963" xr:uid="{00000000-0005-0000-0000-0000EA850000}"/>
    <cellStyle name="40 % - Markeringsfarve5 7 5 2" xfId="13882" xr:uid="{00000000-0005-0000-0000-0000EB850000}"/>
    <cellStyle name="40 % - Markeringsfarve5 7 5 2 2" xfId="30197" xr:uid="{00000000-0005-0000-0000-0000EC850000}"/>
    <cellStyle name="40 % - Markeringsfarve5 7 5 2 3" xfId="45161" xr:uid="{00000000-0005-0000-0000-0000ED850000}"/>
    <cellStyle name="40 % - Markeringsfarve5 7 5 3" xfId="23175" xr:uid="{00000000-0005-0000-0000-0000EE850000}"/>
    <cellStyle name="40 % - Markeringsfarve5 7 5 4" xfId="38162" xr:uid="{00000000-0005-0000-0000-0000EF850000}"/>
    <cellStyle name="40 % - Markeringsfarve5 7 6" xfId="12905" xr:uid="{00000000-0005-0000-0000-0000F0850000}"/>
    <cellStyle name="40 % - Markeringsfarve5 7 6 2" xfId="29225" xr:uid="{00000000-0005-0000-0000-0000F1850000}"/>
    <cellStyle name="40 % - Markeringsfarve5 7 6 3" xfId="44190" xr:uid="{00000000-0005-0000-0000-0000F2850000}"/>
    <cellStyle name="40 % - Markeringsfarve5 7 7" xfId="22203" xr:uid="{00000000-0005-0000-0000-0000F3850000}"/>
    <cellStyle name="40 % - Markeringsfarve5 7 8" xfId="37191" xr:uid="{00000000-0005-0000-0000-0000F4850000}"/>
    <cellStyle name="40 % - Markeringsfarve5 7 9" xfId="53896" xr:uid="{00000000-0005-0000-0000-0000F5850000}"/>
    <cellStyle name="40 % - Markeringsfarve5 8" xfId="4350" xr:uid="{00000000-0005-0000-0000-0000F6850000}"/>
    <cellStyle name="40 % - Markeringsfarve5 8 2" xfId="4351" xr:uid="{00000000-0005-0000-0000-0000F7850000}"/>
    <cellStyle name="40 % - Markeringsfarve5 8 2 2" xfId="4352" xr:uid="{00000000-0005-0000-0000-0000F8850000}"/>
    <cellStyle name="40 % - Markeringsfarve5 8 2 2 2" xfId="7794" xr:uid="{00000000-0005-0000-0000-0000F9850000}"/>
    <cellStyle name="40 % - Markeringsfarve5 8 2 2 2 2" xfId="15696" xr:uid="{00000000-0005-0000-0000-0000FA850000}"/>
    <cellStyle name="40 % - Markeringsfarve5 8 2 2 2 2 2" xfId="32011" xr:uid="{00000000-0005-0000-0000-0000FB850000}"/>
    <cellStyle name="40 % - Markeringsfarve5 8 2 2 2 2 3" xfId="46975" xr:uid="{00000000-0005-0000-0000-0000FC850000}"/>
    <cellStyle name="40 % - Markeringsfarve5 8 2 2 2 3" xfId="24989" xr:uid="{00000000-0005-0000-0000-0000FD850000}"/>
    <cellStyle name="40 % - Markeringsfarve5 8 2 2 2 4" xfId="39976" xr:uid="{00000000-0005-0000-0000-0000FE850000}"/>
    <cellStyle name="40 % - Markeringsfarve5 8 2 2 3" xfId="12912" xr:uid="{00000000-0005-0000-0000-0000FF850000}"/>
    <cellStyle name="40 % - Markeringsfarve5 8 2 2 3 2" xfId="29232" xr:uid="{00000000-0005-0000-0000-000000860000}"/>
    <cellStyle name="40 % - Markeringsfarve5 8 2 2 3 3" xfId="44197" xr:uid="{00000000-0005-0000-0000-000001860000}"/>
    <cellStyle name="40 % - Markeringsfarve5 8 2 2 4" xfId="22210" xr:uid="{00000000-0005-0000-0000-000002860000}"/>
    <cellStyle name="40 % - Markeringsfarve5 8 2 2 5" xfId="37198" xr:uid="{00000000-0005-0000-0000-000003860000}"/>
    <cellStyle name="40 % - Markeringsfarve5 8 2 3" xfId="6339" xr:uid="{00000000-0005-0000-0000-000004860000}"/>
    <cellStyle name="40 % - Markeringsfarve5 8 2 3 2" xfId="14254" xr:uid="{00000000-0005-0000-0000-000005860000}"/>
    <cellStyle name="40 % - Markeringsfarve5 8 2 3 2 2" xfId="30569" xr:uid="{00000000-0005-0000-0000-000006860000}"/>
    <cellStyle name="40 % - Markeringsfarve5 8 2 3 2 3" xfId="45533" xr:uid="{00000000-0005-0000-0000-000007860000}"/>
    <cellStyle name="40 % - Markeringsfarve5 8 2 3 3" xfId="23547" xr:uid="{00000000-0005-0000-0000-000008860000}"/>
    <cellStyle name="40 % - Markeringsfarve5 8 2 3 4" xfId="38534" xr:uid="{00000000-0005-0000-0000-000009860000}"/>
    <cellStyle name="40 % - Markeringsfarve5 8 2 4" xfId="12911" xr:uid="{00000000-0005-0000-0000-00000A860000}"/>
    <cellStyle name="40 % - Markeringsfarve5 8 2 4 2" xfId="29231" xr:uid="{00000000-0005-0000-0000-00000B860000}"/>
    <cellStyle name="40 % - Markeringsfarve5 8 2 4 3" xfId="44196" xr:uid="{00000000-0005-0000-0000-00000C860000}"/>
    <cellStyle name="40 % - Markeringsfarve5 8 2 5" xfId="22209" xr:uid="{00000000-0005-0000-0000-00000D860000}"/>
    <cellStyle name="40 % - Markeringsfarve5 8 2 6" xfId="37197" xr:uid="{00000000-0005-0000-0000-00000E860000}"/>
    <cellStyle name="40 % - Markeringsfarve5 8 3" xfId="4353" xr:uid="{00000000-0005-0000-0000-00000F860000}"/>
    <cellStyle name="40 % - Markeringsfarve5 8 3 2" xfId="7070" xr:uid="{00000000-0005-0000-0000-000010860000}"/>
    <cellStyle name="40 % - Markeringsfarve5 8 3 2 2" xfId="14981" xr:uid="{00000000-0005-0000-0000-000011860000}"/>
    <cellStyle name="40 % - Markeringsfarve5 8 3 2 2 2" xfId="31296" xr:uid="{00000000-0005-0000-0000-000012860000}"/>
    <cellStyle name="40 % - Markeringsfarve5 8 3 2 2 3" xfId="46260" xr:uid="{00000000-0005-0000-0000-000013860000}"/>
    <cellStyle name="40 % - Markeringsfarve5 8 3 2 3" xfId="24274" xr:uid="{00000000-0005-0000-0000-000014860000}"/>
    <cellStyle name="40 % - Markeringsfarve5 8 3 2 4" xfId="39261" xr:uid="{00000000-0005-0000-0000-000015860000}"/>
    <cellStyle name="40 % - Markeringsfarve5 8 3 3" xfId="12913" xr:uid="{00000000-0005-0000-0000-000016860000}"/>
    <cellStyle name="40 % - Markeringsfarve5 8 3 3 2" xfId="29233" xr:uid="{00000000-0005-0000-0000-000017860000}"/>
    <cellStyle name="40 % - Markeringsfarve5 8 3 3 3" xfId="44198" xr:uid="{00000000-0005-0000-0000-000018860000}"/>
    <cellStyle name="40 % - Markeringsfarve5 8 3 4" xfId="22211" xr:uid="{00000000-0005-0000-0000-000019860000}"/>
    <cellStyle name="40 % - Markeringsfarve5 8 3 5" xfId="37199" xr:uid="{00000000-0005-0000-0000-00001A860000}"/>
    <cellStyle name="40 % - Markeringsfarve5 8 4" xfId="4354" xr:uid="{00000000-0005-0000-0000-00001B860000}"/>
    <cellStyle name="40 % - Markeringsfarve5 8 4 2" xfId="8670" xr:uid="{00000000-0005-0000-0000-00001C860000}"/>
    <cellStyle name="40 % - Markeringsfarve5 8 4 2 2" xfId="16551" xr:uid="{00000000-0005-0000-0000-00001D860000}"/>
    <cellStyle name="40 % - Markeringsfarve5 8 4 2 2 2" xfId="32866" xr:uid="{00000000-0005-0000-0000-00001E860000}"/>
    <cellStyle name="40 % - Markeringsfarve5 8 4 2 2 3" xfId="47830" xr:uid="{00000000-0005-0000-0000-00001F860000}"/>
    <cellStyle name="40 % - Markeringsfarve5 8 4 2 3" xfId="25844" xr:uid="{00000000-0005-0000-0000-000020860000}"/>
    <cellStyle name="40 % - Markeringsfarve5 8 4 2 4" xfId="40831" xr:uid="{00000000-0005-0000-0000-000021860000}"/>
    <cellStyle name="40 % - Markeringsfarve5 8 4 3" xfId="12914" xr:uid="{00000000-0005-0000-0000-000022860000}"/>
    <cellStyle name="40 % - Markeringsfarve5 8 4 3 2" xfId="29234" xr:uid="{00000000-0005-0000-0000-000023860000}"/>
    <cellStyle name="40 % - Markeringsfarve5 8 4 3 3" xfId="44199" xr:uid="{00000000-0005-0000-0000-000024860000}"/>
    <cellStyle name="40 % - Markeringsfarve5 8 4 4" xfId="22212" xr:uid="{00000000-0005-0000-0000-000025860000}"/>
    <cellStyle name="40 % - Markeringsfarve5 8 4 5" xfId="37200" xr:uid="{00000000-0005-0000-0000-000026860000}"/>
    <cellStyle name="40 % - Markeringsfarve5 8 5" xfId="5964" xr:uid="{00000000-0005-0000-0000-000027860000}"/>
    <cellStyle name="40 % - Markeringsfarve5 8 5 2" xfId="13883" xr:uid="{00000000-0005-0000-0000-000028860000}"/>
    <cellStyle name="40 % - Markeringsfarve5 8 5 2 2" xfId="30198" xr:uid="{00000000-0005-0000-0000-000029860000}"/>
    <cellStyle name="40 % - Markeringsfarve5 8 5 2 3" xfId="45162" xr:uid="{00000000-0005-0000-0000-00002A860000}"/>
    <cellStyle name="40 % - Markeringsfarve5 8 5 3" xfId="23176" xr:uid="{00000000-0005-0000-0000-00002B860000}"/>
    <cellStyle name="40 % - Markeringsfarve5 8 5 4" xfId="38163" xr:uid="{00000000-0005-0000-0000-00002C860000}"/>
    <cellStyle name="40 % - Markeringsfarve5 8 6" xfId="12910" xr:uid="{00000000-0005-0000-0000-00002D860000}"/>
    <cellStyle name="40 % - Markeringsfarve5 8 6 2" xfId="29230" xr:uid="{00000000-0005-0000-0000-00002E860000}"/>
    <cellStyle name="40 % - Markeringsfarve5 8 6 3" xfId="44195" xr:uid="{00000000-0005-0000-0000-00002F860000}"/>
    <cellStyle name="40 % - Markeringsfarve5 8 7" xfId="22208" xr:uid="{00000000-0005-0000-0000-000030860000}"/>
    <cellStyle name="40 % - Markeringsfarve5 8 8" xfId="37196" xr:uid="{00000000-0005-0000-0000-000031860000}"/>
    <cellStyle name="40 % - Markeringsfarve5 9" xfId="4355" xr:uid="{00000000-0005-0000-0000-000032860000}"/>
    <cellStyle name="40 % - Markeringsfarve5 9 2" xfId="4356" xr:uid="{00000000-0005-0000-0000-000033860000}"/>
    <cellStyle name="40 % - Markeringsfarve5 9 2 2" xfId="4357" xr:uid="{00000000-0005-0000-0000-000034860000}"/>
    <cellStyle name="40 % - Markeringsfarve5 9 2 2 2" xfId="7911" xr:uid="{00000000-0005-0000-0000-000035860000}"/>
    <cellStyle name="40 % - Markeringsfarve5 9 2 2 2 2" xfId="15813" xr:uid="{00000000-0005-0000-0000-000036860000}"/>
    <cellStyle name="40 % - Markeringsfarve5 9 2 2 2 2 2" xfId="32128" xr:uid="{00000000-0005-0000-0000-000037860000}"/>
    <cellStyle name="40 % - Markeringsfarve5 9 2 2 2 2 3" xfId="47092" xr:uid="{00000000-0005-0000-0000-000038860000}"/>
    <cellStyle name="40 % - Markeringsfarve5 9 2 2 2 3" xfId="25106" xr:uid="{00000000-0005-0000-0000-000039860000}"/>
    <cellStyle name="40 % - Markeringsfarve5 9 2 2 2 4" xfId="40093" xr:uid="{00000000-0005-0000-0000-00003A860000}"/>
    <cellStyle name="40 % - Markeringsfarve5 9 2 2 3" xfId="12917" xr:uid="{00000000-0005-0000-0000-00003B860000}"/>
    <cellStyle name="40 % - Markeringsfarve5 9 2 2 3 2" xfId="29237" xr:uid="{00000000-0005-0000-0000-00003C860000}"/>
    <cellStyle name="40 % - Markeringsfarve5 9 2 2 3 3" xfId="44202" xr:uid="{00000000-0005-0000-0000-00003D860000}"/>
    <cellStyle name="40 % - Markeringsfarve5 9 2 2 4" xfId="22215" xr:uid="{00000000-0005-0000-0000-00003E860000}"/>
    <cellStyle name="40 % - Markeringsfarve5 9 2 2 5" xfId="37203" xr:uid="{00000000-0005-0000-0000-00003F860000}"/>
    <cellStyle name="40 % - Markeringsfarve5 9 2 3" xfId="6438" xr:uid="{00000000-0005-0000-0000-000040860000}"/>
    <cellStyle name="40 % - Markeringsfarve5 9 2 3 2" xfId="14353" xr:uid="{00000000-0005-0000-0000-000041860000}"/>
    <cellStyle name="40 % - Markeringsfarve5 9 2 3 2 2" xfId="30668" xr:uid="{00000000-0005-0000-0000-000042860000}"/>
    <cellStyle name="40 % - Markeringsfarve5 9 2 3 2 3" xfId="45632" xr:uid="{00000000-0005-0000-0000-000043860000}"/>
    <cellStyle name="40 % - Markeringsfarve5 9 2 3 3" xfId="23646" xr:uid="{00000000-0005-0000-0000-000044860000}"/>
    <cellStyle name="40 % - Markeringsfarve5 9 2 3 4" xfId="38633" xr:uid="{00000000-0005-0000-0000-000045860000}"/>
    <cellStyle name="40 % - Markeringsfarve5 9 2 4" xfId="12916" xr:uid="{00000000-0005-0000-0000-000046860000}"/>
    <cellStyle name="40 % - Markeringsfarve5 9 2 4 2" xfId="29236" xr:uid="{00000000-0005-0000-0000-000047860000}"/>
    <cellStyle name="40 % - Markeringsfarve5 9 2 4 3" xfId="44201" xr:uid="{00000000-0005-0000-0000-000048860000}"/>
    <cellStyle name="40 % - Markeringsfarve5 9 2 5" xfId="22214" xr:uid="{00000000-0005-0000-0000-000049860000}"/>
    <cellStyle name="40 % - Markeringsfarve5 9 2 6" xfId="37202" xr:uid="{00000000-0005-0000-0000-00004A860000}"/>
    <cellStyle name="40 % - Markeringsfarve5 9 3" xfId="4358" xr:uid="{00000000-0005-0000-0000-00004B860000}"/>
    <cellStyle name="40 % - Markeringsfarve5 9 3 2" xfId="7187" xr:uid="{00000000-0005-0000-0000-00004C860000}"/>
    <cellStyle name="40 % - Markeringsfarve5 9 3 2 2" xfId="15098" xr:uid="{00000000-0005-0000-0000-00004D860000}"/>
    <cellStyle name="40 % - Markeringsfarve5 9 3 2 2 2" xfId="31413" xr:uid="{00000000-0005-0000-0000-00004E860000}"/>
    <cellStyle name="40 % - Markeringsfarve5 9 3 2 2 3" xfId="46377" xr:uid="{00000000-0005-0000-0000-00004F860000}"/>
    <cellStyle name="40 % - Markeringsfarve5 9 3 2 3" xfId="24391" xr:uid="{00000000-0005-0000-0000-000050860000}"/>
    <cellStyle name="40 % - Markeringsfarve5 9 3 2 4" xfId="39378" xr:uid="{00000000-0005-0000-0000-000051860000}"/>
    <cellStyle name="40 % - Markeringsfarve5 9 3 3" xfId="12918" xr:uid="{00000000-0005-0000-0000-000052860000}"/>
    <cellStyle name="40 % - Markeringsfarve5 9 3 3 2" xfId="29238" xr:uid="{00000000-0005-0000-0000-000053860000}"/>
    <cellStyle name="40 % - Markeringsfarve5 9 3 3 3" xfId="44203" xr:uid="{00000000-0005-0000-0000-000054860000}"/>
    <cellStyle name="40 % - Markeringsfarve5 9 3 4" xfId="22216" xr:uid="{00000000-0005-0000-0000-000055860000}"/>
    <cellStyle name="40 % - Markeringsfarve5 9 3 5" xfId="37204" xr:uid="{00000000-0005-0000-0000-000056860000}"/>
    <cellStyle name="40 % - Markeringsfarve5 9 4" xfId="4359" xr:uid="{00000000-0005-0000-0000-000057860000}"/>
    <cellStyle name="40 % - Markeringsfarve5 9 4 2" xfId="8394" xr:uid="{00000000-0005-0000-0000-000058860000}"/>
    <cellStyle name="40 % - Markeringsfarve5 9 4 2 2" xfId="16287" xr:uid="{00000000-0005-0000-0000-000059860000}"/>
    <cellStyle name="40 % - Markeringsfarve5 9 4 2 2 2" xfId="32602" xr:uid="{00000000-0005-0000-0000-00005A860000}"/>
    <cellStyle name="40 % - Markeringsfarve5 9 4 2 2 3" xfId="47566" xr:uid="{00000000-0005-0000-0000-00005B860000}"/>
    <cellStyle name="40 % - Markeringsfarve5 9 4 2 3" xfId="25580" xr:uid="{00000000-0005-0000-0000-00005C860000}"/>
    <cellStyle name="40 % - Markeringsfarve5 9 4 2 4" xfId="40567" xr:uid="{00000000-0005-0000-0000-00005D860000}"/>
    <cellStyle name="40 % - Markeringsfarve5 9 4 3" xfId="12919" xr:uid="{00000000-0005-0000-0000-00005E860000}"/>
    <cellStyle name="40 % - Markeringsfarve5 9 4 3 2" xfId="29239" xr:uid="{00000000-0005-0000-0000-00005F860000}"/>
    <cellStyle name="40 % - Markeringsfarve5 9 4 3 3" xfId="44204" xr:uid="{00000000-0005-0000-0000-000060860000}"/>
    <cellStyle name="40 % - Markeringsfarve5 9 4 4" xfId="22217" xr:uid="{00000000-0005-0000-0000-000061860000}"/>
    <cellStyle name="40 % - Markeringsfarve5 9 4 5" xfId="37205" xr:uid="{00000000-0005-0000-0000-000062860000}"/>
    <cellStyle name="40 % - Markeringsfarve5 9 5" xfId="5965" xr:uid="{00000000-0005-0000-0000-000063860000}"/>
    <cellStyle name="40 % - Markeringsfarve5 9 5 2" xfId="13884" xr:uid="{00000000-0005-0000-0000-000064860000}"/>
    <cellStyle name="40 % - Markeringsfarve5 9 5 2 2" xfId="30199" xr:uid="{00000000-0005-0000-0000-000065860000}"/>
    <cellStyle name="40 % - Markeringsfarve5 9 5 2 3" xfId="45163" xr:uid="{00000000-0005-0000-0000-000066860000}"/>
    <cellStyle name="40 % - Markeringsfarve5 9 5 3" xfId="23177" xr:uid="{00000000-0005-0000-0000-000067860000}"/>
    <cellStyle name="40 % - Markeringsfarve5 9 5 4" xfId="38164" xr:uid="{00000000-0005-0000-0000-000068860000}"/>
    <cellStyle name="40 % - Markeringsfarve5 9 6" xfId="12915" xr:uid="{00000000-0005-0000-0000-000069860000}"/>
    <cellStyle name="40 % - Markeringsfarve5 9 6 2" xfId="29235" xr:uid="{00000000-0005-0000-0000-00006A860000}"/>
    <cellStyle name="40 % - Markeringsfarve5 9 6 3" xfId="44200" xr:uid="{00000000-0005-0000-0000-00006B860000}"/>
    <cellStyle name="40 % - Markeringsfarve5 9 7" xfId="22213" xr:uid="{00000000-0005-0000-0000-00006C860000}"/>
    <cellStyle name="40 % - Markeringsfarve5 9 8" xfId="37201" xr:uid="{00000000-0005-0000-0000-00006D860000}"/>
    <cellStyle name="40 % - Markeringsfarve6 10" xfId="4361" xr:uid="{00000000-0005-0000-0000-00006E860000}"/>
    <cellStyle name="40 % - Markeringsfarve6 10 2" xfId="4362" xr:uid="{00000000-0005-0000-0000-00006F860000}"/>
    <cellStyle name="40 % - Markeringsfarve6 10 2 2" xfId="4363" xr:uid="{00000000-0005-0000-0000-000070860000}"/>
    <cellStyle name="40 % - Markeringsfarve6 10 2 2 2" xfId="8118" xr:uid="{00000000-0005-0000-0000-000071860000}"/>
    <cellStyle name="40 % - Markeringsfarve6 10 2 2 2 2" xfId="16020" xr:uid="{00000000-0005-0000-0000-000072860000}"/>
    <cellStyle name="40 % - Markeringsfarve6 10 2 2 2 2 2" xfId="32335" xr:uid="{00000000-0005-0000-0000-000073860000}"/>
    <cellStyle name="40 % - Markeringsfarve6 10 2 2 2 2 3" xfId="47299" xr:uid="{00000000-0005-0000-0000-000074860000}"/>
    <cellStyle name="40 % - Markeringsfarve6 10 2 2 2 3" xfId="25313" xr:uid="{00000000-0005-0000-0000-000075860000}"/>
    <cellStyle name="40 % - Markeringsfarve6 10 2 2 2 4" xfId="40300" xr:uid="{00000000-0005-0000-0000-000076860000}"/>
    <cellStyle name="40 % - Markeringsfarve6 10 2 2 3" xfId="12923" xr:uid="{00000000-0005-0000-0000-000077860000}"/>
    <cellStyle name="40 % - Markeringsfarve6 10 2 2 3 2" xfId="29243" xr:uid="{00000000-0005-0000-0000-000078860000}"/>
    <cellStyle name="40 % - Markeringsfarve6 10 2 2 3 3" xfId="44208" xr:uid="{00000000-0005-0000-0000-000079860000}"/>
    <cellStyle name="40 % - Markeringsfarve6 10 2 2 4" xfId="22221" xr:uid="{00000000-0005-0000-0000-00007A860000}"/>
    <cellStyle name="40 % - Markeringsfarve6 10 2 2 5" xfId="37209" xr:uid="{00000000-0005-0000-0000-00007B860000}"/>
    <cellStyle name="40 % - Markeringsfarve6 10 2 3" xfId="6611" xr:uid="{00000000-0005-0000-0000-00007C860000}"/>
    <cellStyle name="40 % - Markeringsfarve6 10 2 3 2" xfId="14526" xr:uid="{00000000-0005-0000-0000-00007D860000}"/>
    <cellStyle name="40 % - Markeringsfarve6 10 2 3 2 2" xfId="30841" xr:uid="{00000000-0005-0000-0000-00007E860000}"/>
    <cellStyle name="40 % - Markeringsfarve6 10 2 3 2 3" xfId="45805" xr:uid="{00000000-0005-0000-0000-00007F860000}"/>
    <cellStyle name="40 % - Markeringsfarve6 10 2 3 3" xfId="23819" xr:uid="{00000000-0005-0000-0000-000080860000}"/>
    <cellStyle name="40 % - Markeringsfarve6 10 2 3 4" xfId="38806" xr:uid="{00000000-0005-0000-0000-000081860000}"/>
    <cellStyle name="40 % - Markeringsfarve6 10 2 4" xfId="12922" xr:uid="{00000000-0005-0000-0000-000082860000}"/>
    <cellStyle name="40 % - Markeringsfarve6 10 2 4 2" xfId="29242" xr:uid="{00000000-0005-0000-0000-000083860000}"/>
    <cellStyle name="40 % - Markeringsfarve6 10 2 4 3" xfId="44207" xr:uid="{00000000-0005-0000-0000-000084860000}"/>
    <cellStyle name="40 % - Markeringsfarve6 10 2 5" xfId="22220" xr:uid="{00000000-0005-0000-0000-000085860000}"/>
    <cellStyle name="40 % - Markeringsfarve6 10 2 6" xfId="37208" xr:uid="{00000000-0005-0000-0000-000086860000}"/>
    <cellStyle name="40 % - Markeringsfarve6 10 3" xfId="4364" xr:uid="{00000000-0005-0000-0000-000087860000}"/>
    <cellStyle name="40 % - Markeringsfarve6 10 3 2" xfId="7395" xr:uid="{00000000-0005-0000-0000-000088860000}"/>
    <cellStyle name="40 % - Markeringsfarve6 10 3 2 2" xfId="15306" xr:uid="{00000000-0005-0000-0000-000089860000}"/>
    <cellStyle name="40 % - Markeringsfarve6 10 3 2 2 2" xfId="31621" xr:uid="{00000000-0005-0000-0000-00008A860000}"/>
    <cellStyle name="40 % - Markeringsfarve6 10 3 2 2 3" xfId="46585" xr:uid="{00000000-0005-0000-0000-00008B860000}"/>
    <cellStyle name="40 % - Markeringsfarve6 10 3 2 3" xfId="24599" xr:uid="{00000000-0005-0000-0000-00008C860000}"/>
    <cellStyle name="40 % - Markeringsfarve6 10 3 2 4" xfId="39586" xr:uid="{00000000-0005-0000-0000-00008D860000}"/>
    <cellStyle name="40 % - Markeringsfarve6 10 3 3" xfId="12924" xr:uid="{00000000-0005-0000-0000-00008E860000}"/>
    <cellStyle name="40 % - Markeringsfarve6 10 3 3 2" xfId="29244" xr:uid="{00000000-0005-0000-0000-00008F860000}"/>
    <cellStyle name="40 % - Markeringsfarve6 10 3 3 3" xfId="44209" xr:uid="{00000000-0005-0000-0000-000090860000}"/>
    <cellStyle name="40 % - Markeringsfarve6 10 3 4" xfId="22222" xr:uid="{00000000-0005-0000-0000-000091860000}"/>
    <cellStyle name="40 % - Markeringsfarve6 10 3 5" xfId="37210" xr:uid="{00000000-0005-0000-0000-000092860000}"/>
    <cellStyle name="40 % - Markeringsfarve6 10 4" xfId="4365" xr:uid="{00000000-0005-0000-0000-000093860000}"/>
    <cellStyle name="40 % - Markeringsfarve6 10 4 2" xfId="8353" xr:uid="{00000000-0005-0000-0000-000094860000}"/>
    <cellStyle name="40 % - Markeringsfarve6 10 4 2 2" xfId="16247" xr:uid="{00000000-0005-0000-0000-000095860000}"/>
    <cellStyle name="40 % - Markeringsfarve6 10 4 2 2 2" xfId="32562" xr:uid="{00000000-0005-0000-0000-000096860000}"/>
    <cellStyle name="40 % - Markeringsfarve6 10 4 2 2 3" xfId="47526" xr:uid="{00000000-0005-0000-0000-000097860000}"/>
    <cellStyle name="40 % - Markeringsfarve6 10 4 2 3" xfId="25540" xr:uid="{00000000-0005-0000-0000-000098860000}"/>
    <cellStyle name="40 % - Markeringsfarve6 10 4 2 4" xfId="40527" xr:uid="{00000000-0005-0000-0000-000099860000}"/>
    <cellStyle name="40 % - Markeringsfarve6 10 4 3" xfId="12925" xr:uid="{00000000-0005-0000-0000-00009A860000}"/>
    <cellStyle name="40 % - Markeringsfarve6 10 4 3 2" xfId="29245" xr:uid="{00000000-0005-0000-0000-00009B860000}"/>
    <cellStyle name="40 % - Markeringsfarve6 10 4 3 3" xfId="44210" xr:uid="{00000000-0005-0000-0000-00009C860000}"/>
    <cellStyle name="40 % - Markeringsfarve6 10 4 4" xfId="22223" xr:uid="{00000000-0005-0000-0000-00009D860000}"/>
    <cellStyle name="40 % - Markeringsfarve6 10 4 5" xfId="37211" xr:uid="{00000000-0005-0000-0000-00009E860000}"/>
    <cellStyle name="40 % - Markeringsfarve6 10 5" xfId="5967" xr:uid="{00000000-0005-0000-0000-00009F860000}"/>
    <cellStyle name="40 % - Markeringsfarve6 10 5 2" xfId="13886" xr:uid="{00000000-0005-0000-0000-0000A0860000}"/>
    <cellStyle name="40 % - Markeringsfarve6 10 5 2 2" xfId="30201" xr:uid="{00000000-0005-0000-0000-0000A1860000}"/>
    <cellStyle name="40 % - Markeringsfarve6 10 5 2 3" xfId="45165" xr:uid="{00000000-0005-0000-0000-0000A2860000}"/>
    <cellStyle name="40 % - Markeringsfarve6 10 5 3" xfId="23179" xr:uid="{00000000-0005-0000-0000-0000A3860000}"/>
    <cellStyle name="40 % - Markeringsfarve6 10 5 4" xfId="38166" xr:uid="{00000000-0005-0000-0000-0000A4860000}"/>
    <cellStyle name="40 % - Markeringsfarve6 10 6" xfId="12921" xr:uid="{00000000-0005-0000-0000-0000A5860000}"/>
    <cellStyle name="40 % - Markeringsfarve6 10 6 2" xfId="29241" xr:uid="{00000000-0005-0000-0000-0000A6860000}"/>
    <cellStyle name="40 % - Markeringsfarve6 10 6 3" xfId="44206" xr:uid="{00000000-0005-0000-0000-0000A7860000}"/>
    <cellStyle name="40 % - Markeringsfarve6 10 7" xfId="22219" xr:uid="{00000000-0005-0000-0000-0000A8860000}"/>
    <cellStyle name="40 % - Markeringsfarve6 10 8" xfId="37207" xr:uid="{00000000-0005-0000-0000-0000A9860000}"/>
    <cellStyle name="40 % - Markeringsfarve6 11" xfId="4366" xr:uid="{00000000-0005-0000-0000-0000AA860000}"/>
    <cellStyle name="40 % - Markeringsfarve6 11 2" xfId="4367" xr:uid="{00000000-0005-0000-0000-0000AB860000}"/>
    <cellStyle name="40 % - Markeringsfarve6 11 2 2" xfId="7438" xr:uid="{00000000-0005-0000-0000-0000AC860000}"/>
    <cellStyle name="40 % - Markeringsfarve6 11 2 2 2" xfId="15340" xr:uid="{00000000-0005-0000-0000-0000AD860000}"/>
    <cellStyle name="40 % - Markeringsfarve6 11 2 2 2 2" xfId="31655" xr:uid="{00000000-0005-0000-0000-0000AE860000}"/>
    <cellStyle name="40 % - Markeringsfarve6 11 2 2 2 3" xfId="46619" xr:uid="{00000000-0005-0000-0000-0000AF860000}"/>
    <cellStyle name="40 % - Markeringsfarve6 11 2 2 3" xfId="24633" xr:uid="{00000000-0005-0000-0000-0000B0860000}"/>
    <cellStyle name="40 % - Markeringsfarve6 11 2 2 4" xfId="39620" xr:uid="{00000000-0005-0000-0000-0000B1860000}"/>
    <cellStyle name="40 % - Markeringsfarve6 11 2 3" xfId="12927" xr:uid="{00000000-0005-0000-0000-0000B2860000}"/>
    <cellStyle name="40 % - Markeringsfarve6 11 2 3 2" xfId="29247" xr:uid="{00000000-0005-0000-0000-0000B3860000}"/>
    <cellStyle name="40 % - Markeringsfarve6 11 2 3 3" xfId="44212" xr:uid="{00000000-0005-0000-0000-0000B4860000}"/>
    <cellStyle name="40 % - Markeringsfarve6 11 2 4" xfId="22225" xr:uid="{00000000-0005-0000-0000-0000B5860000}"/>
    <cellStyle name="40 % - Markeringsfarve6 11 2 5" xfId="37213" xr:uid="{00000000-0005-0000-0000-0000B6860000}"/>
    <cellStyle name="40 % - Markeringsfarve6 11 3" xfId="4368" xr:uid="{00000000-0005-0000-0000-0000B7860000}"/>
    <cellStyle name="40 % - Markeringsfarve6 11 3 2" xfId="8565" xr:uid="{00000000-0005-0000-0000-0000B8860000}"/>
    <cellStyle name="40 % - Markeringsfarve6 11 3 2 2" xfId="16449" xr:uid="{00000000-0005-0000-0000-0000B9860000}"/>
    <cellStyle name="40 % - Markeringsfarve6 11 3 2 2 2" xfId="32764" xr:uid="{00000000-0005-0000-0000-0000BA860000}"/>
    <cellStyle name="40 % - Markeringsfarve6 11 3 2 2 3" xfId="47728" xr:uid="{00000000-0005-0000-0000-0000BB860000}"/>
    <cellStyle name="40 % - Markeringsfarve6 11 3 2 3" xfId="25742" xr:uid="{00000000-0005-0000-0000-0000BC860000}"/>
    <cellStyle name="40 % - Markeringsfarve6 11 3 2 4" xfId="40729" xr:uid="{00000000-0005-0000-0000-0000BD860000}"/>
    <cellStyle name="40 % - Markeringsfarve6 11 3 3" xfId="12928" xr:uid="{00000000-0005-0000-0000-0000BE860000}"/>
    <cellStyle name="40 % - Markeringsfarve6 11 3 3 2" xfId="29248" xr:uid="{00000000-0005-0000-0000-0000BF860000}"/>
    <cellStyle name="40 % - Markeringsfarve6 11 3 3 3" xfId="44213" xr:uid="{00000000-0005-0000-0000-0000C0860000}"/>
    <cellStyle name="40 % - Markeringsfarve6 11 3 4" xfId="22226" xr:uid="{00000000-0005-0000-0000-0000C1860000}"/>
    <cellStyle name="40 % - Markeringsfarve6 11 3 5" xfId="37214" xr:uid="{00000000-0005-0000-0000-0000C2860000}"/>
    <cellStyle name="40 % - Markeringsfarve6 11 4" xfId="5968" xr:uid="{00000000-0005-0000-0000-0000C3860000}"/>
    <cellStyle name="40 % - Markeringsfarve6 11 4 2" xfId="13887" xr:uid="{00000000-0005-0000-0000-0000C4860000}"/>
    <cellStyle name="40 % - Markeringsfarve6 11 4 2 2" xfId="30202" xr:uid="{00000000-0005-0000-0000-0000C5860000}"/>
    <cellStyle name="40 % - Markeringsfarve6 11 4 2 3" xfId="45166" xr:uid="{00000000-0005-0000-0000-0000C6860000}"/>
    <cellStyle name="40 % - Markeringsfarve6 11 4 3" xfId="23180" xr:uid="{00000000-0005-0000-0000-0000C7860000}"/>
    <cellStyle name="40 % - Markeringsfarve6 11 4 4" xfId="38167" xr:uid="{00000000-0005-0000-0000-0000C8860000}"/>
    <cellStyle name="40 % - Markeringsfarve6 11 5" xfId="12926" xr:uid="{00000000-0005-0000-0000-0000C9860000}"/>
    <cellStyle name="40 % - Markeringsfarve6 11 5 2" xfId="29246" xr:uid="{00000000-0005-0000-0000-0000CA860000}"/>
    <cellStyle name="40 % - Markeringsfarve6 11 5 3" xfId="44211" xr:uid="{00000000-0005-0000-0000-0000CB860000}"/>
    <cellStyle name="40 % - Markeringsfarve6 11 6" xfId="22224" xr:uid="{00000000-0005-0000-0000-0000CC860000}"/>
    <cellStyle name="40 % - Markeringsfarve6 11 7" xfId="37212" xr:uid="{00000000-0005-0000-0000-0000CD860000}"/>
    <cellStyle name="40 % - Markeringsfarve6 12" xfId="4369" xr:uid="{00000000-0005-0000-0000-0000CE860000}"/>
    <cellStyle name="40 % - Markeringsfarve6 12 2" xfId="4370" xr:uid="{00000000-0005-0000-0000-0000CF860000}"/>
    <cellStyle name="40 % - Markeringsfarve6 12 2 2" xfId="8215" xr:uid="{00000000-0005-0000-0000-0000D0860000}"/>
    <cellStyle name="40 % - Markeringsfarve6 12 2 2 2" xfId="16110" xr:uid="{00000000-0005-0000-0000-0000D1860000}"/>
    <cellStyle name="40 % - Markeringsfarve6 12 2 2 2 2" xfId="32425" xr:uid="{00000000-0005-0000-0000-0000D2860000}"/>
    <cellStyle name="40 % - Markeringsfarve6 12 2 2 2 3" xfId="47389" xr:uid="{00000000-0005-0000-0000-0000D3860000}"/>
    <cellStyle name="40 % - Markeringsfarve6 12 2 2 3" xfId="25403" xr:uid="{00000000-0005-0000-0000-0000D4860000}"/>
    <cellStyle name="40 % - Markeringsfarve6 12 2 2 4" xfId="40390" xr:uid="{00000000-0005-0000-0000-0000D5860000}"/>
    <cellStyle name="40 % - Markeringsfarve6 12 2 3" xfId="12930" xr:uid="{00000000-0005-0000-0000-0000D6860000}"/>
    <cellStyle name="40 % - Markeringsfarve6 12 2 3 2" xfId="29250" xr:uid="{00000000-0005-0000-0000-0000D7860000}"/>
    <cellStyle name="40 % - Markeringsfarve6 12 2 3 3" xfId="44215" xr:uid="{00000000-0005-0000-0000-0000D8860000}"/>
    <cellStyle name="40 % - Markeringsfarve6 12 2 4" xfId="22228" xr:uid="{00000000-0005-0000-0000-0000D9860000}"/>
    <cellStyle name="40 % - Markeringsfarve6 12 2 5" xfId="37216" xr:uid="{00000000-0005-0000-0000-0000DA860000}"/>
    <cellStyle name="40 % - Markeringsfarve6 12 3" xfId="5969" xr:uid="{00000000-0005-0000-0000-0000DB860000}"/>
    <cellStyle name="40 % - Markeringsfarve6 12 3 2" xfId="13888" xr:uid="{00000000-0005-0000-0000-0000DC860000}"/>
    <cellStyle name="40 % - Markeringsfarve6 12 3 2 2" xfId="30203" xr:uid="{00000000-0005-0000-0000-0000DD860000}"/>
    <cellStyle name="40 % - Markeringsfarve6 12 3 2 3" xfId="45167" xr:uid="{00000000-0005-0000-0000-0000DE860000}"/>
    <cellStyle name="40 % - Markeringsfarve6 12 3 3" xfId="23181" xr:uid="{00000000-0005-0000-0000-0000DF860000}"/>
    <cellStyle name="40 % - Markeringsfarve6 12 3 4" xfId="38168" xr:uid="{00000000-0005-0000-0000-0000E0860000}"/>
    <cellStyle name="40 % - Markeringsfarve6 12 4" xfId="12929" xr:uid="{00000000-0005-0000-0000-0000E1860000}"/>
    <cellStyle name="40 % - Markeringsfarve6 12 4 2" xfId="29249" xr:uid="{00000000-0005-0000-0000-0000E2860000}"/>
    <cellStyle name="40 % - Markeringsfarve6 12 4 3" xfId="44214" xr:uid="{00000000-0005-0000-0000-0000E3860000}"/>
    <cellStyle name="40 % - Markeringsfarve6 12 5" xfId="22227" xr:uid="{00000000-0005-0000-0000-0000E4860000}"/>
    <cellStyle name="40 % - Markeringsfarve6 12 6" xfId="37215" xr:uid="{00000000-0005-0000-0000-0000E5860000}"/>
    <cellStyle name="40 % - Markeringsfarve6 13" xfId="4371" xr:uid="{00000000-0005-0000-0000-0000E6860000}"/>
    <cellStyle name="40 % - Markeringsfarve6 13 2" xfId="4372" xr:uid="{00000000-0005-0000-0000-0000E7860000}"/>
    <cellStyle name="40 % - Markeringsfarve6 13 2 2" xfId="8539" xr:uid="{00000000-0005-0000-0000-0000E8860000}"/>
    <cellStyle name="40 % - Markeringsfarve6 13 2 2 2" xfId="16426" xr:uid="{00000000-0005-0000-0000-0000E9860000}"/>
    <cellStyle name="40 % - Markeringsfarve6 13 2 2 2 2" xfId="32741" xr:uid="{00000000-0005-0000-0000-0000EA860000}"/>
    <cellStyle name="40 % - Markeringsfarve6 13 2 2 2 3" xfId="47705" xr:uid="{00000000-0005-0000-0000-0000EB860000}"/>
    <cellStyle name="40 % - Markeringsfarve6 13 2 2 3" xfId="25719" xr:uid="{00000000-0005-0000-0000-0000EC860000}"/>
    <cellStyle name="40 % - Markeringsfarve6 13 2 2 4" xfId="40706" xr:uid="{00000000-0005-0000-0000-0000ED860000}"/>
    <cellStyle name="40 % - Markeringsfarve6 13 2 3" xfId="12932" xr:uid="{00000000-0005-0000-0000-0000EE860000}"/>
    <cellStyle name="40 % - Markeringsfarve6 13 2 3 2" xfId="29252" xr:uid="{00000000-0005-0000-0000-0000EF860000}"/>
    <cellStyle name="40 % - Markeringsfarve6 13 2 3 3" xfId="44217" xr:uid="{00000000-0005-0000-0000-0000F0860000}"/>
    <cellStyle name="40 % - Markeringsfarve6 13 2 4" xfId="22230" xr:uid="{00000000-0005-0000-0000-0000F1860000}"/>
    <cellStyle name="40 % - Markeringsfarve6 13 2 5" xfId="37218" xr:uid="{00000000-0005-0000-0000-0000F2860000}"/>
    <cellStyle name="40 % - Markeringsfarve6 13 3" xfId="5970" xr:uid="{00000000-0005-0000-0000-0000F3860000}"/>
    <cellStyle name="40 % - Markeringsfarve6 13 3 2" xfId="13889" xr:uid="{00000000-0005-0000-0000-0000F4860000}"/>
    <cellStyle name="40 % - Markeringsfarve6 13 3 2 2" xfId="30204" xr:uid="{00000000-0005-0000-0000-0000F5860000}"/>
    <cellStyle name="40 % - Markeringsfarve6 13 3 2 3" xfId="45168" xr:uid="{00000000-0005-0000-0000-0000F6860000}"/>
    <cellStyle name="40 % - Markeringsfarve6 13 3 3" xfId="23182" xr:uid="{00000000-0005-0000-0000-0000F7860000}"/>
    <cellStyle name="40 % - Markeringsfarve6 13 3 4" xfId="38169" xr:uid="{00000000-0005-0000-0000-0000F8860000}"/>
    <cellStyle name="40 % - Markeringsfarve6 13 4" xfId="12931" xr:uid="{00000000-0005-0000-0000-0000F9860000}"/>
    <cellStyle name="40 % - Markeringsfarve6 13 4 2" xfId="29251" xr:uid="{00000000-0005-0000-0000-0000FA860000}"/>
    <cellStyle name="40 % - Markeringsfarve6 13 4 3" xfId="44216" xr:uid="{00000000-0005-0000-0000-0000FB860000}"/>
    <cellStyle name="40 % - Markeringsfarve6 13 5" xfId="22229" xr:uid="{00000000-0005-0000-0000-0000FC860000}"/>
    <cellStyle name="40 % - Markeringsfarve6 13 6" xfId="37217" xr:uid="{00000000-0005-0000-0000-0000FD860000}"/>
    <cellStyle name="40 % - Markeringsfarve6 14" xfId="4373" xr:uid="{00000000-0005-0000-0000-0000FE860000}"/>
    <cellStyle name="40 % - Markeringsfarve6 14 2" xfId="4374" xr:uid="{00000000-0005-0000-0000-0000FF860000}"/>
    <cellStyle name="40 % - Markeringsfarve6 14 2 2" xfId="8651" xr:uid="{00000000-0005-0000-0000-000000870000}"/>
    <cellStyle name="40 % - Markeringsfarve6 14 2 2 2" xfId="16532" xr:uid="{00000000-0005-0000-0000-000001870000}"/>
    <cellStyle name="40 % - Markeringsfarve6 14 2 2 2 2" xfId="32847" xr:uid="{00000000-0005-0000-0000-000002870000}"/>
    <cellStyle name="40 % - Markeringsfarve6 14 2 2 2 3" xfId="47811" xr:uid="{00000000-0005-0000-0000-000003870000}"/>
    <cellStyle name="40 % - Markeringsfarve6 14 2 2 3" xfId="25825" xr:uid="{00000000-0005-0000-0000-000004870000}"/>
    <cellStyle name="40 % - Markeringsfarve6 14 2 2 4" xfId="40812" xr:uid="{00000000-0005-0000-0000-000005870000}"/>
    <cellStyle name="40 % - Markeringsfarve6 14 2 3" xfId="12934" xr:uid="{00000000-0005-0000-0000-000006870000}"/>
    <cellStyle name="40 % - Markeringsfarve6 14 2 3 2" xfId="29254" xr:uid="{00000000-0005-0000-0000-000007870000}"/>
    <cellStyle name="40 % - Markeringsfarve6 14 2 3 3" xfId="44219" xr:uid="{00000000-0005-0000-0000-000008870000}"/>
    <cellStyle name="40 % - Markeringsfarve6 14 2 4" xfId="22232" xr:uid="{00000000-0005-0000-0000-000009870000}"/>
    <cellStyle name="40 % - Markeringsfarve6 14 2 5" xfId="37220" xr:uid="{00000000-0005-0000-0000-00000A870000}"/>
    <cellStyle name="40 % - Markeringsfarve6 14 3" xfId="5966" xr:uid="{00000000-0005-0000-0000-00000B870000}"/>
    <cellStyle name="40 % - Markeringsfarve6 14 3 2" xfId="13885" xr:uid="{00000000-0005-0000-0000-00000C870000}"/>
    <cellStyle name="40 % - Markeringsfarve6 14 3 2 2" xfId="30200" xr:uid="{00000000-0005-0000-0000-00000D870000}"/>
    <cellStyle name="40 % - Markeringsfarve6 14 3 2 3" xfId="45164" xr:uid="{00000000-0005-0000-0000-00000E870000}"/>
    <cellStyle name="40 % - Markeringsfarve6 14 3 3" xfId="23178" xr:uid="{00000000-0005-0000-0000-00000F870000}"/>
    <cellStyle name="40 % - Markeringsfarve6 14 3 4" xfId="38165" xr:uid="{00000000-0005-0000-0000-000010870000}"/>
    <cellStyle name="40 % - Markeringsfarve6 14 4" xfId="12933" xr:uid="{00000000-0005-0000-0000-000011870000}"/>
    <cellStyle name="40 % - Markeringsfarve6 14 4 2" xfId="29253" xr:uid="{00000000-0005-0000-0000-000012870000}"/>
    <cellStyle name="40 % - Markeringsfarve6 14 4 3" xfId="44218" xr:uid="{00000000-0005-0000-0000-000013870000}"/>
    <cellStyle name="40 % - Markeringsfarve6 14 5" xfId="22231" xr:uid="{00000000-0005-0000-0000-000014870000}"/>
    <cellStyle name="40 % - Markeringsfarve6 14 6" xfId="37219" xr:uid="{00000000-0005-0000-0000-000015870000}"/>
    <cellStyle name="40 % - Markeringsfarve6 15" xfId="4375" xr:uid="{00000000-0005-0000-0000-000016870000}"/>
    <cellStyle name="40 % - Markeringsfarve6 15 2" xfId="6663" xr:uid="{00000000-0005-0000-0000-000017870000}"/>
    <cellStyle name="40 % - Markeringsfarve6 15 2 2" xfId="14577" xr:uid="{00000000-0005-0000-0000-000018870000}"/>
    <cellStyle name="40 % - Markeringsfarve6 15 2 2 2" xfId="30892" xr:uid="{00000000-0005-0000-0000-000019870000}"/>
    <cellStyle name="40 % - Markeringsfarve6 15 2 2 3" xfId="45856" xr:uid="{00000000-0005-0000-0000-00001A870000}"/>
    <cellStyle name="40 % - Markeringsfarve6 15 2 3" xfId="23870" xr:uid="{00000000-0005-0000-0000-00001B870000}"/>
    <cellStyle name="40 % - Markeringsfarve6 15 2 4" xfId="38857" xr:uid="{00000000-0005-0000-0000-00001C870000}"/>
    <cellStyle name="40 % - Markeringsfarve6 15 3" xfId="12935" xr:uid="{00000000-0005-0000-0000-00001D870000}"/>
    <cellStyle name="40 % - Markeringsfarve6 15 3 2" xfId="29255" xr:uid="{00000000-0005-0000-0000-00001E870000}"/>
    <cellStyle name="40 % - Markeringsfarve6 15 3 3" xfId="44220" xr:uid="{00000000-0005-0000-0000-00001F870000}"/>
    <cellStyle name="40 % - Markeringsfarve6 15 4" xfId="22233" xr:uid="{00000000-0005-0000-0000-000020870000}"/>
    <cellStyle name="40 % - Markeringsfarve6 15 5" xfId="37221" xr:uid="{00000000-0005-0000-0000-000021870000}"/>
    <cellStyle name="40 % - Markeringsfarve6 16" xfId="4376" xr:uid="{00000000-0005-0000-0000-000022870000}"/>
    <cellStyle name="40 % - Markeringsfarve6 16 2" xfId="8384" xr:uid="{00000000-0005-0000-0000-000023870000}"/>
    <cellStyle name="40 % - Markeringsfarve6 16 2 2" xfId="16277" xr:uid="{00000000-0005-0000-0000-000024870000}"/>
    <cellStyle name="40 % - Markeringsfarve6 16 2 2 2" xfId="32592" xr:uid="{00000000-0005-0000-0000-000025870000}"/>
    <cellStyle name="40 % - Markeringsfarve6 16 2 2 3" xfId="47556" xr:uid="{00000000-0005-0000-0000-000026870000}"/>
    <cellStyle name="40 % - Markeringsfarve6 16 2 3" xfId="25570" xr:uid="{00000000-0005-0000-0000-000027870000}"/>
    <cellStyle name="40 % - Markeringsfarve6 16 2 4" xfId="40557" xr:uid="{00000000-0005-0000-0000-000028870000}"/>
    <cellStyle name="40 % - Markeringsfarve6 16 3" xfId="12936" xr:uid="{00000000-0005-0000-0000-000029870000}"/>
    <cellStyle name="40 % - Markeringsfarve6 16 3 2" xfId="29256" xr:uid="{00000000-0005-0000-0000-00002A870000}"/>
    <cellStyle name="40 % - Markeringsfarve6 16 3 3" xfId="44221" xr:uid="{00000000-0005-0000-0000-00002B870000}"/>
    <cellStyle name="40 % - Markeringsfarve6 16 4" xfId="22234" xr:uid="{00000000-0005-0000-0000-00002C870000}"/>
    <cellStyle name="40 % - Markeringsfarve6 16 5" xfId="37222" xr:uid="{00000000-0005-0000-0000-00002D870000}"/>
    <cellStyle name="40 % - Markeringsfarve6 17" xfId="4377" xr:uid="{00000000-0005-0000-0000-00002E870000}"/>
    <cellStyle name="40 % - Markeringsfarve6 17 2" xfId="8629" xr:uid="{00000000-0005-0000-0000-00002F870000}"/>
    <cellStyle name="40 % - Markeringsfarve6 17 2 2" xfId="16511" xr:uid="{00000000-0005-0000-0000-000030870000}"/>
    <cellStyle name="40 % - Markeringsfarve6 17 2 2 2" xfId="32826" xr:uid="{00000000-0005-0000-0000-000031870000}"/>
    <cellStyle name="40 % - Markeringsfarve6 17 2 2 3" xfId="47790" xr:uid="{00000000-0005-0000-0000-000032870000}"/>
    <cellStyle name="40 % - Markeringsfarve6 17 2 3" xfId="25804" xr:uid="{00000000-0005-0000-0000-000033870000}"/>
    <cellStyle name="40 % - Markeringsfarve6 17 2 4" xfId="40791" xr:uid="{00000000-0005-0000-0000-000034870000}"/>
    <cellStyle name="40 % - Markeringsfarve6 17 3" xfId="12937" xr:uid="{00000000-0005-0000-0000-000035870000}"/>
    <cellStyle name="40 % - Markeringsfarve6 17 3 2" xfId="29257" xr:uid="{00000000-0005-0000-0000-000036870000}"/>
    <cellStyle name="40 % - Markeringsfarve6 17 3 3" xfId="44222" xr:uid="{00000000-0005-0000-0000-000037870000}"/>
    <cellStyle name="40 % - Markeringsfarve6 17 4" xfId="22235" xr:uid="{00000000-0005-0000-0000-000038870000}"/>
    <cellStyle name="40 % - Markeringsfarve6 17 5" xfId="37223" xr:uid="{00000000-0005-0000-0000-000039870000}"/>
    <cellStyle name="40 % - Markeringsfarve6 18" xfId="5343" xr:uid="{00000000-0005-0000-0000-00003A870000}"/>
    <cellStyle name="40 % - Markeringsfarve6 18 2" xfId="13263" xr:uid="{00000000-0005-0000-0000-00003B870000}"/>
    <cellStyle name="40 % - Markeringsfarve6 18 2 2" xfId="29578" xr:uid="{00000000-0005-0000-0000-00003C870000}"/>
    <cellStyle name="40 % - Markeringsfarve6 18 2 3" xfId="44542" xr:uid="{00000000-0005-0000-0000-00003D870000}"/>
    <cellStyle name="40 % - Markeringsfarve6 18 3" xfId="22556" xr:uid="{00000000-0005-0000-0000-00003E870000}"/>
    <cellStyle name="40 % - Markeringsfarve6 18 4" xfId="37543" xr:uid="{00000000-0005-0000-0000-00003F870000}"/>
    <cellStyle name="40 % - Markeringsfarve6 19" xfId="4360" xr:uid="{00000000-0005-0000-0000-000040870000}"/>
    <cellStyle name="40 % - Markeringsfarve6 19 2" xfId="12920" xr:uid="{00000000-0005-0000-0000-000041870000}"/>
    <cellStyle name="40 % - Markeringsfarve6 19 2 2" xfId="29240" xr:uid="{00000000-0005-0000-0000-000042870000}"/>
    <cellStyle name="40 % - Markeringsfarve6 19 2 3" xfId="44205" xr:uid="{00000000-0005-0000-0000-000043870000}"/>
    <cellStyle name="40 % - Markeringsfarve6 19 3" xfId="22218" xr:uid="{00000000-0005-0000-0000-000044870000}"/>
    <cellStyle name="40 % - Markeringsfarve6 19 4" xfId="37206" xr:uid="{00000000-0005-0000-0000-000045870000}"/>
    <cellStyle name="40 % - Markeringsfarve6 2" xfId="4378" xr:uid="{00000000-0005-0000-0000-000046870000}"/>
    <cellStyle name="40 % - Markeringsfarve6 2 10" xfId="4379" xr:uid="{00000000-0005-0000-0000-000047870000}"/>
    <cellStyle name="40 % - Markeringsfarve6 2 10 2" xfId="6692" xr:uid="{00000000-0005-0000-0000-000048870000}"/>
    <cellStyle name="40 % - Markeringsfarve6 2 10 2 2" xfId="14604" xr:uid="{00000000-0005-0000-0000-000049870000}"/>
    <cellStyle name="40 % - Markeringsfarve6 2 10 2 2 2" xfId="30919" xr:uid="{00000000-0005-0000-0000-00004A870000}"/>
    <cellStyle name="40 % - Markeringsfarve6 2 10 2 2 3" xfId="45883" xr:uid="{00000000-0005-0000-0000-00004B870000}"/>
    <cellStyle name="40 % - Markeringsfarve6 2 10 2 3" xfId="23897" xr:uid="{00000000-0005-0000-0000-00004C870000}"/>
    <cellStyle name="40 % - Markeringsfarve6 2 10 2 4" xfId="38884" xr:uid="{00000000-0005-0000-0000-00004D870000}"/>
    <cellStyle name="40 % - Markeringsfarve6 2 10 3" xfId="12939" xr:uid="{00000000-0005-0000-0000-00004E870000}"/>
    <cellStyle name="40 % - Markeringsfarve6 2 10 3 2" xfId="29259" xr:uid="{00000000-0005-0000-0000-00004F870000}"/>
    <cellStyle name="40 % - Markeringsfarve6 2 10 3 3" xfId="44224" xr:uid="{00000000-0005-0000-0000-000050870000}"/>
    <cellStyle name="40 % - Markeringsfarve6 2 10 4" xfId="22237" xr:uid="{00000000-0005-0000-0000-000051870000}"/>
    <cellStyle name="40 % - Markeringsfarve6 2 10 5" xfId="37225" xr:uid="{00000000-0005-0000-0000-000052870000}"/>
    <cellStyle name="40 % - Markeringsfarve6 2 11" xfId="4380" xr:uid="{00000000-0005-0000-0000-000053870000}"/>
    <cellStyle name="40 % - Markeringsfarve6 2 11 2" xfId="8190" xr:uid="{00000000-0005-0000-0000-000054870000}"/>
    <cellStyle name="40 % - Markeringsfarve6 2 11 2 2" xfId="16087" xr:uid="{00000000-0005-0000-0000-000055870000}"/>
    <cellStyle name="40 % - Markeringsfarve6 2 11 2 2 2" xfId="32402" xr:uid="{00000000-0005-0000-0000-000056870000}"/>
    <cellStyle name="40 % - Markeringsfarve6 2 11 2 2 3" xfId="47366" xr:uid="{00000000-0005-0000-0000-000057870000}"/>
    <cellStyle name="40 % - Markeringsfarve6 2 11 2 3" xfId="25380" xr:uid="{00000000-0005-0000-0000-000058870000}"/>
    <cellStyle name="40 % - Markeringsfarve6 2 11 2 4" xfId="40367" xr:uid="{00000000-0005-0000-0000-000059870000}"/>
    <cellStyle name="40 % - Markeringsfarve6 2 11 3" xfId="12940" xr:uid="{00000000-0005-0000-0000-00005A870000}"/>
    <cellStyle name="40 % - Markeringsfarve6 2 11 3 2" xfId="29260" xr:uid="{00000000-0005-0000-0000-00005B870000}"/>
    <cellStyle name="40 % - Markeringsfarve6 2 11 3 3" xfId="44225" xr:uid="{00000000-0005-0000-0000-00005C870000}"/>
    <cellStyle name="40 % - Markeringsfarve6 2 11 4" xfId="22238" xr:uid="{00000000-0005-0000-0000-00005D870000}"/>
    <cellStyle name="40 % - Markeringsfarve6 2 11 5" xfId="37226" xr:uid="{00000000-0005-0000-0000-00005E870000}"/>
    <cellStyle name="40 % - Markeringsfarve6 2 12" xfId="5971" xr:uid="{00000000-0005-0000-0000-00005F870000}"/>
    <cellStyle name="40 % - Markeringsfarve6 2 12 2" xfId="13890" xr:uid="{00000000-0005-0000-0000-000060870000}"/>
    <cellStyle name="40 % - Markeringsfarve6 2 12 2 2" xfId="30205" xr:uid="{00000000-0005-0000-0000-000061870000}"/>
    <cellStyle name="40 % - Markeringsfarve6 2 12 2 3" xfId="45169" xr:uid="{00000000-0005-0000-0000-000062870000}"/>
    <cellStyle name="40 % - Markeringsfarve6 2 12 3" xfId="23183" xr:uid="{00000000-0005-0000-0000-000063870000}"/>
    <cellStyle name="40 % - Markeringsfarve6 2 12 4" xfId="38170" xr:uid="{00000000-0005-0000-0000-000064870000}"/>
    <cellStyle name="40 % - Markeringsfarve6 2 13" xfId="12938" xr:uid="{00000000-0005-0000-0000-000065870000}"/>
    <cellStyle name="40 % - Markeringsfarve6 2 13 2" xfId="29258" xr:uid="{00000000-0005-0000-0000-000066870000}"/>
    <cellStyle name="40 % - Markeringsfarve6 2 13 3" xfId="44223" xr:uid="{00000000-0005-0000-0000-000067870000}"/>
    <cellStyle name="40 % - Markeringsfarve6 2 14" xfId="22236" xr:uid="{00000000-0005-0000-0000-000068870000}"/>
    <cellStyle name="40 % - Markeringsfarve6 2 15" xfId="37224" xr:uid="{00000000-0005-0000-0000-000069870000}"/>
    <cellStyle name="40 % - Markeringsfarve6 2 16" xfId="53341" xr:uid="{00000000-0005-0000-0000-00006A870000}"/>
    <cellStyle name="40 % - Markeringsfarve6 2 2" xfId="4381" xr:uid="{00000000-0005-0000-0000-00006B870000}"/>
    <cellStyle name="40 % - Markeringsfarve6 2 2 10" xfId="5972" xr:uid="{00000000-0005-0000-0000-00006C870000}"/>
    <cellStyle name="40 % - Markeringsfarve6 2 2 10 2" xfId="13891" xr:uid="{00000000-0005-0000-0000-00006D870000}"/>
    <cellStyle name="40 % - Markeringsfarve6 2 2 10 2 2" xfId="30206" xr:uid="{00000000-0005-0000-0000-00006E870000}"/>
    <cellStyle name="40 % - Markeringsfarve6 2 2 10 2 3" xfId="45170" xr:uid="{00000000-0005-0000-0000-00006F870000}"/>
    <cellStyle name="40 % - Markeringsfarve6 2 2 10 3" xfId="23184" xr:uid="{00000000-0005-0000-0000-000070870000}"/>
    <cellStyle name="40 % - Markeringsfarve6 2 2 10 4" xfId="38171" xr:uid="{00000000-0005-0000-0000-000071870000}"/>
    <cellStyle name="40 % - Markeringsfarve6 2 2 11" xfId="12941" xr:uid="{00000000-0005-0000-0000-000072870000}"/>
    <cellStyle name="40 % - Markeringsfarve6 2 2 11 2" xfId="29261" xr:uid="{00000000-0005-0000-0000-000073870000}"/>
    <cellStyle name="40 % - Markeringsfarve6 2 2 11 3" xfId="44226" xr:uid="{00000000-0005-0000-0000-000074870000}"/>
    <cellStyle name="40 % - Markeringsfarve6 2 2 12" xfId="22239" xr:uid="{00000000-0005-0000-0000-000075870000}"/>
    <cellStyle name="40 % - Markeringsfarve6 2 2 13" xfId="37227" xr:uid="{00000000-0005-0000-0000-000076870000}"/>
    <cellStyle name="40 % - Markeringsfarve6 2 2 14" xfId="53342" xr:uid="{00000000-0005-0000-0000-000077870000}"/>
    <cellStyle name="40 % - Markeringsfarve6 2 2 2" xfId="4382" xr:uid="{00000000-0005-0000-0000-000078870000}"/>
    <cellStyle name="40 % - Markeringsfarve6 2 2 2 2" xfId="4383" xr:uid="{00000000-0005-0000-0000-000079870000}"/>
    <cellStyle name="40 % - Markeringsfarve6 2 2 2 2 2" xfId="4384" xr:uid="{00000000-0005-0000-0000-00007A870000}"/>
    <cellStyle name="40 % - Markeringsfarve6 2 2 2 2 2 2" xfId="7623" xr:uid="{00000000-0005-0000-0000-00007B870000}"/>
    <cellStyle name="40 % - Markeringsfarve6 2 2 2 2 2 2 2" xfId="15525" xr:uid="{00000000-0005-0000-0000-00007C870000}"/>
    <cellStyle name="40 % - Markeringsfarve6 2 2 2 2 2 2 2 2" xfId="31840" xr:uid="{00000000-0005-0000-0000-00007D870000}"/>
    <cellStyle name="40 % - Markeringsfarve6 2 2 2 2 2 2 2 3" xfId="46804" xr:uid="{00000000-0005-0000-0000-00007E870000}"/>
    <cellStyle name="40 % - Markeringsfarve6 2 2 2 2 2 2 3" xfId="24818" xr:uid="{00000000-0005-0000-0000-00007F870000}"/>
    <cellStyle name="40 % - Markeringsfarve6 2 2 2 2 2 2 4" xfId="39805" xr:uid="{00000000-0005-0000-0000-000080870000}"/>
    <cellStyle name="40 % - Markeringsfarve6 2 2 2 2 2 3" xfId="12944" xr:uid="{00000000-0005-0000-0000-000081870000}"/>
    <cellStyle name="40 % - Markeringsfarve6 2 2 2 2 2 3 2" xfId="29264" xr:uid="{00000000-0005-0000-0000-000082870000}"/>
    <cellStyle name="40 % - Markeringsfarve6 2 2 2 2 2 3 3" xfId="44229" xr:uid="{00000000-0005-0000-0000-000083870000}"/>
    <cellStyle name="40 % - Markeringsfarve6 2 2 2 2 2 4" xfId="22242" xr:uid="{00000000-0005-0000-0000-000084870000}"/>
    <cellStyle name="40 % - Markeringsfarve6 2 2 2 2 2 5" xfId="37230" xr:uid="{00000000-0005-0000-0000-000085870000}"/>
    <cellStyle name="40 % - Markeringsfarve6 2 2 2 2 3" xfId="6194" xr:uid="{00000000-0005-0000-0000-000086870000}"/>
    <cellStyle name="40 % - Markeringsfarve6 2 2 2 2 3 2" xfId="14112" xr:uid="{00000000-0005-0000-0000-000087870000}"/>
    <cellStyle name="40 % - Markeringsfarve6 2 2 2 2 3 2 2" xfId="30427" xr:uid="{00000000-0005-0000-0000-000088870000}"/>
    <cellStyle name="40 % - Markeringsfarve6 2 2 2 2 3 2 3" xfId="45391" xr:uid="{00000000-0005-0000-0000-000089870000}"/>
    <cellStyle name="40 % - Markeringsfarve6 2 2 2 2 3 3" xfId="23405" xr:uid="{00000000-0005-0000-0000-00008A870000}"/>
    <cellStyle name="40 % - Markeringsfarve6 2 2 2 2 3 4" xfId="38392" xr:uid="{00000000-0005-0000-0000-00008B870000}"/>
    <cellStyle name="40 % - Markeringsfarve6 2 2 2 2 4" xfId="12943" xr:uid="{00000000-0005-0000-0000-00008C870000}"/>
    <cellStyle name="40 % - Markeringsfarve6 2 2 2 2 4 2" xfId="29263" xr:uid="{00000000-0005-0000-0000-00008D870000}"/>
    <cellStyle name="40 % - Markeringsfarve6 2 2 2 2 4 3" xfId="44228" xr:uid="{00000000-0005-0000-0000-00008E870000}"/>
    <cellStyle name="40 % - Markeringsfarve6 2 2 2 2 5" xfId="22241" xr:uid="{00000000-0005-0000-0000-00008F870000}"/>
    <cellStyle name="40 % - Markeringsfarve6 2 2 2 2 6" xfId="37229" xr:uid="{00000000-0005-0000-0000-000090870000}"/>
    <cellStyle name="40 % - Markeringsfarve6 2 2 2 2 7" xfId="57146" xr:uid="{00000000-0005-0000-0000-000091870000}"/>
    <cellStyle name="40 % - Markeringsfarve6 2 2 2 3" xfId="4385" xr:uid="{00000000-0005-0000-0000-000092870000}"/>
    <cellStyle name="40 % - Markeringsfarve6 2 2 2 3 2" xfId="6853" xr:uid="{00000000-0005-0000-0000-000093870000}"/>
    <cellStyle name="40 % - Markeringsfarve6 2 2 2 3 2 2" xfId="14765" xr:uid="{00000000-0005-0000-0000-000094870000}"/>
    <cellStyle name="40 % - Markeringsfarve6 2 2 2 3 2 2 2" xfId="31080" xr:uid="{00000000-0005-0000-0000-000095870000}"/>
    <cellStyle name="40 % - Markeringsfarve6 2 2 2 3 2 2 3" xfId="46044" xr:uid="{00000000-0005-0000-0000-000096870000}"/>
    <cellStyle name="40 % - Markeringsfarve6 2 2 2 3 2 3" xfId="24058" xr:uid="{00000000-0005-0000-0000-000097870000}"/>
    <cellStyle name="40 % - Markeringsfarve6 2 2 2 3 2 4" xfId="39045" xr:uid="{00000000-0005-0000-0000-000098870000}"/>
    <cellStyle name="40 % - Markeringsfarve6 2 2 2 3 3" xfId="12945" xr:uid="{00000000-0005-0000-0000-000099870000}"/>
    <cellStyle name="40 % - Markeringsfarve6 2 2 2 3 3 2" xfId="29265" xr:uid="{00000000-0005-0000-0000-00009A870000}"/>
    <cellStyle name="40 % - Markeringsfarve6 2 2 2 3 3 3" xfId="44230" xr:uid="{00000000-0005-0000-0000-00009B870000}"/>
    <cellStyle name="40 % - Markeringsfarve6 2 2 2 3 4" xfId="22243" xr:uid="{00000000-0005-0000-0000-00009C870000}"/>
    <cellStyle name="40 % - Markeringsfarve6 2 2 2 3 5" xfId="37231" xr:uid="{00000000-0005-0000-0000-00009D870000}"/>
    <cellStyle name="40 % - Markeringsfarve6 2 2 2 4" xfId="4386" xr:uid="{00000000-0005-0000-0000-00009E870000}"/>
    <cellStyle name="40 % - Markeringsfarve6 2 2 2 4 2" xfId="8484" xr:uid="{00000000-0005-0000-0000-00009F870000}"/>
    <cellStyle name="40 % - Markeringsfarve6 2 2 2 4 2 2" xfId="16373" xr:uid="{00000000-0005-0000-0000-0000A0870000}"/>
    <cellStyle name="40 % - Markeringsfarve6 2 2 2 4 2 2 2" xfId="32688" xr:uid="{00000000-0005-0000-0000-0000A1870000}"/>
    <cellStyle name="40 % - Markeringsfarve6 2 2 2 4 2 2 3" xfId="47652" xr:uid="{00000000-0005-0000-0000-0000A2870000}"/>
    <cellStyle name="40 % - Markeringsfarve6 2 2 2 4 2 3" xfId="25666" xr:uid="{00000000-0005-0000-0000-0000A3870000}"/>
    <cellStyle name="40 % - Markeringsfarve6 2 2 2 4 2 4" xfId="40653" xr:uid="{00000000-0005-0000-0000-0000A4870000}"/>
    <cellStyle name="40 % - Markeringsfarve6 2 2 2 4 3" xfId="12946" xr:uid="{00000000-0005-0000-0000-0000A5870000}"/>
    <cellStyle name="40 % - Markeringsfarve6 2 2 2 4 3 2" xfId="29266" xr:uid="{00000000-0005-0000-0000-0000A6870000}"/>
    <cellStyle name="40 % - Markeringsfarve6 2 2 2 4 3 3" xfId="44231" xr:uid="{00000000-0005-0000-0000-0000A7870000}"/>
    <cellStyle name="40 % - Markeringsfarve6 2 2 2 4 4" xfId="22244" xr:uid="{00000000-0005-0000-0000-0000A8870000}"/>
    <cellStyle name="40 % - Markeringsfarve6 2 2 2 4 5" xfId="37232" xr:uid="{00000000-0005-0000-0000-0000A9870000}"/>
    <cellStyle name="40 % - Markeringsfarve6 2 2 2 5" xfId="5973" xr:uid="{00000000-0005-0000-0000-0000AA870000}"/>
    <cellStyle name="40 % - Markeringsfarve6 2 2 2 5 2" xfId="13892" xr:uid="{00000000-0005-0000-0000-0000AB870000}"/>
    <cellStyle name="40 % - Markeringsfarve6 2 2 2 5 2 2" xfId="30207" xr:uid="{00000000-0005-0000-0000-0000AC870000}"/>
    <cellStyle name="40 % - Markeringsfarve6 2 2 2 5 2 3" xfId="45171" xr:uid="{00000000-0005-0000-0000-0000AD870000}"/>
    <cellStyle name="40 % - Markeringsfarve6 2 2 2 5 3" xfId="23185" xr:uid="{00000000-0005-0000-0000-0000AE870000}"/>
    <cellStyle name="40 % - Markeringsfarve6 2 2 2 5 4" xfId="38172" xr:uid="{00000000-0005-0000-0000-0000AF870000}"/>
    <cellStyle name="40 % - Markeringsfarve6 2 2 2 6" xfId="12942" xr:uid="{00000000-0005-0000-0000-0000B0870000}"/>
    <cellStyle name="40 % - Markeringsfarve6 2 2 2 6 2" xfId="29262" xr:uid="{00000000-0005-0000-0000-0000B1870000}"/>
    <cellStyle name="40 % - Markeringsfarve6 2 2 2 6 3" xfId="44227" xr:uid="{00000000-0005-0000-0000-0000B2870000}"/>
    <cellStyle name="40 % - Markeringsfarve6 2 2 2 7" xfId="22240" xr:uid="{00000000-0005-0000-0000-0000B3870000}"/>
    <cellStyle name="40 % - Markeringsfarve6 2 2 2 8" xfId="37228" xr:uid="{00000000-0005-0000-0000-0000B4870000}"/>
    <cellStyle name="40 % - Markeringsfarve6 2 2 2 9" xfId="53979" xr:uid="{00000000-0005-0000-0000-0000B5870000}"/>
    <cellStyle name="40 % - Markeringsfarve6 2 2 3" xfId="4387" xr:uid="{00000000-0005-0000-0000-0000B6870000}"/>
    <cellStyle name="40 % - Markeringsfarve6 2 2 3 2" xfId="4388" xr:uid="{00000000-0005-0000-0000-0000B7870000}"/>
    <cellStyle name="40 % - Markeringsfarve6 2 2 3 2 2" xfId="4389" xr:uid="{00000000-0005-0000-0000-0000B8870000}"/>
    <cellStyle name="40 % - Markeringsfarve6 2 2 3 2 2 2" xfId="7766" xr:uid="{00000000-0005-0000-0000-0000B9870000}"/>
    <cellStyle name="40 % - Markeringsfarve6 2 2 3 2 2 2 2" xfId="15668" xr:uid="{00000000-0005-0000-0000-0000BA870000}"/>
    <cellStyle name="40 % - Markeringsfarve6 2 2 3 2 2 2 2 2" xfId="31983" xr:uid="{00000000-0005-0000-0000-0000BB870000}"/>
    <cellStyle name="40 % - Markeringsfarve6 2 2 3 2 2 2 2 3" xfId="46947" xr:uid="{00000000-0005-0000-0000-0000BC870000}"/>
    <cellStyle name="40 % - Markeringsfarve6 2 2 3 2 2 2 3" xfId="24961" xr:uid="{00000000-0005-0000-0000-0000BD870000}"/>
    <cellStyle name="40 % - Markeringsfarve6 2 2 3 2 2 2 4" xfId="39948" xr:uid="{00000000-0005-0000-0000-0000BE870000}"/>
    <cellStyle name="40 % - Markeringsfarve6 2 2 3 2 2 3" xfId="12949" xr:uid="{00000000-0005-0000-0000-0000BF870000}"/>
    <cellStyle name="40 % - Markeringsfarve6 2 2 3 2 2 3 2" xfId="29269" xr:uid="{00000000-0005-0000-0000-0000C0870000}"/>
    <cellStyle name="40 % - Markeringsfarve6 2 2 3 2 2 3 3" xfId="44234" xr:uid="{00000000-0005-0000-0000-0000C1870000}"/>
    <cellStyle name="40 % - Markeringsfarve6 2 2 3 2 2 4" xfId="22247" xr:uid="{00000000-0005-0000-0000-0000C2870000}"/>
    <cellStyle name="40 % - Markeringsfarve6 2 2 3 2 2 5" xfId="37235" xr:uid="{00000000-0005-0000-0000-0000C3870000}"/>
    <cellStyle name="40 % - Markeringsfarve6 2 2 3 2 3" xfId="6312" xr:uid="{00000000-0005-0000-0000-0000C4870000}"/>
    <cellStyle name="40 % - Markeringsfarve6 2 2 3 2 3 2" xfId="14230" xr:uid="{00000000-0005-0000-0000-0000C5870000}"/>
    <cellStyle name="40 % - Markeringsfarve6 2 2 3 2 3 2 2" xfId="30545" xr:uid="{00000000-0005-0000-0000-0000C6870000}"/>
    <cellStyle name="40 % - Markeringsfarve6 2 2 3 2 3 2 3" xfId="45509" xr:uid="{00000000-0005-0000-0000-0000C7870000}"/>
    <cellStyle name="40 % - Markeringsfarve6 2 2 3 2 3 3" xfId="23523" xr:uid="{00000000-0005-0000-0000-0000C8870000}"/>
    <cellStyle name="40 % - Markeringsfarve6 2 2 3 2 3 4" xfId="38510" xr:uid="{00000000-0005-0000-0000-0000C9870000}"/>
    <cellStyle name="40 % - Markeringsfarve6 2 2 3 2 4" xfId="12948" xr:uid="{00000000-0005-0000-0000-0000CA870000}"/>
    <cellStyle name="40 % - Markeringsfarve6 2 2 3 2 4 2" xfId="29268" xr:uid="{00000000-0005-0000-0000-0000CB870000}"/>
    <cellStyle name="40 % - Markeringsfarve6 2 2 3 2 4 3" xfId="44233" xr:uid="{00000000-0005-0000-0000-0000CC870000}"/>
    <cellStyle name="40 % - Markeringsfarve6 2 2 3 2 5" xfId="22246" xr:uid="{00000000-0005-0000-0000-0000CD870000}"/>
    <cellStyle name="40 % - Markeringsfarve6 2 2 3 2 6" xfId="37234" xr:uid="{00000000-0005-0000-0000-0000CE870000}"/>
    <cellStyle name="40 % - Markeringsfarve6 2 2 3 3" xfId="4390" xr:uid="{00000000-0005-0000-0000-0000CF870000}"/>
    <cellStyle name="40 % - Markeringsfarve6 2 2 3 3 2" xfId="6996" xr:uid="{00000000-0005-0000-0000-0000D0870000}"/>
    <cellStyle name="40 % - Markeringsfarve6 2 2 3 3 2 2" xfId="14908" xr:uid="{00000000-0005-0000-0000-0000D1870000}"/>
    <cellStyle name="40 % - Markeringsfarve6 2 2 3 3 2 2 2" xfId="31223" xr:uid="{00000000-0005-0000-0000-0000D2870000}"/>
    <cellStyle name="40 % - Markeringsfarve6 2 2 3 3 2 2 3" xfId="46187" xr:uid="{00000000-0005-0000-0000-0000D3870000}"/>
    <cellStyle name="40 % - Markeringsfarve6 2 2 3 3 2 3" xfId="24201" xr:uid="{00000000-0005-0000-0000-0000D4870000}"/>
    <cellStyle name="40 % - Markeringsfarve6 2 2 3 3 2 4" xfId="39188" xr:uid="{00000000-0005-0000-0000-0000D5870000}"/>
    <cellStyle name="40 % - Markeringsfarve6 2 2 3 3 3" xfId="12950" xr:uid="{00000000-0005-0000-0000-0000D6870000}"/>
    <cellStyle name="40 % - Markeringsfarve6 2 2 3 3 3 2" xfId="29270" xr:uid="{00000000-0005-0000-0000-0000D7870000}"/>
    <cellStyle name="40 % - Markeringsfarve6 2 2 3 3 3 3" xfId="44235" xr:uid="{00000000-0005-0000-0000-0000D8870000}"/>
    <cellStyle name="40 % - Markeringsfarve6 2 2 3 3 4" xfId="22248" xr:uid="{00000000-0005-0000-0000-0000D9870000}"/>
    <cellStyle name="40 % - Markeringsfarve6 2 2 3 3 5" xfId="37236" xr:uid="{00000000-0005-0000-0000-0000DA870000}"/>
    <cellStyle name="40 % - Markeringsfarve6 2 2 3 4" xfId="4391" xr:uid="{00000000-0005-0000-0000-0000DB870000}"/>
    <cellStyle name="40 % - Markeringsfarve6 2 2 3 4 2" xfId="8699" xr:uid="{00000000-0005-0000-0000-0000DC870000}"/>
    <cellStyle name="40 % - Markeringsfarve6 2 2 3 4 2 2" xfId="16576" xr:uid="{00000000-0005-0000-0000-0000DD870000}"/>
    <cellStyle name="40 % - Markeringsfarve6 2 2 3 4 2 2 2" xfId="32891" xr:uid="{00000000-0005-0000-0000-0000DE870000}"/>
    <cellStyle name="40 % - Markeringsfarve6 2 2 3 4 2 2 3" xfId="47855" xr:uid="{00000000-0005-0000-0000-0000DF870000}"/>
    <cellStyle name="40 % - Markeringsfarve6 2 2 3 4 2 3" xfId="25869" xr:uid="{00000000-0005-0000-0000-0000E0870000}"/>
    <cellStyle name="40 % - Markeringsfarve6 2 2 3 4 2 4" xfId="40856" xr:uid="{00000000-0005-0000-0000-0000E1870000}"/>
    <cellStyle name="40 % - Markeringsfarve6 2 2 3 4 3" xfId="12951" xr:uid="{00000000-0005-0000-0000-0000E2870000}"/>
    <cellStyle name="40 % - Markeringsfarve6 2 2 3 4 3 2" xfId="29271" xr:uid="{00000000-0005-0000-0000-0000E3870000}"/>
    <cellStyle name="40 % - Markeringsfarve6 2 2 3 4 3 3" xfId="44236" xr:uid="{00000000-0005-0000-0000-0000E4870000}"/>
    <cellStyle name="40 % - Markeringsfarve6 2 2 3 4 4" xfId="22249" xr:uid="{00000000-0005-0000-0000-0000E5870000}"/>
    <cellStyle name="40 % - Markeringsfarve6 2 2 3 4 5" xfId="37237" xr:uid="{00000000-0005-0000-0000-0000E6870000}"/>
    <cellStyle name="40 % - Markeringsfarve6 2 2 3 5" xfId="5974" xr:uid="{00000000-0005-0000-0000-0000E7870000}"/>
    <cellStyle name="40 % - Markeringsfarve6 2 2 3 5 2" xfId="13893" xr:uid="{00000000-0005-0000-0000-0000E8870000}"/>
    <cellStyle name="40 % - Markeringsfarve6 2 2 3 5 2 2" xfId="30208" xr:uid="{00000000-0005-0000-0000-0000E9870000}"/>
    <cellStyle name="40 % - Markeringsfarve6 2 2 3 5 2 3" xfId="45172" xr:uid="{00000000-0005-0000-0000-0000EA870000}"/>
    <cellStyle name="40 % - Markeringsfarve6 2 2 3 5 3" xfId="23186" xr:uid="{00000000-0005-0000-0000-0000EB870000}"/>
    <cellStyle name="40 % - Markeringsfarve6 2 2 3 5 4" xfId="38173" xr:uid="{00000000-0005-0000-0000-0000EC870000}"/>
    <cellStyle name="40 % - Markeringsfarve6 2 2 3 6" xfId="12947" xr:uid="{00000000-0005-0000-0000-0000ED870000}"/>
    <cellStyle name="40 % - Markeringsfarve6 2 2 3 6 2" xfId="29267" xr:uid="{00000000-0005-0000-0000-0000EE870000}"/>
    <cellStyle name="40 % - Markeringsfarve6 2 2 3 6 3" xfId="44232" xr:uid="{00000000-0005-0000-0000-0000EF870000}"/>
    <cellStyle name="40 % - Markeringsfarve6 2 2 3 7" xfId="22245" xr:uid="{00000000-0005-0000-0000-0000F0870000}"/>
    <cellStyle name="40 % - Markeringsfarve6 2 2 3 8" xfId="37233" xr:uid="{00000000-0005-0000-0000-0000F1870000}"/>
    <cellStyle name="40 % - Markeringsfarve6 2 2 3 9" xfId="56523" xr:uid="{00000000-0005-0000-0000-0000F2870000}"/>
    <cellStyle name="40 % - Markeringsfarve6 2 2 4" xfId="4392" xr:uid="{00000000-0005-0000-0000-0000F3870000}"/>
    <cellStyle name="40 % - Markeringsfarve6 2 2 4 2" xfId="4393" xr:uid="{00000000-0005-0000-0000-0000F4870000}"/>
    <cellStyle name="40 % - Markeringsfarve6 2 2 4 2 2" xfId="4394" xr:uid="{00000000-0005-0000-0000-0000F5870000}"/>
    <cellStyle name="40 % - Markeringsfarve6 2 2 4 2 2 2" xfId="7861" xr:uid="{00000000-0005-0000-0000-0000F6870000}"/>
    <cellStyle name="40 % - Markeringsfarve6 2 2 4 2 2 2 2" xfId="15763" xr:uid="{00000000-0005-0000-0000-0000F7870000}"/>
    <cellStyle name="40 % - Markeringsfarve6 2 2 4 2 2 2 2 2" xfId="32078" xr:uid="{00000000-0005-0000-0000-0000F8870000}"/>
    <cellStyle name="40 % - Markeringsfarve6 2 2 4 2 2 2 2 3" xfId="47042" xr:uid="{00000000-0005-0000-0000-0000F9870000}"/>
    <cellStyle name="40 % - Markeringsfarve6 2 2 4 2 2 2 3" xfId="25056" xr:uid="{00000000-0005-0000-0000-0000FA870000}"/>
    <cellStyle name="40 % - Markeringsfarve6 2 2 4 2 2 2 4" xfId="40043" xr:uid="{00000000-0005-0000-0000-0000FB870000}"/>
    <cellStyle name="40 % - Markeringsfarve6 2 2 4 2 2 3" xfId="12954" xr:uid="{00000000-0005-0000-0000-0000FC870000}"/>
    <cellStyle name="40 % - Markeringsfarve6 2 2 4 2 2 3 2" xfId="29274" xr:uid="{00000000-0005-0000-0000-0000FD870000}"/>
    <cellStyle name="40 % - Markeringsfarve6 2 2 4 2 2 3 3" xfId="44239" xr:uid="{00000000-0005-0000-0000-0000FE870000}"/>
    <cellStyle name="40 % - Markeringsfarve6 2 2 4 2 2 4" xfId="22252" xr:uid="{00000000-0005-0000-0000-0000FF870000}"/>
    <cellStyle name="40 % - Markeringsfarve6 2 2 4 2 2 5" xfId="37240" xr:uid="{00000000-0005-0000-0000-000000880000}"/>
    <cellStyle name="40 % - Markeringsfarve6 2 2 4 2 3" xfId="6396" xr:uid="{00000000-0005-0000-0000-000001880000}"/>
    <cellStyle name="40 % - Markeringsfarve6 2 2 4 2 3 2" xfId="14311" xr:uid="{00000000-0005-0000-0000-000002880000}"/>
    <cellStyle name="40 % - Markeringsfarve6 2 2 4 2 3 2 2" xfId="30626" xr:uid="{00000000-0005-0000-0000-000003880000}"/>
    <cellStyle name="40 % - Markeringsfarve6 2 2 4 2 3 2 3" xfId="45590" xr:uid="{00000000-0005-0000-0000-000004880000}"/>
    <cellStyle name="40 % - Markeringsfarve6 2 2 4 2 3 3" xfId="23604" xr:uid="{00000000-0005-0000-0000-000005880000}"/>
    <cellStyle name="40 % - Markeringsfarve6 2 2 4 2 3 4" xfId="38591" xr:uid="{00000000-0005-0000-0000-000006880000}"/>
    <cellStyle name="40 % - Markeringsfarve6 2 2 4 2 4" xfId="12953" xr:uid="{00000000-0005-0000-0000-000007880000}"/>
    <cellStyle name="40 % - Markeringsfarve6 2 2 4 2 4 2" xfId="29273" xr:uid="{00000000-0005-0000-0000-000008880000}"/>
    <cellStyle name="40 % - Markeringsfarve6 2 2 4 2 4 3" xfId="44238" xr:uid="{00000000-0005-0000-0000-000009880000}"/>
    <cellStyle name="40 % - Markeringsfarve6 2 2 4 2 5" xfId="22251" xr:uid="{00000000-0005-0000-0000-00000A880000}"/>
    <cellStyle name="40 % - Markeringsfarve6 2 2 4 2 6" xfId="37239" xr:uid="{00000000-0005-0000-0000-00000B880000}"/>
    <cellStyle name="40 % - Markeringsfarve6 2 2 4 3" xfId="4395" xr:uid="{00000000-0005-0000-0000-00000C880000}"/>
    <cellStyle name="40 % - Markeringsfarve6 2 2 4 3 2" xfId="7137" xr:uid="{00000000-0005-0000-0000-00000D880000}"/>
    <cellStyle name="40 % - Markeringsfarve6 2 2 4 3 2 2" xfId="15048" xr:uid="{00000000-0005-0000-0000-00000E880000}"/>
    <cellStyle name="40 % - Markeringsfarve6 2 2 4 3 2 2 2" xfId="31363" xr:uid="{00000000-0005-0000-0000-00000F880000}"/>
    <cellStyle name="40 % - Markeringsfarve6 2 2 4 3 2 2 3" xfId="46327" xr:uid="{00000000-0005-0000-0000-000010880000}"/>
    <cellStyle name="40 % - Markeringsfarve6 2 2 4 3 2 3" xfId="24341" xr:uid="{00000000-0005-0000-0000-000011880000}"/>
    <cellStyle name="40 % - Markeringsfarve6 2 2 4 3 2 4" xfId="39328" xr:uid="{00000000-0005-0000-0000-000012880000}"/>
    <cellStyle name="40 % - Markeringsfarve6 2 2 4 3 3" xfId="12955" xr:uid="{00000000-0005-0000-0000-000013880000}"/>
    <cellStyle name="40 % - Markeringsfarve6 2 2 4 3 3 2" xfId="29275" xr:uid="{00000000-0005-0000-0000-000014880000}"/>
    <cellStyle name="40 % - Markeringsfarve6 2 2 4 3 3 3" xfId="44240" xr:uid="{00000000-0005-0000-0000-000015880000}"/>
    <cellStyle name="40 % - Markeringsfarve6 2 2 4 3 4" xfId="22253" xr:uid="{00000000-0005-0000-0000-000016880000}"/>
    <cellStyle name="40 % - Markeringsfarve6 2 2 4 3 5" xfId="37241" xr:uid="{00000000-0005-0000-0000-000017880000}"/>
    <cellStyle name="40 % - Markeringsfarve6 2 2 4 4" xfId="4396" xr:uid="{00000000-0005-0000-0000-000018880000}"/>
    <cellStyle name="40 % - Markeringsfarve6 2 2 4 4 2" xfId="8419" xr:uid="{00000000-0005-0000-0000-000019880000}"/>
    <cellStyle name="40 % - Markeringsfarve6 2 2 4 4 2 2" xfId="16309" xr:uid="{00000000-0005-0000-0000-00001A880000}"/>
    <cellStyle name="40 % - Markeringsfarve6 2 2 4 4 2 2 2" xfId="32624" xr:uid="{00000000-0005-0000-0000-00001B880000}"/>
    <cellStyle name="40 % - Markeringsfarve6 2 2 4 4 2 2 3" xfId="47588" xr:uid="{00000000-0005-0000-0000-00001C880000}"/>
    <cellStyle name="40 % - Markeringsfarve6 2 2 4 4 2 3" xfId="25602" xr:uid="{00000000-0005-0000-0000-00001D880000}"/>
    <cellStyle name="40 % - Markeringsfarve6 2 2 4 4 2 4" xfId="40589" xr:uid="{00000000-0005-0000-0000-00001E880000}"/>
    <cellStyle name="40 % - Markeringsfarve6 2 2 4 4 3" xfId="12956" xr:uid="{00000000-0005-0000-0000-00001F880000}"/>
    <cellStyle name="40 % - Markeringsfarve6 2 2 4 4 3 2" xfId="29276" xr:uid="{00000000-0005-0000-0000-000020880000}"/>
    <cellStyle name="40 % - Markeringsfarve6 2 2 4 4 3 3" xfId="44241" xr:uid="{00000000-0005-0000-0000-000021880000}"/>
    <cellStyle name="40 % - Markeringsfarve6 2 2 4 4 4" xfId="22254" xr:uid="{00000000-0005-0000-0000-000022880000}"/>
    <cellStyle name="40 % - Markeringsfarve6 2 2 4 4 5" xfId="37242" xr:uid="{00000000-0005-0000-0000-000023880000}"/>
    <cellStyle name="40 % - Markeringsfarve6 2 2 4 5" xfId="5975" xr:uid="{00000000-0005-0000-0000-000024880000}"/>
    <cellStyle name="40 % - Markeringsfarve6 2 2 4 5 2" xfId="13894" xr:uid="{00000000-0005-0000-0000-000025880000}"/>
    <cellStyle name="40 % - Markeringsfarve6 2 2 4 5 2 2" xfId="30209" xr:uid="{00000000-0005-0000-0000-000026880000}"/>
    <cellStyle name="40 % - Markeringsfarve6 2 2 4 5 2 3" xfId="45173" xr:uid="{00000000-0005-0000-0000-000027880000}"/>
    <cellStyle name="40 % - Markeringsfarve6 2 2 4 5 3" xfId="23187" xr:uid="{00000000-0005-0000-0000-000028880000}"/>
    <cellStyle name="40 % - Markeringsfarve6 2 2 4 5 4" xfId="38174" xr:uid="{00000000-0005-0000-0000-000029880000}"/>
    <cellStyle name="40 % - Markeringsfarve6 2 2 4 6" xfId="12952" xr:uid="{00000000-0005-0000-0000-00002A880000}"/>
    <cellStyle name="40 % - Markeringsfarve6 2 2 4 6 2" xfId="29272" xr:uid="{00000000-0005-0000-0000-00002B880000}"/>
    <cellStyle name="40 % - Markeringsfarve6 2 2 4 6 3" xfId="44237" xr:uid="{00000000-0005-0000-0000-00002C880000}"/>
    <cellStyle name="40 % - Markeringsfarve6 2 2 4 7" xfId="22250" xr:uid="{00000000-0005-0000-0000-00002D880000}"/>
    <cellStyle name="40 % - Markeringsfarve6 2 2 4 8" xfId="37238" xr:uid="{00000000-0005-0000-0000-00002E880000}"/>
    <cellStyle name="40 % - Markeringsfarve6 2 2 5" xfId="4397" xr:uid="{00000000-0005-0000-0000-00002F880000}"/>
    <cellStyle name="40 % - Markeringsfarve6 2 2 5 2" xfId="4398" xr:uid="{00000000-0005-0000-0000-000030880000}"/>
    <cellStyle name="40 % - Markeringsfarve6 2 2 5 2 2" xfId="4399" xr:uid="{00000000-0005-0000-0000-000031880000}"/>
    <cellStyle name="40 % - Markeringsfarve6 2 2 5 2 2 2" xfId="7978" xr:uid="{00000000-0005-0000-0000-000032880000}"/>
    <cellStyle name="40 % - Markeringsfarve6 2 2 5 2 2 2 2" xfId="15880" xr:uid="{00000000-0005-0000-0000-000033880000}"/>
    <cellStyle name="40 % - Markeringsfarve6 2 2 5 2 2 2 2 2" xfId="32195" xr:uid="{00000000-0005-0000-0000-000034880000}"/>
    <cellStyle name="40 % - Markeringsfarve6 2 2 5 2 2 2 2 3" xfId="47159" xr:uid="{00000000-0005-0000-0000-000035880000}"/>
    <cellStyle name="40 % - Markeringsfarve6 2 2 5 2 2 2 3" xfId="25173" xr:uid="{00000000-0005-0000-0000-000036880000}"/>
    <cellStyle name="40 % - Markeringsfarve6 2 2 5 2 2 2 4" xfId="40160" xr:uid="{00000000-0005-0000-0000-000037880000}"/>
    <cellStyle name="40 % - Markeringsfarve6 2 2 5 2 2 3" xfId="12959" xr:uid="{00000000-0005-0000-0000-000038880000}"/>
    <cellStyle name="40 % - Markeringsfarve6 2 2 5 2 2 3 2" xfId="29279" xr:uid="{00000000-0005-0000-0000-000039880000}"/>
    <cellStyle name="40 % - Markeringsfarve6 2 2 5 2 2 3 3" xfId="44244" xr:uid="{00000000-0005-0000-0000-00003A880000}"/>
    <cellStyle name="40 % - Markeringsfarve6 2 2 5 2 2 4" xfId="22257" xr:uid="{00000000-0005-0000-0000-00003B880000}"/>
    <cellStyle name="40 % - Markeringsfarve6 2 2 5 2 2 5" xfId="37245" xr:uid="{00000000-0005-0000-0000-00003C880000}"/>
    <cellStyle name="40 % - Markeringsfarve6 2 2 5 2 3" xfId="6495" xr:uid="{00000000-0005-0000-0000-00003D880000}"/>
    <cellStyle name="40 % - Markeringsfarve6 2 2 5 2 3 2" xfId="14410" xr:uid="{00000000-0005-0000-0000-00003E880000}"/>
    <cellStyle name="40 % - Markeringsfarve6 2 2 5 2 3 2 2" xfId="30725" xr:uid="{00000000-0005-0000-0000-00003F880000}"/>
    <cellStyle name="40 % - Markeringsfarve6 2 2 5 2 3 2 3" xfId="45689" xr:uid="{00000000-0005-0000-0000-000040880000}"/>
    <cellStyle name="40 % - Markeringsfarve6 2 2 5 2 3 3" xfId="23703" xr:uid="{00000000-0005-0000-0000-000041880000}"/>
    <cellStyle name="40 % - Markeringsfarve6 2 2 5 2 3 4" xfId="38690" xr:uid="{00000000-0005-0000-0000-000042880000}"/>
    <cellStyle name="40 % - Markeringsfarve6 2 2 5 2 4" xfId="12958" xr:uid="{00000000-0005-0000-0000-000043880000}"/>
    <cellStyle name="40 % - Markeringsfarve6 2 2 5 2 4 2" xfId="29278" xr:uid="{00000000-0005-0000-0000-000044880000}"/>
    <cellStyle name="40 % - Markeringsfarve6 2 2 5 2 4 3" xfId="44243" xr:uid="{00000000-0005-0000-0000-000045880000}"/>
    <cellStyle name="40 % - Markeringsfarve6 2 2 5 2 5" xfId="22256" xr:uid="{00000000-0005-0000-0000-000046880000}"/>
    <cellStyle name="40 % - Markeringsfarve6 2 2 5 2 6" xfId="37244" xr:uid="{00000000-0005-0000-0000-000047880000}"/>
    <cellStyle name="40 % - Markeringsfarve6 2 2 5 3" xfId="4400" xr:uid="{00000000-0005-0000-0000-000048880000}"/>
    <cellStyle name="40 % - Markeringsfarve6 2 2 5 3 2" xfId="7254" xr:uid="{00000000-0005-0000-0000-000049880000}"/>
    <cellStyle name="40 % - Markeringsfarve6 2 2 5 3 2 2" xfId="15165" xr:uid="{00000000-0005-0000-0000-00004A880000}"/>
    <cellStyle name="40 % - Markeringsfarve6 2 2 5 3 2 2 2" xfId="31480" xr:uid="{00000000-0005-0000-0000-00004B880000}"/>
    <cellStyle name="40 % - Markeringsfarve6 2 2 5 3 2 2 3" xfId="46444" xr:uid="{00000000-0005-0000-0000-00004C880000}"/>
    <cellStyle name="40 % - Markeringsfarve6 2 2 5 3 2 3" xfId="24458" xr:uid="{00000000-0005-0000-0000-00004D880000}"/>
    <cellStyle name="40 % - Markeringsfarve6 2 2 5 3 2 4" xfId="39445" xr:uid="{00000000-0005-0000-0000-00004E880000}"/>
    <cellStyle name="40 % - Markeringsfarve6 2 2 5 3 3" xfId="12960" xr:uid="{00000000-0005-0000-0000-00004F880000}"/>
    <cellStyle name="40 % - Markeringsfarve6 2 2 5 3 3 2" xfId="29280" xr:uid="{00000000-0005-0000-0000-000050880000}"/>
    <cellStyle name="40 % - Markeringsfarve6 2 2 5 3 3 3" xfId="44245" xr:uid="{00000000-0005-0000-0000-000051880000}"/>
    <cellStyle name="40 % - Markeringsfarve6 2 2 5 3 4" xfId="22258" xr:uid="{00000000-0005-0000-0000-000052880000}"/>
    <cellStyle name="40 % - Markeringsfarve6 2 2 5 3 5" xfId="37246" xr:uid="{00000000-0005-0000-0000-000053880000}"/>
    <cellStyle name="40 % - Markeringsfarve6 2 2 5 4" xfId="4401" xr:uid="{00000000-0005-0000-0000-000054880000}"/>
    <cellStyle name="40 % - Markeringsfarve6 2 2 5 4 2" xfId="8657" xr:uid="{00000000-0005-0000-0000-000055880000}"/>
    <cellStyle name="40 % - Markeringsfarve6 2 2 5 4 2 2" xfId="16538" xr:uid="{00000000-0005-0000-0000-000056880000}"/>
    <cellStyle name="40 % - Markeringsfarve6 2 2 5 4 2 2 2" xfId="32853" xr:uid="{00000000-0005-0000-0000-000057880000}"/>
    <cellStyle name="40 % - Markeringsfarve6 2 2 5 4 2 2 3" xfId="47817" xr:uid="{00000000-0005-0000-0000-000058880000}"/>
    <cellStyle name="40 % - Markeringsfarve6 2 2 5 4 2 3" xfId="25831" xr:uid="{00000000-0005-0000-0000-000059880000}"/>
    <cellStyle name="40 % - Markeringsfarve6 2 2 5 4 2 4" xfId="40818" xr:uid="{00000000-0005-0000-0000-00005A880000}"/>
    <cellStyle name="40 % - Markeringsfarve6 2 2 5 4 3" xfId="12961" xr:uid="{00000000-0005-0000-0000-00005B880000}"/>
    <cellStyle name="40 % - Markeringsfarve6 2 2 5 4 3 2" xfId="29281" xr:uid="{00000000-0005-0000-0000-00005C880000}"/>
    <cellStyle name="40 % - Markeringsfarve6 2 2 5 4 3 3" xfId="44246" xr:uid="{00000000-0005-0000-0000-00005D880000}"/>
    <cellStyle name="40 % - Markeringsfarve6 2 2 5 4 4" xfId="22259" xr:uid="{00000000-0005-0000-0000-00005E880000}"/>
    <cellStyle name="40 % - Markeringsfarve6 2 2 5 4 5" xfId="37247" xr:uid="{00000000-0005-0000-0000-00005F880000}"/>
    <cellStyle name="40 % - Markeringsfarve6 2 2 5 5" xfId="5976" xr:uid="{00000000-0005-0000-0000-000060880000}"/>
    <cellStyle name="40 % - Markeringsfarve6 2 2 5 5 2" xfId="13895" xr:uid="{00000000-0005-0000-0000-000061880000}"/>
    <cellStyle name="40 % - Markeringsfarve6 2 2 5 5 2 2" xfId="30210" xr:uid="{00000000-0005-0000-0000-000062880000}"/>
    <cellStyle name="40 % - Markeringsfarve6 2 2 5 5 2 3" xfId="45174" xr:uid="{00000000-0005-0000-0000-000063880000}"/>
    <cellStyle name="40 % - Markeringsfarve6 2 2 5 5 3" xfId="23188" xr:uid="{00000000-0005-0000-0000-000064880000}"/>
    <cellStyle name="40 % - Markeringsfarve6 2 2 5 5 4" xfId="38175" xr:uid="{00000000-0005-0000-0000-000065880000}"/>
    <cellStyle name="40 % - Markeringsfarve6 2 2 5 6" xfId="12957" xr:uid="{00000000-0005-0000-0000-000066880000}"/>
    <cellStyle name="40 % - Markeringsfarve6 2 2 5 6 2" xfId="29277" xr:uid="{00000000-0005-0000-0000-000067880000}"/>
    <cellStyle name="40 % - Markeringsfarve6 2 2 5 6 3" xfId="44242" xr:uid="{00000000-0005-0000-0000-000068880000}"/>
    <cellStyle name="40 % - Markeringsfarve6 2 2 5 7" xfId="22255" xr:uid="{00000000-0005-0000-0000-000069880000}"/>
    <cellStyle name="40 % - Markeringsfarve6 2 2 5 8" xfId="37243" xr:uid="{00000000-0005-0000-0000-00006A880000}"/>
    <cellStyle name="40 % - Markeringsfarve6 2 2 6" xfId="4402" xr:uid="{00000000-0005-0000-0000-00006B880000}"/>
    <cellStyle name="40 % - Markeringsfarve6 2 2 6 2" xfId="4403" xr:uid="{00000000-0005-0000-0000-00006C880000}"/>
    <cellStyle name="40 % - Markeringsfarve6 2 2 6 2 2" xfId="4404" xr:uid="{00000000-0005-0000-0000-00006D880000}"/>
    <cellStyle name="40 % - Markeringsfarve6 2 2 6 2 2 2" xfId="8120" xr:uid="{00000000-0005-0000-0000-00006E880000}"/>
    <cellStyle name="40 % - Markeringsfarve6 2 2 6 2 2 2 2" xfId="16022" xr:uid="{00000000-0005-0000-0000-00006F880000}"/>
    <cellStyle name="40 % - Markeringsfarve6 2 2 6 2 2 2 2 2" xfId="32337" xr:uid="{00000000-0005-0000-0000-000070880000}"/>
    <cellStyle name="40 % - Markeringsfarve6 2 2 6 2 2 2 2 3" xfId="47301" xr:uid="{00000000-0005-0000-0000-000071880000}"/>
    <cellStyle name="40 % - Markeringsfarve6 2 2 6 2 2 2 3" xfId="25315" xr:uid="{00000000-0005-0000-0000-000072880000}"/>
    <cellStyle name="40 % - Markeringsfarve6 2 2 6 2 2 2 4" xfId="40302" xr:uid="{00000000-0005-0000-0000-000073880000}"/>
    <cellStyle name="40 % - Markeringsfarve6 2 2 6 2 2 3" xfId="12964" xr:uid="{00000000-0005-0000-0000-000074880000}"/>
    <cellStyle name="40 % - Markeringsfarve6 2 2 6 2 2 3 2" xfId="29284" xr:uid="{00000000-0005-0000-0000-000075880000}"/>
    <cellStyle name="40 % - Markeringsfarve6 2 2 6 2 2 3 3" xfId="44249" xr:uid="{00000000-0005-0000-0000-000076880000}"/>
    <cellStyle name="40 % - Markeringsfarve6 2 2 6 2 2 4" xfId="22262" xr:uid="{00000000-0005-0000-0000-000077880000}"/>
    <cellStyle name="40 % - Markeringsfarve6 2 2 6 2 2 5" xfId="37250" xr:uid="{00000000-0005-0000-0000-000078880000}"/>
    <cellStyle name="40 % - Markeringsfarve6 2 2 6 2 3" xfId="6613" xr:uid="{00000000-0005-0000-0000-000079880000}"/>
    <cellStyle name="40 % - Markeringsfarve6 2 2 6 2 3 2" xfId="14528" xr:uid="{00000000-0005-0000-0000-00007A880000}"/>
    <cellStyle name="40 % - Markeringsfarve6 2 2 6 2 3 2 2" xfId="30843" xr:uid="{00000000-0005-0000-0000-00007B880000}"/>
    <cellStyle name="40 % - Markeringsfarve6 2 2 6 2 3 2 3" xfId="45807" xr:uid="{00000000-0005-0000-0000-00007C880000}"/>
    <cellStyle name="40 % - Markeringsfarve6 2 2 6 2 3 3" xfId="23821" xr:uid="{00000000-0005-0000-0000-00007D880000}"/>
    <cellStyle name="40 % - Markeringsfarve6 2 2 6 2 3 4" xfId="38808" xr:uid="{00000000-0005-0000-0000-00007E880000}"/>
    <cellStyle name="40 % - Markeringsfarve6 2 2 6 2 4" xfId="12963" xr:uid="{00000000-0005-0000-0000-00007F880000}"/>
    <cellStyle name="40 % - Markeringsfarve6 2 2 6 2 4 2" xfId="29283" xr:uid="{00000000-0005-0000-0000-000080880000}"/>
    <cellStyle name="40 % - Markeringsfarve6 2 2 6 2 4 3" xfId="44248" xr:uid="{00000000-0005-0000-0000-000081880000}"/>
    <cellStyle name="40 % - Markeringsfarve6 2 2 6 2 5" xfId="22261" xr:uid="{00000000-0005-0000-0000-000082880000}"/>
    <cellStyle name="40 % - Markeringsfarve6 2 2 6 2 6" xfId="37249" xr:uid="{00000000-0005-0000-0000-000083880000}"/>
    <cellStyle name="40 % - Markeringsfarve6 2 2 6 3" xfId="4405" xr:uid="{00000000-0005-0000-0000-000084880000}"/>
    <cellStyle name="40 % - Markeringsfarve6 2 2 6 3 2" xfId="7397" xr:uid="{00000000-0005-0000-0000-000085880000}"/>
    <cellStyle name="40 % - Markeringsfarve6 2 2 6 3 2 2" xfId="15308" xr:uid="{00000000-0005-0000-0000-000086880000}"/>
    <cellStyle name="40 % - Markeringsfarve6 2 2 6 3 2 2 2" xfId="31623" xr:uid="{00000000-0005-0000-0000-000087880000}"/>
    <cellStyle name="40 % - Markeringsfarve6 2 2 6 3 2 2 3" xfId="46587" xr:uid="{00000000-0005-0000-0000-000088880000}"/>
    <cellStyle name="40 % - Markeringsfarve6 2 2 6 3 2 3" xfId="24601" xr:uid="{00000000-0005-0000-0000-000089880000}"/>
    <cellStyle name="40 % - Markeringsfarve6 2 2 6 3 2 4" xfId="39588" xr:uid="{00000000-0005-0000-0000-00008A880000}"/>
    <cellStyle name="40 % - Markeringsfarve6 2 2 6 3 3" xfId="12965" xr:uid="{00000000-0005-0000-0000-00008B880000}"/>
    <cellStyle name="40 % - Markeringsfarve6 2 2 6 3 3 2" xfId="29285" xr:uid="{00000000-0005-0000-0000-00008C880000}"/>
    <cellStyle name="40 % - Markeringsfarve6 2 2 6 3 3 3" xfId="44250" xr:uid="{00000000-0005-0000-0000-00008D880000}"/>
    <cellStyle name="40 % - Markeringsfarve6 2 2 6 3 4" xfId="22263" xr:uid="{00000000-0005-0000-0000-00008E880000}"/>
    <cellStyle name="40 % - Markeringsfarve6 2 2 6 3 5" xfId="37251" xr:uid="{00000000-0005-0000-0000-00008F880000}"/>
    <cellStyle name="40 % - Markeringsfarve6 2 2 6 4" xfId="4406" xr:uid="{00000000-0005-0000-0000-000090880000}"/>
    <cellStyle name="40 % - Markeringsfarve6 2 2 6 4 2" xfId="8382" xr:uid="{00000000-0005-0000-0000-000091880000}"/>
    <cellStyle name="40 % - Markeringsfarve6 2 2 6 4 2 2" xfId="16275" xr:uid="{00000000-0005-0000-0000-000092880000}"/>
    <cellStyle name="40 % - Markeringsfarve6 2 2 6 4 2 2 2" xfId="32590" xr:uid="{00000000-0005-0000-0000-000093880000}"/>
    <cellStyle name="40 % - Markeringsfarve6 2 2 6 4 2 2 3" xfId="47554" xr:uid="{00000000-0005-0000-0000-000094880000}"/>
    <cellStyle name="40 % - Markeringsfarve6 2 2 6 4 2 3" xfId="25568" xr:uid="{00000000-0005-0000-0000-000095880000}"/>
    <cellStyle name="40 % - Markeringsfarve6 2 2 6 4 2 4" xfId="40555" xr:uid="{00000000-0005-0000-0000-000096880000}"/>
    <cellStyle name="40 % - Markeringsfarve6 2 2 6 4 3" xfId="12966" xr:uid="{00000000-0005-0000-0000-000097880000}"/>
    <cellStyle name="40 % - Markeringsfarve6 2 2 6 4 3 2" xfId="29286" xr:uid="{00000000-0005-0000-0000-000098880000}"/>
    <cellStyle name="40 % - Markeringsfarve6 2 2 6 4 3 3" xfId="44251" xr:uid="{00000000-0005-0000-0000-000099880000}"/>
    <cellStyle name="40 % - Markeringsfarve6 2 2 6 4 4" xfId="22264" xr:uid="{00000000-0005-0000-0000-00009A880000}"/>
    <cellStyle name="40 % - Markeringsfarve6 2 2 6 4 5" xfId="37252" xr:uid="{00000000-0005-0000-0000-00009B880000}"/>
    <cellStyle name="40 % - Markeringsfarve6 2 2 6 5" xfId="5977" xr:uid="{00000000-0005-0000-0000-00009C880000}"/>
    <cellStyle name="40 % - Markeringsfarve6 2 2 6 5 2" xfId="13896" xr:uid="{00000000-0005-0000-0000-00009D880000}"/>
    <cellStyle name="40 % - Markeringsfarve6 2 2 6 5 2 2" xfId="30211" xr:uid="{00000000-0005-0000-0000-00009E880000}"/>
    <cellStyle name="40 % - Markeringsfarve6 2 2 6 5 2 3" xfId="45175" xr:uid="{00000000-0005-0000-0000-00009F880000}"/>
    <cellStyle name="40 % - Markeringsfarve6 2 2 6 5 3" xfId="23189" xr:uid="{00000000-0005-0000-0000-0000A0880000}"/>
    <cellStyle name="40 % - Markeringsfarve6 2 2 6 5 4" xfId="38176" xr:uid="{00000000-0005-0000-0000-0000A1880000}"/>
    <cellStyle name="40 % - Markeringsfarve6 2 2 6 6" xfId="12962" xr:uid="{00000000-0005-0000-0000-0000A2880000}"/>
    <cellStyle name="40 % - Markeringsfarve6 2 2 6 6 2" xfId="29282" xr:uid="{00000000-0005-0000-0000-0000A3880000}"/>
    <cellStyle name="40 % - Markeringsfarve6 2 2 6 6 3" xfId="44247" xr:uid="{00000000-0005-0000-0000-0000A4880000}"/>
    <cellStyle name="40 % - Markeringsfarve6 2 2 6 7" xfId="22260" xr:uid="{00000000-0005-0000-0000-0000A5880000}"/>
    <cellStyle name="40 % - Markeringsfarve6 2 2 6 8" xfId="37248" xr:uid="{00000000-0005-0000-0000-0000A6880000}"/>
    <cellStyle name="40 % - Markeringsfarve6 2 2 7" xfId="4407" xr:uid="{00000000-0005-0000-0000-0000A7880000}"/>
    <cellStyle name="40 % - Markeringsfarve6 2 2 7 2" xfId="4408" xr:uid="{00000000-0005-0000-0000-0000A8880000}"/>
    <cellStyle name="40 % - Markeringsfarve6 2 2 7 2 2" xfId="7504" xr:uid="{00000000-0005-0000-0000-0000A9880000}"/>
    <cellStyle name="40 % - Markeringsfarve6 2 2 7 2 2 2" xfId="15406" xr:uid="{00000000-0005-0000-0000-0000AA880000}"/>
    <cellStyle name="40 % - Markeringsfarve6 2 2 7 2 2 2 2" xfId="31721" xr:uid="{00000000-0005-0000-0000-0000AB880000}"/>
    <cellStyle name="40 % - Markeringsfarve6 2 2 7 2 2 2 3" xfId="46685" xr:uid="{00000000-0005-0000-0000-0000AC880000}"/>
    <cellStyle name="40 % - Markeringsfarve6 2 2 7 2 2 3" xfId="24699" xr:uid="{00000000-0005-0000-0000-0000AD880000}"/>
    <cellStyle name="40 % - Markeringsfarve6 2 2 7 2 2 4" xfId="39686" xr:uid="{00000000-0005-0000-0000-0000AE880000}"/>
    <cellStyle name="40 % - Markeringsfarve6 2 2 7 2 3" xfId="12968" xr:uid="{00000000-0005-0000-0000-0000AF880000}"/>
    <cellStyle name="40 % - Markeringsfarve6 2 2 7 2 3 2" xfId="29288" xr:uid="{00000000-0005-0000-0000-0000B0880000}"/>
    <cellStyle name="40 % - Markeringsfarve6 2 2 7 2 3 3" xfId="44253" xr:uid="{00000000-0005-0000-0000-0000B1880000}"/>
    <cellStyle name="40 % - Markeringsfarve6 2 2 7 2 4" xfId="22266" xr:uid="{00000000-0005-0000-0000-0000B2880000}"/>
    <cellStyle name="40 % - Markeringsfarve6 2 2 7 2 5" xfId="37254" xr:uid="{00000000-0005-0000-0000-0000B3880000}"/>
    <cellStyle name="40 % - Markeringsfarve6 2 2 7 3" xfId="6095" xr:uid="{00000000-0005-0000-0000-0000B4880000}"/>
    <cellStyle name="40 % - Markeringsfarve6 2 2 7 3 2" xfId="14013" xr:uid="{00000000-0005-0000-0000-0000B5880000}"/>
    <cellStyle name="40 % - Markeringsfarve6 2 2 7 3 2 2" xfId="30328" xr:uid="{00000000-0005-0000-0000-0000B6880000}"/>
    <cellStyle name="40 % - Markeringsfarve6 2 2 7 3 2 3" xfId="45292" xr:uid="{00000000-0005-0000-0000-0000B7880000}"/>
    <cellStyle name="40 % - Markeringsfarve6 2 2 7 3 3" xfId="23306" xr:uid="{00000000-0005-0000-0000-0000B8880000}"/>
    <cellStyle name="40 % - Markeringsfarve6 2 2 7 3 4" xfId="38293" xr:uid="{00000000-0005-0000-0000-0000B9880000}"/>
    <cellStyle name="40 % - Markeringsfarve6 2 2 7 4" xfId="12967" xr:uid="{00000000-0005-0000-0000-0000BA880000}"/>
    <cellStyle name="40 % - Markeringsfarve6 2 2 7 4 2" xfId="29287" xr:uid="{00000000-0005-0000-0000-0000BB880000}"/>
    <cellStyle name="40 % - Markeringsfarve6 2 2 7 4 3" xfId="44252" xr:uid="{00000000-0005-0000-0000-0000BC880000}"/>
    <cellStyle name="40 % - Markeringsfarve6 2 2 7 5" xfId="22265" xr:uid="{00000000-0005-0000-0000-0000BD880000}"/>
    <cellStyle name="40 % - Markeringsfarve6 2 2 7 6" xfId="37253" xr:uid="{00000000-0005-0000-0000-0000BE880000}"/>
    <cellStyle name="40 % - Markeringsfarve6 2 2 8" xfId="4409" xr:uid="{00000000-0005-0000-0000-0000BF880000}"/>
    <cellStyle name="40 % - Markeringsfarve6 2 2 8 2" xfId="6732" xr:uid="{00000000-0005-0000-0000-0000C0880000}"/>
    <cellStyle name="40 % - Markeringsfarve6 2 2 8 2 2" xfId="14644" xr:uid="{00000000-0005-0000-0000-0000C1880000}"/>
    <cellStyle name="40 % - Markeringsfarve6 2 2 8 2 2 2" xfId="30959" xr:uid="{00000000-0005-0000-0000-0000C2880000}"/>
    <cellStyle name="40 % - Markeringsfarve6 2 2 8 2 2 3" xfId="45923" xr:uid="{00000000-0005-0000-0000-0000C3880000}"/>
    <cellStyle name="40 % - Markeringsfarve6 2 2 8 2 3" xfId="23937" xr:uid="{00000000-0005-0000-0000-0000C4880000}"/>
    <cellStyle name="40 % - Markeringsfarve6 2 2 8 2 4" xfId="38924" xr:uid="{00000000-0005-0000-0000-0000C5880000}"/>
    <cellStyle name="40 % - Markeringsfarve6 2 2 8 3" xfId="12969" xr:uid="{00000000-0005-0000-0000-0000C6880000}"/>
    <cellStyle name="40 % - Markeringsfarve6 2 2 8 3 2" xfId="29289" xr:uid="{00000000-0005-0000-0000-0000C7880000}"/>
    <cellStyle name="40 % - Markeringsfarve6 2 2 8 3 3" xfId="44254" xr:uid="{00000000-0005-0000-0000-0000C8880000}"/>
    <cellStyle name="40 % - Markeringsfarve6 2 2 8 4" xfId="22267" xr:uid="{00000000-0005-0000-0000-0000C9880000}"/>
    <cellStyle name="40 % - Markeringsfarve6 2 2 8 5" xfId="37255" xr:uid="{00000000-0005-0000-0000-0000CA880000}"/>
    <cellStyle name="40 % - Markeringsfarve6 2 2 9" xfId="4410" xr:uid="{00000000-0005-0000-0000-0000CB880000}"/>
    <cellStyle name="40 % - Markeringsfarve6 2 2 9 2" xfId="8143" xr:uid="{00000000-0005-0000-0000-0000CC880000}"/>
    <cellStyle name="40 % - Markeringsfarve6 2 2 9 2 2" xfId="16042" xr:uid="{00000000-0005-0000-0000-0000CD880000}"/>
    <cellStyle name="40 % - Markeringsfarve6 2 2 9 2 2 2" xfId="32357" xr:uid="{00000000-0005-0000-0000-0000CE880000}"/>
    <cellStyle name="40 % - Markeringsfarve6 2 2 9 2 2 3" xfId="47321" xr:uid="{00000000-0005-0000-0000-0000CF880000}"/>
    <cellStyle name="40 % - Markeringsfarve6 2 2 9 2 3" xfId="25335" xr:uid="{00000000-0005-0000-0000-0000D0880000}"/>
    <cellStyle name="40 % - Markeringsfarve6 2 2 9 2 4" xfId="40322" xr:uid="{00000000-0005-0000-0000-0000D1880000}"/>
    <cellStyle name="40 % - Markeringsfarve6 2 2 9 3" xfId="12970" xr:uid="{00000000-0005-0000-0000-0000D2880000}"/>
    <cellStyle name="40 % - Markeringsfarve6 2 2 9 3 2" xfId="29290" xr:uid="{00000000-0005-0000-0000-0000D3880000}"/>
    <cellStyle name="40 % - Markeringsfarve6 2 2 9 3 3" xfId="44255" xr:uid="{00000000-0005-0000-0000-0000D4880000}"/>
    <cellStyle name="40 % - Markeringsfarve6 2 2 9 4" xfId="22268" xr:uid="{00000000-0005-0000-0000-0000D5880000}"/>
    <cellStyle name="40 % - Markeringsfarve6 2 2 9 5" xfId="37256" xr:uid="{00000000-0005-0000-0000-0000D6880000}"/>
    <cellStyle name="40 % - Markeringsfarve6 2 3" xfId="4411" xr:uid="{00000000-0005-0000-0000-0000D7880000}"/>
    <cellStyle name="40 % - Markeringsfarve6 2 3 10" xfId="5978" xr:uid="{00000000-0005-0000-0000-0000D8880000}"/>
    <cellStyle name="40 % - Markeringsfarve6 2 3 10 2" xfId="13897" xr:uid="{00000000-0005-0000-0000-0000D9880000}"/>
    <cellStyle name="40 % - Markeringsfarve6 2 3 10 2 2" xfId="30212" xr:uid="{00000000-0005-0000-0000-0000DA880000}"/>
    <cellStyle name="40 % - Markeringsfarve6 2 3 10 2 3" xfId="45176" xr:uid="{00000000-0005-0000-0000-0000DB880000}"/>
    <cellStyle name="40 % - Markeringsfarve6 2 3 10 3" xfId="23190" xr:uid="{00000000-0005-0000-0000-0000DC880000}"/>
    <cellStyle name="40 % - Markeringsfarve6 2 3 10 4" xfId="38177" xr:uid="{00000000-0005-0000-0000-0000DD880000}"/>
    <cellStyle name="40 % - Markeringsfarve6 2 3 11" xfId="12971" xr:uid="{00000000-0005-0000-0000-0000DE880000}"/>
    <cellStyle name="40 % - Markeringsfarve6 2 3 11 2" xfId="29291" xr:uid="{00000000-0005-0000-0000-0000DF880000}"/>
    <cellStyle name="40 % - Markeringsfarve6 2 3 11 3" xfId="44256" xr:uid="{00000000-0005-0000-0000-0000E0880000}"/>
    <cellStyle name="40 % - Markeringsfarve6 2 3 12" xfId="22269" xr:uid="{00000000-0005-0000-0000-0000E1880000}"/>
    <cellStyle name="40 % - Markeringsfarve6 2 3 13" xfId="37257" xr:uid="{00000000-0005-0000-0000-0000E2880000}"/>
    <cellStyle name="40 % - Markeringsfarve6 2 3 14" xfId="53343" xr:uid="{00000000-0005-0000-0000-0000E3880000}"/>
    <cellStyle name="40 % - Markeringsfarve6 2 3 2" xfId="4412" xr:uid="{00000000-0005-0000-0000-0000E4880000}"/>
    <cellStyle name="40 % - Markeringsfarve6 2 3 2 2" xfId="4413" xr:uid="{00000000-0005-0000-0000-0000E5880000}"/>
    <cellStyle name="40 % - Markeringsfarve6 2 3 2 2 2" xfId="4414" xr:uid="{00000000-0005-0000-0000-0000E6880000}"/>
    <cellStyle name="40 % - Markeringsfarve6 2 3 2 2 2 2" xfId="7662" xr:uid="{00000000-0005-0000-0000-0000E7880000}"/>
    <cellStyle name="40 % - Markeringsfarve6 2 3 2 2 2 2 2" xfId="15564" xr:uid="{00000000-0005-0000-0000-0000E8880000}"/>
    <cellStyle name="40 % - Markeringsfarve6 2 3 2 2 2 2 2 2" xfId="31879" xr:uid="{00000000-0005-0000-0000-0000E9880000}"/>
    <cellStyle name="40 % - Markeringsfarve6 2 3 2 2 2 2 2 3" xfId="46843" xr:uid="{00000000-0005-0000-0000-0000EA880000}"/>
    <cellStyle name="40 % - Markeringsfarve6 2 3 2 2 2 2 3" xfId="24857" xr:uid="{00000000-0005-0000-0000-0000EB880000}"/>
    <cellStyle name="40 % - Markeringsfarve6 2 3 2 2 2 2 4" xfId="39844" xr:uid="{00000000-0005-0000-0000-0000EC880000}"/>
    <cellStyle name="40 % - Markeringsfarve6 2 3 2 2 2 3" xfId="12974" xr:uid="{00000000-0005-0000-0000-0000ED880000}"/>
    <cellStyle name="40 % - Markeringsfarve6 2 3 2 2 2 3 2" xfId="29294" xr:uid="{00000000-0005-0000-0000-0000EE880000}"/>
    <cellStyle name="40 % - Markeringsfarve6 2 3 2 2 2 3 3" xfId="44259" xr:uid="{00000000-0005-0000-0000-0000EF880000}"/>
    <cellStyle name="40 % - Markeringsfarve6 2 3 2 2 2 4" xfId="22272" xr:uid="{00000000-0005-0000-0000-0000F0880000}"/>
    <cellStyle name="40 % - Markeringsfarve6 2 3 2 2 2 5" xfId="37260" xr:uid="{00000000-0005-0000-0000-0000F1880000}"/>
    <cellStyle name="40 % - Markeringsfarve6 2 3 2 2 3" xfId="6227" xr:uid="{00000000-0005-0000-0000-0000F2880000}"/>
    <cellStyle name="40 % - Markeringsfarve6 2 3 2 2 3 2" xfId="14145" xr:uid="{00000000-0005-0000-0000-0000F3880000}"/>
    <cellStyle name="40 % - Markeringsfarve6 2 3 2 2 3 2 2" xfId="30460" xr:uid="{00000000-0005-0000-0000-0000F4880000}"/>
    <cellStyle name="40 % - Markeringsfarve6 2 3 2 2 3 2 3" xfId="45424" xr:uid="{00000000-0005-0000-0000-0000F5880000}"/>
    <cellStyle name="40 % - Markeringsfarve6 2 3 2 2 3 3" xfId="23438" xr:uid="{00000000-0005-0000-0000-0000F6880000}"/>
    <cellStyle name="40 % - Markeringsfarve6 2 3 2 2 3 4" xfId="38425" xr:uid="{00000000-0005-0000-0000-0000F7880000}"/>
    <cellStyle name="40 % - Markeringsfarve6 2 3 2 2 4" xfId="12973" xr:uid="{00000000-0005-0000-0000-0000F8880000}"/>
    <cellStyle name="40 % - Markeringsfarve6 2 3 2 2 4 2" xfId="29293" xr:uid="{00000000-0005-0000-0000-0000F9880000}"/>
    <cellStyle name="40 % - Markeringsfarve6 2 3 2 2 4 3" xfId="44258" xr:uid="{00000000-0005-0000-0000-0000FA880000}"/>
    <cellStyle name="40 % - Markeringsfarve6 2 3 2 2 5" xfId="22271" xr:uid="{00000000-0005-0000-0000-0000FB880000}"/>
    <cellStyle name="40 % - Markeringsfarve6 2 3 2 2 6" xfId="37259" xr:uid="{00000000-0005-0000-0000-0000FC880000}"/>
    <cellStyle name="40 % - Markeringsfarve6 2 3 2 2 7" xfId="57147" xr:uid="{00000000-0005-0000-0000-0000FD880000}"/>
    <cellStyle name="40 % - Markeringsfarve6 2 3 2 3" xfId="4415" xr:uid="{00000000-0005-0000-0000-0000FE880000}"/>
    <cellStyle name="40 % - Markeringsfarve6 2 3 2 3 2" xfId="6892" xr:uid="{00000000-0005-0000-0000-0000FF880000}"/>
    <cellStyle name="40 % - Markeringsfarve6 2 3 2 3 2 2" xfId="14804" xr:uid="{00000000-0005-0000-0000-000000890000}"/>
    <cellStyle name="40 % - Markeringsfarve6 2 3 2 3 2 2 2" xfId="31119" xr:uid="{00000000-0005-0000-0000-000001890000}"/>
    <cellStyle name="40 % - Markeringsfarve6 2 3 2 3 2 2 3" xfId="46083" xr:uid="{00000000-0005-0000-0000-000002890000}"/>
    <cellStyle name="40 % - Markeringsfarve6 2 3 2 3 2 3" xfId="24097" xr:uid="{00000000-0005-0000-0000-000003890000}"/>
    <cellStyle name="40 % - Markeringsfarve6 2 3 2 3 2 4" xfId="39084" xr:uid="{00000000-0005-0000-0000-000004890000}"/>
    <cellStyle name="40 % - Markeringsfarve6 2 3 2 3 3" xfId="12975" xr:uid="{00000000-0005-0000-0000-000005890000}"/>
    <cellStyle name="40 % - Markeringsfarve6 2 3 2 3 3 2" xfId="29295" xr:uid="{00000000-0005-0000-0000-000006890000}"/>
    <cellStyle name="40 % - Markeringsfarve6 2 3 2 3 3 3" xfId="44260" xr:uid="{00000000-0005-0000-0000-000007890000}"/>
    <cellStyle name="40 % - Markeringsfarve6 2 3 2 3 4" xfId="22273" xr:uid="{00000000-0005-0000-0000-000008890000}"/>
    <cellStyle name="40 % - Markeringsfarve6 2 3 2 3 5" xfId="37261" xr:uid="{00000000-0005-0000-0000-000009890000}"/>
    <cellStyle name="40 % - Markeringsfarve6 2 3 2 4" xfId="4416" xr:uid="{00000000-0005-0000-0000-00000A890000}"/>
    <cellStyle name="40 % - Markeringsfarve6 2 3 2 4 2" xfId="8340" xr:uid="{00000000-0005-0000-0000-00000B890000}"/>
    <cellStyle name="40 % - Markeringsfarve6 2 3 2 4 2 2" xfId="16234" xr:uid="{00000000-0005-0000-0000-00000C890000}"/>
    <cellStyle name="40 % - Markeringsfarve6 2 3 2 4 2 2 2" xfId="32549" xr:uid="{00000000-0005-0000-0000-00000D890000}"/>
    <cellStyle name="40 % - Markeringsfarve6 2 3 2 4 2 2 3" xfId="47513" xr:uid="{00000000-0005-0000-0000-00000E890000}"/>
    <cellStyle name="40 % - Markeringsfarve6 2 3 2 4 2 3" xfId="25527" xr:uid="{00000000-0005-0000-0000-00000F890000}"/>
    <cellStyle name="40 % - Markeringsfarve6 2 3 2 4 2 4" xfId="40514" xr:uid="{00000000-0005-0000-0000-000010890000}"/>
    <cellStyle name="40 % - Markeringsfarve6 2 3 2 4 3" xfId="12976" xr:uid="{00000000-0005-0000-0000-000011890000}"/>
    <cellStyle name="40 % - Markeringsfarve6 2 3 2 4 3 2" xfId="29296" xr:uid="{00000000-0005-0000-0000-000012890000}"/>
    <cellStyle name="40 % - Markeringsfarve6 2 3 2 4 3 3" xfId="44261" xr:uid="{00000000-0005-0000-0000-000013890000}"/>
    <cellStyle name="40 % - Markeringsfarve6 2 3 2 4 4" xfId="22274" xr:uid="{00000000-0005-0000-0000-000014890000}"/>
    <cellStyle name="40 % - Markeringsfarve6 2 3 2 4 5" xfId="37262" xr:uid="{00000000-0005-0000-0000-000015890000}"/>
    <cellStyle name="40 % - Markeringsfarve6 2 3 2 5" xfId="5979" xr:uid="{00000000-0005-0000-0000-000016890000}"/>
    <cellStyle name="40 % - Markeringsfarve6 2 3 2 5 2" xfId="13898" xr:uid="{00000000-0005-0000-0000-000017890000}"/>
    <cellStyle name="40 % - Markeringsfarve6 2 3 2 5 2 2" xfId="30213" xr:uid="{00000000-0005-0000-0000-000018890000}"/>
    <cellStyle name="40 % - Markeringsfarve6 2 3 2 5 2 3" xfId="45177" xr:uid="{00000000-0005-0000-0000-000019890000}"/>
    <cellStyle name="40 % - Markeringsfarve6 2 3 2 5 3" xfId="23191" xr:uid="{00000000-0005-0000-0000-00001A890000}"/>
    <cellStyle name="40 % - Markeringsfarve6 2 3 2 5 4" xfId="38178" xr:uid="{00000000-0005-0000-0000-00001B890000}"/>
    <cellStyle name="40 % - Markeringsfarve6 2 3 2 6" xfId="12972" xr:uid="{00000000-0005-0000-0000-00001C890000}"/>
    <cellStyle name="40 % - Markeringsfarve6 2 3 2 6 2" xfId="29292" xr:uid="{00000000-0005-0000-0000-00001D890000}"/>
    <cellStyle name="40 % - Markeringsfarve6 2 3 2 6 3" xfId="44257" xr:uid="{00000000-0005-0000-0000-00001E890000}"/>
    <cellStyle name="40 % - Markeringsfarve6 2 3 2 7" xfId="22270" xr:uid="{00000000-0005-0000-0000-00001F890000}"/>
    <cellStyle name="40 % - Markeringsfarve6 2 3 2 8" xfId="37258" xr:uid="{00000000-0005-0000-0000-000020890000}"/>
    <cellStyle name="40 % - Markeringsfarve6 2 3 2 9" xfId="53980" xr:uid="{00000000-0005-0000-0000-000021890000}"/>
    <cellStyle name="40 % - Markeringsfarve6 2 3 3" xfId="4417" xr:uid="{00000000-0005-0000-0000-000022890000}"/>
    <cellStyle name="40 % - Markeringsfarve6 2 3 3 2" xfId="4418" xr:uid="{00000000-0005-0000-0000-000023890000}"/>
    <cellStyle name="40 % - Markeringsfarve6 2 3 3 2 2" xfId="4419" xr:uid="{00000000-0005-0000-0000-000024890000}"/>
    <cellStyle name="40 % - Markeringsfarve6 2 3 3 2 2 2" xfId="7767" xr:uid="{00000000-0005-0000-0000-000025890000}"/>
    <cellStyle name="40 % - Markeringsfarve6 2 3 3 2 2 2 2" xfId="15669" xr:uid="{00000000-0005-0000-0000-000026890000}"/>
    <cellStyle name="40 % - Markeringsfarve6 2 3 3 2 2 2 2 2" xfId="31984" xr:uid="{00000000-0005-0000-0000-000027890000}"/>
    <cellStyle name="40 % - Markeringsfarve6 2 3 3 2 2 2 2 3" xfId="46948" xr:uid="{00000000-0005-0000-0000-000028890000}"/>
    <cellStyle name="40 % - Markeringsfarve6 2 3 3 2 2 2 3" xfId="24962" xr:uid="{00000000-0005-0000-0000-000029890000}"/>
    <cellStyle name="40 % - Markeringsfarve6 2 3 3 2 2 2 4" xfId="39949" xr:uid="{00000000-0005-0000-0000-00002A890000}"/>
    <cellStyle name="40 % - Markeringsfarve6 2 3 3 2 2 3" xfId="12979" xr:uid="{00000000-0005-0000-0000-00002B890000}"/>
    <cellStyle name="40 % - Markeringsfarve6 2 3 3 2 2 3 2" xfId="29299" xr:uid="{00000000-0005-0000-0000-00002C890000}"/>
    <cellStyle name="40 % - Markeringsfarve6 2 3 3 2 2 3 3" xfId="44264" xr:uid="{00000000-0005-0000-0000-00002D890000}"/>
    <cellStyle name="40 % - Markeringsfarve6 2 3 3 2 2 4" xfId="22277" xr:uid="{00000000-0005-0000-0000-00002E890000}"/>
    <cellStyle name="40 % - Markeringsfarve6 2 3 3 2 2 5" xfId="37265" xr:uid="{00000000-0005-0000-0000-00002F890000}"/>
    <cellStyle name="40 % - Markeringsfarve6 2 3 3 2 3" xfId="6313" xr:uid="{00000000-0005-0000-0000-000030890000}"/>
    <cellStyle name="40 % - Markeringsfarve6 2 3 3 2 3 2" xfId="14231" xr:uid="{00000000-0005-0000-0000-000031890000}"/>
    <cellStyle name="40 % - Markeringsfarve6 2 3 3 2 3 2 2" xfId="30546" xr:uid="{00000000-0005-0000-0000-000032890000}"/>
    <cellStyle name="40 % - Markeringsfarve6 2 3 3 2 3 2 3" xfId="45510" xr:uid="{00000000-0005-0000-0000-000033890000}"/>
    <cellStyle name="40 % - Markeringsfarve6 2 3 3 2 3 3" xfId="23524" xr:uid="{00000000-0005-0000-0000-000034890000}"/>
    <cellStyle name="40 % - Markeringsfarve6 2 3 3 2 3 4" xfId="38511" xr:uid="{00000000-0005-0000-0000-000035890000}"/>
    <cellStyle name="40 % - Markeringsfarve6 2 3 3 2 4" xfId="12978" xr:uid="{00000000-0005-0000-0000-000036890000}"/>
    <cellStyle name="40 % - Markeringsfarve6 2 3 3 2 4 2" xfId="29298" xr:uid="{00000000-0005-0000-0000-000037890000}"/>
    <cellStyle name="40 % - Markeringsfarve6 2 3 3 2 4 3" xfId="44263" xr:uid="{00000000-0005-0000-0000-000038890000}"/>
    <cellStyle name="40 % - Markeringsfarve6 2 3 3 2 5" xfId="22276" xr:uid="{00000000-0005-0000-0000-000039890000}"/>
    <cellStyle name="40 % - Markeringsfarve6 2 3 3 2 6" xfId="37264" xr:uid="{00000000-0005-0000-0000-00003A890000}"/>
    <cellStyle name="40 % - Markeringsfarve6 2 3 3 3" xfId="4420" xr:uid="{00000000-0005-0000-0000-00003B890000}"/>
    <cellStyle name="40 % - Markeringsfarve6 2 3 3 3 2" xfId="6997" xr:uid="{00000000-0005-0000-0000-00003C890000}"/>
    <cellStyle name="40 % - Markeringsfarve6 2 3 3 3 2 2" xfId="14909" xr:uid="{00000000-0005-0000-0000-00003D890000}"/>
    <cellStyle name="40 % - Markeringsfarve6 2 3 3 3 2 2 2" xfId="31224" xr:uid="{00000000-0005-0000-0000-00003E890000}"/>
    <cellStyle name="40 % - Markeringsfarve6 2 3 3 3 2 2 3" xfId="46188" xr:uid="{00000000-0005-0000-0000-00003F890000}"/>
    <cellStyle name="40 % - Markeringsfarve6 2 3 3 3 2 3" xfId="24202" xr:uid="{00000000-0005-0000-0000-000040890000}"/>
    <cellStyle name="40 % - Markeringsfarve6 2 3 3 3 2 4" xfId="39189" xr:uid="{00000000-0005-0000-0000-000041890000}"/>
    <cellStyle name="40 % - Markeringsfarve6 2 3 3 3 3" xfId="12980" xr:uid="{00000000-0005-0000-0000-000042890000}"/>
    <cellStyle name="40 % - Markeringsfarve6 2 3 3 3 3 2" xfId="29300" xr:uid="{00000000-0005-0000-0000-000043890000}"/>
    <cellStyle name="40 % - Markeringsfarve6 2 3 3 3 3 3" xfId="44265" xr:uid="{00000000-0005-0000-0000-000044890000}"/>
    <cellStyle name="40 % - Markeringsfarve6 2 3 3 3 4" xfId="22278" xr:uid="{00000000-0005-0000-0000-000045890000}"/>
    <cellStyle name="40 % - Markeringsfarve6 2 3 3 3 5" xfId="37266" xr:uid="{00000000-0005-0000-0000-000046890000}"/>
    <cellStyle name="40 % - Markeringsfarve6 2 3 3 4" xfId="4421" xr:uid="{00000000-0005-0000-0000-000047890000}"/>
    <cellStyle name="40 % - Markeringsfarve6 2 3 3 4 2" xfId="8564" xr:uid="{00000000-0005-0000-0000-000048890000}"/>
    <cellStyle name="40 % - Markeringsfarve6 2 3 3 4 2 2" xfId="16448" xr:uid="{00000000-0005-0000-0000-000049890000}"/>
    <cellStyle name="40 % - Markeringsfarve6 2 3 3 4 2 2 2" xfId="32763" xr:uid="{00000000-0005-0000-0000-00004A890000}"/>
    <cellStyle name="40 % - Markeringsfarve6 2 3 3 4 2 2 3" xfId="47727" xr:uid="{00000000-0005-0000-0000-00004B890000}"/>
    <cellStyle name="40 % - Markeringsfarve6 2 3 3 4 2 3" xfId="25741" xr:uid="{00000000-0005-0000-0000-00004C890000}"/>
    <cellStyle name="40 % - Markeringsfarve6 2 3 3 4 2 4" xfId="40728" xr:uid="{00000000-0005-0000-0000-00004D890000}"/>
    <cellStyle name="40 % - Markeringsfarve6 2 3 3 4 3" xfId="12981" xr:uid="{00000000-0005-0000-0000-00004E890000}"/>
    <cellStyle name="40 % - Markeringsfarve6 2 3 3 4 3 2" xfId="29301" xr:uid="{00000000-0005-0000-0000-00004F890000}"/>
    <cellStyle name="40 % - Markeringsfarve6 2 3 3 4 3 3" xfId="44266" xr:uid="{00000000-0005-0000-0000-000050890000}"/>
    <cellStyle name="40 % - Markeringsfarve6 2 3 3 4 4" xfId="22279" xr:uid="{00000000-0005-0000-0000-000051890000}"/>
    <cellStyle name="40 % - Markeringsfarve6 2 3 3 4 5" xfId="37267" xr:uid="{00000000-0005-0000-0000-000052890000}"/>
    <cellStyle name="40 % - Markeringsfarve6 2 3 3 5" xfId="5980" xr:uid="{00000000-0005-0000-0000-000053890000}"/>
    <cellStyle name="40 % - Markeringsfarve6 2 3 3 5 2" xfId="13899" xr:uid="{00000000-0005-0000-0000-000054890000}"/>
    <cellStyle name="40 % - Markeringsfarve6 2 3 3 5 2 2" xfId="30214" xr:uid="{00000000-0005-0000-0000-000055890000}"/>
    <cellStyle name="40 % - Markeringsfarve6 2 3 3 5 2 3" xfId="45178" xr:uid="{00000000-0005-0000-0000-000056890000}"/>
    <cellStyle name="40 % - Markeringsfarve6 2 3 3 5 3" xfId="23192" xr:uid="{00000000-0005-0000-0000-000057890000}"/>
    <cellStyle name="40 % - Markeringsfarve6 2 3 3 5 4" xfId="38179" xr:uid="{00000000-0005-0000-0000-000058890000}"/>
    <cellStyle name="40 % - Markeringsfarve6 2 3 3 6" xfId="12977" xr:uid="{00000000-0005-0000-0000-000059890000}"/>
    <cellStyle name="40 % - Markeringsfarve6 2 3 3 6 2" xfId="29297" xr:uid="{00000000-0005-0000-0000-00005A890000}"/>
    <cellStyle name="40 % - Markeringsfarve6 2 3 3 6 3" xfId="44262" xr:uid="{00000000-0005-0000-0000-00005B890000}"/>
    <cellStyle name="40 % - Markeringsfarve6 2 3 3 7" xfId="22275" xr:uid="{00000000-0005-0000-0000-00005C890000}"/>
    <cellStyle name="40 % - Markeringsfarve6 2 3 3 8" xfId="37263" xr:uid="{00000000-0005-0000-0000-00005D890000}"/>
    <cellStyle name="40 % - Markeringsfarve6 2 3 3 9" xfId="56524" xr:uid="{00000000-0005-0000-0000-00005E890000}"/>
    <cellStyle name="40 % - Markeringsfarve6 2 3 4" xfId="4422" xr:uid="{00000000-0005-0000-0000-00005F890000}"/>
    <cellStyle name="40 % - Markeringsfarve6 2 3 4 2" xfId="4423" xr:uid="{00000000-0005-0000-0000-000060890000}"/>
    <cellStyle name="40 % - Markeringsfarve6 2 3 4 2 2" xfId="4424" xr:uid="{00000000-0005-0000-0000-000061890000}"/>
    <cellStyle name="40 % - Markeringsfarve6 2 3 4 2 2 2" xfId="7900" xr:uid="{00000000-0005-0000-0000-000062890000}"/>
    <cellStyle name="40 % - Markeringsfarve6 2 3 4 2 2 2 2" xfId="15802" xr:uid="{00000000-0005-0000-0000-000063890000}"/>
    <cellStyle name="40 % - Markeringsfarve6 2 3 4 2 2 2 2 2" xfId="32117" xr:uid="{00000000-0005-0000-0000-000064890000}"/>
    <cellStyle name="40 % - Markeringsfarve6 2 3 4 2 2 2 2 3" xfId="47081" xr:uid="{00000000-0005-0000-0000-000065890000}"/>
    <cellStyle name="40 % - Markeringsfarve6 2 3 4 2 2 2 3" xfId="25095" xr:uid="{00000000-0005-0000-0000-000066890000}"/>
    <cellStyle name="40 % - Markeringsfarve6 2 3 4 2 2 2 4" xfId="40082" xr:uid="{00000000-0005-0000-0000-000067890000}"/>
    <cellStyle name="40 % - Markeringsfarve6 2 3 4 2 2 3" xfId="12984" xr:uid="{00000000-0005-0000-0000-000068890000}"/>
    <cellStyle name="40 % - Markeringsfarve6 2 3 4 2 2 3 2" xfId="29304" xr:uid="{00000000-0005-0000-0000-000069890000}"/>
    <cellStyle name="40 % - Markeringsfarve6 2 3 4 2 2 3 3" xfId="44269" xr:uid="{00000000-0005-0000-0000-00006A890000}"/>
    <cellStyle name="40 % - Markeringsfarve6 2 3 4 2 2 4" xfId="22282" xr:uid="{00000000-0005-0000-0000-00006B890000}"/>
    <cellStyle name="40 % - Markeringsfarve6 2 3 4 2 2 5" xfId="37270" xr:uid="{00000000-0005-0000-0000-00006C890000}"/>
    <cellStyle name="40 % - Markeringsfarve6 2 3 4 2 3" xfId="6429" xr:uid="{00000000-0005-0000-0000-00006D890000}"/>
    <cellStyle name="40 % - Markeringsfarve6 2 3 4 2 3 2" xfId="14344" xr:uid="{00000000-0005-0000-0000-00006E890000}"/>
    <cellStyle name="40 % - Markeringsfarve6 2 3 4 2 3 2 2" xfId="30659" xr:uid="{00000000-0005-0000-0000-00006F890000}"/>
    <cellStyle name="40 % - Markeringsfarve6 2 3 4 2 3 2 3" xfId="45623" xr:uid="{00000000-0005-0000-0000-000070890000}"/>
    <cellStyle name="40 % - Markeringsfarve6 2 3 4 2 3 3" xfId="23637" xr:uid="{00000000-0005-0000-0000-000071890000}"/>
    <cellStyle name="40 % - Markeringsfarve6 2 3 4 2 3 4" xfId="38624" xr:uid="{00000000-0005-0000-0000-000072890000}"/>
    <cellStyle name="40 % - Markeringsfarve6 2 3 4 2 4" xfId="12983" xr:uid="{00000000-0005-0000-0000-000073890000}"/>
    <cellStyle name="40 % - Markeringsfarve6 2 3 4 2 4 2" xfId="29303" xr:uid="{00000000-0005-0000-0000-000074890000}"/>
    <cellStyle name="40 % - Markeringsfarve6 2 3 4 2 4 3" xfId="44268" xr:uid="{00000000-0005-0000-0000-000075890000}"/>
    <cellStyle name="40 % - Markeringsfarve6 2 3 4 2 5" xfId="22281" xr:uid="{00000000-0005-0000-0000-000076890000}"/>
    <cellStyle name="40 % - Markeringsfarve6 2 3 4 2 6" xfId="37269" xr:uid="{00000000-0005-0000-0000-000077890000}"/>
    <cellStyle name="40 % - Markeringsfarve6 2 3 4 3" xfId="4425" xr:uid="{00000000-0005-0000-0000-000078890000}"/>
    <cellStyle name="40 % - Markeringsfarve6 2 3 4 3 2" xfId="7176" xr:uid="{00000000-0005-0000-0000-000079890000}"/>
    <cellStyle name="40 % - Markeringsfarve6 2 3 4 3 2 2" xfId="15087" xr:uid="{00000000-0005-0000-0000-00007A890000}"/>
    <cellStyle name="40 % - Markeringsfarve6 2 3 4 3 2 2 2" xfId="31402" xr:uid="{00000000-0005-0000-0000-00007B890000}"/>
    <cellStyle name="40 % - Markeringsfarve6 2 3 4 3 2 2 3" xfId="46366" xr:uid="{00000000-0005-0000-0000-00007C890000}"/>
    <cellStyle name="40 % - Markeringsfarve6 2 3 4 3 2 3" xfId="24380" xr:uid="{00000000-0005-0000-0000-00007D890000}"/>
    <cellStyle name="40 % - Markeringsfarve6 2 3 4 3 2 4" xfId="39367" xr:uid="{00000000-0005-0000-0000-00007E890000}"/>
    <cellStyle name="40 % - Markeringsfarve6 2 3 4 3 3" xfId="12985" xr:uid="{00000000-0005-0000-0000-00007F890000}"/>
    <cellStyle name="40 % - Markeringsfarve6 2 3 4 3 3 2" xfId="29305" xr:uid="{00000000-0005-0000-0000-000080890000}"/>
    <cellStyle name="40 % - Markeringsfarve6 2 3 4 3 3 3" xfId="44270" xr:uid="{00000000-0005-0000-0000-000081890000}"/>
    <cellStyle name="40 % - Markeringsfarve6 2 3 4 3 4" xfId="22283" xr:uid="{00000000-0005-0000-0000-000082890000}"/>
    <cellStyle name="40 % - Markeringsfarve6 2 3 4 3 5" xfId="37271" xr:uid="{00000000-0005-0000-0000-000083890000}"/>
    <cellStyle name="40 % - Markeringsfarve6 2 3 4 4" xfId="4426" xr:uid="{00000000-0005-0000-0000-000084890000}"/>
    <cellStyle name="40 % - Markeringsfarve6 2 3 4 4 2" xfId="8214" xr:uid="{00000000-0005-0000-0000-000085890000}"/>
    <cellStyle name="40 % - Markeringsfarve6 2 3 4 4 2 2" xfId="16109" xr:uid="{00000000-0005-0000-0000-000086890000}"/>
    <cellStyle name="40 % - Markeringsfarve6 2 3 4 4 2 2 2" xfId="32424" xr:uid="{00000000-0005-0000-0000-000087890000}"/>
    <cellStyle name="40 % - Markeringsfarve6 2 3 4 4 2 2 3" xfId="47388" xr:uid="{00000000-0005-0000-0000-000088890000}"/>
    <cellStyle name="40 % - Markeringsfarve6 2 3 4 4 2 3" xfId="25402" xr:uid="{00000000-0005-0000-0000-000089890000}"/>
    <cellStyle name="40 % - Markeringsfarve6 2 3 4 4 2 4" xfId="40389" xr:uid="{00000000-0005-0000-0000-00008A890000}"/>
    <cellStyle name="40 % - Markeringsfarve6 2 3 4 4 3" xfId="12986" xr:uid="{00000000-0005-0000-0000-00008B890000}"/>
    <cellStyle name="40 % - Markeringsfarve6 2 3 4 4 3 2" xfId="29306" xr:uid="{00000000-0005-0000-0000-00008C890000}"/>
    <cellStyle name="40 % - Markeringsfarve6 2 3 4 4 3 3" xfId="44271" xr:uid="{00000000-0005-0000-0000-00008D890000}"/>
    <cellStyle name="40 % - Markeringsfarve6 2 3 4 4 4" xfId="22284" xr:uid="{00000000-0005-0000-0000-00008E890000}"/>
    <cellStyle name="40 % - Markeringsfarve6 2 3 4 4 5" xfId="37272" xr:uid="{00000000-0005-0000-0000-00008F890000}"/>
    <cellStyle name="40 % - Markeringsfarve6 2 3 4 5" xfId="5981" xr:uid="{00000000-0005-0000-0000-000090890000}"/>
    <cellStyle name="40 % - Markeringsfarve6 2 3 4 5 2" xfId="13900" xr:uid="{00000000-0005-0000-0000-000091890000}"/>
    <cellStyle name="40 % - Markeringsfarve6 2 3 4 5 2 2" xfId="30215" xr:uid="{00000000-0005-0000-0000-000092890000}"/>
    <cellStyle name="40 % - Markeringsfarve6 2 3 4 5 2 3" xfId="45179" xr:uid="{00000000-0005-0000-0000-000093890000}"/>
    <cellStyle name="40 % - Markeringsfarve6 2 3 4 5 3" xfId="23193" xr:uid="{00000000-0005-0000-0000-000094890000}"/>
    <cellStyle name="40 % - Markeringsfarve6 2 3 4 5 4" xfId="38180" xr:uid="{00000000-0005-0000-0000-000095890000}"/>
    <cellStyle name="40 % - Markeringsfarve6 2 3 4 6" xfId="12982" xr:uid="{00000000-0005-0000-0000-000096890000}"/>
    <cellStyle name="40 % - Markeringsfarve6 2 3 4 6 2" xfId="29302" xr:uid="{00000000-0005-0000-0000-000097890000}"/>
    <cellStyle name="40 % - Markeringsfarve6 2 3 4 6 3" xfId="44267" xr:uid="{00000000-0005-0000-0000-000098890000}"/>
    <cellStyle name="40 % - Markeringsfarve6 2 3 4 7" xfId="22280" xr:uid="{00000000-0005-0000-0000-000099890000}"/>
    <cellStyle name="40 % - Markeringsfarve6 2 3 4 8" xfId="37268" xr:uid="{00000000-0005-0000-0000-00009A890000}"/>
    <cellStyle name="40 % - Markeringsfarve6 2 3 5" xfId="4427" xr:uid="{00000000-0005-0000-0000-00009B890000}"/>
    <cellStyle name="40 % - Markeringsfarve6 2 3 5 2" xfId="4428" xr:uid="{00000000-0005-0000-0000-00009C890000}"/>
    <cellStyle name="40 % - Markeringsfarve6 2 3 5 2 2" xfId="4429" xr:uid="{00000000-0005-0000-0000-00009D890000}"/>
    <cellStyle name="40 % - Markeringsfarve6 2 3 5 2 2 2" xfId="8017" xr:uid="{00000000-0005-0000-0000-00009E890000}"/>
    <cellStyle name="40 % - Markeringsfarve6 2 3 5 2 2 2 2" xfId="15919" xr:uid="{00000000-0005-0000-0000-00009F890000}"/>
    <cellStyle name="40 % - Markeringsfarve6 2 3 5 2 2 2 2 2" xfId="32234" xr:uid="{00000000-0005-0000-0000-0000A0890000}"/>
    <cellStyle name="40 % - Markeringsfarve6 2 3 5 2 2 2 2 3" xfId="47198" xr:uid="{00000000-0005-0000-0000-0000A1890000}"/>
    <cellStyle name="40 % - Markeringsfarve6 2 3 5 2 2 2 3" xfId="25212" xr:uid="{00000000-0005-0000-0000-0000A2890000}"/>
    <cellStyle name="40 % - Markeringsfarve6 2 3 5 2 2 2 4" xfId="40199" xr:uid="{00000000-0005-0000-0000-0000A3890000}"/>
    <cellStyle name="40 % - Markeringsfarve6 2 3 5 2 2 3" xfId="12989" xr:uid="{00000000-0005-0000-0000-0000A4890000}"/>
    <cellStyle name="40 % - Markeringsfarve6 2 3 5 2 2 3 2" xfId="29309" xr:uid="{00000000-0005-0000-0000-0000A5890000}"/>
    <cellStyle name="40 % - Markeringsfarve6 2 3 5 2 2 3 3" xfId="44274" xr:uid="{00000000-0005-0000-0000-0000A6890000}"/>
    <cellStyle name="40 % - Markeringsfarve6 2 3 5 2 2 4" xfId="22287" xr:uid="{00000000-0005-0000-0000-0000A7890000}"/>
    <cellStyle name="40 % - Markeringsfarve6 2 3 5 2 2 5" xfId="37275" xr:uid="{00000000-0005-0000-0000-0000A8890000}"/>
    <cellStyle name="40 % - Markeringsfarve6 2 3 5 2 3" xfId="6528" xr:uid="{00000000-0005-0000-0000-0000A9890000}"/>
    <cellStyle name="40 % - Markeringsfarve6 2 3 5 2 3 2" xfId="14443" xr:uid="{00000000-0005-0000-0000-0000AA890000}"/>
    <cellStyle name="40 % - Markeringsfarve6 2 3 5 2 3 2 2" xfId="30758" xr:uid="{00000000-0005-0000-0000-0000AB890000}"/>
    <cellStyle name="40 % - Markeringsfarve6 2 3 5 2 3 2 3" xfId="45722" xr:uid="{00000000-0005-0000-0000-0000AC890000}"/>
    <cellStyle name="40 % - Markeringsfarve6 2 3 5 2 3 3" xfId="23736" xr:uid="{00000000-0005-0000-0000-0000AD890000}"/>
    <cellStyle name="40 % - Markeringsfarve6 2 3 5 2 3 4" xfId="38723" xr:uid="{00000000-0005-0000-0000-0000AE890000}"/>
    <cellStyle name="40 % - Markeringsfarve6 2 3 5 2 4" xfId="12988" xr:uid="{00000000-0005-0000-0000-0000AF890000}"/>
    <cellStyle name="40 % - Markeringsfarve6 2 3 5 2 4 2" xfId="29308" xr:uid="{00000000-0005-0000-0000-0000B0890000}"/>
    <cellStyle name="40 % - Markeringsfarve6 2 3 5 2 4 3" xfId="44273" xr:uid="{00000000-0005-0000-0000-0000B1890000}"/>
    <cellStyle name="40 % - Markeringsfarve6 2 3 5 2 5" xfId="22286" xr:uid="{00000000-0005-0000-0000-0000B2890000}"/>
    <cellStyle name="40 % - Markeringsfarve6 2 3 5 2 6" xfId="37274" xr:uid="{00000000-0005-0000-0000-0000B3890000}"/>
    <cellStyle name="40 % - Markeringsfarve6 2 3 5 3" xfId="4430" xr:uid="{00000000-0005-0000-0000-0000B4890000}"/>
    <cellStyle name="40 % - Markeringsfarve6 2 3 5 3 2" xfId="7293" xr:uid="{00000000-0005-0000-0000-0000B5890000}"/>
    <cellStyle name="40 % - Markeringsfarve6 2 3 5 3 2 2" xfId="15204" xr:uid="{00000000-0005-0000-0000-0000B6890000}"/>
    <cellStyle name="40 % - Markeringsfarve6 2 3 5 3 2 2 2" xfId="31519" xr:uid="{00000000-0005-0000-0000-0000B7890000}"/>
    <cellStyle name="40 % - Markeringsfarve6 2 3 5 3 2 2 3" xfId="46483" xr:uid="{00000000-0005-0000-0000-0000B8890000}"/>
    <cellStyle name="40 % - Markeringsfarve6 2 3 5 3 2 3" xfId="24497" xr:uid="{00000000-0005-0000-0000-0000B9890000}"/>
    <cellStyle name="40 % - Markeringsfarve6 2 3 5 3 2 4" xfId="39484" xr:uid="{00000000-0005-0000-0000-0000BA890000}"/>
    <cellStyle name="40 % - Markeringsfarve6 2 3 5 3 3" xfId="12990" xr:uid="{00000000-0005-0000-0000-0000BB890000}"/>
    <cellStyle name="40 % - Markeringsfarve6 2 3 5 3 3 2" xfId="29310" xr:uid="{00000000-0005-0000-0000-0000BC890000}"/>
    <cellStyle name="40 % - Markeringsfarve6 2 3 5 3 3 3" xfId="44275" xr:uid="{00000000-0005-0000-0000-0000BD890000}"/>
    <cellStyle name="40 % - Markeringsfarve6 2 3 5 3 4" xfId="22288" xr:uid="{00000000-0005-0000-0000-0000BE890000}"/>
    <cellStyle name="40 % - Markeringsfarve6 2 3 5 3 5" xfId="37276" xr:uid="{00000000-0005-0000-0000-0000BF890000}"/>
    <cellStyle name="40 % - Markeringsfarve6 2 3 5 4" xfId="4431" xr:uid="{00000000-0005-0000-0000-0000C0890000}"/>
    <cellStyle name="40 % - Markeringsfarve6 2 3 5 4 2" xfId="8525" xr:uid="{00000000-0005-0000-0000-0000C1890000}"/>
    <cellStyle name="40 % - Markeringsfarve6 2 3 5 4 2 2" xfId="16413" xr:uid="{00000000-0005-0000-0000-0000C2890000}"/>
    <cellStyle name="40 % - Markeringsfarve6 2 3 5 4 2 2 2" xfId="32728" xr:uid="{00000000-0005-0000-0000-0000C3890000}"/>
    <cellStyle name="40 % - Markeringsfarve6 2 3 5 4 2 2 3" xfId="47692" xr:uid="{00000000-0005-0000-0000-0000C4890000}"/>
    <cellStyle name="40 % - Markeringsfarve6 2 3 5 4 2 3" xfId="25706" xr:uid="{00000000-0005-0000-0000-0000C5890000}"/>
    <cellStyle name="40 % - Markeringsfarve6 2 3 5 4 2 4" xfId="40693" xr:uid="{00000000-0005-0000-0000-0000C6890000}"/>
    <cellStyle name="40 % - Markeringsfarve6 2 3 5 4 3" xfId="12991" xr:uid="{00000000-0005-0000-0000-0000C7890000}"/>
    <cellStyle name="40 % - Markeringsfarve6 2 3 5 4 3 2" xfId="29311" xr:uid="{00000000-0005-0000-0000-0000C8890000}"/>
    <cellStyle name="40 % - Markeringsfarve6 2 3 5 4 3 3" xfId="44276" xr:uid="{00000000-0005-0000-0000-0000C9890000}"/>
    <cellStyle name="40 % - Markeringsfarve6 2 3 5 4 4" xfId="22289" xr:uid="{00000000-0005-0000-0000-0000CA890000}"/>
    <cellStyle name="40 % - Markeringsfarve6 2 3 5 4 5" xfId="37277" xr:uid="{00000000-0005-0000-0000-0000CB890000}"/>
    <cellStyle name="40 % - Markeringsfarve6 2 3 5 5" xfId="5982" xr:uid="{00000000-0005-0000-0000-0000CC890000}"/>
    <cellStyle name="40 % - Markeringsfarve6 2 3 5 5 2" xfId="13901" xr:uid="{00000000-0005-0000-0000-0000CD890000}"/>
    <cellStyle name="40 % - Markeringsfarve6 2 3 5 5 2 2" xfId="30216" xr:uid="{00000000-0005-0000-0000-0000CE890000}"/>
    <cellStyle name="40 % - Markeringsfarve6 2 3 5 5 2 3" xfId="45180" xr:uid="{00000000-0005-0000-0000-0000CF890000}"/>
    <cellStyle name="40 % - Markeringsfarve6 2 3 5 5 3" xfId="23194" xr:uid="{00000000-0005-0000-0000-0000D0890000}"/>
    <cellStyle name="40 % - Markeringsfarve6 2 3 5 5 4" xfId="38181" xr:uid="{00000000-0005-0000-0000-0000D1890000}"/>
    <cellStyle name="40 % - Markeringsfarve6 2 3 5 6" xfId="12987" xr:uid="{00000000-0005-0000-0000-0000D2890000}"/>
    <cellStyle name="40 % - Markeringsfarve6 2 3 5 6 2" xfId="29307" xr:uid="{00000000-0005-0000-0000-0000D3890000}"/>
    <cellStyle name="40 % - Markeringsfarve6 2 3 5 6 3" xfId="44272" xr:uid="{00000000-0005-0000-0000-0000D4890000}"/>
    <cellStyle name="40 % - Markeringsfarve6 2 3 5 7" xfId="22285" xr:uid="{00000000-0005-0000-0000-0000D5890000}"/>
    <cellStyle name="40 % - Markeringsfarve6 2 3 5 8" xfId="37273" xr:uid="{00000000-0005-0000-0000-0000D6890000}"/>
    <cellStyle name="40 % - Markeringsfarve6 2 3 6" xfId="4432" xr:uid="{00000000-0005-0000-0000-0000D7890000}"/>
    <cellStyle name="40 % - Markeringsfarve6 2 3 6 2" xfId="4433" xr:uid="{00000000-0005-0000-0000-0000D8890000}"/>
    <cellStyle name="40 % - Markeringsfarve6 2 3 6 2 2" xfId="4434" xr:uid="{00000000-0005-0000-0000-0000D9890000}"/>
    <cellStyle name="40 % - Markeringsfarve6 2 3 6 2 2 2" xfId="8121" xr:uid="{00000000-0005-0000-0000-0000DA890000}"/>
    <cellStyle name="40 % - Markeringsfarve6 2 3 6 2 2 2 2" xfId="16023" xr:uid="{00000000-0005-0000-0000-0000DB890000}"/>
    <cellStyle name="40 % - Markeringsfarve6 2 3 6 2 2 2 2 2" xfId="32338" xr:uid="{00000000-0005-0000-0000-0000DC890000}"/>
    <cellStyle name="40 % - Markeringsfarve6 2 3 6 2 2 2 2 3" xfId="47302" xr:uid="{00000000-0005-0000-0000-0000DD890000}"/>
    <cellStyle name="40 % - Markeringsfarve6 2 3 6 2 2 2 3" xfId="25316" xr:uid="{00000000-0005-0000-0000-0000DE890000}"/>
    <cellStyle name="40 % - Markeringsfarve6 2 3 6 2 2 2 4" xfId="40303" xr:uid="{00000000-0005-0000-0000-0000DF890000}"/>
    <cellStyle name="40 % - Markeringsfarve6 2 3 6 2 2 3" xfId="12994" xr:uid="{00000000-0005-0000-0000-0000E0890000}"/>
    <cellStyle name="40 % - Markeringsfarve6 2 3 6 2 2 3 2" xfId="29314" xr:uid="{00000000-0005-0000-0000-0000E1890000}"/>
    <cellStyle name="40 % - Markeringsfarve6 2 3 6 2 2 3 3" xfId="44279" xr:uid="{00000000-0005-0000-0000-0000E2890000}"/>
    <cellStyle name="40 % - Markeringsfarve6 2 3 6 2 2 4" xfId="22292" xr:uid="{00000000-0005-0000-0000-0000E3890000}"/>
    <cellStyle name="40 % - Markeringsfarve6 2 3 6 2 2 5" xfId="37280" xr:uid="{00000000-0005-0000-0000-0000E4890000}"/>
    <cellStyle name="40 % - Markeringsfarve6 2 3 6 2 3" xfId="6614" xr:uid="{00000000-0005-0000-0000-0000E5890000}"/>
    <cellStyle name="40 % - Markeringsfarve6 2 3 6 2 3 2" xfId="14529" xr:uid="{00000000-0005-0000-0000-0000E6890000}"/>
    <cellStyle name="40 % - Markeringsfarve6 2 3 6 2 3 2 2" xfId="30844" xr:uid="{00000000-0005-0000-0000-0000E7890000}"/>
    <cellStyle name="40 % - Markeringsfarve6 2 3 6 2 3 2 3" xfId="45808" xr:uid="{00000000-0005-0000-0000-0000E8890000}"/>
    <cellStyle name="40 % - Markeringsfarve6 2 3 6 2 3 3" xfId="23822" xr:uid="{00000000-0005-0000-0000-0000E9890000}"/>
    <cellStyle name="40 % - Markeringsfarve6 2 3 6 2 3 4" xfId="38809" xr:uid="{00000000-0005-0000-0000-0000EA890000}"/>
    <cellStyle name="40 % - Markeringsfarve6 2 3 6 2 4" xfId="12993" xr:uid="{00000000-0005-0000-0000-0000EB890000}"/>
    <cellStyle name="40 % - Markeringsfarve6 2 3 6 2 4 2" xfId="29313" xr:uid="{00000000-0005-0000-0000-0000EC890000}"/>
    <cellStyle name="40 % - Markeringsfarve6 2 3 6 2 4 3" xfId="44278" xr:uid="{00000000-0005-0000-0000-0000ED890000}"/>
    <cellStyle name="40 % - Markeringsfarve6 2 3 6 2 5" xfId="22291" xr:uid="{00000000-0005-0000-0000-0000EE890000}"/>
    <cellStyle name="40 % - Markeringsfarve6 2 3 6 2 6" xfId="37279" xr:uid="{00000000-0005-0000-0000-0000EF890000}"/>
    <cellStyle name="40 % - Markeringsfarve6 2 3 6 3" xfId="4435" xr:uid="{00000000-0005-0000-0000-0000F0890000}"/>
    <cellStyle name="40 % - Markeringsfarve6 2 3 6 3 2" xfId="7398" xr:uid="{00000000-0005-0000-0000-0000F1890000}"/>
    <cellStyle name="40 % - Markeringsfarve6 2 3 6 3 2 2" xfId="15309" xr:uid="{00000000-0005-0000-0000-0000F2890000}"/>
    <cellStyle name="40 % - Markeringsfarve6 2 3 6 3 2 2 2" xfId="31624" xr:uid="{00000000-0005-0000-0000-0000F3890000}"/>
    <cellStyle name="40 % - Markeringsfarve6 2 3 6 3 2 2 3" xfId="46588" xr:uid="{00000000-0005-0000-0000-0000F4890000}"/>
    <cellStyle name="40 % - Markeringsfarve6 2 3 6 3 2 3" xfId="24602" xr:uid="{00000000-0005-0000-0000-0000F5890000}"/>
    <cellStyle name="40 % - Markeringsfarve6 2 3 6 3 2 4" xfId="39589" xr:uid="{00000000-0005-0000-0000-0000F6890000}"/>
    <cellStyle name="40 % - Markeringsfarve6 2 3 6 3 3" xfId="12995" xr:uid="{00000000-0005-0000-0000-0000F7890000}"/>
    <cellStyle name="40 % - Markeringsfarve6 2 3 6 3 3 2" xfId="29315" xr:uid="{00000000-0005-0000-0000-0000F8890000}"/>
    <cellStyle name="40 % - Markeringsfarve6 2 3 6 3 3 3" xfId="44280" xr:uid="{00000000-0005-0000-0000-0000F9890000}"/>
    <cellStyle name="40 % - Markeringsfarve6 2 3 6 3 4" xfId="22293" xr:uid="{00000000-0005-0000-0000-0000FA890000}"/>
    <cellStyle name="40 % - Markeringsfarve6 2 3 6 3 5" xfId="37281" xr:uid="{00000000-0005-0000-0000-0000FB890000}"/>
    <cellStyle name="40 % - Markeringsfarve6 2 3 6 4" xfId="4436" xr:uid="{00000000-0005-0000-0000-0000FC890000}"/>
    <cellStyle name="40 % - Markeringsfarve6 2 3 6 4 2" xfId="8175" xr:uid="{00000000-0005-0000-0000-0000FD890000}"/>
    <cellStyle name="40 % - Markeringsfarve6 2 3 6 4 2 2" xfId="16073" xr:uid="{00000000-0005-0000-0000-0000FE890000}"/>
    <cellStyle name="40 % - Markeringsfarve6 2 3 6 4 2 2 2" xfId="32388" xr:uid="{00000000-0005-0000-0000-0000FF890000}"/>
    <cellStyle name="40 % - Markeringsfarve6 2 3 6 4 2 2 3" xfId="47352" xr:uid="{00000000-0005-0000-0000-0000008A0000}"/>
    <cellStyle name="40 % - Markeringsfarve6 2 3 6 4 2 3" xfId="25366" xr:uid="{00000000-0005-0000-0000-0000018A0000}"/>
    <cellStyle name="40 % - Markeringsfarve6 2 3 6 4 2 4" xfId="40353" xr:uid="{00000000-0005-0000-0000-0000028A0000}"/>
    <cellStyle name="40 % - Markeringsfarve6 2 3 6 4 3" xfId="12996" xr:uid="{00000000-0005-0000-0000-0000038A0000}"/>
    <cellStyle name="40 % - Markeringsfarve6 2 3 6 4 3 2" xfId="29316" xr:uid="{00000000-0005-0000-0000-0000048A0000}"/>
    <cellStyle name="40 % - Markeringsfarve6 2 3 6 4 3 3" xfId="44281" xr:uid="{00000000-0005-0000-0000-0000058A0000}"/>
    <cellStyle name="40 % - Markeringsfarve6 2 3 6 4 4" xfId="22294" xr:uid="{00000000-0005-0000-0000-0000068A0000}"/>
    <cellStyle name="40 % - Markeringsfarve6 2 3 6 4 5" xfId="37282" xr:uid="{00000000-0005-0000-0000-0000078A0000}"/>
    <cellStyle name="40 % - Markeringsfarve6 2 3 6 5" xfId="5983" xr:uid="{00000000-0005-0000-0000-0000088A0000}"/>
    <cellStyle name="40 % - Markeringsfarve6 2 3 6 5 2" xfId="13902" xr:uid="{00000000-0005-0000-0000-0000098A0000}"/>
    <cellStyle name="40 % - Markeringsfarve6 2 3 6 5 2 2" xfId="30217" xr:uid="{00000000-0005-0000-0000-00000A8A0000}"/>
    <cellStyle name="40 % - Markeringsfarve6 2 3 6 5 2 3" xfId="45181" xr:uid="{00000000-0005-0000-0000-00000B8A0000}"/>
    <cellStyle name="40 % - Markeringsfarve6 2 3 6 5 3" xfId="23195" xr:uid="{00000000-0005-0000-0000-00000C8A0000}"/>
    <cellStyle name="40 % - Markeringsfarve6 2 3 6 5 4" xfId="38182" xr:uid="{00000000-0005-0000-0000-00000D8A0000}"/>
    <cellStyle name="40 % - Markeringsfarve6 2 3 6 6" xfId="12992" xr:uid="{00000000-0005-0000-0000-00000E8A0000}"/>
    <cellStyle name="40 % - Markeringsfarve6 2 3 6 6 2" xfId="29312" xr:uid="{00000000-0005-0000-0000-00000F8A0000}"/>
    <cellStyle name="40 % - Markeringsfarve6 2 3 6 6 3" xfId="44277" xr:uid="{00000000-0005-0000-0000-0000108A0000}"/>
    <cellStyle name="40 % - Markeringsfarve6 2 3 6 7" xfId="22290" xr:uid="{00000000-0005-0000-0000-0000118A0000}"/>
    <cellStyle name="40 % - Markeringsfarve6 2 3 6 8" xfId="37278" xr:uid="{00000000-0005-0000-0000-0000128A0000}"/>
    <cellStyle name="40 % - Markeringsfarve6 2 3 7" xfId="4437" xr:uid="{00000000-0005-0000-0000-0000138A0000}"/>
    <cellStyle name="40 % - Markeringsfarve6 2 3 7 2" xfId="4438" xr:uid="{00000000-0005-0000-0000-0000148A0000}"/>
    <cellStyle name="40 % - Markeringsfarve6 2 3 7 2 2" xfId="7543" xr:uid="{00000000-0005-0000-0000-0000158A0000}"/>
    <cellStyle name="40 % - Markeringsfarve6 2 3 7 2 2 2" xfId="15445" xr:uid="{00000000-0005-0000-0000-0000168A0000}"/>
    <cellStyle name="40 % - Markeringsfarve6 2 3 7 2 2 2 2" xfId="31760" xr:uid="{00000000-0005-0000-0000-0000178A0000}"/>
    <cellStyle name="40 % - Markeringsfarve6 2 3 7 2 2 2 3" xfId="46724" xr:uid="{00000000-0005-0000-0000-0000188A0000}"/>
    <cellStyle name="40 % - Markeringsfarve6 2 3 7 2 2 3" xfId="24738" xr:uid="{00000000-0005-0000-0000-0000198A0000}"/>
    <cellStyle name="40 % - Markeringsfarve6 2 3 7 2 2 4" xfId="39725" xr:uid="{00000000-0005-0000-0000-00001A8A0000}"/>
    <cellStyle name="40 % - Markeringsfarve6 2 3 7 2 3" xfId="12998" xr:uid="{00000000-0005-0000-0000-00001B8A0000}"/>
    <cellStyle name="40 % - Markeringsfarve6 2 3 7 2 3 2" xfId="29318" xr:uid="{00000000-0005-0000-0000-00001C8A0000}"/>
    <cellStyle name="40 % - Markeringsfarve6 2 3 7 2 3 3" xfId="44283" xr:uid="{00000000-0005-0000-0000-00001D8A0000}"/>
    <cellStyle name="40 % - Markeringsfarve6 2 3 7 2 4" xfId="22296" xr:uid="{00000000-0005-0000-0000-00001E8A0000}"/>
    <cellStyle name="40 % - Markeringsfarve6 2 3 7 2 5" xfId="37284" xr:uid="{00000000-0005-0000-0000-00001F8A0000}"/>
    <cellStyle name="40 % - Markeringsfarve6 2 3 7 3" xfId="6128" xr:uid="{00000000-0005-0000-0000-0000208A0000}"/>
    <cellStyle name="40 % - Markeringsfarve6 2 3 7 3 2" xfId="14046" xr:uid="{00000000-0005-0000-0000-0000218A0000}"/>
    <cellStyle name="40 % - Markeringsfarve6 2 3 7 3 2 2" xfId="30361" xr:uid="{00000000-0005-0000-0000-0000228A0000}"/>
    <cellStyle name="40 % - Markeringsfarve6 2 3 7 3 2 3" xfId="45325" xr:uid="{00000000-0005-0000-0000-0000238A0000}"/>
    <cellStyle name="40 % - Markeringsfarve6 2 3 7 3 3" xfId="23339" xr:uid="{00000000-0005-0000-0000-0000248A0000}"/>
    <cellStyle name="40 % - Markeringsfarve6 2 3 7 3 4" xfId="38326" xr:uid="{00000000-0005-0000-0000-0000258A0000}"/>
    <cellStyle name="40 % - Markeringsfarve6 2 3 7 4" xfId="12997" xr:uid="{00000000-0005-0000-0000-0000268A0000}"/>
    <cellStyle name="40 % - Markeringsfarve6 2 3 7 4 2" xfId="29317" xr:uid="{00000000-0005-0000-0000-0000278A0000}"/>
    <cellStyle name="40 % - Markeringsfarve6 2 3 7 4 3" xfId="44282" xr:uid="{00000000-0005-0000-0000-0000288A0000}"/>
    <cellStyle name="40 % - Markeringsfarve6 2 3 7 5" xfId="22295" xr:uid="{00000000-0005-0000-0000-0000298A0000}"/>
    <cellStyle name="40 % - Markeringsfarve6 2 3 7 6" xfId="37283" xr:uid="{00000000-0005-0000-0000-00002A8A0000}"/>
    <cellStyle name="40 % - Markeringsfarve6 2 3 8" xfId="4439" xr:uid="{00000000-0005-0000-0000-00002B8A0000}"/>
    <cellStyle name="40 % - Markeringsfarve6 2 3 8 2" xfId="6771" xr:uid="{00000000-0005-0000-0000-00002C8A0000}"/>
    <cellStyle name="40 % - Markeringsfarve6 2 3 8 2 2" xfId="14683" xr:uid="{00000000-0005-0000-0000-00002D8A0000}"/>
    <cellStyle name="40 % - Markeringsfarve6 2 3 8 2 2 2" xfId="30998" xr:uid="{00000000-0005-0000-0000-00002E8A0000}"/>
    <cellStyle name="40 % - Markeringsfarve6 2 3 8 2 2 3" xfId="45962" xr:uid="{00000000-0005-0000-0000-00002F8A0000}"/>
    <cellStyle name="40 % - Markeringsfarve6 2 3 8 2 3" xfId="23976" xr:uid="{00000000-0005-0000-0000-0000308A0000}"/>
    <cellStyle name="40 % - Markeringsfarve6 2 3 8 2 4" xfId="38963" xr:uid="{00000000-0005-0000-0000-0000318A0000}"/>
    <cellStyle name="40 % - Markeringsfarve6 2 3 8 3" xfId="12999" xr:uid="{00000000-0005-0000-0000-0000328A0000}"/>
    <cellStyle name="40 % - Markeringsfarve6 2 3 8 3 2" xfId="29319" xr:uid="{00000000-0005-0000-0000-0000338A0000}"/>
    <cellStyle name="40 % - Markeringsfarve6 2 3 8 3 3" xfId="44284" xr:uid="{00000000-0005-0000-0000-0000348A0000}"/>
    <cellStyle name="40 % - Markeringsfarve6 2 3 8 4" xfId="22297" xr:uid="{00000000-0005-0000-0000-0000358A0000}"/>
    <cellStyle name="40 % - Markeringsfarve6 2 3 8 5" xfId="37285" xr:uid="{00000000-0005-0000-0000-0000368A0000}"/>
    <cellStyle name="40 % - Markeringsfarve6 2 3 9" xfId="4440" xr:uid="{00000000-0005-0000-0000-0000378A0000}"/>
    <cellStyle name="40 % - Markeringsfarve6 2 3 9 2" xfId="8616" xr:uid="{00000000-0005-0000-0000-0000388A0000}"/>
    <cellStyle name="40 % - Markeringsfarve6 2 3 9 2 2" xfId="16499" xr:uid="{00000000-0005-0000-0000-0000398A0000}"/>
    <cellStyle name="40 % - Markeringsfarve6 2 3 9 2 2 2" xfId="32814" xr:uid="{00000000-0005-0000-0000-00003A8A0000}"/>
    <cellStyle name="40 % - Markeringsfarve6 2 3 9 2 2 3" xfId="47778" xr:uid="{00000000-0005-0000-0000-00003B8A0000}"/>
    <cellStyle name="40 % - Markeringsfarve6 2 3 9 2 3" xfId="25792" xr:uid="{00000000-0005-0000-0000-00003C8A0000}"/>
    <cellStyle name="40 % - Markeringsfarve6 2 3 9 2 4" xfId="40779" xr:uid="{00000000-0005-0000-0000-00003D8A0000}"/>
    <cellStyle name="40 % - Markeringsfarve6 2 3 9 3" xfId="13000" xr:uid="{00000000-0005-0000-0000-00003E8A0000}"/>
    <cellStyle name="40 % - Markeringsfarve6 2 3 9 3 2" xfId="29320" xr:uid="{00000000-0005-0000-0000-00003F8A0000}"/>
    <cellStyle name="40 % - Markeringsfarve6 2 3 9 3 3" xfId="44285" xr:uid="{00000000-0005-0000-0000-0000408A0000}"/>
    <cellStyle name="40 % - Markeringsfarve6 2 3 9 4" xfId="22298" xr:uid="{00000000-0005-0000-0000-0000418A0000}"/>
    <cellStyle name="40 % - Markeringsfarve6 2 3 9 5" xfId="37286" xr:uid="{00000000-0005-0000-0000-0000428A0000}"/>
    <cellStyle name="40 % - Markeringsfarve6 2 4" xfId="4441" xr:uid="{00000000-0005-0000-0000-0000438A0000}"/>
    <cellStyle name="40 % - Markeringsfarve6 2 4 2" xfId="4442" xr:uid="{00000000-0005-0000-0000-0000448A0000}"/>
    <cellStyle name="40 % - Markeringsfarve6 2 4 2 2" xfId="4443" xr:uid="{00000000-0005-0000-0000-0000458A0000}"/>
    <cellStyle name="40 % - Markeringsfarve6 2 4 2 2 2" xfId="7584" xr:uid="{00000000-0005-0000-0000-0000468A0000}"/>
    <cellStyle name="40 % - Markeringsfarve6 2 4 2 2 2 2" xfId="15486" xr:uid="{00000000-0005-0000-0000-0000478A0000}"/>
    <cellStyle name="40 % - Markeringsfarve6 2 4 2 2 2 2 2" xfId="31801" xr:uid="{00000000-0005-0000-0000-0000488A0000}"/>
    <cellStyle name="40 % - Markeringsfarve6 2 4 2 2 2 2 3" xfId="46765" xr:uid="{00000000-0005-0000-0000-0000498A0000}"/>
    <cellStyle name="40 % - Markeringsfarve6 2 4 2 2 2 3" xfId="24779" xr:uid="{00000000-0005-0000-0000-00004A8A0000}"/>
    <cellStyle name="40 % - Markeringsfarve6 2 4 2 2 2 4" xfId="39766" xr:uid="{00000000-0005-0000-0000-00004B8A0000}"/>
    <cellStyle name="40 % - Markeringsfarve6 2 4 2 2 3" xfId="13003" xr:uid="{00000000-0005-0000-0000-00004C8A0000}"/>
    <cellStyle name="40 % - Markeringsfarve6 2 4 2 2 3 2" xfId="29323" xr:uid="{00000000-0005-0000-0000-00004D8A0000}"/>
    <cellStyle name="40 % - Markeringsfarve6 2 4 2 2 3 3" xfId="44288" xr:uid="{00000000-0005-0000-0000-00004E8A0000}"/>
    <cellStyle name="40 % - Markeringsfarve6 2 4 2 2 4" xfId="22301" xr:uid="{00000000-0005-0000-0000-00004F8A0000}"/>
    <cellStyle name="40 % - Markeringsfarve6 2 4 2 2 5" xfId="37289" xr:uid="{00000000-0005-0000-0000-0000508A0000}"/>
    <cellStyle name="40 % - Markeringsfarve6 2 4 2 3" xfId="6161" xr:uid="{00000000-0005-0000-0000-0000518A0000}"/>
    <cellStyle name="40 % - Markeringsfarve6 2 4 2 3 2" xfId="14079" xr:uid="{00000000-0005-0000-0000-0000528A0000}"/>
    <cellStyle name="40 % - Markeringsfarve6 2 4 2 3 2 2" xfId="30394" xr:uid="{00000000-0005-0000-0000-0000538A0000}"/>
    <cellStyle name="40 % - Markeringsfarve6 2 4 2 3 2 3" xfId="45358" xr:uid="{00000000-0005-0000-0000-0000548A0000}"/>
    <cellStyle name="40 % - Markeringsfarve6 2 4 2 3 3" xfId="23372" xr:uid="{00000000-0005-0000-0000-0000558A0000}"/>
    <cellStyle name="40 % - Markeringsfarve6 2 4 2 3 4" xfId="38359" xr:uid="{00000000-0005-0000-0000-0000568A0000}"/>
    <cellStyle name="40 % - Markeringsfarve6 2 4 2 4" xfId="13002" xr:uid="{00000000-0005-0000-0000-0000578A0000}"/>
    <cellStyle name="40 % - Markeringsfarve6 2 4 2 4 2" xfId="29322" xr:uid="{00000000-0005-0000-0000-0000588A0000}"/>
    <cellStyle name="40 % - Markeringsfarve6 2 4 2 4 3" xfId="44287" xr:uid="{00000000-0005-0000-0000-0000598A0000}"/>
    <cellStyle name="40 % - Markeringsfarve6 2 4 2 5" xfId="22300" xr:uid="{00000000-0005-0000-0000-00005A8A0000}"/>
    <cellStyle name="40 % - Markeringsfarve6 2 4 2 6" xfId="37288" xr:uid="{00000000-0005-0000-0000-00005B8A0000}"/>
    <cellStyle name="40 % - Markeringsfarve6 2 4 2 7" xfId="57145" xr:uid="{00000000-0005-0000-0000-00005C8A0000}"/>
    <cellStyle name="40 % - Markeringsfarve6 2 4 3" xfId="4444" xr:uid="{00000000-0005-0000-0000-00005D8A0000}"/>
    <cellStyle name="40 % - Markeringsfarve6 2 4 3 2" xfId="6814" xr:uid="{00000000-0005-0000-0000-00005E8A0000}"/>
    <cellStyle name="40 % - Markeringsfarve6 2 4 3 2 2" xfId="14726" xr:uid="{00000000-0005-0000-0000-00005F8A0000}"/>
    <cellStyle name="40 % - Markeringsfarve6 2 4 3 2 2 2" xfId="31041" xr:uid="{00000000-0005-0000-0000-0000608A0000}"/>
    <cellStyle name="40 % - Markeringsfarve6 2 4 3 2 2 3" xfId="46005" xr:uid="{00000000-0005-0000-0000-0000618A0000}"/>
    <cellStyle name="40 % - Markeringsfarve6 2 4 3 2 3" xfId="24019" xr:uid="{00000000-0005-0000-0000-0000628A0000}"/>
    <cellStyle name="40 % - Markeringsfarve6 2 4 3 2 4" xfId="39006" xr:uid="{00000000-0005-0000-0000-0000638A0000}"/>
    <cellStyle name="40 % - Markeringsfarve6 2 4 3 3" xfId="13004" xr:uid="{00000000-0005-0000-0000-0000648A0000}"/>
    <cellStyle name="40 % - Markeringsfarve6 2 4 3 3 2" xfId="29324" xr:uid="{00000000-0005-0000-0000-0000658A0000}"/>
    <cellStyle name="40 % - Markeringsfarve6 2 4 3 3 3" xfId="44289" xr:uid="{00000000-0005-0000-0000-0000668A0000}"/>
    <cellStyle name="40 % - Markeringsfarve6 2 4 3 4" xfId="22302" xr:uid="{00000000-0005-0000-0000-0000678A0000}"/>
    <cellStyle name="40 % - Markeringsfarve6 2 4 3 5" xfId="37290" xr:uid="{00000000-0005-0000-0000-0000688A0000}"/>
    <cellStyle name="40 % - Markeringsfarve6 2 4 4" xfId="4445" xr:uid="{00000000-0005-0000-0000-0000698A0000}"/>
    <cellStyle name="40 % - Markeringsfarve6 2 4 4 2" xfId="6655" xr:uid="{00000000-0005-0000-0000-00006A8A0000}"/>
    <cellStyle name="40 % - Markeringsfarve6 2 4 4 2 2" xfId="14569" xr:uid="{00000000-0005-0000-0000-00006B8A0000}"/>
    <cellStyle name="40 % - Markeringsfarve6 2 4 4 2 2 2" xfId="30884" xr:uid="{00000000-0005-0000-0000-00006C8A0000}"/>
    <cellStyle name="40 % - Markeringsfarve6 2 4 4 2 2 3" xfId="45848" xr:uid="{00000000-0005-0000-0000-00006D8A0000}"/>
    <cellStyle name="40 % - Markeringsfarve6 2 4 4 2 3" xfId="23862" xr:uid="{00000000-0005-0000-0000-00006E8A0000}"/>
    <cellStyle name="40 % - Markeringsfarve6 2 4 4 2 4" xfId="38849" xr:uid="{00000000-0005-0000-0000-00006F8A0000}"/>
    <cellStyle name="40 % - Markeringsfarve6 2 4 4 3" xfId="13005" xr:uid="{00000000-0005-0000-0000-0000708A0000}"/>
    <cellStyle name="40 % - Markeringsfarve6 2 4 4 3 2" xfId="29325" xr:uid="{00000000-0005-0000-0000-0000718A0000}"/>
    <cellStyle name="40 % - Markeringsfarve6 2 4 4 3 3" xfId="44290" xr:uid="{00000000-0005-0000-0000-0000728A0000}"/>
    <cellStyle name="40 % - Markeringsfarve6 2 4 4 4" xfId="22303" xr:uid="{00000000-0005-0000-0000-0000738A0000}"/>
    <cellStyle name="40 % - Markeringsfarve6 2 4 4 5" xfId="37291" xr:uid="{00000000-0005-0000-0000-0000748A0000}"/>
    <cellStyle name="40 % - Markeringsfarve6 2 4 5" xfId="5984" xr:uid="{00000000-0005-0000-0000-0000758A0000}"/>
    <cellStyle name="40 % - Markeringsfarve6 2 4 5 2" xfId="13903" xr:uid="{00000000-0005-0000-0000-0000768A0000}"/>
    <cellStyle name="40 % - Markeringsfarve6 2 4 5 2 2" xfId="30218" xr:uid="{00000000-0005-0000-0000-0000778A0000}"/>
    <cellStyle name="40 % - Markeringsfarve6 2 4 5 2 3" xfId="45182" xr:uid="{00000000-0005-0000-0000-0000788A0000}"/>
    <cellStyle name="40 % - Markeringsfarve6 2 4 5 3" xfId="23196" xr:uid="{00000000-0005-0000-0000-0000798A0000}"/>
    <cellStyle name="40 % - Markeringsfarve6 2 4 5 4" xfId="38183" xr:uid="{00000000-0005-0000-0000-00007A8A0000}"/>
    <cellStyle name="40 % - Markeringsfarve6 2 4 6" xfId="13001" xr:uid="{00000000-0005-0000-0000-00007B8A0000}"/>
    <cellStyle name="40 % - Markeringsfarve6 2 4 6 2" xfId="29321" xr:uid="{00000000-0005-0000-0000-00007C8A0000}"/>
    <cellStyle name="40 % - Markeringsfarve6 2 4 6 3" xfId="44286" xr:uid="{00000000-0005-0000-0000-00007D8A0000}"/>
    <cellStyle name="40 % - Markeringsfarve6 2 4 7" xfId="22299" xr:uid="{00000000-0005-0000-0000-00007E8A0000}"/>
    <cellStyle name="40 % - Markeringsfarve6 2 4 8" xfId="37287" xr:uid="{00000000-0005-0000-0000-00007F8A0000}"/>
    <cellStyle name="40 % - Markeringsfarve6 2 4 9" xfId="53978" xr:uid="{00000000-0005-0000-0000-0000808A0000}"/>
    <cellStyle name="40 % - Markeringsfarve6 2 5" xfId="4446" xr:uid="{00000000-0005-0000-0000-0000818A0000}"/>
    <cellStyle name="40 % - Markeringsfarve6 2 5 2" xfId="4447" xr:uid="{00000000-0005-0000-0000-0000828A0000}"/>
    <cellStyle name="40 % - Markeringsfarve6 2 5 2 2" xfId="4448" xr:uid="{00000000-0005-0000-0000-0000838A0000}"/>
    <cellStyle name="40 % - Markeringsfarve6 2 5 2 2 2" xfId="7765" xr:uid="{00000000-0005-0000-0000-0000848A0000}"/>
    <cellStyle name="40 % - Markeringsfarve6 2 5 2 2 2 2" xfId="15667" xr:uid="{00000000-0005-0000-0000-0000858A0000}"/>
    <cellStyle name="40 % - Markeringsfarve6 2 5 2 2 2 2 2" xfId="31982" xr:uid="{00000000-0005-0000-0000-0000868A0000}"/>
    <cellStyle name="40 % - Markeringsfarve6 2 5 2 2 2 2 3" xfId="46946" xr:uid="{00000000-0005-0000-0000-0000878A0000}"/>
    <cellStyle name="40 % - Markeringsfarve6 2 5 2 2 2 3" xfId="24960" xr:uid="{00000000-0005-0000-0000-0000888A0000}"/>
    <cellStyle name="40 % - Markeringsfarve6 2 5 2 2 2 4" xfId="39947" xr:uid="{00000000-0005-0000-0000-0000898A0000}"/>
    <cellStyle name="40 % - Markeringsfarve6 2 5 2 2 3" xfId="13008" xr:uid="{00000000-0005-0000-0000-00008A8A0000}"/>
    <cellStyle name="40 % - Markeringsfarve6 2 5 2 2 3 2" xfId="29328" xr:uid="{00000000-0005-0000-0000-00008B8A0000}"/>
    <cellStyle name="40 % - Markeringsfarve6 2 5 2 2 3 3" xfId="44293" xr:uid="{00000000-0005-0000-0000-00008C8A0000}"/>
    <cellStyle name="40 % - Markeringsfarve6 2 5 2 2 4" xfId="22306" xr:uid="{00000000-0005-0000-0000-00008D8A0000}"/>
    <cellStyle name="40 % - Markeringsfarve6 2 5 2 2 5" xfId="37294" xr:uid="{00000000-0005-0000-0000-00008E8A0000}"/>
    <cellStyle name="40 % - Markeringsfarve6 2 5 2 3" xfId="6311" xr:uid="{00000000-0005-0000-0000-00008F8A0000}"/>
    <cellStyle name="40 % - Markeringsfarve6 2 5 2 3 2" xfId="14229" xr:uid="{00000000-0005-0000-0000-0000908A0000}"/>
    <cellStyle name="40 % - Markeringsfarve6 2 5 2 3 2 2" xfId="30544" xr:uid="{00000000-0005-0000-0000-0000918A0000}"/>
    <cellStyle name="40 % - Markeringsfarve6 2 5 2 3 2 3" xfId="45508" xr:uid="{00000000-0005-0000-0000-0000928A0000}"/>
    <cellStyle name="40 % - Markeringsfarve6 2 5 2 3 3" xfId="23522" xr:uid="{00000000-0005-0000-0000-0000938A0000}"/>
    <cellStyle name="40 % - Markeringsfarve6 2 5 2 3 4" xfId="38509" xr:uid="{00000000-0005-0000-0000-0000948A0000}"/>
    <cellStyle name="40 % - Markeringsfarve6 2 5 2 4" xfId="13007" xr:uid="{00000000-0005-0000-0000-0000958A0000}"/>
    <cellStyle name="40 % - Markeringsfarve6 2 5 2 4 2" xfId="29327" xr:uid="{00000000-0005-0000-0000-0000968A0000}"/>
    <cellStyle name="40 % - Markeringsfarve6 2 5 2 4 3" xfId="44292" xr:uid="{00000000-0005-0000-0000-0000978A0000}"/>
    <cellStyle name="40 % - Markeringsfarve6 2 5 2 5" xfId="22305" xr:uid="{00000000-0005-0000-0000-0000988A0000}"/>
    <cellStyle name="40 % - Markeringsfarve6 2 5 2 6" xfId="37293" xr:uid="{00000000-0005-0000-0000-0000998A0000}"/>
    <cellStyle name="40 % - Markeringsfarve6 2 5 3" xfId="4449" xr:uid="{00000000-0005-0000-0000-00009A8A0000}"/>
    <cellStyle name="40 % - Markeringsfarve6 2 5 3 2" xfId="6995" xr:uid="{00000000-0005-0000-0000-00009B8A0000}"/>
    <cellStyle name="40 % - Markeringsfarve6 2 5 3 2 2" xfId="14907" xr:uid="{00000000-0005-0000-0000-00009C8A0000}"/>
    <cellStyle name="40 % - Markeringsfarve6 2 5 3 2 2 2" xfId="31222" xr:uid="{00000000-0005-0000-0000-00009D8A0000}"/>
    <cellStyle name="40 % - Markeringsfarve6 2 5 3 2 2 3" xfId="46186" xr:uid="{00000000-0005-0000-0000-00009E8A0000}"/>
    <cellStyle name="40 % - Markeringsfarve6 2 5 3 2 3" xfId="24200" xr:uid="{00000000-0005-0000-0000-00009F8A0000}"/>
    <cellStyle name="40 % - Markeringsfarve6 2 5 3 2 4" xfId="39187" xr:uid="{00000000-0005-0000-0000-0000A08A0000}"/>
    <cellStyle name="40 % - Markeringsfarve6 2 5 3 3" xfId="13009" xr:uid="{00000000-0005-0000-0000-0000A18A0000}"/>
    <cellStyle name="40 % - Markeringsfarve6 2 5 3 3 2" xfId="29329" xr:uid="{00000000-0005-0000-0000-0000A28A0000}"/>
    <cellStyle name="40 % - Markeringsfarve6 2 5 3 3 3" xfId="44294" xr:uid="{00000000-0005-0000-0000-0000A38A0000}"/>
    <cellStyle name="40 % - Markeringsfarve6 2 5 3 4" xfId="22307" xr:uid="{00000000-0005-0000-0000-0000A48A0000}"/>
    <cellStyle name="40 % - Markeringsfarve6 2 5 3 5" xfId="37295" xr:uid="{00000000-0005-0000-0000-0000A58A0000}"/>
    <cellStyle name="40 % - Markeringsfarve6 2 5 4" xfId="4450" xr:uid="{00000000-0005-0000-0000-0000A68A0000}"/>
    <cellStyle name="40 % - Markeringsfarve6 2 5 4 2" xfId="8475" xr:uid="{00000000-0005-0000-0000-0000A78A0000}"/>
    <cellStyle name="40 % - Markeringsfarve6 2 5 4 2 2" xfId="16364" xr:uid="{00000000-0005-0000-0000-0000A88A0000}"/>
    <cellStyle name="40 % - Markeringsfarve6 2 5 4 2 2 2" xfId="32679" xr:uid="{00000000-0005-0000-0000-0000A98A0000}"/>
    <cellStyle name="40 % - Markeringsfarve6 2 5 4 2 2 3" xfId="47643" xr:uid="{00000000-0005-0000-0000-0000AA8A0000}"/>
    <cellStyle name="40 % - Markeringsfarve6 2 5 4 2 3" xfId="25657" xr:uid="{00000000-0005-0000-0000-0000AB8A0000}"/>
    <cellStyle name="40 % - Markeringsfarve6 2 5 4 2 4" xfId="40644" xr:uid="{00000000-0005-0000-0000-0000AC8A0000}"/>
    <cellStyle name="40 % - Markeringsfarve6 2 5 4 3" xfId="13010" xr:uid="{00000000-0005-0000-0000-0000AD8A0000}"/>
    <cellStyle name="40 % - Markeringsfarve6 2 5 4 3 2" xfId="29330" xr:uid="{00000000-0005-0000-0000-0000AE8A0000}"/>
    <cellStyle name="40 % - Markeringsfarve6 2 5 4 3 3" xfId="44295" xr:uid="{00000000-0005-0000-0000-0000AF8A0000}"/>
    <cellStyle name="40 % - Markeringsfarve6 2 5 4 4" xfId="22308" xr:uid="{00000000-0005-0000-0000-0000B08A0000}"/>
    <cellStyle name="40 % - Markeringsfarve6 2 5 4 5" xfId="37296" xr:uid="{00000000-0005-0000-0000-0000B18A0000}"/>
    <cellStyle name="40 % - Markeringsfarve6 2 5 5" xfId="5985" xr:uid="{00000000-0005-0000-0000-0000B28A0000}"/>
    <cellStyle name="40 % - Markeringsfarve6 2 5 5 2" xfId="13904" xr:uid="{00000000-0005-0000-0000-0000B38A0000}"/>
    <cellStyle name="40 % - Markeringsfarve6 2 5 5 2 2" xfId="30219" xr:uid="{00000000-0005-0000-0000-0000B48A0000}"/>
    <cellStyle name="40 % - Markeringsfarve6 2 5 5 2 3" xfId="45183" xr:uid="{00000000-0005-0000-0000-0000B58A0000}"/>
    <cellStyle name="40 % - Markeringsfarve6 2 5 5 3" xfId="23197" xr:uid="{00000000-0005-0000-0000-0000B68A0000}"/>
    <cellStyle name="40 % - Markeringsfarve6 2 5 5 4" xfId="38184" xr:uid="{00000000-0005-0000-0000-0000B78A0000}"/>
    <cellStyle name="40 % - Markeringsfarve6 2 5 6" xfId="13006" xr:uid="{00000000-0005-0000-0000-0000B88A0000}"/>
    <cellStyle name="40 % - Markeringsfarve6 2 5 6 2" xfId="29326" xr:uid="{00000000-0005-0000-0000-0000B98A0000}"/>
    <cellStyle name="40 % - Markeringsfarve6 2 5 6 3" xfId="44291" xr:uid="{00000000-0005-0000-0000-0000BA8A0000}"/>
    <cellStyle name="40 % - Markeringsfarve6 2 5 7" xfId="22304" xr:uid="{00000000-0005-0000-0000-0000BB8A0000}"/>
    <cellStyle name="40 % - Markeringsfarve6 2 5 8" xfId="37292" xr:uid="{00000000-0005-0000-0000-0000BC8A0000}"/>
    <cellStyle name="40 % - Markeringsfarve6 2 5 9" xfId="56522" xr:uid="{00000000-0005-0000-0000-0000BD8A0000}"/>
    <cellStyle name="40 % - Markeringsfarve6 2 6" xfId="4451" xr:uid="{00000000-0005-0000-0000-0000BE8A0000}"/>
    <cellStyle name="40 % - Markeringsfarve6 2 6 2" xfId="4452" xr:uid="{00000000-0005-0000-0000-0000BF8A0000}"/>
    <cellStyle name="40 % - Markeringsfarve6 2 6 2 2" xfId="4453" xr:uid="{00000000-0005-0000-0000-0000C08A0000}"/>
    <cellStyle name="40 % - Markeringsfarve6 2 6 2 2 2" xfId="7822" xr:uid="{00000000-0005-0000-0000-0000C18A0000}"/>
    <cellStyle name="40 % - Markeringsfarve6 2 6 2 2 2 2" xfId="15724" xr:uid="{00000000-0005-0000-0000-0000C28A0000}"/>
    <cellStyle name="40 % - Markeringsfarve6 2 6 2 2 2 2 2" xfId="32039" xr:uid="{00000000-0005-0000-0000-0000C38A0000}"/>
    <cellStyle name="40 % - Markeringsfarve6 2 6 2 2 2 2 3" xfId="47003" xr:uid="{00000000-0005-0000-0000-0000C48A0000}"/>
    <cellStyle name="40 % - Markeringsfarve6 2 6 2 2 2 3" xfId="25017" xr:uid="{00000000-0005-0000-0000-0000C58A0000}"/>
    <cellStyle name="40 % - Markeringsfarve6 2 6 2 2 2 4" xfId="40004" xr:uid="{00000000-0005-0000-0000-0000C68A0000}"/>
    <cellStyle name="40 % - Markeringsfarve6 2 6 2 2 3" xfId="13013" xr:uid="{00000000-0005-0000-0000-0000C78A0000}"/>
    <cellStyle name="40 % - Markeringsfarve6 2 6 2 2 3 2" xfId="29333" xr:uid="{00000000-0005-0000-0000-0000C88A0000}"/>
    <cellStyle name="40 % - Markeringsfarve6 2 6 2 2 3 3" xfId="44298" xr:uid="{00000000-0005-0000-0000-0000C98A0000}"/>
    <cellStyle name="40 % - Markeringsfarve6 2 6 2 2 4" xfId="22311" xr:uid="{00000000-0005-0000-0000-0000CA8A0000}"/>
    <cellStyle name="40 % - Markeringsfarve6 2 6 2 2 5" xfId="37299" xr:uid="{00000000-0005-0000-0000-0000CB8A0000}"/>
    <cellStyle name="40 % - Markeringsfarve6 2 6 2 3" xfId="6363" xr:uid="{00000000-0005-0000-0000-0000CC8A0000}"/>
    <cellStyle name="40 % - Markeringsfarve6 2 6 2 3 2" xfId="14278" xr:uid="{00000000-0005-0000-0000-0000CD8A0000}"/>
    <cellStyle name="40 % - Markeringsfarve6 2 6 2 3 2 2" xfId="30593" xr:uid="{00000000-0005-0000-0000-0000CE8A0000}"/>
    <cellStyle name="40 % - Markeringsfarve6 2 6 2 3 2 3" xfId="45557" xr:uid="{00000000-0005-0000-0000-0000CF8A0000}"/>
    <cellStyle name="40 % - Markeringsfarve6 2 6 2 3 3" xfId="23571" xr:uid="{00000000-0005-0000-0000-0000D08A0000}"/>
    <cellStyle name="40 % - Markeringsfarve6 2 6 2 3 4" xfId="38558" xr:uid="{00000000-0005-0000-0000-0000D18A0000}"/>
    <cellStyle name="40 % - Markeringsfarve6 2 6 2 4" xfId="13012" xr:uid="{00000000-0005-0000-0000-0000D28A0000}"/>
    <cellStyle name="40 % - Markeringsfarve6 2 6 2 4 2" xfId="29332" xr:uid="{00000000-0005-0000-0000-0000D38A0000}"/>
    <cellStyle name="40 % - Markeringsfarve6 2 6 2 4 3" xfId="44297" xr:uid="{00000000-0005-0000-0000-0000D48A0000}"/>
    <cellStyle name="40 % - Markeringsfarve6 2 6 2 5" xfId="22310" xr:uid="{00000000-0005-0000-0000-0000D58A0000}"/>
    <cellStyle name="40 % - Markeringsfarve6 2 6 2 6" xfId="37298" xr:uid="{00000000-0005-0000-0000-0000D68A0000}"/>
    <cellStyle name="40 % - Markeringsfarve6 2 6 3" xfId="4454" xr:uid="{00000000-0005-0000-0000-0000D78A0000}"/>
    <cellStyle name="40 % - Markeringsfarve6 2 6 3 2" xfId="7098" xr:uid="{00000000-0005-0000-0000-0000D88A0000}"/>
    <cellStyle name="40 % - Markeringsfarve6 2 6 3 2 2" xfId="15009" xr:uid="{00000000-0005-0000-0000-0000D98A0000}"/>
    <cellStyle name="40 % - Markeringsfarve6 2 6 3 2 2 2" xfId="31324" xr:uid="{00000000-0005-0000-0000-0000DA8A0000}"/>
    <cellStyle name="40 % - Markeringsfarve6 2 6 3 2 2 3" xfId="46288" xr:uid="{00000000-0005-0000-0000-0000DB8A0000}"/>
    <cellStyle name="40 % - Markeringsfarve6 2 6 3 2 3" xfId="24302" xr:uid="{00000000-0005-0000-0000-0000DC8A0000}"/>
    <cellStyle name="40 % - Markeringsfarve6 2 6 3 2 4" xfId="39289" xr:uid="{00000000-0005-0000-0000-0000DD8A0000}"/>
    <cellStyle name="40 % - Markeringsfarve6 2 6 3 3" xfId="13014" xr:uid="{00000000-0005-0000-0000-0000DE8A0000}"/>
    <cellStyle name="40 % - Markeringsfarve6 2 6 3 3 2" xfId="29334" xr:uid="{00000000-0005-0000-0000-0000DF8A0000}"/>
    <cellStyle name="40 % - Markeringsfarve6 2 6 3 3 3" xfId="44299" xr:uid="{00000000-0005-0000-0000-0000E08A0000}"/>
    <cellStyle name="40 % - Markeringsfarve6 2 6 3 4" xfId="22312" xr:uid="{00000000-0005-0000-0000-0000E18A0000}"/>
    <cellStyle name="40 % - Markeringsfarve6 2 6 3 5" xfId="37300" xr:uid="{00000000-0005-0000-0000-0000E28A0000}"/>
    <cellStyle name="40 % - Markeringsfarve6 2 6 4" xfId="4455" xr:uid="{00000000-0005-0000-0000-0000E38A0000}"/>
    <cellStyle name="40 % - Markeringsfarve6 2 6 4 2" xfId="8696" xr:uid="{00000000-0005-0000-0000-0000E48A0000}"/>
    <cellStyle name="40 % - Markeringsfarve6 2 6 4 2 2" xfId="16573" xr:uid="{00000000-0005-0000-0000-0000E58A0000}"/>
    <cellStyle name="40 % - Markeringsfarve6 2 6 4 2 2 2" xfId="32888" xr:uid="{00000000-0005-0000-0000-0000E68A0000}"/>
    <cellStyle name="40 % - Markeringsfarve6 2 6 4 2 2 3" xfId="47852" xr:uid="{00000000-0005-0000-0000-0000E78A0000}"/>
    <cellStyle name="40 % - Markeringsfarve6 2 6 4 2 3" xfId="25866" xr:uid="{00000000-0005-0000-0000-0000E88A0000}"/>
    <cellStyle name="40 % - Markeringsfarve6 2 6 4 2 4" xfId="40853" xr:uid="{00000000-0005-0000-0000-0000E98A0000}"/>
    <cellStyle name="40 % - Markeringsfarve6 2 6 4 3" xfId="13015" xr:uid="{00000000-0005-0000-0000-0000EA8A0000}"/>
    <cellStyle name="40 % - Markeringsfarve6 2 6 4 3 2" xfId="29335" xr:uid="{00000000-0005-0000-0000-0000EB8A0000}"/>
    <cellStyle name="40 % - Markeringsfarve6 2 6 4 3 3" xfId="44300" xr:uid="{00000000-0005-0000-0000-0000EC8A0000}"/>
    <cellStyle name="40 % - Markeringsfarve6 2 6 4 4" xfId="22313" xr:uid="{00000000-0005-0000-0000-0000ED8A0000}"/>
    <cellStyle name="40 % - Markeringsfarve6 2 6 4 5" xfId="37301" xr:uid="{00000000-0005-0000-0000-0000EE8A0000}"/>
    <cellStyle name="40 % - Markeringsfarve6 2 6 5" xfId="5986" xr:uid="{00000000-0005-0000-0000-0000EF8A0000}"/>
    <cellStyle name="40 % - Markeringsfarve6 2 6 5 2" xfId="13905" xr:uid="{00000000-0005-0000-0000-0000F08A0000}"/>
    <cellStyle name="40 % - Markeringsfarve6 2 6 5 2 2" xfId="30220" xr:uid="{00000000-0005-0000-0000-0000F18A0000}"/>
    <cellStyle name="40 % - Markeringsfarve6 2 6 5 2 3" xfId="45184" xr:uid="{00000000-0005-0000-0000-0000F28A0000}"/>
    <cellStyle name="40 % - Markeringsfarve6 2 6 5 3" xfId="23198" xr:uid="{00000000-0005-0000-0000-0000F38A0000}"/>
    <cellStyle name="40 % - Markeringsfarve6 2 6 5 4" xfId="38185" xr:uid="{00000000-0005-0000-0000-0000F48A0000}"/>
    <cellStyle name="40 % - Markeringsfarve6 2 6 6" xfId="13011" xr:uid="{00000000-0005-0000-0000-0000F58A0000}"/>
    <cellStyle name="40 % - Markeringsfarve6 2 6 6 2" xfId="29331" xr:uid="{00000000-0005-0000-0000-0000F68A0000}"/>
    <cellStyle name="40 % - Markeringsfarve6 2 6 6 3" xfId="44296" xr:uid="{00000000-0005-0000-0000-0000F78A0000}"/>
    <cellStyle name="40 % - Markeringsfarve6 2 6 7" xfId="22309" xr:uid="{00000000-0005-0000-0000-0000F88A0000}"/>
    <cellStyle name="40 % - Markeringsfarve6 2 6 8" xfId="37297" xr:uid="{00000000-0005-0000-0000-0000F98A0000}"/>
    <cellStyle name="40 % - Markeringsfarve6 2 7" xfId="4456" xr:uid="{00000000-0005-0000-0000-0000FA8A0000}"/>
    <cellStyle name="40 % - Markeringsfarve6 2 7 2" xfId="4457" xr:uid="{00000000-0005-0000-0000-0000FB8A0000}"/>
    <cellStyle name="40 % - Markeringsfarve6 2 7 2 2" xfId="4458" xr:uid="{00000000-0005-0000-0000-0000FC8A0000}"/>
    <cellStyle name="40 % - Markeringsfarve6 2 7 2 2 2" xfId="7939" xr:uid="{00000000-0005-0000-0000-0000FD8A0000}"/>
    <cellStyle name="40 % - Markeringsfarve6 2 7 2 2 2 2" xfId="15841" xr:uid="{00000000-0005-0000-0000-0000FE8A0000}"/>
    <cellStyle name="40 % - Markeringsfarve6 2 7 2 2 2 2 2" xfId="32156" xr:uid="{00000000-0005-0000-0000-0000FF8A0000}"/>
    <cellStyle name="40 % - Markeringsfarve6 2 7 2 2 2 2 3" xfId="47120" xr:uid="{00000000-0005-0000-0000-0000008B0000}"/>
    <cellStyle name="40 % - Markeringsfarve6 2 7 2 2 2 3" xfId="25134" xr:uid="{00000000-0005-0000-0000-0000018B0000}"/>
    <cellStyle name="40 % - Markeringsfarve6 2 7 2 2 2 4" xfId="40121" xr:uid="{00000000-0005-0000-0000-0000028B0000}"/>
    <cellStyle name="40 % - Markeringsfarve6 2 7 2 2 3" xfId="13018" xr:uid="{00000000-0005-0000-0000-0000038B0000}"/>
    <cellStyle name="40 % - Markeringsfarve6 2 7 2 2 3 2" xfId="29338" xr:uid="{00000000-0005-0000-0000-0000048B0000}"/>
    <cellStyle name="40 % - Markeringsfarve6 2 7 2 2 3 3" xfId="44303" xr:uid="{00000000-0005-0000-0000-0000058B0000}"/>
    <cellStyle name="40 % - Markeringsfarve6 2 7 2 2 4" xfId="22316" xr:uid="{00000000-0005-0000-0000-0000068B0000}"/>
    <cellStyle name="40 % - Markeringsfarve6 2 7 2 2 5" xfId="37304" xr:uid="{00000000-0005-0000-0000-0000078B0000}"/>
    <cellStyle name="40 % - Markeringsfarve6 2 7 2 3" xfId="6462" xr:uid="{00000000-0005-0000-0000-0000088B0000}"/>
    <cellStyle name="40 % - Markeringsfarve6 2 7 2 3 2" xfId="14377" xr:uid="{00000000-0005-0000-0000-0000098B0000}"/>
    <cellStyle name="40 % - Markeringsfarve6 2 7 2 3 2 2" xfId="30692" xr:uid="{00000000-0005-0000-0000-00000A8B0000}"/>
    <cellStyle name="40 % - Markeringsfarve6 2 7 2 3 2 3" xfId="45656" xr:uid="{00000000-0005-0000-0000-00000B8B0000}"/>
    <cellStyle name="40 % - Markeringsfarve6 2 7 2 3 3" xfId="23670" xr:uid="{00000000-0005-0000-0000-00000C8B0000}"/>
    <cellStyle name="40 % - Markeringsfarve6 2 7 2 3 4" xfId="38657" xr:uid="{00000000-0005-0000-0000-00000D8B0000}"/>
    <cellStyle name="40 % - Markeringsfarve6 2 7 2 4" xfId="13017" xr:uid="{00000000-0005-0000-0000-00000E8B0000}"/>
    <cellStyle name="40 % - Markeringsfarve6 2 7 2 4 2" xfId="29337" xr:uid="{00000000-0005-0000-0000-00000F8B0000}"/>
    <cellStyle name="40 % - Markeringsfarve6 2 7 2 4 3" xfId="44302" xr:uid="{00000000-0005-0000-0000-0000108B0000}"/>
    <cellStyle name="40 % - Markeringsfarve6 2 7 2 5" xfId="22315" xr:uid="{00000000-0005-0000-0000-0000118B0000}"/>
    <cellStyle name="40 % - Markeringsfarve6 2 7 2 6" xfId="37303" xr:uid="{00000000-0005-0000-0000-0000128B0000}"/>
    <cellStyle name="40 % - Markeringsfarve6 2 7 3" xfId="4459" xr:uid="{00000000-0005-0000-0000-0000138B0000}"/>
    <cellStyle name="40 % - Markeringsfarve6 2 7 3 2" xfId="7215" xr:uid="{00000000-0005-0000-0000-0000148B0000}"/>
    <cellStyle name="40 % - Markeringsfarve6 2 7 3 2 2" xfId="15126" xr:uid="{00000000-0005-0000-0000-0000158B0000}"/>
    <cellStyle name="40 % - Markeringsfarve6 2 7 3 2 2 2" xfId="31441" xr:uid="{00000000-0005-0000-0000-0000168B0000}"/>
    <cellStyle name="40 % - Markeringsfarve6 2 7 3 2 2 3" xfId="46405" xr:uid="{00000000-0005-0000-0000-0000178B0000}"/>
    <cellStyle name="40 % - Markeringsfarve6 2 7 3 2 3" xfId="24419" xr:uid="{00000000-0005-0000-0000-0000188B0000}"/>
    <cellStyle name="40 % - Markeringsfarve6 2 7 3 2 4" xfId="39406" xr:uid="{00000000-0005-0000-0000-0000198B0000}"/>
    <cellStyle name="40 % - Markeringsfarve6 2 7 3 3" xfId="13019" xr:uid="{00000000-0005-0000-0000-00001A8B0000}"/>
    <cellStyle name="40 % - Markeringsfarve6 2 7 3 3 2" xfId="29339" xr:uid="{00000000-0005-0000-0000-00001B8B0000}"/>
    <cellStyle name="40 % - Markeringsfarve6 2 7 3 3 3" xfId="44304" xr:uid="{00000000-0005-0000-0000-00001C8B0000}"/>
    <cellStyle name="40 % - Markeringsfarve6 2 7 3 4" xfId="22317" xr:uid="{00000000-0005-0000-0000-00001D8B0000}"/>
    <cellStyle name="40 % - Markeringsfarve6 2 7 3 5" xfId="37305" xr:uid="{00000000-0005-0000-0000-00001E8B0000}"/>
    <cellStyle name="40 % - Markeringsfarve6 2 7 4" xfId="4460" xr:uid="{00000000-0005-0000-0000-00001F8B0000}"/>
    <cellStyle name="40 % - Markeringsfarve6 2 7 4 2" xfId="8416" xr:uid="{00000000-0005-0000-0000-0000208B0000}"/>
    <cellStyle name="40 % - Markeringsfarve6 2 7 4 2 2" xfId="16306" xr:uid="{00000000-0005-0000-0000-0000218B0000}"/>
    <cellStyle name="40 % - Markeringsfarve6 2 7 4 2 2 2" xfId="32621" xr:uid="{00000000-0005-0000-0000-0000228B0000}"/>
    <cellStyle name="40 % - Markeringsfarve6 2 7 4 2 2 3" xfId="47585" xr:uid="{00000000-0005-0000-0000-0000238B0000}"/>
    <cellStyle name="40 % - Markeringsfarve6 2 7 4 2 3" xfId="25599" xr:uid="{00000000-0005-0000-0000-0000248B0000}"/>
    <cellStyle name="40 % - Markeringsfarve6 2 7 4 2 4" xfId="40586" xr:uid="{00000000-0005-0000-0000-0000258B0000}"/>
    <cellStyle name="40 % - Markeringsfarve6 2 7 4 3" xfId="13020" xr:uid="{00000000-0005-0000-0000-0000268B0000}"/>
    <cellStyle name="40 % - Markeringsfarve6 2 7 4 3 2" xfId="29340" xr:uid="{00000000-0005-0000-0000-0000278B0000}"/>
    <cellStyle name="40 % - Markeringsfarve6 2 7 4 3 3" xfId="44305" xr:uid="{00000000-0005-0000-0000-0000288B0000}"/>
    <cellStyle name="40 % - Markeringsfarve6 2 7 4 4" xfId="22318" xr:uid="{00000000-0005-0000-0000-0000298B0000}"/>
    <cellStyle name="40 % - Markeringsfarve6 2 7 4 5" xfId="37306" xr:uid="{00000000-0005-0000-0000-00002A8B0000}"/>
    <cellStyle name="40 % - Markeringsfarve6 2 7 5" xfId="5987" xr:uid="{00000000-0005-0000-0000-00002B8B0000}"/>
    <cellStyle name="40 % - Markeringsfarve6 2 7 5 2" xfId="13906" xr:uid="{00000000-0005-0000-0000-00002C8B0000}"/>
    <cellStyle name="40 % - Markeringsfarve6 2 7 5 2 2" xfId="30221" xr:uid="{00000000-0005-0000-0000-00002D8B0000}"/>
    <cellStyle name="40 % - Markeringsfarve6 2 7 5 2 3" xfId="45185" xr:uid="{00000000-0005-0000-0000-00002E8B0000}"/>
    <cellStyle name="40 % - Markeringsfarve6 2 7 5 3" xfId="23199" xr:uid="{00000000-0005-0000-0000-00002F8B0000}"/>
    <cellStyle name="40 % - Markeringsfarve6 2 7 5 4" xfId="38186" xr:uid="{00000000-0005-0000-0000-0000308B0000}"/>
    <cellStyle name="40 % - Markeringsfarve6 2 7 6" xfId="13016" xr:uid="{00000000-0005-0000-0000-0000318B0000}"/>
    <cellStyle name="40 % - Markeringsfarve6 2 7 6 2" xfId="29336" xr:uid="{00000000-0005-0000-0000-0000328B0000}"/>
    <cellStyle name="40 % - Markeringsfarve6 2 7 6 3" xfId="44301" xr:uid="{00000000-0005-0000-0000-0000338B0000}"/>
    <cellStyle name="40 % - Markeringsfarve6 2 7 7" xfId="22314" xr:uid="{00000000-0005-0000-0000-0000348B0000}"/>
    <cellStyle name="40 % - Markeringsfarve6 2 7 8" xfId="37302" xr:uid="{00000000-0005-0000-0000-0000358B0000}"/>
    <cellStyle name="40 % - Markeringsfarve6 2 8" xfId="4461" xr:uid="{00000000-0005-0000-0000-0000368B0000}"/>
    <cellStyle name="40 % - Markeringsfarve6 2 8 2" xfId="4462" xr:uid="{00000000-0005-0000-0000-0000378B0000}"/>
    <cellStyle name="40 % - Markeringsfarve6 2 8 2 2" xfId="4463" xr:uid="{00000000-0005-0000-0000-0000388B0000}"/>
    <cellStyle name="40 % - Markeringsfarve6 2 8 2 2 2" xfId="8119" xr:uid="{00000000-0005-0000-0000-0000398B0000}"/>
    <cellStyle name="40 % - Markeringsfarve6 2 8 2 2 2 2" xfId="16021" xr:uid="{00000000-0005-0000-0000-00003A8B0000}"/>
    <cellStyle name="40 % - Markeringsfarve6 2 8 2 2 2 2 2" xfId="32336" xr:uid="{00000000-0005-0000-0000-00003B8B0000}"/>
    <cellStyle name="40 % - Markeringsfarve6 2 8 2 2 2 2 3" xfId="47300" xr:uid="{00000000-0005-0000-0000-00003C8B0000}"/>
    <cellStyle name="40 % - Markeringsfarve6 2 8 2 2 2 3" xfId="25314" xr:uid="{00000000-0005-0000-0000-00003D8B0000}"/>
    <cellStyle name="40 % - Markeringsfarve6 2 8 2 2 2 4" xfId="40301" xr:uid="{00000000-0005-0000-0000-00003E8B0000}"/>
    <cellStyle name="40 % - Markeringsfarve6 2 8 2 2 3" xfId="13023" xr:uid="{00000000-0005-0000-0000-00003F8B0000}"/>
    <cellStyle name="40 % - Markeringsfarve6 2 8 2 2 3 2" xfId="29343" xr:uid="{00000000-0005-0000-0000-0000408B0000}"/>
    <cellStyle name="40 % - Markeringsfarve6 2 8 2 2 3 3" xfId="44308" xr:uid="{00000000-0005-0000-0000-0000418B0000}"/>
    <cellStyle name="40 % - Markeringsfarve6 2 8 2 2 4" xfId="22321" xr:uid="{00000000-0005-0000-0000-0000428B0000}"/>
    <cellStyle name="40 % - Markeringsfarve6 2 8 2 2 5" xfId="37309" xr:uid="{00000000-0005-0000-0000-0000438B0000}"/>
    <cellStyle name="40 % - Markeringsfarve6 2 8 2 3" xfId="6612" xr:uid="{00000000-0005-0000-0000-0000448B0000}"/>
    <cellStyle name="40 % - Markeringsfarve6 2 8 2 3 2" xfId="14527" xr:uid="{00000000-0005-0000-0000-0000458B0000}"/>
    <cellStyle name="40 % - Markeringsfarve6 2 8 2 3 2 2" xfId="30842" xr:uid="{00000000-0005-0000-0000-0000468B0000}"/>
    <cellStyle name="40 % - Markeringsfarve6 2 8 2 3 2 3" xfId="45806" xr:uid="{00000000-0005-0000-0000-0000478B0000}"/>
    <cellStyle name="40 % - Markeringsfarve6 2 8 2 3 3" xfId="23820" xr:uid="{00000000-0005-0000-0000-0000488B0000}"/>
    <cellStyle name="40 % - Markeringsfarve6 2 8 2 3 4" xfId="38807" xr:uid="{00000000-0005-0000-0000-0000498B0000}"/>
    <cellStyle name="40 % - Markeringsfarve6 2 8 2 4" xfId="13022" xr:uid="{00000000-0005-0000-0000-00004A8B0000}"/>
    <cellStyle name="40 % - Markeringsfarve6 2 8 2 4 2" xfId="29342" xr:uid="{00000000-0005-0000-0000-00004B8B0000}"/>
    <cellStyle name="40 % - Markeringsfarve6 2 8 2 4 3" xfId="44307" xr:uid="{00000000-0005-0000-0000-00004C8B0000}"/>
    <cellStyle name="40 % - Markeringsfarve6 2 8 2 5" xfId="22320" xr:uid="{00000000-0005-0000-0000-00004D8B0000}"/>
    <cellStyle name="40 % - Markeringsfarve6 2 8 2 6" xfId="37308" xr:uid="{00000000-0005-0000-0000-00004E8B0000}"/>
    <cellStyle name="40 % - Markeringsfarve6 2 8 3" xfId="4464" xr:uid="{00000000-0005-0000-0000-00004F8B0000}"/>
    <cellStyle name="40 % - Markeringsfarve6 2 8 3 2" xfId="7396" xr:uid="{00000000-0005-0000-0000-0000508B0000}"/>
    <cellStyle name="40 % - Markeringsfarve6 2 8 3 2 2" xfId="15307" xr:uid="{00000000-0005-0000-0000-0000518B0000}"/>
    <cellStyle name="40 % - Markeringsfarve6 2 8 3 2 2 2" xfId="31622" xr:uid="{00000000-0005-0000-0000-0000528B0000}"/>
    <cellStyle name="40 % - Markeringsfarve6 2 8 3 2 2 3" xfId="46586" xr:uid="{00000000-0005-0000-0000-0000538B0000}"/>
    <cellStyle name="40 % - Markeringsfarve6 2 8 3 2 3" xfId="24600" xr:uid="{00000000-0005-0000-0000-0000548B0000}"/>
    <cellStyle name="40 % - Markeringsfarve6 2 8 3 2 4" xfId="39587" xr:uid="{00000000-0005-0000-0000-0000558B0000}"/>
    <cellStyle name="40 % - Markeringsfarve6 2 8 3 3" xfId="13024" xr:uid="{00000000-0005-0000-0000-0000568B0000}"/>
    <cellStyle name="40 % - Markeringsfarve6 2 8 3 3 2" xfId="29344" xr:uid="{00000000-0005-0000-0000-0000578B0000}"/>
    <cellStyle name="40 % - Markeringsfarve6 2 8 3 3 3" xfId="44309" xr:uid="{00000000-0005-0000-0000-0000588B0000}"/>
    <cellStyle name="40 % - Markeringsfarve6 2 8 3 4" xfId="22322" xr:uid="{00000000-0005-0000-0000-0000598B0000}"/>
    <cellStyle name="40 % - Markeringsfarve6 2 8 3 5" xfId="37310" xr:uid="{00000000-0005-0000-0000-00005A8B0000}"/>
    <cellStyle name="40 % - Markeringsfarve6 2 8 4" xfId="4465" xr:uid="{00000000-0005-0000-0000-00005B8B0000}"/>
    <cellStyle name="40 % - Markeringsfarve6 2 8 4 2" xfId="8649" xr:uid="{00000000-0005-0000-0000-00005C8B0000}"/>
    <cellStyle name="40 % - Markeringsfarve6 2 8 4 2 2" xfId="16530" xr:uid="{00000000-0005-0000-0000-00005D8B0000}"/>
    <cellStyle name="40 % - Markeringsfarve6 2 8 4 2 2 2" xfId="32845" xr:uid="{00000000-0005-0000-0000-00005E8B0000}"/>
    <cellStyle name="40 % - Markeringsfarve6 2 8 4 2 2 3" xfId="47809" xr:uid="{00000000-0005-0000-0000-00005F8B0000}"/>
    <cellStyle name="40 % - Markeringsfarve6 2 8 4 2 3" xfId="25823" xr:uid="{00000000-0005-0000-0000-0000608B0000}"/>
    <cellStyle name="40 % - Markeringsfarve6 2 8 4 2 4" xfId="40810" xr:uid="{00000000-0005-0000-0000-0000618B0000}"/>
    <cellStyle name="40 % - Markeringsfarve6 2 8 4 3" xfId="13025" xr:uid="{00000000-0005-0000-0000-0000628B0000}"/>
    <cellStyle name="40 % - Markeringsfarve6 2 8 4 3 2" xfId="29345" xr:uid="{00000000-0005-0000-0000-0000638B0000}"/>
    <cellStyle name="40 % - Markeringsfarve6 2 8 4 3 3" xfId="44310" xr:uid="{00000000-0005-0000-0000-0000648B0000}"/>
    <cellStyle name="40 % - Markeringsfarve6 2 8 4 4" xfId="22323" xr:uid="{00000000-0005-0000-0000-0000658B0000}"/>
    <cellStyle name="40 % - Markeringsfarve6 2 8 4 5" xfId="37311" xr:uid="{00000000-0005-0000-0000-0000668B0000}"/>
    <cellStyle name="40 % - Markeringsfarve6 2 8 5" xfId="5988" xr:uid="{00000000-0005-0000-0000-0000678B0000}"/>
    <cellStyle name="40 % - Markeringsfarve6 2 8 5 2" xfId="13907" xr:uid="{00000000-0005-0000-0000-0000688B0000}"/>
    <cellStyle name="40 % - Markeringsfarve6 2 8 5 2 2" xfId="30222" xr:uid="{00000000-0005-0000-0000-0000698B0000}"/>
    <cellStyle name="40 % - Markeringsfarve6 2 8 5 2 3" xfId="45186" xr:uid="{00000000-0005-0000-0000-00006A8B0000}"/>
    <cellStyle name="40 % - Markeringsfarve6 2 8 5 3" xfId="23200" xr:uid="{00000000-0005-0000-0000-00006B8B0000}"/>
    <cellStyle name="40 % - Markeringsfarve6 2 8 5 4" xfId="38187" xr:uid="{00000000-0005-0000-0000-00006C8B0000}"/>
    <cellStyle name="40 % - Markeringsfarve6 2 8 6" xfId="13021" xr:uid="{00000000-0005-0000-0000-00006D8B0000}"/>
    <cellStyle name="40 % - Markeringsfarve6 2 8 6 2" xfId="29341" xr:uid="{00000000-0005-0000-0000-00006E8B0000}"/>
    <cellStyle name="40 % - Markeringsfarve6 2 8 6 3" xfId="44306" xr:uid="{00000000-0005-0000-0000-00006F8B0000}"/>
    <cellStyle name="40 % - Markeringsfarve6 2 8 7" xfId="22319" xr:uid="{00000000-0005-0000-0000-0000708B0000}"/>
    <cellStyle name="40 % - Markeringsfarve6 2 8 8" xfId="37307" xr:uid="{00000000-0005-0000-0000-0000718B0000}"/>
    <cellStyle name="40 % - Markeringsfarve6 2 9" xfId="4466" xr:uid="{00000000-0005-0000-0000-0000728B0000}"/>
    <cellStyle name="40 % - Markeringsfarve6 2 9 2" xfId="4467" xr:uid="{00000000-0005-0000-0000-0000738B0000}"/>
    <cellStyle name="40 % - Markeringsfarve6 2 9 2 2" xfId="7465" xr:uid="{00000000-0005-0000-0000-0000748B0000}"/>
    <cellStyle name="40 % - Markeringsfarve6 2 9 2 2 2" xfId="15367" xr:uid="{00000000-0005-0000-0000-0000758B0000}"/>
    <cellStyle name="40 % - Markeringsfarve6 2 9 2 2 2 2" xfId="31682" xr:uid="{00000000-0005-0000-0000-0000768B0000}"/>
    <cellStyle name="40 % - Markeringsfarve6 2 9 2 2 2 3" xfId="46646" xr:uid="{00000000-0005-0000-0000-0000778B0000}"/>
    <cellStyle name="40 % - Markeringsfarve6 2 9 2 2 3" xfId="24660" xr:uid="{00000000-0005-0000-0000-0000788B0000}"/>
    <cellStyle name="40 % - Markeringsfarve6 2 9 2 2 4" xfId="39647" xr:uid="{00000000-0005-0000-0000-0000798B0000}"/>
    <cellStyle name="40 % - Markeringsfarve6 2 9 2 3" xfId="13027" xr:uid="{00000000-0005-0000-0000-00007A8B0000}"/>
    <cellStyle name="40 % - Markeringsfarve6 2 9 2 3 2" xfId="29347" xr:uid="{00000000-0005-0000-0000-00007B8B0000}"/>
    <cellStyle name="40 % - Markeringsfarve6 2 9 2 3 3" xfId="44312" xr:uid="{00000000-0005-0000-0000-00007C8B0000}"/>
    <cellStyle name="40 % - Markeringsfarve6 2 9 2 4" xfId="22325" xr:uid="{00000000-0005-0000-0000-00007D8B0000}"/>
    <cellStyle name="40 % - Markeringsfarve6 2 9 2 5" xfId="37313" xr:uid="{00000000-0005-0000-0000-00007E8B0000}"/>
    <cellStyle name="40 % - Markeringsfarve6 2 9 3" xfId="6062" xr:uid="{00000000-0005-0000-0000-00007F8B0000}"/>
    <cellStyle name="40 % - Markeringsfarve6 2 9 3 2" xfId="13980" xr:uid="{00000000-0005-0000-0000-0000808B0000}"/>
    <cellStyle name="40 % - Markeringsfarve6 2 9 3 2 2" xfId="30295" xr:uid="{00000000-0005-0000-0000-0000818B0000}"/>
    <cellStyle name="40 % - Markeringsfarve6 2 9 3 2 3" xfId="45259" xr:uid="{00000000-0005-0000-0000-0000828B0000}"/>
    <cellStyle name="40 % - Markeringsfarve6 2 9 3 3" xfId="23273" xr:uid="{00000000-0005-0000-0000-0000838B0000}"/>
    <cellStyle name="40 % - Markeringsfarve6 2 9 3 4" xfId="38260" xr:uid="{00000000-0005-0000-0000-0000848B0000}"/>
    <cellStyle name="40 % - Markeringsfarve6 2 9 4" xfId="13026" xr:uid="{00000000-0005-0000-0000-0000858B0000}"/>
    <cellStyle name="40 % - Markeringsfarve6 2 9 4 2" xfId="29346" xr:uid="{00000000-0005-0000-0000-0000868B0000}"/>
    <cellStyle name="40 % - Markeringsfarve6 2 9 4 3" xfId="44311" xr:uid="{00000000-0005-0000-0000-0000878B0000}"/>
    <cellStyle name="40 % - Markeringsfarve6 2 9 5" xfId="22324" xr:uid="{00000000-0005-0000-0000-0000888B0000}"/>
    <cellStyle name="40 % - Markeringsfarve6 2 9 6" xfId="37312" xr:uid="{00000000-0005-0000-0000-0000898B0000}"/>
    <cellStyle name="40 % - Markeringsfarve6 3" xfId="4468" xr:uid="{00000000-0005-0000-0000-00008A8B0000}"/>
    <cellStyle name="40 % - Markeringsfarve6 3 10" xfId="4469" xr:uid="{00000000-0005-0000-0000-00008B8B0000}"/>
    <cellStyle name="40 % - Markeringsfarve6 3 10 2" xfId="6678" xr:uid="{00000000-0005-0000-0000-00008C8B0000}"/>
    <cellStyle name="40 % - Markeringsfarve6 3 10 2 2" xfId="14591" xr:uid="{00000000-0005-0000-0000-00008D8B0000}"/>
    <cellStyle name="40 % - Markeringsfarve6 3 10 2 2 2" xfId="30906" xr:uid="{00000000-0005-0000-0000-00008E8B0000}"/>
    <cellStyle name="40 % - Markeringsfarve6 3 10 2 2 3" xfId="45870" xr:uid="{00000000-0005-0000-0000-00008F8B0000}"/>
    <cellStyle name="40 % - Markeringsfarve6 3 10 2 3" xfId="23884" xr:uid="{00000000-0005-0000-0000-0000908B0000}"/>
    <cellStyle name="40 % - Markeringsfarve6 3 10 2 4" xfId="38871" xr:uid="{00000000-0005-0000-0000-0000918B0000}"/>
    <cellStyle name="40 % - Markeringsfarve6 3 10 3" xfId="13029" xr:uid="{00000000-0005-0000-0000-0000928B0000}"/>
    <cellStyle name="40 % - Markeringsfarve6 3 10 3 2" xfId="29349" xr:uid="{00000000-0005-0000-0000-0000938B0000}"/>
    <cellStyle name="40 % - Markeringsfarve6 3 10 3 3" xfId="44314" xr:uid="{00000000-0005-0000-0000-0000948B0000}"/>
    <cellStyle name="40 % - Markeringsfarve6 3 10 4" xfId="22327" xr:uid="{00000000-0005-0000-0000-0000958B0000}"/>
    <cellStyle name="40 % - Markeringsfarve6 3 10 5" xfId="37315" xr:uid="{00000000-0005-0000-0000-0000968B0000}"/>
    <cellStyle name="40 % - Markeringsfarve6 3 11" xfId="4470" xr:uid="{00000000-0005-0000-0000-0000978B0000}"/>
    <cellStyle name="40 % - Markeringsfarve6 3 11 2" xfId="8374" xr:uid="{00000000-0005-0000-0000-0000988B0000}"/>
    <cellStyle name="40 % - Markeringsfarve6 3 11 2 2" xfId="16267" xr:uid="{00000000-0005-0000-0000-0000998B0000}"/>
    <cellStyle name="40 % - Markeringsfarve6 3 11 2 2 2" xfId="32582" xr:uid="{00000000-0005-0000-0000-00009A8B0000}"/>
    <cellStyle name="40 % - Markeringsfarve6 3 11 2 2 3" xfId="47546" xr:uid="{00000000-0005-0000-0000-00009B8B0000}"/>
    <cellStyle name="40 % - Markeringsfarve6 3 11 2 3" xfId="25560" xr:uid="{00000000-0005-0000-0000-00009C8B0000}"/>
    <cellStyle name="40 % - Markeringsfarve6 3 11 2 4" xfId="40547" xr:uid="{00000000-0005-0000-0000-00009D8B0000}"/>
    <cellStyle name="40 % - Markeringsfarve6 3 11 3" xfId="13030" xr:uid="{00000000-0005-0000-0000-00009E8B0000}"/>
    <cellStyle name="40 % - Markeringsfarve6 3 11 3 2" xfId="29350" xr:uid="{00000000-0005-0000-0000-00009F8B0000}"/>
    <cellStyle name="40 % - Markeringsfarve6 3 11 3 3" xfId="44315" xr:uid="{00000000-0005-0000-0000-0000A08B0000}"/>
    <cellStyle name="40 % - Markeringsfarve6 3 11 4" xfId="22328" xr:uid="{00000000-0005-0000-0000-0000A18B0000}"/>
    <cellStyle name="40 % - Markeringsfarve6 3 11 5" xfId="37316" xr:uid="{00000000-0005-0000-0000-0000A28B0000}"/>
    <cellStyle name="40 % - Markeringsfarve6 3 12" xfId="5989" xr:uid="{00000000-0005-0000-0000-0000A38B0000}"/>
    <cellStyle name="40 % - Markeringsfarve6 3 12 2" xfId="13908" xr:uid="{00000000-0005-0000-0000-0000A48B0000}"/>
    <cellStyle name="40 % - Markeringsfarve6 3 12 2 2" xfId="30223" xr:uid="{00000000-0005-0000-0000-0000A58B0000}"/>
    <cellStyle name="40 % - Markeringsfarve6 3 12 2 3" xfId="45187" xr:uid="{00000000-0005-0000-0000-0000A68B0000}"/>
    <cellStyle name="40 % - Markeringsfarve6 3 12 3" xfId="23201" xr:uid="{00000000-0005-0000-0000-0000A78B0000}"/>
    <cellStyle name="40 % - Markeringsfarve6 3 12 4" xfId="38188" xr:uid="{00000000-0005-0000-0000-0000A88B0000}"/>
    <cellStyle name="40 % - Markeringsfarve6 3 13" xfId="13028" xr:uid="{00000000-0005-0000-0000-0000A98B0000}"/>
    <cellStyle name="40 % - Markeringsfarve6 3 13 2" xfId="29348" xr:uid="{00000000-0005-0000-0000-0000AA8B0000}"/>
    <cellStyle name="40 % - Markeringsfarve6 3 13 3" xfId="44313" xr:uid="{00000000-0005-0000-0000-0000AB8B0000}"/>
    <cellStyle name="40 % - Markeringsfarve6 3 14" xfId="22326" xr:uid="{00000000-0005-0000-0000-0000AC8B0000}"/>
    <cellStyle name="40 % - Markeringsfarve6 3 15" xfId="37314" xr:uid="{00000000-0005-0000-0000-0000AD8B0000}"/>
    <cellStyle name="40 % - Markeringsfarve6 3 16" xfId="53344" xr:uid="{00000000-0005-0000-0000-0000AE8B0000}"/>
    <cellStyle name="40 % - Markeringsfarve6 3 2" xfId="4471" xr:uid="{00000000-0005-0000-0000-0000AF8B0000}"/>
    <cellStyle name="40 % - Markeringsfarve6 3 2 10" xfId="5990" xr:uid="{00000000-0005-0000-0000-0000B08B0000}"/>
    <cellStyle name="40 % - Markeringsfarve6 3 2 10 2" xfId="13909" xr:uid="{00000000-0005-0000-0000-0000B18B0000}"/>
    <cellStyle name="40 % - Markeringsfarve6 3 2 10 2 2" xfId="30224" xr:uid="{00000000-0005-0000-0000-0000B28B0000}"/>
    <cellStyle name="40 % - Markeringsfarve6 3 2 10 2 3" xfId="45188" xr:uid="{00000000-0005-0000-0000-0000B38B0000}"/>
    <cellStyle name="40 % - Markeringsfarve6 3 2 10 3" xfId="23202" xr:uid="{00000000-0005-0000-0000-0000B48B0000}"/>
    <cellStyle name="40 % - Markeringsfarve6 3 2 10 4" xfId="38189" xr:uid="{00000000-0005-0000-0000-0000B58B0000}"/>
    <cellStyle name="40 % - Markeringsfarve6 3 2 11" xfId="13031" xr:uid="{00000000-0005-0000-0000-0000B68B0000}"/>
    <cellStyle name="40 % - Markeringsfarve6 3 2 11 2" xfId="29351" xr:uid="{00000000-0005-0000-0000-0000B78B0000}"/>
    <cellStyle name="40 % - Markeringsfarve6 3 2 11 3" xfId="44316" xr:uid="{00000000-0005-0000-0000-0000B88B0000}"/>
    <cellStyle name="40 % - Markeringsfarve6 3 2 12" xfId="22329" xr:uid="{00000000-0005-0000-0000-0000B98B0000}"/>
    <cellStyle name="40 % - Markeringsfarve6 3 2 13" xfId="37317" xr:uid="{00000000-0005-0000-0000-0000BA8B0000}"/>
    <cellStyle name="40 % - Markeringsfarve6 3 2 14" xfId="53981" xr:uid="{00000000-0005-0000-0000-0000BB8B0000}"/>
    <cellStyle name="40 % - Markeringsfarve6 3 2 2" xfId="4472" xr:uid="{00000000-0005-0000-0000-0000BC8B0000}"/>
    <cellStyle name="40 % - Markeringsfarve6 3 2 2 2" xfId="4473" xr:uid="{00000000-0005-0000-0000-0000BD8B0000}"/>
    <cellStyle name="40 % - Markeringsfarve6 3 2 2 2 2" xfId="4474" xr:uid="{00000000-0005-0000-0000-0000BE8B0000}"/>
    <cellStyle name="40 % - Markeringsfarve6 3 2 2 2 2 2" xfId="7611" xr:uid="{00000000-0005-0000-0000-0000BF8B0000}"/>
    <cellStyle name="40 % - Markeringsfarve6 3 2 2 2 2 2 2" xfId="15513" xr:uid="{00000000-0005-0000-0000-0000C08B0000}"/>
    <cellStyle name="40 % - Markeringsfarve6 3 2 2 2 2 2 2 2" xfId="31828" xr:uid="{00000000-0005-0000-0000-0000C18B0000}"/>
    <cellStyle name="40 % - Markeringsfarve6 3 2 2 2 2 2 2 3" xfId="46792" xr:uid="{00000000-0005-0000-0000-0000C28B0000}"/>
    <cellStyle name="40 % - Markeringsfarve6 3 2 2 2 2 2 3" xfId="24806" xr:uid="{00000000-0005-0000-0000-0000C38B0000}"/>
    <cellStyle name="40 % - Markeringsfarve6 3 2 2 2 2 2 4" xfId="39793" xr:uid="{00000000-0005-0000-0000-0000C48B0000}"/>
    <cellStyle name="40 % - Markeringsfarve6 3 2 2 2 2 3" xfId="13034" xr:uid="{00000000-0005-0000-0000-0000C58B0000}"/>
    <cellStyle name="40 % - Markeringsfarve6 3 2 2 2 2 3 2" xfId="29354" xr:uid="{00000000-0005-0000-0000-0000C68B0000}"/>
    <cellStyle name="40 % - Markeringsfarve6 3 2 2 2 2 3 3" xfId="44319" xr:uid="{00000000-0005-0000-0000-0000C78B0000}"/>
    <cellStyle name="40 % - Markeringsfarve6 3 2 2 2 2 4" xfId="22332" xr:uid="{00000000-0005-0000-0000-0000C88B0000}"/>
    <cellStyle name="40 % - Markeringsfarve6 3 2 2 2 2 5" xfId="37320" xr:uid="{00000000-0005-0000-0000-0000C98B0000}"/>
    <cellStyle name="40 % - Markeringsfarve6 3 2 2 2 3" xfId="6184" xr:uid="{00000000-0005-0000-0000-0000CA8B0000}"/>
    <cellStyle name="40 % - Markeringsfarve6 3 2 2 2 3 2" xfId="14102" xr:uid="{00000000-0005-0000-0000-0000CB8B0000}"/>
    <cellStyle name="40 % - Markeringsfarve6 3 2 2 2 3 2 2" xfId="30417" xr:uid="{00000000-0005-0000-0000-0000CC8B0000}"/>
    <cellStyle name="40 % - Markeringsfarve6 3 2 2 2 3 2 3" xfId="45381" xr:uid="{00000000-0005-0000-0000-0000CD8B0000}"/>
    <cellStyle name="40 % - Markeringsfarve6 3 2 2 2 3 3" xfId="23395" xr:uid="{00000000-0005-0000-0000-0000CE8B0000}"/>
    <cellStyle name="40 % - Markeringsfarve6 3 2 2 2 3 4" xfId="38382" xr:uid="{00000000-0005-0000-0000-0000CF8B0000}"/>
    <cellStyle name="40 % - Markeringsfarve6 3 2 2 2 4" xfId="13033" xr:uid="{00000000-0005-0000-0000-0000D08B0000}"/>
    <cellStyle name="40 % - Markeringsfarve6 3 2 2 2 4 2" xfId="29353" xr:uid="{00000000-0005-0000-0000-0000D18B0000}"/>
    <cellStyle name="40 % - Markeringsfarve6 3 2 2 2 4 3" xfId="44318" xr:uid="{00000000-0005-0000-0000-0000D28B0000}"/>
    <cellStyle name="40 % - Markeringsfarve6 3 2 2 2 5" xfId="22331" xr:uid="{00000000-0005-0000-0000-0000D38B0000}"/>
    <cellStyle name="40 % - Markeringsfarve6 3 2 2 2 6" xfId="37319" xr:uid="{00000000-0005-0000-0000-0000D48B0000}"/>
    <cellStyle name="40 % - Markeringsfarve6 3 2 2 3" xfId="4475" xr:uid="{00000000-0005-0000-0000-0000D58B0000}"/>
    <cellStyle name="40 % - Markeringsfarve6 3 2 2 3 2" xfId="6841" xr:uid="{00000000-0005-0000-0000-0000D68B0000}"/>
    <cellStyle name="40 % - Markeringsfarve6 3 2 2 3 2 2" xfId="14753" xr:uid="{00000000-0005-0000-0000-0000D78B0000}"/>
    <cellStyle name="40 % - Markeringsfarve6 3 2 2 3 2 2 2" xfId="31068" xr:uid="{00000000-0005-0000-0000-0000D88B0000}"/>
    <cellStyle name="40 % - Markeringsfarve6 3 2 2 3 2 2 3" xfId="46032" xr:uid="{00000000-0005-0000-0000-0000D98B0000}"/>
    <cellStyle name="40 % - Markeringsfarve6 3 2 2 3 2 3" xfId="24046" xr:uid="{00000000-0005-0000-0000-0000DA8B0000}"/>
    <cellStyle name="40 % - Markeringsfarve6 3 2 2 3 2 4" xfId="39033" xr:uid="{00000000-0005-0000-0000-0000DB8B0000}"/>
    <cellStyle name="40 % - Markeringsfarve6 3 2 2 3 3" xfId="13035" xr:uid="{00000000-0005-0000-0000-0000DC8B0000}"/>
    <cellStyle name="40 % - Markeringsfarve6 3 2 2 3 3 2" xfId="29355" xr:uid="{00000000-0005-0000-0000-0000DD8B0000}"/>
    <cellStyle name="40 % - Markeringsfarve6 3 2 2 3 3 3" xfId="44320" xr:uid="{00000000-0005-0000-0000-0000DE8B0000}"/>
    <cellStyle name="40 % - Markeringsfarve6 3 2 2 3 4" xfId="22333" xr:uid="{00000000-0005-0000-0000-0000DF8B0000}"/>
    <cellStyle name="40 % - Markeringsfarve6 3 2 2 3 5" xfId="37321" xr:uid="{00000000-0005-0000-0000-0000E08B0000}"/>
    <cellStyle name="40 % - Markeringsfarve6 3 2 2 4" xfId="4476" xr:uid="{00000000-0005-0000-0000-0000E18B0000}"/>
    <cellStyle name="40 % - Markeringsfarve6 3 2 2 4 2" xfId="8332" xr:uid="{00000000-0005-0000-0000-0000E28B0000}"/>
    <cellStyle name="40 % - Markeringsfarve6 3 2 2 4 2 2" xfId="16226" xr:uid="{00000000-0005-0000-0000-0000E38B0000}"/>
    <cellStyle name="40 % - Markeringsfarve6 3 2 2 4 2 2 2" xfId="32541" xr:uid="{00000000-0005-0000-0000-0000E48B0000}"/>
    <cellStyle name="40 % - Markeringsfarve6 3 2 2 4 2 2 3" xfId="47505" xr:uid="{00000000-0005-0000-0000-0000E58B0000}"/>
    <cellStyle name="40 % - Markeringsfarve6 3 2 2 4 2 3" xfId="25519" xr:uid="{00000000-0005-0000-0000-0000E68B0000}"/>
    <cellStyle name="40 % - Markeringsfarve6 3 2 2 4 2 4" xfId="40506" xr:uid="{00000000-0005-0000-0000-0000E78B0000}"/>
    <cellStyle name="40 % - Markeringsfarve6 3 2 2 4 3" xfId="13036" xr:uid="{00000000-0005-0000-0000-0000E88B0000}"/>
    <cellStyle name="40 % - Markeringsfarve6 3 2 2 4 3 2" xfId="29356" xr:uid="{00000000-0005-0000-0000-0000E98B0000}"/>
    <cellStyle name="40 % - Markeringsfarve6 3 2 2 4 3 3" xfId="44321" xr:uid="{00000000-0005-0000-0000-0000EA8B0000}"/>
    <cellStyle name="40 % - Markeringsfarve6 3 2 2 4 4" xfId="22334" xr:uid="{00000000-0005-0000-0000-0000EB8B0000}"/>
    <cellStyle name="40 % - Markeringsfarve6 3 2 2 4 5" xfId="37322" xr:uid="{00000000-0005-0000-0000-0000EC8B0000}"/>
    <cellStyle name="40 % - Markeringsfarve6 3 2 2 5" xfId="5991" xr:uid="{00000000-0005-0000-0000-0000ED8B0000}"/>
    <cellStyle name="40 % - Markeringsfarve6 3 2 2 5 2" xfId="13910" xr:uid="{00000000-0005-0000-0000-0000EE8B0000}"/>
    <cellStyle name="40 % - Markeringsfarve6 3 2 2 5 2 2" xfId="30225" xr:uid="{00000000-0005-0000-0000-0000EF8B0000}"/>
    <cellStyle name="40 % - Markeringsfarve6 3 2 2 5 2 3" xfId="45189" xr:uid="{00000000-0005-0000-0000-0000F08B0000}"/>
    <cellStyle name="40 % - Markeringsfarve6 3 2 2 5 3" xfId="23203" xr:uid="{00000000-0005-0000-0000-0000F18B0000}"/>
    <cellStyle name="40 % - Markeringsfarve6 3 2 2 5 4" xfId="38190" xr:uid="{00000000-0005-0000-0000-0000F28B0000}"/>
    <cellStyle name="40 % - Markeringsfarve6 3 2 2 6" xfId="13032" xr:uid="{00000000-0005-0000-0000-0000F38B0000}"/>
    <cellStyle name="40 % - Markeringsfarve6 3 2 2 6 2" xfId="29352" xr:uid="{00000000-0005-0000-0000-0000F48B0000}"/>
    <cellStyle name="40 % - Markeringsfarve6 3 2 2 6 3" xfId="44317" xr:uid="{00000000-0005-0000-0000-0000F58B0000}"/>
    <cellStyle name="40 % - Markeringsfarve6 3 2 2 7" xfId="22330" xr:uid="{00000000-0005-0000-0000-0000F68B0000}"/>
    <cellStyle name="40 % - Markeringsfarve6 3 2 2 8" xfId="37318" xr:uid="{00000000-0005-0000-0000-0000F78B0000}"/>
    <cellStyle name="40 % - Markeringsfarve6 3 2 2 9" xfId="57148" xr:uid="{00000000-0005-0000-0000-0000F88B0000}"/>
    <cellStyle name="40 % - Markeringsfarve6 3 2 3" xfId="4477" xr:uid="{00000000-0005-0000-0000-0000F98B0000}"/>
    <cellStyle name="40 % - Markeringsfarve6 3 2 3 2" xfId="4478" xr:uid="{00000000-0005-0000-0000-0000FA8B0000}"/>
    <cellStyle name="40 % - Markeringsfarve6 3 2 3 2 2" xfId="4479" xr:uid="{00000000-0005-0000-0000-0000FB8B0000}"/>
    <cellStyle name="40 % - Markeringsfarve6 3 2 3 2 2 2" xfId="7769" xr:uid="{00000000-0005-0000-0000-0000FC8B0000}"/>
    <cellStyle name="40 % - Markeringsfarve6 3 2 3 2 2 2 2" xfId="15671" xr:uid="{00000000-0005-0000-0000-0000FD8B0000}"/>
    <cellStyle name="40 % - Markeringsfarve6 3 2 3 2 2 2 2 2" xfId="31986" xr:uid="{00000000-0005-0000-0000-0000FE8B0000}"/>
    <cellStyle name="40 % - Markeringsfarve6 3 2 3 2 2 2 2 3" xfId="46950" xr:uid="{00000000-0005-0000-0000-0000FF8B0000}"/>
    <cellStyle name="40 % - Markeringsfarve6 3 2 3 2 2 2 3" xfId="24964" xr:uid="{00000000-0005-0000-0000-0000008C0000}"/>
    <cellStyle name="40 % - Markeringsfarve6 3 2 3 2 2 2 4" xfId="39951" xr:uid="{00000000-0005-0000-0000-0000018C0000}"/>
    <cellStyle name="40 % - Markeringsfarve6 3 2 3 2 2 3" xfId="13039" xr:uid="{00000000-0005-0000-0000-0000028C0000}"/>
    <cellStyle name="40 % - Markeringsfarve6 3 2 3 2 2 3 2" xfId="29359" xr:uid="{00000000-0005-0000-0000-0000038C0000}"/>
    <cellStyle name="40 % - Markeringsfarve6 3 2 3 2 2 3 3" xfId="44324" xr:uid="{00000000-0005-0000-0000-0000048C0000}"/>
    <cellStyle name="40 % - Markeringsfarve6 3 2 3 2 2 4" xfId="22337" xr:uid="{00000000-0005-0000-0000-0000058C0000}"/>
    <cellStyle name="40 % - Markeringsfarve6 3 2 3 2 2 5" xfId="37325" xr:uid="{00000000-0005-0000-0000-0000068C0000}"/>
    <cellStyle name="40 % - Markeringsfarve6 3 2 3 2 3" xfId="6315" xr:uid="{00000000-0005-0000-0000-0000078C0000}"/>
    <cellStyle name="40 % - Markeringsfarve6 3 2 3 2 3 2" xfId="14233" xr:uid="{00000000-0005-0000-0000-0000088C0000}"/>
    <cellStyle name="40 % - Markeringsfarve6 3 2 3 2 3 2 2" xfId="30548" xr:uid="{00000000-0005-0000-0000-0000098C0000}"/>
    <cellStyle name="40 % - Markeringsfarve6 3 2 3 2 3 2 3" xfId="45512" xr:uid="{00000000-0005-0000-0000-00000A8C0000}"/>
    <cellStyle name="40 % - Markeringsfarve6 3 2 3 2 3 3" xfId="23526" xr:uid="{00000000-0005-0000-0000-00000B8C0000}"/>
    <cellStyle name="40 % - Markeringsfarve6 3 2 3 2 3 4" xfId="38513" xr:uid="{00000000-0005-0000-0000-00000C8C0000}"/>
    <cellStyle name="40 % - Markeringsfarve6 3 2 3 2 4" xfId="13038" xr:uid="{00000000-0005-0000-0000-00000D8C0000}"/>
    <cellStyle name="40 % - Markeringsfarve6 3 2 3 2 4 2" xfId="29358" xr:uid="{00000000-0005-0000-0000-00000E8C0000}"/>
    <cellStyle name="40 % - Markeringsfarve6 3 2 3 2 4 3" xfId="44323" xr:uid="{00000000-0005-0000-0000-00000F8C0000}"/>
    <cellStyle name="40 % - Markeringsfarve6 3 2 3 2 5" xfId="22336" xr:uid="{00000000-0005-0000-0000-0000108C0000}"/>
    <cellStyle name="40 % - Markeringsfarve6 3 2 3 2 6" xfId="37324" xr:uid="{00000000-0005-0000-0000-0000118C0000}"/>
    <cellStyle name="40 % - Markeringsfarve6 3 2 3 3" xfId="4480" xr:uid="{00000000-0005-0000-0000-0000128C0000}"/>
    <cellStyle name="40 % - Markeringsfarve6 3 2 3 3 2" xfId="6999" xr:uid="{00000000-0005-0000-0000-0000138C0000}"/>
    <cellStyle name="40 % - Markeringsfarve6 3 2 3 3 2 2" xfId="14911" xr:uid="{00000000-0005-0000-0000-0000148C0000}"/>
    <cellStyle name="40 % - Markeringsfarve6 3 2 3 3 2 2 2" xfId="31226" xr:uid="{00000000-0005-0000-0000-0000158C0000}"/>
    <cellStyle name="40 % - Markeringsfarve6 3 2 3 3 2 2 3" xfId="46190" xr:uid="{00000000-0005-0000-0000-0000168C0000}"/>
    <cellStyle name="40 % - Markeringsfarve6 3 2 3 3 2 3" xfId="24204" xr:uid="{00000000-0005-0000-0000-0000178C0000}"/>
    <cellStyle name="40 % - Markeringsfarve6 3 2 3 3 2 4" xfId="39191" xr:uid="{00000000-0005-0000-0000-0000188C0000}"/>
    <cellStyle name="40 % - Markeringsfarve6 3 2 3 3 3" xfId="13040" xr:uid="{00000000-0005-0000-0000-0000198C0000}"/>
    <cellStyle name="40 % - Markeringsfarve6 3 2 3 3 3 2" xfId="29360" xr:uid="{00000000-0005-0000-0000-00001A8C0000}"/>
    <cellStyle name="40 % - Markeringsfarve6 3 2 3 3 3 3" xfId="44325" xr:uid="{00000000-0005-0000-0000-00001B8C0000}"/>
    <cellStyle name="40 % - Markeringsfarve6 3 2 3 3 4" xfId="22338" xr:uid="{00000000-0005-0000-0000-00001C8C0000}"/>
    <cellStyle name="40 % - Markeringsfarve6 3 2 3 3 5" xfId="37326" xr:uid="{00000000-0005-0000-0000-00001D8C0000}"/>
    <cellStyle name="40 % - Markeringsfarve6 3 2 3 4" xfId="4481" xr:uid="{00000000-0005-0000-0000-00001E8C0000}"/>
    <cellStyle name="40 % - Markeringsfarve6 3 2 3 4 2" xfId="8561" xr:uid="{00000000-0005-0000-0000-00001F8C0000}"/>
    <cellStyle name="40 % - Markeringsfarve6 3 2 3 4 2 2" xfId="16445" xr:uid="{00000000-0005-0000-0000-0000208C0000}"/>
    <cellStyle name="40 % - Markeringsfarve6 3 2 3 4 2 2 2" xfId="32760" xr:uid="{00000000-0005-0000-0000-0000218C0000}"/>
    <cellStyle name="40 % - Markeringsfarve6 3 2 3 4 2 2 3" xfId="47724" xr:uid="{00000000-0005-0000-0000-0000228C0000}"/>
    <cellStyle name="40 % - Markeringsfarve6 3 2 3 4 2 3" xfId="25738" xr:uid="{00000000-0005-0000-0000-0000238C0000}"/>
    <cellStyle name="40 % - Markeringsfarve6 3 2 3 4 2 4" xfId="40725" xr:uid="{00000000-0005-0000-0000-0000248C0000}"/>
    <cellStyle name="40 % - Markeringsfarve6 3 2 3 4 3" xfId="13041" xr:uid="{00000000-0005-0000-0000-0000258C0000}"/>
    <cellStyle name="40 % - Markeringsfarve6 3 2 3 4 3 2" xfId="29361" xr:uid="{00000000-0005-0000-0000-0000268C0000}"/>
    <cellStyle name="40 % - Markeringsfarve6 3 2 3 4 3 3" xfId="44326" xr:uid="{00000000-0005-0000-0000-0000278C0000}"/>
    <cellStyle name="40 % - Markeringsfarve6 3 2 3 4 4" xfId="22339" xr:uid="{00000000-0005-0000-0000-0000288C0000}"/>
    <cellStyle name="40 % - Markeringsfarve6 3 2 3 4 5" xfId="37327" xr:uid="{00000000-0005-0000-0000-0000298C0000}"/>
    <cellStyle name="40 % - Markeringsfarve6 3 2 3 5" xfId="5992" xr:uid="{00000000-0005-0000-0000-00002A8C0000}"/>
    <cellStyle name="40 % - Markeringsfarve6 3 2 3 5 2" xfId="13911" xr:uid="{00000000-0005-0000-0000-00002B8C0000}"/>
    <cellStyle name="40 % - Markeringsfarve6 3 2 3 5 2 2" xfId="30226" xr:uid="{00000000-0005-0000-0000-00002C8C0000}"/>
    <cellStyle name="40 % - Markeringsfarve6 3 2 3 5 2 3" xfId="45190" xr:uid="{00000000-0005-0000-0000-00002D8C0000}"/>
    <cellStyle name="40 % - Markeringsfarve6 3 2 3 5 3" xfId="23204" xr:uid="{00000000-0005-0000-0000-00002E8C0000}"/>
    <cellStyle name="40 % - Markeringsfarve6 3 2 3 5 4" xfId="38191" xr:uid="{00000000-0005-0000-0000-00002F8C0000}"/>
    <cellStyle name="40 % - Markeringsfarve6 3 2 3 6" xfId="13037" xr:uid="{00000000-0005-0000-0000-0000308C0000}"/>
    <cellStyle name="40 % - Markeringsfarve6 3 2 3 6 2" xfId="29357" xr:uid="{00000000-0005-0000-0000-0000318C0000}"/>
    <cellStyle name="40 % - Markeringsfarve6 3 2 3 6 3" xfId="44322" xr:uid="{00000000-0005-0000-0000-0000328C0000}"/>
    <cellStyle name="40 % - Markeringsfarve6 3 2 3 7" xfId="22335" xr:uid="{00000000-0005-0000-0000-0000338C0000}"/>
    <cellStyle name="40 % - Markeringsfarve6 3 2 3 8" xfId="37323" xr:uid="{00000000-0005-0000-0000-0000348C0000}"/>
    <cellStyle name="40 % - Markeringsfarve6 3 2 4" xfId="4482" xr:uid="{00000000-0005-0000-0000-0000358C0000}"/>
    <cellStyle name="40 % - Markeringsfarve6 3 2 4 2" xfId="4483" xr:uid="{00000000-0005-0000-0000-0000368C0000}"/>
    <cellStyle name="40 % - Markeringsfarve6 3 2 4 2 2" xfId="4484" xr:uid="{00000000-0005-0000-0000-0000378C0000}"/>
    <cellStyle name="40 % - Markeringsfarve6 3 2 4 2 2 2" xfId="7849" xr:uid="{00000000-0005-0000-0000-0000388C0000}"/>
    <cellStyle name="40 % - Markeringsfarve6 3 2 4 2 2 2 2" xfId="15751" xr:uid="{00000000-0005-0000-0000-0000398C0000}"/>
    <cellStyle name="40 % - Markeringsfarve6 3 2 4 2 2 2 2 2" xfId="32066" xr:uid="{00000000-0005-0000-0000-00003A8C0000}"/>
    <cellStyle name="40 % - Markeringsfarve6 3 2 4 2 2 2 2 3" xfId="47030" xr:uid="{00000000-0005-0000-0000-00003B8C0000}"/>
    <cellStyle name="40 % - Markeringsfarve6 3 2 4 2 2 2 3" xfId="25044" xr:uid="{00000000-0005-0000-0000-00003C8C0000}"/>
    <cellStyle name="40 % - Markeringsfarve6 3 2 4 2 2 2 4" xfId="40031" xr:uid="{00000000-0005-0000-0000-00003D8C0000}"/>
    <cellStyle name="40 % - Markeringsfarve6 3 2 4 2 2 3" xfId="13044" xr:uid="{00000000-0005-0000-0000-00003E8C0000}"/>
    <cellStyle name="40 % - Markeringsfarve6 3 2 4 2 2 3 2" xfId="29364" xr:uid="{00000000-0005-0000-0000-00003F8C0000}"/>
    <cellStyle name="40 % - Markeringsfarve6 3 2 4 2 2 3 3" xfId="44329" xr:uid="{00000000-0005-0000-0000-0000408C0000}"/>
    <cellStyle name="40 % - Markeringsfarve6 3 2 4 2 2 4" xfId="22342" xr:uid="{00000000-0005-0000-0000-0000418C0000}"/>
    <cellStyle name="40 % - Markeringsfarve6 3 2 4 2 2 5" xfId="37330" xr:uid="{00000000-0005-0000-0000-0000428C0000}"/>
    <cellStyle name="40 % - Markeringsfarve6 3 2 4 2 3" xfId="6386" xr:uid="{00000000-0005-0000-0000-0000438C0000}"/>
    <cellStyle name="40 % - Markeringsfarve6 3 2 4 2 3 2" xfId="14301" xr:uid="{00000000-0005-0000-0000-0000448C0000}"/>
    <cellStyle name="40 % - Markeringsfarve6 3 2 4 2 3 2 2" xfId="30616" xr:uid="{00000000-0005-0000-0000-0000458C0000}"/>
    <cellStyle name="40 % - Markeringsfarve6 3 2 4 2 3 2 3" xfId="45580" xr:uid="{00000000-0005-0000-0000-0000468C0000}"/>
    <cellStyle name="40 % - Markeringsfarve6 3 2 4 2 3 3" xfId="23594" xr:uid="{00000000-0005-0000-0000-0000478C0000}"/>
    <cellStyle name="40 % - Markeringsfarve6 3 2 4 2 3 4" xfId="38581" xr:uid="{00000000-0005-0000-0000-0000488C0000}"/>
    <cellStyle name="40 % - Markeringsfarve6 3 2 4 2 4" xfId="13043" xr:uid="{00000000-0005-0000-0000-0000498C0000}"/>
    <cellStyle name="40 % - Markeringsfarve6 3 2 4 2 4 2" xfId="29363" xr:uid="{00000000-0005-0000-0000-00004A8C0000}"/>
    <cellStyle name="40 % - Markeringsfarve6 3 2 4 2 4 3" xfId="44328" xr:uid="{00000000-0005-0000-0000-00004B8C0000}"/>
    <cellStyle name="40 % - Markeringsfarve6 3 2 4 2 5" xfId="22341" xr:uid="{00000000-0005-0000-0000-00004C8C0000}"/>
    <cellStyle name="40 % - Markeringsfarve6 3 2 4 2 6" xfId="37329" xr:uid="{00000000-0005-0000-0000-00004D8C0000}"/>
    <cellStyle name="40 % - Markeringsfarve6 3 2 4 3" xfId="4485" xr:uid="{00000000-0005-0000-0000-00004E8C0000}"/>
    <cellStyle name="40 % - Markeringsfarve6 3 2 4 3 2" xfId="7125" xr:uid="{00000000-0005-0000-0000-00004F8C0000}"/>
    <cellStyle name="40 % - Markeringsfarve6 3 2 4 3 2 2" xfId="15036" xr:uid="{00000000-0005-0000-0000-0000508C0000}"/>
    <cellStyle name="40 % - Markeringsfarve6 3 2 4 3 2 2 2" xfId="31351" xr:uid="{00000000-0005-0000-0000-0000518C0000}"/>
    <cellStyle name="40 % - Markeringsfarve6 3 2 4 3 2 2 3" xfId="46315" xr:uid="{00000000-0005-0000-0000-0000528C0000}"/>
    <cellStyle name="40 % - Markeringsfarve6 3 2 4 3 2 3" xfId="24329" xr:uid="{00000000-0005-0000-0000-0000538C0000}"/>
    <cellStyle name="40 % - Markeringsfarve6 3 2 4 3 2 4" xfId="39316" xr:uid="{00000000-0005-0000-0000-0000548C0000}"/>
    <cellStyle name="40 % - Markeringsfarve6 3 2 4 3 3" xfId="13045" xr:uid="{00000000-0005-0000-0000-0000558C0000}"/>
    <cellStyle name="40 % - Markeringsfarve6 3 2 4 3 3 2" xfId="29365" xr:uid="{00000000-0005-0000-0000-0000568C0000}"/>
    <cellStyle name="40 % - Markeringsfarve6 3 2 4 3 3 3" xfId="44330" xr:uid="{00000000-0005-0000-0000-0000578C0000}"/>
    <cellStyle name="40 % - Markeringsfarve6 3 2 4 3 4" xfId="22343" xr:uid="{00000000-0005-0000-0000-0000588C0000}"/>
    <cellStyle name="40 % - Markeringsfarve6 3 2 4 3 5" xfId="37331" xr:uid="{00000000-0005-0000-0000-0000598C0000}"/>
    <cellStyle name="40 % - Markeringsfarve6 3 2 4 4" xfId="4486" xr:uid="{00000000-0005-0000-0000-00005A8C0000}"/>
    <cellStyle name="40 % - Markeringsfarve6 3 2 4 4 2" xfId="8211" xr:uid="{00000000-0005-0000-0000-00005B8C0000}"/>
    <cellStyle name="40 % - Markeringsfarve6 3 2 4 4 2 2" xfId="16106" xr:uid="{00000000-0005-0000-0000-00005C8C0000}"/>
    <cellStyle name="40 % - Markeringsfarve6 3 2 4 4 2 2 2" xfId="32421" xr:uid="{00000000-0005-0000-0000-00005D8C0000}"/>
    <cellStyle name="40 % - Markeringsfarve6 3 2 4 4 2 2 3" xfId="47385" xr:uid="{00000000-0005-0000-0000-00005E8C0000}"/>
    <cellStyle name="40 % - Markeringsfarve6 3 2 4 4 2 3" xfId="25399" xr:uid="{00000000-0005-0000-0000-00005F8C0000}"/>
    <cellStyle name="40 % - Markeringsfarve6 3 2 4 4 2 4" xfId="40386" xr:uid="{00000000-0005-0000-0000-0000608C0000}"/>
    <cellStyle name="40 % - Markeringsfarve6 3 2 4 4 3" xfId="13046" xr:uid="{00000000-0005-0000-0000-0000618C0000}"/>
    <cellStyle name="40 % - Markeringsfarve6 3 2 4 4 3 2" xfId="29366" xr:uid="{00000000-0005-0000-0000-0000628C0000}"/>
    <cellStyle name="40 % - Markeringsfarve6 3 2 4 4 3 3" xfId="44331" xr:uid="{00000000-0005-0000-0000-0000638C0000}"/>
    <cellStyle name="40 % - Markeringsfarve6 3 2 4 4 4" xfId="22344" xr:uid="{00000000-0005-0000-0000-0000648C0000}"/>
    <cellStyle name="40 % - Markeringsfarve6 3 2 4 4 5" xfId="37332" xr:uid="{00000000-0005-0000-0000-0000658C0000}"/>
    <cellStyle name="40 % - Markeringsfarve6 3 2 4 5" xfId="5993" xr:uid="{00000000-0005-0000-0000-0000668C0000}"/>
    <cellStyle name="40 % - Markeringsfarve6 3 2 4 5 2" xfId="13912" xr:uid="{00000000-0005-0000-0000-0000678C0000}"/>
    <cellStyle name="40 % - Markeringsfarve6 3 2 4 5 2 2" xfId="30227" xr:uid="{00000000-0005-0000-0000-0000688C0000}"/>
    <cellStyle name="40 % - Markeringsfarve6 3 2 4 5 2 3" xfId="45191" xr:uid="{00000000-0005-0000-0000-0000698C0000}"/>
    <cellStyle name="40 % - Markeringsfarve6 3 2 4 5 3" xfId="23205" xr:uid="{00000000-0005-0000-0000-00006A8C0000}"/>
    <cellStyle name="40 % - Markeringsfarve6 3 2 4 5 4" xfId="38192" xr:uid="{00000000-0005-0000-0000-00006B8C0000}"/>
    <cellStyle name="40 % - Markeringsfarve6 3 2 4 6" xfId="13042" xr:uid="{00000000-0005-0000-0000-00006C8C0000}"/>
    <cellStyle name="40 % - Markeringsfarve6 3 2 4 6 2" xfId="29362" xr:uid="{00000000-0005-0000-0000-00006D8C0000}"/>
    <cellStyle name="40 % - Markeringsfarve6 3 2 4 6 3" xfId="44327" xr:uid="{00000000-0005-0000-0000-00006E8C0000}"/>
    <cellStyle name="40 % - Markeringsfarve6 3 2 4 7" xfId="22340" xr:uid="{00000000-0005-0000-0000-00006F8C0000}"/>
    <cellStyle name="40 % - Markeringsfarve6 3 2 4 8" xfId="37328" xr:uid="{00000000-0005-0000-0000-0000708C0000}"/>
    <cellStyle name="40 % - Markeringsfarve6 3 2 5" xfId="4487" xr:uid="{00000000-0005-0000-0000-0000718C0000}"/>
    <cellStyle name="40 % - Markeringsfarve6 3 2 5 2" xfId="4488" xr:uid="{00000000-0005-0000-0000-0000728C0000}"/>
    <cellStyle name="40 % - Markeringsfarve6 3 2 5 2 2" xfId="4489" xr:uid="{00000000-0005-0000-0000-0000738C0000}"/>
    <cellStyle name="40 % - Markeringsfarve6 3 2 5 2 2 2" xfId="7966" xr:uid="{00000000-0005-0000-0000-0000748C0000}"/>
    <cellStyle name="40 % - Markeringsfarve6 3 2 5 2 2 2 2" xfId="15868" xr:uid="{00000000-0005-0000-0000-0000758C0000}"/>
    <cellStyle name="40 % - Markeringsfarve6 3 2 5 2 2 2 2 2" xfId="32183" xr:uid="{00000000-0005-0000-0000-0000768C0000}"/>
    <cellStyle name="40 % - Markeringsfarve6 3 2 5 2 2 2 2 3" xfId="47147" xr:uid="{00000000-0005-0000-0000-0000778C0000}"/>
    <cellStyle name="40 % - Markeringsfarve6 3 2 5 2 2 2 3" xfId="25161" xr:uid="{00000000-0005-0000-0000-0000788C0000}"/>
    <cellStyle name="40 % - Markeringsfarve6 3 2 5 2 2 2 4" xfId="40148" xr:uid="{00000000-0005-0000-0000-0000798C0000}"/>
    <cellStyle name="40 % - Markeringsfarve6 3 2 5 2 2 3" xfId="13049" xr:uid="{00000000-0005-0000-0000-00007A8C0000}"/>
    <cellStyle name="40 % - Markeringsfarve6 3 2 5 2 2 3 2" xfId="29369" xr:uid="{00000000-0005-0000-0000-00007B8C0000}"/>
    <cellStyle name="40 % - Markeringsfarve6 3 2 5 2 2 3 3" xfId="44334" xr:uid="{00000000-0005-0000-0000-00007C8C0000}"/>
    <cellStyle name="40 % - Markeringsfarve6 3 2 5 2 2 4" xfId="22347" xr:uid="{00000000-0005-0000-0000-00007D8C0000}"/>
    <cellStyle name="40 % - Markeringsfarve6 3 2 5 2 2 5" xfId="37335" xr:uid="{00000000-0005-0000-0000-00007E8C0000}"/>
    <cellStyle name="40 % - Markeringsfarve6 3 2 5 2 3" xfId="6485" xr:uid="{00000000-0005-0000-0000-00007F8C0000}"/>
    <cellStyle name="40 % - Markeringsfarve6 3 2 5 2 3 2" xfId="14400" xr:uid="{00000000-0005-0000-0000-0000808C0000}"/>
    <cellStyle name="40 % - Markeringsfarve6 3 2 5 2 3 2 2" xfId="30715" xr:uid="{00000000-0005-0000-0000-0000818C0000}"/>
    <cellStyle name="40 % - Markeringsfarve6 3 2 5 2 3 2 3" xfId="45679" xr:uid="{00000000-0005-0000-0000-0000828C0000}"/>
    <cellStyle name="40 % - Markeringsfarve6 3 2 5 2 3 3" xfId="23693" xr:uid="{00000000-0005-0000-0000-0000838C0000}"/>
    <cellStyle name="40 % - Markeringsfarve6 3 2 5 2 3 4" xfId="38680" xr:uid="{00000000-0005-0000-0000-0000848C0000}"/>
    <cellStyle name="40 % - Markeringsfarve6 3 2 5 2 4" xfId="13048" xr:uid="{00000000-0005-0000-0000-0000858C0000}"/>
    <cellStyle name="40 % - Markeringsfarve6 3 2 5 2 4 2" xfId="29368" xr:uid="{00000000-0005-0000-0000-0000868C0000}"/>
    <cellStyle name="40 % - Markeringsfarve6 3 2 5 2 4 3" xfId="44333" xr:uid="{00000000-0005-0000-0000-0000878C0000}"/>
    <cellStyle name="40 % - Markeringsfarve6 3 2 5 2 5" xfId="22346" xr:uid="{00000000-0005-0000-0000-0000888C0000}"/>
    <cellStyle name="40 % - Markeringsfarve6 3 2 5 2 6" xfId="37334" xr:uid="{00000000-0005-0000-0000-0000898C0000}"/>
    <cellStyle name="40 % - Markeringsfarve6 3 2 5 3" xfId="4490" xr:uid="{00000000-0005-0000-0000-00008A8C0000}"/>
    <cellStyle name="40 % - Markeringsfarve6 3 2 5 3 2" xfId="7242" xr:uid="{00000000-0005-0000-0000-00008B8C0000}"/>
    <cellStyle name="40 % - Markeringsfarve6 3 2 5 3 2 2" xfId="15153" xr:uid="{00000000-0005-0000-0000-00008C8C0000}"/>
    <cellStyle name="40 % - Markeringsfarve6 3 2 5 3 2 2 2" xfId="31468" xr:uid="{00000000-0005-0000-0000-00008D8C0000}"/>
    <cellStyle name="40 % - Markeringsfarve6 3 2 5 3 2 2 3" xfId="46432" xr:uid="{00000000-0005-0000-0000-00008E8C0000}"/>
    <cellStyle name="40 % - Markeringsfarve6 3 2 5 3 2 3" xfId="24446" xr:uid="{00000000-0005-0000-0000-00008F8C0000}"/>
    <cellStyle name="40 % - Markeringsfarve6 3 2 5 3 2 4" xfId="39433" xr:uid="{00000000-0005-0000-0000-0000908C0000}"/>
    <cellStyle name="40 % - Markeringsfarve6 3 2 5 3 3" xfId="13050" xr:uid="{00000000-0005-0000-0000-0000918C0000}"/>
    <cellStyle name="40 % - Markeringsfarve6 3 2 5 3 3 2" xfId="29370" xr:uid="{00000000-0005-0000-0000-0000928C0000}"/>
    <cellStyle name="40 % - Markeringsfarve6 3 2 5 3 3 3" xfId="44335" xr:uid="{00000000-0005-0000-0000-0000938C0000}"/>
    <cellStyle name="40 % - Markeringsfarve6 3 2 5 3 4" xfId="22348" xr:uid="{00000000-0005-0000-0000-0000948C0000}"/>
    <cellStyle name="40 % - Markeringsfarve6 3 2 5 3 5" xfId="37336" xr:uid="{00000000-0005-0000-0000-0000958C0000}"/>
    <cellStyle name="40 % - Markeringsfarve6 3 2 5 4" xfId="4491" xr:uid="{00000000-0005-0000-0000-0000968C0000}"/>
    <cellStyle name="40 % - Markeringsfarve6 3 2 5 4 2" xfId="8517" xr:uid="{00000000-0005-0000-0000-0000978C0000}"/>
    <cellStyle name="40 % - Markeringsfarve6 3 2 5 4 2 2" xfId="16405" xr:uid="{00000000-0005-0000-0000-0000988C0000}"/>
    <cellStyle name="40 % - Markeringsfarve6 3 2 5 4 2 2 2" xfId="32720" xr:uid="{00000000-0005-0000-0000-0000998C0000}"/>
    <cellStyle name="40 % - Markeringsfarve6 3 2 5 4 2 2 3" xfId="47684" xr:uid="{00000000-0005-0000-0000-00009A8C0000}"/>
    <cellStyle name="40 % - Markeringsfarve6 3 2 5 4 2 3" xfId="25698" xr:uid="{00000000-0005-0000-0000-00009B8C0000}"/>
    <cellStyle name="40 % - Markeringsfarve6 3 2 5 4 2 4" xfId="40685" xr:uid="{00000000-0005-0000-0000-00009C8C0000}"/>
    <cellStyle name="40 % - Markeringsfarve6 3 2 5 4 3" xfId="13051" xr:uid="{00000000-0005-0000-0000-00009D8C0000}"/>
    <cellStyle name="40 % - Markeringsfarve6 3 2 5 4 3 2" xfId="29371" xr:uid="{00000000-0005-0000-0000-00009E8C0000}"/>
    <cellStyle name="40 % - Markeringsfarve6 3 2 5 4 3 3" xfId="44336" xr:uid="{00000000-0005-0000-0000-00009F8C0000}"/>
    <cellStyle name="40 % - Markeringsfarve6 3 2 5 4 4" xfId="22349" xr:uid="{00000000-0005-0000-0000-0000A08C0000}"/>
    <cellStyle name="40 % - Markeringsfarve6 3 2 5 4 5" xfId="37337" xr:uid="{00000000-0005-0000-0000-0000A18C0000}"/>
    <cellStyle name="40 % - Markeringsfarve6 3 2 5 5" xfId="5994" xr:uid="{00000000-0005-0000-0000-0000A28C0000}"/>
    <cellStyle name="40 % - Markeringsfarve6 3 2 5 5 2" xfId="13913" xr:uid="{00000000-0005-0000-0000-0000A38C0000}"/>
    <cellStyle name="40 % - Markeringsfarve6 3 2 5 5 2 2" xfId="30228" xr:uid="{00000000-0005-0000-0000-0000A48C0000}"/>
    <cellStyle name="40 % - Markeringsfarve6 3 2 5 5 2 3" xfId="45192" xr:uid="{00000000-0005-0000-0000-0000A58C0000}"/>
    <cellStyle name="40 % - Markeringsfarve6 3 2 5 5 3" xfId="23206" xr:uid="{00000000-0005-0000-0000-0000A68C0000}"/>
    <cellStyle name="40 % - Markeringsfarve6 3 2 5 5 4" xfId="38193" xr:uid="{00000000-0005-0000-0000-0000A78C0000}"/>
    <cellStyle name="40 % - Markeringsfarve6 3 2 5 6" xfId="13047" xr:uid="{00000000-0005-0000-0000-0000A88C0000}"/>
    <cellStyle name="40 % - Markeringsfarve6 3 2 5 6 2" xfId="29367" xr:uid="{00000000-0005-0000-0000-0000A98C0000}"/>
    <cellStyle name="40 % - Markeringsfarve6 3 2 5 6 3" xfId="44332" xr:uid="{00000000-0005-0000-0000-0000AA8C0000}"/>
    <cellStyle name="40 % - Markeringsfarve6 3 2 5 7" xfId="22345" xr:uid="{00000000-0005-0000-0000-0000AB8C0000}"/>
    <cellStyle name="40 % - Markeringsfarve6 3 2 5 8" xfId="37333" xr:uid="{00000000-0005-0000-0000-0000AC8C0000}"/>
    <cellStyle name="40 % - Markeringsfarve6 3 2 6" xfId="4492" xr:uid="{00000000-0005-0000-0000-0000AD8C0000}"/>
    <cellStyle name="40 % - Markeringsfarve6 3 2 6 2" xfId="4493" xr:uid="{00000000-0005-0000-0000-0000AE8C0000}"/>
    <cellStyle name="40 % - Markeringsfarve6 3 2 6 2 2" xfId="4494" xr:uid="{00000000-0005-0000-0000-0000AF8C0000}"/>
    <cellStyle name="40 % - Markeringsfarve6 3 2 6 2 2 2" xfId="8123" xr:uid="{00000000-0005-0000-0000-0000B08C0000}"/>
    <cellStyle name="40 % - Markeringsfarve6 3 2 6 2 2 2 2" xfId="16025" xr:uid="{00000000-0005-0000-0000-0000B18C0000}"/>
    <cellStyle name="40 % - Markeringsfarve6 3 2 6 2 2 2 2 2" xfId="32340" xr:uid="{00000000-0005-0000-0000-0000B28C0000}"/>
    <cellStyle name="40 % - Markeringsfarve6 3 2 6 2 2 2 2 3" xfId="47304" xr:uid="{00000000-0005-0000-0000-0000B38C0000}"/>
    <cellStyle name="40 % - Markeringsfarve6 3 2 6 2 2 2 3" xfId="25318" xr:uid="{00000000-0005-0000-0000-0000B48C0000}"/>
    <cellStyle name="40 % - Markeringsfarve6 3 2 6 2 2 2 4" xfId="40305" xr:uid="{00000000-0005-0000-0000-0000B58C0000}"/>
    <cellStyle name="40 % - Markeringsfarve6 3 2 6 2 2 3" xfId="13054" xr:uid="{00000000-0005-0000-0000-0000B68C0000}"/>
    <cellStyle name="40 % - Markeringsfarve6 3 2 6 2 2 3 2" xfId="29374" xr:uid="{00000000-0005-0000-0000-0000B78C0000}"/>
    <cellStyle name="40 % - Markeringsfarve6 3 2 6 2 2 3 3" xfId="44339" xr:uid="{00000000-0005-0000-0000-0000B88C0000}"/>
    <cellStyle name="40 % - Markeringsfarve6 3 2 6 2 2 4" xfId="22352" xr:uid="{00000000-0005-0000-0000-0000B98C0000}"/>
    <cellStyle name="40 % - Markeringsfarve6 3 2 6 2 2 5" xfId="37340" xr:uid="{00000000-0005-0000-0000-0000BA8C0000}"/>
    <cellStyle name="40 % - Markeringsfarve6 3 2 6 2 3" xfId="6616" xr:uid="{00000000-0005-0000-0000-0000BB8C0000}"/>
    <cellStyle name="40 % - Markeringsfarve6 3 2 6 2 3 2" xfId="14531" xr:uid="{00000000-0005-0000-0000-0000BC8C0000}"/>
    <cellStyle name="40 % - Markeringsfarve6 3 2 6 2 3 2 2" xfId="30846" xr:uid="{00000000-0005-0000-0000-0000BD8C0000}"/>
    <cellStyle name="40 % - Markeringsfarve6 3 2 6 2 3 2 3" xfId="45810" xr:uid="{00000000-0005-0000-0000-0000BE8C0000}"/>
    <cellStyle name="40 % - Markeringsfarve6 3 2 6 2 3 3" xfId="23824" xr:uid="{00000000-0005-0000-0000-0000BF8C0000}"/>
    <cellStyle name="40 % - Markeringsfarve6 3 2 6 2 3 4" xfId="38811" xr:uid="{00000000-0005-0000-0000-0000C08C0000}"/>
    <cellStyle name="40 % - Markeringsfarve6 3 2 6 2 4" xfId="13053" xr:uid="{00000000-0005-0000-0000-0000C18C0000}"/>
    <cellStyle name="40 % - Markeringsfarve6 3 2 6 2 4 2" xfId="29373" xr:uid="{00000000-0005-0000-0000-0000C28C0000}"/>
    <cellStyle name="40 % - Markeringsfarve6 3 2 6 2 4 3" xfId="44338" xr:uid="{00000000-0005-0000-0000-0000C38C0000}"/>
    <cellStyle name="40 % - Markeringsfarve6 3 2 6 2 5" xfId="22351" xr:uid="{00000000-0005-0000-0000-0000C48C0000}"/>
    <cellStyle name="40 % - Markeringsfarve6 3 2 6 2 6" xfId="37339" xr:uid="{00000000-0005-0000-0000-0000C58C0000}"/>
    <cellStyle name="40 % - Markeringsfarve6 3 2 6 3" xfId="4495" xr:uid="{00000000-0005-0000-0000-0000C68C0000}"/>
    <cellStyle name="40 % - Markeringsfarve6 3 2 6 3 2" xfId="7400" xr:uid="{00000000-0005-0000-0000-0000C78C0000}"/>
    <cellStyle name="40 % - Markeringsfarve6 3 2 6 3 2 2" xfId="15311" xr:uid="{00000000-0005-0000-0000-0000C88C0000}"/>
    <cellStyle name="40 % - Markeringsfarve6 3 2 6 3 2 2 2" xfId="31626" xr:uid="{00000000-0005-0000-0000-0000C98C0000}"/>
    <cellStyle name="40 % - Markeringsfarve6 3 2 6 3 2 2 3" xfId="46590" xr:uid="{00000000-0005-0000-0000-0000CA8C0000}"/>
    <cellStyle name="40 % - Markeringsfarve6 3 2 6 3 2 3" xfId="24604" xr:uid="{00000000-0005-0000-0000-0000CB8C0000}"/>
    <cellStyle name="40 % - Markeringsfarve6 3 2 6 3 2 4" xfId="39591" xr:uid="{00000000-0005-0000-0000-0000CC8C0000}"/>
    <cellStyle name="40 % - Markeringsfarve6 3 2 6 3 3" xfId="13055" xr:uid="{00000000-0005-0000-0000-0000CD8C0000}"/>
    <cellStyle name="40 % - Markeringsfarve6 3 2 6 3 3 2" xfId="29375" xr:uid="{00000000-0005-0000-0000-0000CE8C0000}"/>
    <cellStyle name="40 % - Markeringsfarve6 3 2 6 3 3 3" xfId="44340" xr:uid="{00000000-0005-0000-0000-0000CF8C0000}"/>
    <cellStyle name="40 % - Markeringsfarve6 3 2 6 3 4" xfId="22353" xr:uid="{00000000-0005-0000-0000-0000D08C0000}"/>
    <cellStyle name="40 % - Markeringsfarve6 3 2 6 3 5" xfId="37341" xr:uid="{00000000-0005-0000-0000-0000D18C0000}"/>
    <cellStyle name="40 % - Markeringsfarve6 3 2 6 4" xfId="4496" xr:uid="{00000000-0005-0000-0000-0000D28C0000}"/>
    <cellStyle name="40 % - Markeringsfarve6 3 2 6 4 2" xfId="8166" xr:uid="{00000000-0005-0000-0000-0000D38C0000}"/>
    <cellStyle name="40 % - Markeringsfarve6 3 2 6 4 2 2" xfId="16064" xr:uid="{00000000-0005-0000-0000-0000D48C0000}"/>
    <cellStyle name="40 % - Markeringsfarve6 3 2 6 4 2 2 2" xfId="32379" xr:uid="{00000000-0005-0000-0000-0000D58C0000}"/>
    <cellStyle name="40 % - Markeringsfarve6 3 2 6 4 2 2 3" xfId="47343" xr:uid="{00000000-0005-0000-0000-0000D68C0000}"/>
    <cellStyle name="40 % - Markeringsfarve6 3 2 6 4 2 3" xfId="25357" xr:uid="{00000000-0005-0000-0000-0000D78C0000}"/>
    <cellStyle name="40 % - Markeringsfarve6 3 2 6 4 2 4" xfId="40344" xr:uid="{00000000-0005-0000-0000-0000D88C0000}"/>
    <cellStyle name="40 % - Markeringsfarve6 3 2 6 4 3" xfId="13056" xr:uid="{00000000-0005-0000-0000-0000D98C0000}"/>
    <cellStyle name="40 % - Markeringsfarve6 3 2 6 4 3 2" xfId="29376" xr:uid="{00000000-0005-0000-0000-0000DA8C0000}"/>
    <cellStyle name="40 % - Markeringsfarve6 3 2 6 4 3 3" xfId="44341" xr:uid="{00000000-0005-0000-0000-0000DB8C0000}"/>
    <cellStyle name="40 % - Markeringsfarve6 3 2 6 4 4" xfId="22354" xr:uid="{00000000-0005-0000-0000-0000DC8C0000}"/>
    <cellStyle name="40 % - Markeringsfarve6 3 2 6 4 5" xfId="37342" xr:uid="{00000000-0005-0000-0000-0000DD8C0000}"/>
    <cellStyle name="40 % - Markeringsfarve6 3 2 6 5" xfId="5995" xr:uid="{00000000-0005-0000-0000-0000DE8C0000}"/>
    <cellStyle name="40 % - Markeringsfarve6 3 2 6 5 2" xfId="13914" xr:uid="{00000000-0005-0000-0000-0000DF8C0000}"/>
    <cellStyle name="40 % - Markeringsfarve6 3 2 6 5 2 2" xfId="30229" xr:uid="{00000000-0005-0000-0000-0000E08C0000}"/>
    <cellStyle name="40 % - Markeringsfarve6 3 2 6 5 2 3" xfId="45193" xr:uid="{00000000-0005-0000-0000-0000E18C0000}"/>
    <cellStyle name="40 % - Markeringsfarve6 3 2 6 5 3" xfId="23207" xr:uid="{00000000-0005-0000-0000-0000E28C0000}"/>
    <cellStyle name="40 % - Markeringsfarve6 3 2 6 5 4" xfId="38194" xr:uid="{00000000-0005-0000-0000-0000E38C0000}"/>
    <cellStyle name="40 % - Markeringsfarve6 3 2 6 6" xfId="13052" xr:uid="{00000000-0005-0000-0000-0000E48C0000}"/>
    <cellStyle name="40 % - Markeringsfarve6 3 2 6 6 2" xfId="29372" xr:uid="{00000000-0005-0000-0000-0000E58C0000}"/>
    <cellStyle name="40 % - Markeringsfarve6 3 2 6 6 3" xfId="44337" xr:uid="{00000000-0005-0000-0000-0000E68C0000}"/>
    <cellStyle name="40 % - Markeringsfarve6 3 2 6 7" xfId="22350" xr:uid="{00000000-0005-0000-0000-0000E78C0000}"/>
    <cellStyle name="40 % - Markeringsfarve6 3 2 6 8" xfId="37338" xr:uid="{00000000-0005-0000-0000-0000E88C0000}"/>
    <cellStyle name="40 % - Markeringsfarve6 3 2 7" xfId="4497" xr:uid="{00000000-0005-0000-0000-0000E98C0000}"/>
    <cellStyle name="40 % - Markeringsfarve6 3 2 7 2" xfId="4498" xr:uid="{00000000-0005-0000-0000-0000EA8C0000}"/>
    <cellStyle name="40 % - Markeringsfarve6 3 2 7 2 2" xfId="7492" xr:uid="{00000000-0005-0000-0000-0000EB8C0000}"/>
    <cellStyle name="40 % - Markeringsfarve6 3 2 7 2 2 2" xfId="15394" xr:uid="{00000000-0005-0000-0000-0000EC8C0000}"/>
    <cellStyle name="40 % - Markeringsfarve6 3 2 7 2 2 2 2" xfId="31709" xr:uid="{00000000-0005-0000-0000-0000ED8C0000}"/>
    <cellStyle name="40 % - Markeringsfarve6 3 2 7 2 2 2 3" xfId="46673" xr:uid="{00000000-0005-0000-0000-0000EE8C0000}"/>
    <cellStyle name="40 % - Markeringsfarve6 3 2 7 2 2 3" xfId="24687" xr:uid="{00000000-0005-0000-0000-0000EF8C0000}"/>
    <cellStyle name="40 % - Markeringsfarve6 3 2 7 2 2 4" xfId="39674" xr:uid="{00000000-0005-0000-0000-0000F08C0000}"/>
    <cellStyle name="40 % - Markeringsfarve6 3 2 7 2 3" xfId="13058" xr:uid="{00000000-0005-0000-0000-0000F18C0000}"/>
    <cellStyle name="40 % - Markeringsfarve6 3 2 7 2 3 2" xfId="29378" xr:uid="{00000000-0005-0000-0000-0000F28C0000}"/>
    <cellStyle name="40 % - Markeringsfarve6 3 2 7 2 3 3" xfId="44343" xr:uid="{00000000-0005-0000-0000-0000F38C0000}"/>
    <cellStyle name="40 % - Markeringsfarve6 3 2 7 2 4" xfId="22356" xr:uid="{00000000-0005-0000-0000-0000F48C0000}"/>
    <cellStyle name="40 % - Markeringsfarve6 3 2 7 2 5" xfId="37344" xr:uid="{00000000-0005-0000-0000-0000F58C0000}"/>
    <cellStyle name="40 % - Markeringsfarve6 3 2 7 3" xfId="6085" xr:uid="{00000000-0005-0000-0000-0000F68C0000}"/>
    <cellStyle name="40 % - Markeringsfarve6 3 2 7 3 2" xfId="14003" xr:uid="{00000000-0005-0000-0000-0000F78C0000}"/>
    <cellStyle name="40 % - Markeringsfarve6 3 2 7 3 2 2" xfId="30318" xr:uid="{00000000-0005-0000-0000-0000F88C0000}"/>
    <cellStyle name="40 % - Markeringsfarve6 3 2 7 3 2 3" xfId="45282" xr:uid="{00000000-0005-0000-0000-0000F98C0000}"/>
    <cellStyle name="40 % - Markeringsfarve6 3 2 7 3 3" xfId="23296" xr:uid="{00000000-0005-0000-0000-0000FA8C0000}"/>
    <cellStyle name="40 % - Markeringsfarve6 3 2 7 3 4" xfId="38283" xr:uid="{00000000-0005-0000-0000-0000FB8C0000}"/>
    <cellStyle name="40 % - Markeringsfarve6 3 2 7 4" xfId="13057" xr:uid="{00000000-0005-0000-0000-0000FC8C0000}"/>
    <cellStyle name="40 % - Markeringsfarve6 3 2 7 4 2" xfId="29377" xr:uid="{00000000-0005-0000-0000-0000FD8C0000}"/>
    <cellStyle name="40 % - Markeringsfarve6 3 2 7 4 3" xfId="44342" xr:uid="{00000000-0005-0000-0000-0000FE8C0000}"/>
    <cellStyle name="40 % - Markeringsfarve6 3 2 7 5" xfId="22355" xr:uid="{00000000-0005-0000-0000-0000FF8C0000}"/>
    <cellStyle name="40 % - Markeringsfarve6 3 2 7 6" xfId="37343" xr:uid="{00000000-0005-0000-0000-0000008D0000}"/>
    <cellStyle name="40 % - Markeringsfarve6 3 2 8" xfId="4499" xr:uid="{00000000-0005-0000-0000-0000018D0000}"/>
    <cellStyle name="40 % - Markeringsfarve6 3 2 8 2" xfId="6720" xr:uid="{00000000-0005-0000-0000-0000028D0000}"/>
    <cellStyle name="40 % - Markeringsfarve6 3 2 8 2 2" xfId="14632" xr:uid="{00000000-0005-0000-0000-0000038D0000}"/>
    <cellStyle name="40 % - Markeringsfarve6 3 2 8 2 2 2" xfId="30947" xr:uid="{00000000-0005-0000-0000-0000048D0000}"/>
    <cellStyle name="40 % - Markeringsfarve6 3 2 8 2 2 3" xfId="45911" xr:uid="{00000000-0005-0000-0000-0000058D0000}"/>
    <cellStyle name="40 % - Markeringsfarve6 3 2 8 2 3" xfId="23925" xr:uid="{00000000-0005-0000-0000-0000068D0000}"/>
    <cellStyle name="40 % - Markeringsfarve6 3 2 8 2 4" xfId="38912" xr:uid="{00000000-0005-0000-0000-0000078D0000}"/>
    <cellStyle name="40 % - Markeringsfarve6 3 2 8 3" xfId="13059" xr:uid="{00000000-0005-0000-0000-0000088D0000}"/>
    <cellStyle name="40 % - Markeringsfarve6 3 2 8 3 2" xfId="29379" xr:uid="{00000000-0005-0000-0000-0000098D0000}"/>
    <cellStyle name="40 % - Markeringsfarve6 3 2 8 3 3" xfId="44344" xr:uid="{00000000-0005-0000-0000-00000A8D0000}"/>
    <cellStyle name="40 % - Markeringsfarve6 3 2 8 4" xfId="22357" xr:uid="{00000000-0005-0000-0000-00000B8D0000}"/>
    <cellStyle name="40 % - Markeringsfarve6 3 2 8 5" xfId="37345" xr:uid="{00000000-0005-0000-0000-00000C8D0000}"/>
    <cellStyle name="40 % - Markeringsfarve6 3 2 9" xfId="4500" xr:uid="{00000000-0005-0000-0000-00000D8D0000}"/>
    <cellStyle name="40 % - Markeringsfarve6 3 2 9 2" xfId="8609" xr:uid="{00000000-0005-0000-0000-00000E8D0000}"/>
    <cellStyle name="40 % - Markeringsfarve6 3 2 9 2 2" xfId="16492" xr:uid="{00000000-0005-0000-0000-00000F8D0000}"/>
    <cellStyle name="40 % - Markeringsfarve6 3 2 9 2 2 2" xfId="32807" xr:uid="{00000000-0005-0000-0000-0000108D0000}"/>
    <cellStyle name="40 % - Markeringsfarve6 3 2 9 2 2 3" xfId="47771" xr:uid="{00000000-0005-0000-0000-0000118D0000}"/>
    <cellStyle name="40 % - Markeringsfarve6 3 2 9 2 3" xfId="25785" xr:uid="{00000000-0005-0000-0000-0000128D0000}"/>
    <cellStyle name="40 % - Markeringsfarve6 3 2 9 2 4" xfId="40772" xr:uid="{00000000-0005-0000-0000-0000138D0000}"/>
    <cellStyle name="40 % - Markeringsfarve6 3 2 9 3" xfId="13060" xr:uid="{00000000-0005-0000-0000-0000148D0000}"/>
    <cellStyle name="40 % - Markeringsfarve6 3 2 9 3 2" xfId="29380" xr:uid="{00000000-0005-0000-0000-0000158D0000}"/>
    <cellStyle name="40 % - Markeringsfarve6 3 2 9 3 3" xfId="44345" xr:uid="{00000000-0005-0000-0000-0000168D0000}"/>
    <cellStyle name="40 % - Markeringsfarve6 3 2 9 4" xfId="22358" xr:uid="{00000000-0005-0000-0000-0000178D0000}"/>
    <cellStyle name="40 % - Markeringsfarve6 3 2 9 5" xfId="37346" xr:uid="{00000000-0005-0000-0000-0000188D0000}"/>
    <cellStyle name="40 % - Markeringsfarve6 3 3" xfId="4501" xr:uid="{00000000-0005-0000-0000-0000198D0000}"/>
    <cellStyle name="40 % - Markeringsfarve6 3 3 10" xfId="5996" xr:uid="{00000000-0005-0000-0000-00001A8D0000}"/>
    <cellStyle name="40 % - Markeringsfarve6 3 3 10 2" xfId="13915" xr:uid="{00000000-0005-0000-0000-00001B8D0000}"/>
    <cellStyle name="40 % - Markeringsfarve6 3 3 10 2 2" xfId="30230" xr:uid="{00000000-0005-0000-0000-00001C8D0000}"/>
    <cellStyle name="40 % - Markeringsfarve6 3 3 10 2 3" xfId="45194" xr:uid="{00000000-0005-0000-0000-00001D8D0000}"/>
    <cellStyle name="40 % - Markeringsfarve6 3 3 10 3" xfId="23208" xr:uid="{00000000-0005-0000-0000-00001E8D0000}"/>
    <cellStyle name="40 % - Markeringsfarve6 3 3 10 4" xfId="38195" xr:uid="{00000000-0005-0000-0000-00001F8D0000}"/>
    <cellStyle name="40 % - Markeringsfarve6 3 3 11" xfId="13061" xr:uid="{00000000-0005-0000-0000-0000208D0000}"/>
    <cellStyle name="40 % - Markeringsfarve6 3 3 11 2" xfId="29381" xr:uid="{00000000-0005-0000-0000-0000218D0000}"/>
    <cellStyle name="40 % - Markeringsfarve6 3 3 11 3" xfId="44346" xr:uid="{00000000-0005-0000-0000-0000228D0000}"/>
    <cellStyle name="40 % - Markeringsfarve6 3 3 12" xfId="22359" xr:uid="{00000000-0005-0000-0000-0000238D0000}"/>
    <cellStyle name="40 % - Markeringsfarve6 3 3 13" xfId="37347" xr:uid="{00000000-0005-0000-0000-0000248D0000}"/>
    <cellStyle name="40 % - Markeringsfarve6 3 3 14" xfId="56525" xr:uid="{00000000-0005-0000-0000-0000258D0000}"/>
    <cellStyle name="40 % - Markeringsfarve6 3 3 2" xfId="4502" xr:uid="{00000000-0005-0000-0000-0000268D0000}"/>
    <cellStyle name="40 % - Markeringsfarve6 3 3 2 2" xfId="4503" xr:uid="{00000000-0005-0000-0000-0000278D0000}"/>
    <cellStyle name="40 % - Markeringsfarve6 3 3 2 2 2" xfId="4504" xr:uid="{00000000-0005-0000-0000-0000288D0000}"/>
    <cellStyle name="40 % - Markeringsfarve6 3 3 2 2 2 2" xfId="7650" xr:uid="{00000000-0005-0000-0000-0000298D0000}"/>
    <cellStyle name="40 % - Markeringsfarve6 3 3 2 2 2 2 2" xfId="15552" xr:uid="{00000000-0005-0000-0000-00002A8D0000}"/>
    <cellStyle name="40 % - Markeringsfarve6 3 3 2 2 2 2 2 2" xfId="31867" xr:uid="{00000000-0005-0000-0000-00002B8D0000}"/>
    <cellStyle name="40 % - Markeringsfarve6 3 3 2 2 2 2 2 3" xfId="46831" xr:uid="{00000000-0005-0000-0000-00002C8D0000}"/>
    <cellStyle name="40 % - Markeringsfarve6 3 3 2 2 2 2 3" xfId="24845" xr:uid="{00000000-0005-0000-0000-00002D8D0000}"/>
    <cellStyle name="40 % - Markeringsfarve6 3 3 2 2 2 2 4" xfId="39832" xr:uid="{00000000-0005-0000-0000-00002E8D0000}"/>
    <cellStyle name="40 % - Markeringsfarve6 3 3 2 2 2 3" xfId="13064" xr:uid="{00000000-0005-0000-0000-00002F8D0000}"/>
    <cellStyle name="40 % - Markeringsfarve6 3 3 2 2 2 3 2" xfId="29384" xr:uid="{00000000-0005-0000-0000-0000308D0000}"/>
    <cellStyle name="40 % - Markeringsfarve6 3 3 2 2 2 3 3" xfId="44349" xr:uid="{00000000-0005-0000-0000-0000318D0000}"/>
    <cellStyle name="40 % - Markeringsfarve6 3 3 2 2 2 4" xfId="22362" xr:uid="{00000000-0005-0000-0000-0000328D0000}"/>
    <cellStyle name="40 % - Markeringsfarve6 3 3 2 2 2 5" xfId="37350" xr:uid="{00000000-0005-0000-0000-0000338D0000}"/>
    <cellStyle name="40 % - Markeringsfarve6 3 3 2 2 3" xfId="6217" xr:uid="{00000000-0005-0000-0000-0000348D0000}"/>
    <cellStyle name="40 % - Markeringsfarve6 3 3 2 2 3 2" xfId="14135" xr:uid="{00000000-0005-0000-0000-0000358D0000}"/>
    <cellStyle name="40 % - Markeringsfarve6 3 3 2 2 3 2 2" xfId="30450" xr:uid="{00000000-0005-0000-0000-0000368D0000}"/>
    <cellStyle name="40 % - Markeringsfarve6 3 3 2 2 3 2 3" xfId="45414" xr:uid="{00000000-0005-0000-0000-0000378D0000}"/>
    <cellStyle name="40 % - Markeringsfarve6 3 3 2 2 3 3" xfId="23428" xr:uid="{00000000-0005-0000-0000-0000388D0000}"/>
    <cellStyle name="40 % - Markeringsfarve6 3 3 2 2 3 4" xfId="38415" xr:uid="{00000000-0005-0000-0000-0000398D0000}"/>
    <cellStyle name="40 % - Markeringsfarve6 3 3 2 2 4" xfId="13063" xr:uid="{00000000-0005-0000-0000-00003A8D0000}"/>
    <cellStyle name="40 % - Markeringsfarve6 3 3 2 2 4 2" xfId="29383" xr:uid="{00000000-0005-0000-0000-00003B8D0000}"/>
    <cellStyle name="40 % - Markeringsfarve6 3 3 2 2 4 3" xfId="44348" xr:uid="{00000000-0005-0000-0000-00003C8D0000}"/>
    <cellStyle name="40 % - Markeringsfarve6 3 3 2 2 5" xfId="22361" xr:uid="{00000000-0005-0000-0000-00003D8D0000}"/>
    <cellStyle name="40 % - Markeringsfarve6 3 3 2 2 6" xfId="37349" xr:uid="{00000000-0005-0000-0000-00003E8D0000}"/>
    <cellStyle name="40 % - Markeringsfarve6 3 3 2 3" xfId="4505" xr:uid="{00000000-0005-0000-0000-00003F8D0000}"/>
    <cellStyle name="40 % - Markeringsfarve6 3 3 2 3 2" xfId="6880" xr:uid="{00000000-0005-0000-0000-0000408D0000}"/>
    <cellStyle name="40 % - Markeringsfarve6 3 3 2 3 2 2" xfId="14792" xr:uid="{00000000-0005-0000-0000-0000418D0000}"/>
    <cellStyle name="40 % - Markeringsfarve6 3 3 2 3 2 2 2" xfId="31107" xr:uid="{00000000-0005-0000-0000-0000428D0000}"/>
    <cellStyle name="40 % - Markeringsfarve6 3 3 2 3 2 2 3" xfId="46071" xr:uid="{00000000-0005-0000-0000-0000438D0000}"/>
    <cellStyle name="40 % - Markeringsfarve6 3 3 2 3 2 3" xfId="24085" xr:uid="{00000000-0005-0000-0000-0000448D0000}"/>
    <cellStyle name="40 % - Markeringsfarve6 3 3 2 3 2 4" xfId="39072" xr:uid="{00000000-0005-0000-0000-0000458D0000}"/>
    <cellStyle name="40 % - Markeringsfarve6 3 3 2 3 3" xfId="13065" xr:uid="{00000000-0005-0000-0000-0000468D0000}"/>
    <cellStyle name="40 % - Markeringsfarve6 3 3 2 3 3 2" xfId="29385" xr:uid="{00000000-0005-0000-0000-0000478D0000}"/>
    <cellStyle name="40 % - Markeringsfarve6 3 3 2 3 3 3" xfId="44350" xr:uid="{00000000-0005-0000-0000-0000488D0000}"/>
    <cellStyle name="40 % - Markeringsfarve6 3 3 2 3 4" xfId="22363" xr:uid="{00000000-0005-0000-0000-0000498D0000}"/>
    <cellStyle name="40 % - Markeringsfarve6 3 3 2 3 5" xfId="37351" xr:uid="{00000000-0005-0000-0000-00004A8D0000}"/>
    <cellStyle name="40 % - Markeringsfarve6 3 3 2 4" xfId="4506" xr:uid="{00000000-0005-0000-0000-00004B8D0000}"/>
    <cellStyle name="40 % - Markeringsfarve6 3 3 2 4 2" xfId="8698" xr:uid="{00000000-0005-0000-0000-00004C8D0000}"/>
    <cellStyle name="40 % - Markeringsfarve6 3 3 2 4 2 2" xfId="16575" xr:uid="{00000000-0005-0000-0000-00004D8D0000}"/>
    <cellStyle name="40 % - Markeringsfarve6 3 3 2 4 2 2 2" xfId="32890" xr:uid="{00000000-0005-0000-0000-00004E8D0000}"/>
    <cellStyle name="40 % - Markeringsfarve6 3 3 2 4 2 2 3" xfId="47854" xr:uid="{00000000-0005-0000-0000-00004F8D0000}"/>
    <cellStyle name="40 % - Markeringsfarve6 3 3 2 4 2 3" xfId="25868" xr:uid="{00000000-0005-0000-0000-0000508D0000}"/>
    <cellStyle name="40 % - Markeringsfarve6 3 3 2 4 2 4" xfId="40855" xr:uid="{00000000-0005-0000-0000-0000518D0000}"/>
    <cellStyle name="40 % - Markeringsfarve6 3 3 2 4 3" xfId="13066" xr:uid="{00000000-0005-0000-0000-0000528D0000}"/>
    <cellStyle name="40 % - Markeringsfarve6 3 3 2 4 3 2" xfId="29386" xr:uid="{00000000-0005-0000-0000-0000538D0000}"/>
    <cellStyle name="40 % - Markeringsfarve6 3 3 2 4 3 3" xfId="44351" xr:uid="{00000000-0005-0000-0000-0000548D0000}"/>
    <cellStyle name="40 % - Markeringsfarve6 3 3 2 4 4" xfId="22364" xr:uid="{00000000-0005-0000-0000-0000558D0000}"/>
    <cellStyle name="40 % - Markeringsfarve6 3 3 2 4 5" xfId="37352" xr:uid="{00000000-0005-0000-0000-0000568D0000}"/>
    <cellStyle name="40 % - Markeringsfarve6 3 3 2 5" xfId="5997" xr:uid="{00000000-0005-0000-0000-0000578D0000}"/>
    <cellStyle name="40 % - Markeringsfarve6 3 3 2 5 2" xfId="13916" xr:uid="{00000000-0005-0000-0000-0000588D0000}"/>
    <cellStyle name="40 % - Markeringsfarve6 3 3 2 5 2 2" xfId="30231" xr:uid="{00000000-0005-0000-0000-0000598D0000}"/>
    <cellStyle name="40 % - Markeringsfarve6 3 3 2 5 2 3" xfId="45195" xr:uid="{00000000-0005-0000-0000-00005A8D0000}"/>
    <cellStyle name="40 % - Markeringsfarve6 3 3 2 5 3" xfId="23209" xr:uid="{00000000-0005-0000-0000-00005B8D0000}"/>
    <cellStyle name="40 % - Markeringsfarve6 3 3 2 5 4" xfId="38196" xr:uid="{00000000-0005-0000-0000-00005C8D0000}"/>
    <cellStyle name="40 % - Markeringsfarve6 3 3 2 6" xfId="13062" xr:uid="{00000000-0005-0000-0000-00005D8D0000}"/>
    <cellStyle name="40 % - Markeringsfarve6 3 3 2 6 2" xfId="29382" xr:uid="{00000000-0005-0000-0000-00005E8D0000}"/>
    <cellStyle name="40 % - Markeringsfarve6 3 3 2 6 3" xfId="44347" xr:uid="{00000000-0005-0000-0000-00005F8D0000}"/>
    <cellStyle name="40 % - Markeringsfarve6 3 3 2 7" xfId="22360" xr:uid="{00000000-0005-0000-0000-0000608D0000}"/>
    <cellStyle name="40 % - Markeringsfarve6 3 3 2 8" xfId="37348" xr:uid="{00000000-0005-0000-0000-0000618D0000}"/>
    <cellStyle name="40 % - Markeringsfarve6 3 3 3" xfId="4507" xr:uid="{00000000-0005-0000-0000-0000628D0000}"/>
    <cellStyle name="40 % - Markeringsfarve6 3 3 3 2" xfId="4508" xr:uid="{00000000-0005-0000-0000-0000638D0000}"/>
    <cellStyle name="40 % - Markeringsfarve6 3 3 3 2 2" xfId="4509" xr:uid="{00000000-0005-0000-0000-0000648D0000}"/>
    <cellStyle name="40 % - Markeringsfarve6 3 3 3 2 2 2" xfId="7770" xr:uid="{00000000-0005-0000-0000-0000658D0000}"/>
    <cellStyle name="40 % - Markeringsfarve6 3 3 3 2 2 2 2" xfId="15672" xr:uid="{00000000-0005-0000-0000-0000668D0000}"/>
    <cellStyle name="40 % - Markeringsfarve6 3 3 3 2 2 2 2 2" xfId="31987" xr:uid="{00000000-0005-0000-0000-0000678D0000}"/>
    <cellStyle name="40 % - Markeringsfarve6 3 3 3 2 2 2 2 3" xfId="46951" xr:uid="{00000000-0005-0000-0000-0000688D0000}"/>
    <cellStyle name="40 % - Markeringsfarve6 3 3 3 2 2 2 3" xfId="24965" xr:uid="{00000000-0005-0000-0000-0000698D0000}"/>
    <cellStyle name="40 % - Markeringsfarve6 3 3 3 2 2 2 4" xfId="39952" xr:uid="{00000000-0005-0000-0000-00006A8D0000}"/>
    <cellStyle name="40 % - Markeringsfarve6 3 3 3 2 2 3" xfId="13069" xr:uid="{00000000-0005-0000-0000-00006B8D0000}"/>
    <cellStyle name="40 % - Markeringsfarve6 3 3 3 2 2 3 2" xfId="29389" xr:uid="{00000000-0005-0000-0000-00006C8D0000}"/>
    <cellStyle name="40 % - Markeringsfarve6 3 3 3 2 2 3 3" xfId="44354" xr:uid="{00000000-0005-0000-0000-00006D8D0000}"/>
    <cellStyle name="40 % - Markeringsfarve6 3 3 3 2 2 4" xfId="22367" xr:uid="{00000000-0005-0000-0000-00006E8D0000}"/>
    <cellStyle name="40 % - Markeringsfarve6 3 3 3 2 2 5" xfId="37355" xr:uid="{00000000-0005-0000-0000-00006F8D0000}"/>
    <cellStyle name="40 % - Markeringsfarve6 3 3 3 2 3" xfId="6316" xr:uid="{00000000-0005-0000-0000-0000708D0000}"/>
    <cellStyle name="40 % - Markeringsfarve6 3 3 3 2 3 2" xfId="14234" xr:uid="{00000000-0005-0000-0000-0000718D0000}"/>
    <cellStyle name="40 % - Markeringsfarve6 3 3 3 2 3 2 2" xfId="30549" xr:uid="{00000000-0005-0000-0000-0000728D0000}"/>
    <cellStyle name="40 % - Markeringsfarve6 3 3 3 2 3 2 3" xfId="45513" xr:uid="{00000000-0005-0000-0000-0000738D0000}"/>
    <cellStyle name="40 % - Markeringsfarve6 3 3 3 2 3 3" xfId="23527" xr:uid="{00000000-0005-0000-0000-0000748D0000}"/>
    <cellStyle name="40 % - Markeringsfarve6 3 3 3 2 3 4" xfId="38514" xr:uid="{00000000-0005-0000-0000-0000758D0000}"/>
    <cellStyle name="40 % - Markeringsfarve6 3 3 3 2 4" xfId="13068" xr:uid="{00000000-0005-0000-0000-0000768D0000}"/>
    <cellStyle name="40 % - Markeringsfarve6 3 3 3 2 4 2" xfId="29388" xr:uid="{00000000-0005-0000-0000-0000778D0000}"/>
    <cellStyle name="40 % - Markeringsfarve6 3 3 3 2 4 3" xfId="44353" xr:uid="{00000000-0005-0000-0000-0000788D0000}"/>
    <cellStyle name="40 % - Markeringsfarve6 3 3 3 2 5" xfId="22366" xr:uid="{00000000-0005-0000-0000-0000798D0000}"/>
    <cellStyle name="40 % - Markeringsfarve6 3 3 3 2 6" xfId="37354" xr:uid="{00000000-0005-0000-0000-00007A8D0000}"/>
    <cellStyle name="40 % - Markeringsfarve6 3 3 3 3" xfId="4510" xr:uid="{00000000-0005-0000-0000-00007B8D0000}"/>
    <cellStyle name="40 % - Markeringsfarve6 3 3 3 3 2" xfId="7000" xr:uid="{00000000-0005-0000-0000-00007C8D0000}"/>
    <cellStyle name="40 % - Markeringsfarve6 3 3 3 3 2 2" xfId="14912" xr:uid="{00000000-0005-0000-0000-00007D8D0000}"/>
    <cellStyle name="40 % - Markeringsfarve6 3 3 3 3 2 2 2" xfId="31227" xr:uid="{00000000-0005-0000-0000-00007E8D0000}"/>
    <cellStyle name="40 % - Markeringsfarve6 3 3 3 3 2 2 3" xfId="46191" xr:uid="{00000000-0005-0000-0000-00007F8D0000}"/>
    <cellStyle name="40 % - Markeringsfarve6 3 3 3 3 2 3" xfId="24205" xr:uid="{00000000-0005-0000-0000-0000808D0000}"/>
    <cellStyle name="40 % - Markeringsfarve6 3 3 3 3 2 4" xfId="39192" xr:uid="{00000000-0005-0000-0000-0000818D0000}"/>
    <cellStyle name="40 % - Markeringsfarve6 3 3 3 3 3" xfId="13070" xr:uid="{00000000-0005-0000-0000-0000828D0000}"/>
    <cellStyle name="40 % - Markeringsfarve6 3 3 3 3 3 2" xfId="29390" xr:uid="{00000000-0005-0000-0000-0000838D0000}"/>
    <cellStyle name="40 % - Markeringsfarve6 3 3 3 3 3 3" xfId="44355" xr:uid="{00000000-0005-0000-0000-0000848D0000}"/>
    <cellStyle name="40 % - Markeringsfarve6 3 3 3 3 4" xfId="22368" xr:uid="{00000000-0005-0000-0000-0000858D0000}"/>
    <cellStyle name="40 % - Markeringsfarve6 3 3 3 3 5" xfId="37356" xr:uid="{00000000-0005-0000-0000-0000868D0000}"/>
    <cellStyle name="40 % - Markeringsfarve6 3 3 3 4" xfId="4511" xr:uid="{00000000-0005-0000-0000-0000878D0000}"/>
    <cellStyle name="40 % - Markeringsfarve6 3 3 3 4 2" xfId="8418" xr:uid="{00000000-0005-0000-0000-0000888D0000}"/>
    <cellStyle name="40 % - Markeringsfarve6 3 3 3 4 2 2" xfId="16308" xr:uid="{00000000-0005-0000-0000-0000898D0000}"/>
    <cellStyle name="40 % - Markeringsfarve6 3 3 3 4 2 2 2" xfId="32623" xr:uid="{00000000-0005-0000-0000-00008A8D0000}"/>
    <cellStyle name="40 % - Markeringsfarve6 3 3 3 4 2 2 3" xfId="47587" xr:uid="{00000000-0005-0000-0000-00008B8D0000}"/>
    <cellStyle name="40 % - Markeringsfarve6 3 3 3 4 2 3" xfId="25601" xr:uid="{00000000-0005-0000-0000-00008C8D0000}"/>
    <cellStyle name="40 % - Markeringsfarve6 3 3 3 4 2 4" xfId="40588" xr:uid="{00000000-0005-0000-0000-00008D8D0000}"/>
    <cellStyle name="40 % - Markeringsfarve6 3 3 3 4 3" xfId="13071" xr:uid="{00000000-0005-0000-0000-00008E8D0000}"/>
    <cellStyle name="40 % - Markeringsfarve6 3 3 3 4 3 2" xfId="29391" xr:uid="{00000000-0005-0000-0000-00008F8D0000}"/>
    <cellStyle name="40 % - Markeringsfarve6 3 3 3 4 3 3" xfId="44356" xr:uid="{00000000-0005-0000-0000-0000908D0000}"/>
    <cellStyle name="40 % - Markeringsfarve6 3 3 3 4 4" xfId="22369" xr:uid="{00000000-0005-0000-0000-0000918D0000}"/>
    <cellStyle name="40 % - Markeringsfarve6 3 3 3 4 5" xfId="37357" xr:uid="{00000000-0005-0000-0000-0000928D0000}"/>
    <cellStyle name="40 % - Markeringsfarve6 3 3 3 5" xfId="5998" xr:uid="{00000000-0005-0000-0000-0000938D0000}"/>
    <cellStyle name="40 % - Markeringsfarve6 3 3 3 5 2" xfId="13917" xr:uid="{00000000-0005-0000-0000-0000948D0000}"/>
    <cellStyle name="40 % - Markeringsfarve6 3 3 3 5 2 2" xfId="30232" xr:uid="{00000000-0005-0000-0000-0000958D0000}"/>
    <cellStyle name="40 % - Markeringsfarve6 3 3 3 5 2 3" xfId="45196" xr:uid="{00000000-0005-0000-0000-0000968D0000}"/>
    <cellStyle name="40 % - Markeringsfarve6 3 3 3 5 3" xfId="23210" xr:uid="{00000000-0005-0000-0000-0000978D0000}"/>
    <cellStyle name="40 % - Markeringsfarve6 3 3 3 5 4" xfId="38197" xr:uid="{00000000-0005-0000-0000-0000988D0000}"/>
    <cellStyle name="40 % - Markeringsfarve6 3 3 3 6" xfId="13067" xr:uid="{00000000-0005-0000-0000-0000998D0000}"/>
    <cellStyle name="40 % - Markeringsfarve6 3 3 3 6 2" xfId="29387" xr:uid="{00000000-0005-0000-0000-00009A8D0000}"/>
    <cellStyle name="40 % - Markeringsfarve6 3 3 3 6 3" xfId="44352" xr:uid="{00000000-0005-0000-0000-00009B8D0000}"/>
    <cellStyle name="40 % - Markeringsfarve6 3 3 3 7" xfId="22365" xr:uid="{00000000-0005-0000-0000-00009C8D0000}"/>
    <cellStyle name="40 % - Markeringsfarve6 3 3 3 8" xfId="37353" xr:uid="{00000000-0005-0000-0000-00009D8D0000}"/>
    <cellStyle name="40 % - Markeringsfarve6 3 3 4" xfId="4512" xr:uid="{00000000-0005-0000-0000-00009E8D0000}"/>
    <cellStyle name="40 % - Markeringsfarve6 3 3 4 2" xfId="4513" xr:uid="{00000000-0005-0000-0000-00009F8D0000}"/>
    <cellStyle name="40 % - Markeringsfarve6 3 3 4 2 2" xfId="4514" xr:uid="{00000000-0005-0000-0000-0000A08D0000}"/>
    <cellStyle name="40 % - Markeringsfarve6 3 3 4 2 2 2" xfId="7888" xr:uid="{00000000-0005-0000-0000-0000A18D0000}"/>
    <cellStyle name="40 % - Markeringsfarve6 3 3 4 2 2 2 2" xfId="15790" xr:uid="{00000000-0005-0000-0000-0000A28D0000}"/>
    <cellStyle name="40 % - Markeringsfarve6 3 3 4 2 2 2 2 2" xfId="32105" xr:uid="{00000000-0005-0000-0000-0000A38D0000}"/>
    <cellStyle name="40 % - Markeringsfarve6 3 3 4 2 2 2 2 3" xfId="47069" xr:uid="{00000000-0005-0000-0000-0000A48D0000}"/>
    <cellStyle name="40 % - Markeringsfarve6 3 3 4 2 2 2 3" xfId="25083" xr:uid="{00000000-0005-0000-0000-0000A58D0000}"/>
    <cellStyle name="40 % - Markeringsfarve6 3 3 4 2 2 2 4" xfId="40070" xr:uid="{00000000-0005-0000-0000-0000A68D0000}"/>
    <cellStyle name="40 % - Markeringsfarve6 3 3 4 2 2 3" xfId="13074" xr:uid="{00000000-0005-0000-0000-0000A78D0000}"/>
    <cellStyle name="40 % - Markeringsfarve6 3 3 4 2 2 3 2" xfId="29394" xr:uid="{00000000-0005-0000-0000-0000A88D0000}"/>
    <cellStyle name="40 % - Markeringsfarve6 3 3 4 2 2 3 3" xfId="44359" xr:uid="{00000000-0005-0000-0000-0000A98D0000}"/>
    <cellStyle name="40 % - Markeringsfarve6 3 3 4 2 2 4" xfId="22372" xr:uid="{00000000-0005-0000-0000-0000AA8D0000}"/>
    <cellStyle name="40 % - Markeringsfarve6 3 3 4 2 2 5" xfId="37360" xr:uid="{00000000-0005-0000-0000-0000AB8D0000}"/>
    <cellStyle name="40 % - Markeringsfarve6 3 3 4 2 3" xfId="6419" xr:uid="{00000000-0005-0000-0000-0000AC8D0000}"/>
    <cellStyle name="40 % - Markeringsfarve6 3 3 4 2 3 2" xfId="14334" xr:uid="{00000000-0005-0000-0000-0000AD8D0000}"/>
    <cellStyle name="40 % - Markeringsfarve6 3 3 4 2 3 2 2" xfId="30649" xr:uid="{00000000-0005-0000-0000-0000AE8D0000}"/>
    <cellStyle name="40 % - Markeringsfarve6 3 3 4 2 3 2 3" xfId="45613" xr:uid="{00000000-0005-0000-0000-0000AF8D0000}"/>
    <cellStyle name="40 % - Markeringsfarve6 3 3 4 2 3 3" xfId="23627" xr:uid="{00000000-0005-0000-0000-0000B08D0000}"/>
    <cellStyle name="40 % - Markeringsfarve6 3 3 4 2 3 4" xfId="38614" xr:uid="{00000000-0005-0000-0000-0000B18D0000}"/>
    <cellStyle name="40 % - Markeringsfarve6 3 3 4 2 4" xfId="13073" xr:uid="{00000000-0005-0000-0000-0000B28D0000}"/>
    <cellStyle name="40 % - Markeringsfarve6 3 3 4 2 4 2" xfId="29393" xr:uid="{00000000-0005-0000-0000-0000B38D0000}"/>
    <cellStyle name="40 % - Markeringsfarve6 3 3 4 2 4 3" xfId="44358" xr:uid="{00000000-0005-0000-0000-0000B48D0000}"/>
    <cellStyle name="40 % - Markeringsfarve6 3 3 4 2 5" xfId="22371" xr:uid="{00000000-0005-0000-0000-0000B58D0000}"/>
    <cellStyle name="40 % - Markeringsfarve6 3 3 4 2 6" xfId="37359" xr:uid="{00000000-0005-0000-0000-0000B68D0000}"/>
    <cellStyle name="40 % - Markeringsfarve6 3 3 4 3" xfId="4515" xr:uid="{00000000-0005-0000-0000-0000B78D0000}"/>
    <cellStyle name="40 % - Markeringsfarve6 3 3 4 3 2" xfId="7164" xr:uid="{00000000-0005-0000-0000-0000B88D0000}"/>
    <cellStyle name="40 % - Markeringsfarve6 3 3 4 3 2 2" xfId="15075" xr:uid="{00000000-0005-0000-0000-0000B98D0000}"/>
    <cellStyle name="40 % - Markeringsfarve6 3 3 4 3 2 2 2" xfId="31390" xr:uid="{00000000-0005-0000-0000-0000BA8D0000}"/>
    <cellStyle name="40 % - Markeringsfarve6 3 3 4 3 2 2 3" xfId="46354" xr:uid="{00000000-0005-0000-0000-0000BB8D0000}"/>
    <cellStyle name="40 % - Markeringsfarve6 3 3 4 3 2 3" xfId="24368" xr:uid="{00000000-0005-0000-0000-0000BC8D0000}"/>
    <cellStyle name="40 % - Markeringsfarve6 3 3 4 3 2 4" xfId="39355" xr:uid="{00000000-0005-0000-0000-0000BD8D0000}"/>
    <cellStyle name="40 % - Markeringsfarve6 3 3 4 3 3" xfId="13075" xr:uid="{00000000-0005-0000-0000-0000BE8D0000}"/>
    <cellStyle name="40 % - Markeringsfarve6 3 3 4 3 3 2" xfId="29395" xr:uid="{00000000-0005-0000-0000-0000BF8D0000}"/>
    <cellStyle name="40 % - Markeringsfarve6 3 3 4 3 3 3" xfId="44360" xr:uid="{00000000-0005-0000-0000-0000C08D0000}"/>
    <cellStyle name="40 % - Markeringsfarve6 3 3 4 3 4" xfId="22373" xr:uid="{00000000-0005-0000-0000-0000C18D0000}"/>
    <cellStyle name="40 % - Markeringsfarve6 3 3 4 3 5" xfId="37361" xr:uid="{00000000-0005-0000-0000-0000C28D0000}"/>
    <cellStyle name="40 % - Markeringsfarve6 3 3 4 4" xfId="4516" xr:uid="{00000000-0005-0000-0000-0000C38D0000}"/>
    <cellStyle name="40 % - Markeringsfarve6 3 3 4 4 2" xfId="8677" xr:uid="{00000000-0005-0000-0000-0000C48D0000}"/>
    <cellStyle name="40 % - Markeringsfarve6 3 3 4 4 2 2" xfId="16557" xr:uid="{00000000-0005-0000-0000-0000C58D0000}"/>
    <cellStyle name="40 % - Markeringsfarve6 3 3 4 4 2 2 2" xfId="32872" xr:uid="{00000000-0005-0000-0000-0000C68D0000}"/>
    <cellStyle name="40 % - Markeringsfarve6 3 3 4 4 2 2 3" xfId="47836" xr:uid="{00000000-0005-0000-0000-0000C78D0000}"/>
    <cellStyle name="40 % - Markeringsfarve6 3 3 4 4 2 3" xfId="25850" xr:uid="{00000000-0005-0000-0000-0000C88D0000}"/>
    <cellStyle name="40 % - Markeringsfarve6 3 3 4 4 2 4" xfId="40837" xr:uid="{00000000-0005-0000-0000-0000C98D0000}"/>
    <cellStyle name="40 % - Markeringsfarve6 3 3 4 4 3" xfId="13076" xr:uid="{00000000-0005-0000-0000-0000CA8D0000}"/>
    <cellStyle name="40 % - Markeringsfarve6 3 3 4 4 3 2" xfId="29396" xr:uid="{00000000-0005-0000-0000-0000CB8D0000}"/>
    <cellStyle name="40 % - Markeringsfarve6 3 3 4 4 3 3" xfId="44361" xr:uid="{00000000-0005-0000-0000-0000CC8D0000}"/>
    <cellStyle name="40 % - Markeringsfarve6 3 3 4 4 4" xfId="22374" xr:uid="{00000000-0005-0000-0000-0000CD8D0000}"/>
    <cellStyle name="40 % - Markeringsfarve6 3 3 4 4 5" xfId="37362" xr:uid="{00000000-0005-0000-0000-0000CE8D0000}"/>
    <cellStyle name="40 % - Markeringsfarve6 3 3 4 5" xfId="5999" xr:uid="{00000000-0005-0000-0000-0000CF8D0000}"/>
    <cellStyle name="40 % - Markeringsfarve6 3 3 4 5 2" xfId="13918" xr:uid="{00000000-0005-0000-0000-0000D08D0000}"/>
    <cellStyle name="40 % - Markeringsfarve6 3 3 4 5 2 2" xfId="30233" xr:uid="{00000000-0005-0000-0000-0000D18D0000}"/>
    <cellStyle name="40 % - Markeringsfarve6 3 3 4 5 2 3" xfId="45197" xr:uid="{00000000-0005-0000-0000-0000D28D0000}"/>
    <cellStyle name="40 % - Markeringsfarve6 3 3 4 5 3" xfId="23211" xr:uid="{00000000-0005-0000-0000-0000D38D0000}"/>
    <cellStyle name="40 % - Markeringsfarve6 3 3 4 5 4" xfId="38198" xr:uid="{00000000-0005-0000-0000-0000D48D0000}"/>
    <cellStyle name="40 % - Markeringsfarve6 3 3 4 6" xfId="13072" xr:uid="{00000000-0005-0000-0000-0000D58D0000}"/>
    <cellStyle name="40 % - Markeringsfarve6 3 3 4 6 2" xfId="29392" xr:uid="{00000000-0005-0000-0000-0000D68D0000}"/>
    <cellStyle name="40 % - Markeringsfarve6 3 3 4 6 3" xfId="44357" xr:uid="{00000000-0005-0000-0000-0000D78D0000}"/>
    <cellStyle name="40 % - Markeringsfarve6 3 3 4 7" xfId="22370" xr:uid="{00000000-0005-0000-0000-0000D88D0000}"/>
    <cellStyle name="40 % - Markeringsfarve6 3 3 4 8" xfId="37358" xr:uid="{00000000-0005-0000-0000-0000D98D0000}"/>
    <cellStyle name="40 % - Markeringsfarve6 3 3 5" xfId="4517" xr:uid="{00000000-0005-0000-0000-0000DA8D0000}"/>
    <cellStyle name="40 % - Markeringsfarve6 3 3 5 2" xfId="4518" xr:uid="{00000000-0005-0000-0000-0000DB8D0000}"/>
    <cellStyle name="40 % - Markeringsfarve6 3 3 5 2 2" xfId="4519" xr:uid="{00000000-0005-0000-0000-0000DC8D0000}"/>
    <cellStyle name="40 % - Markeringsfarve6 3 3 5 2 2 2" xfId="8005" xr:uid="{00000000-0005-0000-0000-0000DD8D0000}"/>
    <cellStyle name="40 % - Markeringsfarve6 3 3 5 2 2 2 2" xfId="15907" xr:uid="{00000000-0005-0000-0000-0000DE8D0000}"/>
    <cellStyle name="40 % - Markeringsfarve6 3 3 5 2 2 2 2 2" xfId="32222" xr:uid="{00000000-0005-0000-0000-0000DF8D0000}"/>
    <cellStyle name="40 % - Markeringsfarve6 3 3 5 2 2 2 2 3" xfId="47186" xr:uid="{00000000-0005-0000-0000-0000E08D0000}"/>
    <cellStyle name="40 % - Markeringsfarve6 3 3 5 2 2 2 3" xfId="25200" xr:uid="{00000000-0005-0000-0000-0000E18D0000}"/>
    <cellStyle name="40 % - Markeringsfarve6 3 3 5 2 2 2 4" xfId="40187" xr:uid="{00000000-0005-0000-0000-0000E28D0000}"/>
    <cellStyle name="40 % - Markeringsfarve6 3 3 5 2 2 3" xfId="13079" xr:uid="{00000000-0005-0000-0000-0000E38D0000}"/>
    <cellStyle name="40 % - Markeringsfarve6 3 3 5 2 2 3 2" xfId="29399" xr:uid="{00000000-0005-0000-0000-0000E48D0000}"/>
    <cellStyle name="40 % - Markeringsfarve6 3 3 5 2 2 3 3" xfId="44364" xr:uid="{00000000-0005-0000-0000-0000E58D0000}"/>
    <cellStyle name="40 % - Markeringsfarve6 3 3 5 2 2 4" xfId="22377" xr:uid="{00000000-0005-0000-0000-0000E68D0000}"/>
    <cellStyle name="40 % - Markeringsfarve6 3 3 5 2 2 5" xfId="37365" xr:uid="{00000000-0005-0000-0000-0000E78D0000}"/>
    <cellStyle name="40 % - Markeringsfarve6 3 3 5 2 3" xfId="6518" xr:uid="{00000000-0005-0000-0000-0000E88D0000}"/>
    <cellStyle name="40 % - Markeringsfarve6 3 3 5 2 3 2" xfId="14433" xr:uid="{00000000-0005-0000-0000-0000E98D0000}"/>
    <cellStyle name="40 % - Markeringsfarve6 3 3 5 2 3 2 2" xfId="30748" xr:uid="{00000000-0005-0000-0000-0000EA8D0000}"/>
    <cellStyle name="40 % - Markeringsfarve6 3 3 5 2 3 2 3" xfId="45712" xr:uid="{00000000-0005-0000-0000-0000EB8D0000}"/>
    <cellStyle name="40 % - Markeringsfarve6 3 3 5 2 3 3" xfId="23726" xr:uid="{00000000-0005-0000-0000-0000EC8D0000}"/>
    <cellStyle name="40 % - Markeringsfarve6 3 3 5 2 3 4" xfId="38713" xr:uid="{00000000-0005-0000-0000-0000ED8D0000}"/>
    <cellStyle name="40 % - Markeringsfarve6 3 3 5 2 4" xfId="13078" xr:uid="{00000000-0005-0000-0000-0000EE8D0000}"/>
    <cellStyle name="40 % - Markeringsfarve6 3 3 5 2 4 2" xfId="29398" xr:uid="{00000000-0005-0000-0000-0000EF8D0000}"/>
    <cellStyle name="40 % - Markeringsfarve6 3 3 5 2 4 3" xfId="44363" xr:uid="{00000000-0005-0000-0000-0000F08D0000}"/>
    <cellStyle name="40 % - Markeringsfarve6 3 3 5 2 5" xfId="22376" xr:uid="{00000000-0005-0000-0000-0000F18D0000}"/>
    <cellStyle name="40 % - Markeringsfarve6 3 3 5 2 6" xfId="37364" xr:uid="{00000000-0005-0000-0000-0000F28D0000}"/>
    <cellStyle name="40 % - Markeringsfarve6 3 3 5 3" xfId="4520" xr:uid="{00000000-0005-0000-0000-0000F38D0000}"/>
    <cellStyle name="40 % - Markeringsfarve6 3 3 5 3 2" xfId="7281" xr:uid="{00000000-0005-0000-0000-0000F48D0000}"/>
    <cellStyle name="40 % - Markeringsfarve6 3 3 5 3 2 2" xfId="15192" xr:uid="{00000000-0005-0000-0000-0000F58D0000}"/>
    <cellStyle name="40 % - Markeringsfarve6 3 3 5 3 2 2 2" xfId="31507" xr:uid="{00000000-0005-0000-0000-0000F68D0000}"/>
    <cellStyle name="40 % - Markeringsfarve6 3 3 5 3 2 2 3" xfId="46471" xr:uid="{00000000-0005-0000-0000-0000F78D0000}"/>
    <cellStyle name="40 % - Markeringsfarve6 3 3 5 3 2 3" xfId="24485" xr:uid="{00000000-0005-0000-0000-0000F88D0000}"/>
    <cellStyle name="40 % - Markeringsfarve6 3 3 5 3 2 4" xfId="39472" xr:uid="{00000000-0005-0000-0000-0000F98D0000}"/>
    <cellStyle name="40 % - Markeringsfarve6 3 3 5 3 3" xfId="13080" xr:uid="{00000000-0005-0000-0000-0000FA8D0000}"/>
    <cellStyle name="40 % - Markeringsfarve6 3 3 5 3 3 2" xfId="29400" xr:uid="{00000000-0005-0000-0000-0000FB8D0000}"/>
    <cellStyle name="40 % - Markeringsfarve6 3 3 5 3 3 3" xfId="44365" xr:uid="{00000000-0005-0000-0000-0000FC8D0000}"/>
    <cellStyle name="40 % - Markeringsfarve6 3 3 5 3 4" xfId="22378" xr:uid="{00000000-0005-0000-0000-0000FD8D0000}"/>
    <cellStyle name="40 % - Markeringsfarve6 3 3 5 3 5" xfId="37366" xr:uid="{00000000-0005-0000-0000-0000FE8D0000}"/>
    <cellStyle name="40 % - Markeringsfarve6 3 3 5 4" xfId="4521" xr:uid="{00000000-0005-0000-0000-0000FF8D0000}"/>
    <cellStyle name="40 % - Markeringsfarve6 3 3 5 4 2" xfId="8400" xr:uid="{00000000-0005-0000-0000-0000008E0000}"/>
    <cellStyle name="40 % - Markeringsfarve6 3 3 5 4 2 2" xfId="16292" xr:uid="{00000000-0005-0000-0000-0000018E0000}"/>
    <cellStyle name="40 % - Markeringsfarve6 3 3 5 4 2 2 2" xfId="32607" xr:uid="{00000000-0005-0000-0000-0000028E0000}"/>
    <cellStyle name="40 % - Markeringsfarve6 3 3 5 4 2 2 3" xfId="47571" xr:uid="{00000000-0005-0000-0000-0000038E0000}"/>
    <cellStyle name="40 % - Markeringsfarve6 3 3 5 4 2 3" xfId="25585" xr:uid="{00000000-0005-0000-0000-0000048E0000}"/>
    <cellStyle name="40 % - Markeringsfarve6 3 3 5 4 2 4" xfId="40572" xr:uid="{00000000-0005-0000-0000-0000058E0000}"/>
    <cellStyle name="40 % - Markeringsfarve6 3 3 5 4 3" xfId="13081" xr:uid="{00000000-0005-0000-0000-0000068E0000}"/>
    <cellStyle name="40 % - Markeringsfarve6 3 3 5 4 3 2" xfId="29401" xr:uid="{00000000-0005-0000-0000-0000078E0000}"/>
    <cellStyle name="40 % - Markeringsfarve6 3 3 5 4 3 3" xfId="44366" xr:uid="{00000000-0005-0000-0000-0000088E0000}"/>
    <cellStyle name="40 % - Markeringsfarve6 3 3 5 4 4" xfId="22379" xr:uid="{00000000-0005-0000-0000-0000098E0000}"/>
    <cellStyle name="40 % - Markeringsfarve6 3 3 5 4 5" xfId="37367" xr:uid="{00000000-0005-0000-0000-00000A8E0000}"/>
    <cellStyle name="40 % - Markeringsfarve6 3 3 5 5" xfId="6000" xr:uid="{00000000-0005-0000-0000-00000B8E0000}"/>
    <cellStyle name="40 % - Markeringsfarve6 3 3 5 5 2" xfId="13919" xr:uid="{00000000-0005-0000-0000-00000C8E0000}"/>
    <cellStyle name="40 % - Markeringsfarve6 3 3 5 5 2 2" xfId="30234" xr:uid="{00000000-0005-0000-0000-00000D8E0000}"/>
    <cellStyle name="40 % - Markeringsfarve6 3 3 5 5 2 3" xfId="45198" xr:uid="{00000000-0005-0000-0000-00000E8E0000}"/>
    <cellStyle name="40 % - Markeringsfarve6 3 3 5 5 3" xfId="23212" xr:uid="{00000000-0005-0000-0000-00000F8E0000}"/>
    <cellStyle name="40 % - Markeringsfarve6 3 3 5 5 4" xfId="38199" xr:uid="{00000000-0005-0000-0000-0000108E0000}"/>
    <cellStyle name="40 % - Markeringsfarve6 3 3 5 6" xfId="13077" xr:uid="{00000000-0005-0000-0000-0000118E0000}"/>
    <cellStyle name="40 % - Markeringsfarve6 3 3 5 6 2" xfId="29397" xr:uid="{00000000-0005-0000-0000-0000128E0000}"/>
    <cellStyle name="40 % - Markeringsfarve6 3 3 5 6 3" xfId="44362" xr:uid="{00000000-0005-0000-0000-0000138E0000}"/>
    <cellStyle name="40 % - Markeringsfarve6 3 3 5 7" xfId="22375" xr:uid="{00000000-0005-0000-0000-0000148E0000}"/>
    <cellStyle name="40 % - Markeringsfarve6 3 3 5 8" xfId="37363" xr:uid="{00000000-0005-0000-0000-0000158E0000}"/>
    <cellStyle name="40 % - Markeringsfarve6 3 3 6" xfId="4522" xr:uid="{00000000-0005-0000-0000-0000168E0000}"/>
    <cellStyle name="40 % - Markeringsfarve6 3 3 6 2" xfId="4523" xr:uid="{00000000-0005-0000-0000-0000178E0000}"/>
    <cellStyle name="40 % - Markeringsfarve6 3 3 6 2 2" xfId="4524" xr:uid="{00000000-0005-0000-0000-0000188E0000}"/>
    <cellStyle name="40 % - Markeringsfarve6 3 3 6 2 2 2" xfId="8124" xr:uid="{00000000-0005-0000-0000-0000198E0000}"/>
    <cellStyle name="40 % - Markeringsfarve6 3 3 6 2 2 2 2" xfId="16026" xr:uid="{00000000-0005-0000-0000-00001A8E0000}"/>
    <cellStyle name="40 % - Markeringsfarve6 3 3 6 2 2 2 2 2" xfId="32341" xr:uid="{00000000-0005-0000-0000-00001B8E0000}"/>
    <cellStyle name="40 % - Markeringsfarve6 3 3 6 2 2 2 2 3" xfId="47305" xr:uid="{00000000-0005-0000-0000-00001C8E0000}"/>
    <cellStyle name="40 % - Markeringsfarve6 3 3 6 2 2 2 3" xfId="25319" xr:uid="{00000000-0005-0000-0000-00001D8E0000}"/>
    <cellStyle name="40 % - Markeringsfarve6 3 3 6 2 2 2 4" xfId="40306" xr:uid="{00000000-0005-0000-0000-00001E8E0000}"/>
    <cellStyle name="40 % - Markeringsfarve6 3 3 6 2 2 3" xfId="13084" xr:uid="{00000000-0005-0000-0000-00001F8E0000}"/>
    <cellStyle name="40 % - Markeringsfarve6 3 3 6 2 2 3 2" xfId="29404" xr:uid="{00000000-0005-0000-0000-0000208E0000}"/>
    <cellStyle name="40 % - Markeringsfarve6 3 3 6 2 2 3 3" xfId="44369" xr:uid="{00000000-0005-0000-0000-0000218E0000}"/>
    <cellStyle name="40 % - Markeringsfarve6 3 3 6 2 2 4" xfId="22382" xr:uid="{00000000-0005-0000-0000-0000228E0000}"/>
    <cellStyle name="40 % - Markeringsfarve6 3 3 6 2 2 5" xfId="37370" xr:uid="{00000000-0005-0000-0000-0000238E0000}"/>
    <cellStyle name="40 % - Markeringsfarve6 3 3 6 2 3" xfId="6617" xr:uid="{00000000-0005-0000-0000-0000248E0000}"/>
    <cellStyle name="40 % - Markeringsfarve6 3 3 6 2 3 2" xfId="14532" xr:uid="{00000000-0005-0000-0000-0000258E0000}"/>
    <cellStyle name="40 % - Markeringsfarve6 3 3 6 2 3 2 2" xfId="30847" xr:uid="{00000000-0005-0000-0000-0000268E0000}"/>
    <cellStyle name="40 % - Markeringsfarve6 3 3 6 2 3 2 3" xfId="45811" xr:uid="{00000000-0005-0000-0000-0000278E0000}"/>
    <cellStyle name="40 % - Markeringsfarve6 3 3 6 2 3 3" xfId="23825" xr:uid="{00000000-0005-0000-0000-0000288E0000}"/>
    <cellStyle name="40 % - Markeringsfarve6 3 3 6 2 3 4" xfId="38812" xr:uid="{00000000-0005-0000-0000-0000298E0000}"/>
    <cellStyle name="40 % - Markeringsfarve6 3 3 6 2 4" xfId="13083" xr:uid="{00000000-0005-0000-0000-00002A8E0000}"/>
    <cellStyle name="40 % - Markeringsfarve6 3 3 6 2 4 2" xfId="29403" xr:uid="{00000000-0005-0000-0000-00002B8E0000}"/>
    <cellStyle name="40 % - Markeringsfarve6 3 3 6 2 4 3" xfId="44368" xr:uid="{00000000-0005-0000-0000-00002C8E0000}"/>
    <cellStyle name="40 % - Markeringsfarve6 3 3 6 2 5" xfId="22381" xr:uid="{00000000-0005-0000-0000-00002D8E0000}"/>
    <cellStyle name="40 % - Markeringsfarve6 3 3 6 2 6" xfId="37369" xr:uid="{00000000-0005-0000-0000-00002E8E0000}"/>
    <cellStyle name="40 % - Markeringsfarve6 3 3 6 3" xfId="4525" xr:uid="{00000000-0005-0000-0000-00002F8E0000}"/>
    <cellStyle name="40 % - Markeringsfarve6 3 3 6 3 2" xfId="7401" xr:uid="{00000000-0005-0000-0000-0000308E0000}"/>
    <cellStyle name="40 % - Markeringsfarve6 3 3 6 3 2 2" xfId="15312" xr:uid="{00000000-0005-0000-0000-0000318E0000}"/>
    <cellStyle name="40 % - Markeringsfarve6 3 3 6 3 2 2 2" xfId="31627" xr:uid="{00000000-0005-0000-0000-0000328E0000}"/>
    <cellStyle name="40 % - Markeringsfarve6 3 3 6 3 2 2 3" xfId="46591" xr:uid="{00000000-0005-0000-0000-0000338E0000}"/>
    <cellStyle name="40 % - Markeringsfarve6 3 3 6 3 2 3" xfId="24605" xr:uid="{00000000-0005-0000-0000-0000348E0000}"/>
    <cellStyle name="40 % - Markeringsfarve6 3 3 6 3 2 4" xfId="39592" xr:uid="{00000000-0005-0000-0000-0000358E0000}"/>
    <cellStyle name="40 % - Markeringsfarve6 3 3 6 3 3" xfId="13085" xr:uid="{00000000-0005-0000-0000-0000368E0000}"/>
    <cellStyle name="40 % - Markeringsfarve6 3 3 6 3 3 2" xfId="29405" xr:uid="{00000000-0005-0000-0000-0000378E0000}"/>
    <cellStyle name="40 % - Markeringsfarve6 3 3 6 3 3 3" xfId="44370" xr:uid="{00000000-0005-0000-0000-0000388E0000}"/>
    <cellStyle name="40 % - Markeringsfarve6 3 3 6 3 4" xfId="22383" xr:uid="{00000000-0005-0000-0000-0000398E0000}"/>
    <cellStyle name="40 % - Markeringsfarve6 3 3 6 3 5" xfId="37371" xr:uid="{00000000-0005-0000-0000-00003A8E0000}"/>
    <cellStyle name="40 % - Markeringsfarve6 3 3 6 4" xfId="4526" xr:uid="{00000000-0005-0000-0000-00003B8E0000}"/>
    <cellStyle name="40 % - Markeringsfarve6 3 3 6 4 2" xfId="8635" xr:uid="{00000000-0005-0000-0000-00003C8E0000}"/>
    <cellStyle name="40 % - Markeringsfarve6 3 3 6 4 2 2" xfId="16517" xr:uid="{00000000-0005-0000-0000-00003D8E0000}"/>
    <cellStyle name="40 % - Markeringsfarve6 3 3 6 4 2 2 2" xfId="32832" xr:uid="{00000000-0005-0000-0000-00003E8E0000}"/>
    <cellStyle name="40 % - Markeringsfarve6 3 3 6 4 2 2 3" xfId="47796" xr:uid="{00000000-0005-0000-0000-00003F8E0000}"/>
    <cellStyle name="40 % - Markeringsfarve6 3 3 6 4 2 3" xfId="25810" xr:uid="{00000000-0005-0000-0000-0000408E0000}"/>
    <cellStyle name="40 % - Markeringsfarve6 3 3 6 4 2 4" xfId="40797" xr:uid="{00000000-0005-0000-0000-0000418E0000}"/>
    <cellStyle name="40 % - Markeringsfarve6 3 3 6 4 3" xfId="13086" xr:uid="{00000000-0005-0000-0000-0000428E0000}"/>
    <cellStyle name="40 % - Markeringsfarve6 3 3 6 4 3 2" xfId="29406" xr:uid="{00000000-0005-0000-0000-0000438E0000}"/>
    <cellStyle name="40 % - Markeringsfarve6 3 3 6 4 3 3" xfId="44371" xr:uid="{00000000-0005-0000-0000-0000448E0000}"/>
    <cellStyle name="40 % - Markeringsfarve6 3 3 6 4 4" xfId="22384" xr:uid="{00000000-0005-0000-0000-0000458E0000}"/>
    <cellStyle name="40 % - Markeringsfarve6 3 3 6 4 5" xfId="37372" xr:uid="{00000000-0005-0000-0000-0000468E0000}"/>
    <cellStyle name="40 % - Markeringsfarve6 3 3 6 5" xfId="6001" xr:uid="{00000000-0005-0000-0000-0000478E0000}"/>
    <cellStyle name="40 % - Markeringsfarve6 3 3 6 5 2" xfId="13920" xr:uid="{00000000-0005-0000-0000-0000488E0000}"/>
    <cellStyle name="40 % - Markeringsfarve6 3 3 6 5 2 2" xfId="30235" xr:uid="{00000000-0005-0000-0000-0000498E0000}"/>
    <cellStyle name="40 % - Markeringsfarve6 3 3 6 5 2 3" xfId="45199" xr:uid="{00000000-0005-0000-0000-00004A8E0000}"/>
    <cellStyle name="40 % - Markeringsfarve6 3 3 6 5 3" xfId="23213" xr:uid="{00000000-0005-0000-0000-00004B8E0000}"/>
    <cellStyle name="40 % - Markeringsfarve6 3 3 6 5 4" xfId="38200" xr:uid="{00000000-0005-0000-0000-00004C8E0000}"/>
    <cellStyle name="40 % - Markeringsfarve6 3 3 6 6" xfId="13082" xr:uid="{00000000-0005-0000-0000-00004D8E0000}"/>
    <cellStyle name="40 % - Markeringsfarve6 3 3 6 6 2" xfId="29402" xr:uid="{00000000-0005-0000-0000-00004E8E0000}"/>
    <cellStyle name="40 % - Markeringsfarve6 3 3 6 6 3" xfId="44367" xr:uid="{00000000-0005-0000-0000-00004F8E0000}"/>
    <cellStyle name="40 % - Markeringsfarve6 3 3 6 7" xfId="22380" xr:uid="{00000000-0005-0000-0000-0000508E0000}"/>
    <cellStyle name="40 % - Markeringsfarve6 3 3 6 8" xfId="37368" xr:uid="{00000000-0005-0000-0000-0000518E0000}"/>
    <cellStyle name="40 % - Markeringsfarve6 3 3 7" xfId="4527" xr:uid="{00000000-0005-0000-0000-0000528E0000}"/>
    <cellStyle name="40 % - Markeringsfarve6 3 3 7 2" xfId="4528" xr:uid="{00000000-0005-0000-0000-0000538E0000}"/>
    <cellStyle name="40 % - Markeringsfarve6 3 3 7 2 2" xfId="7531" xr:uid="{00000000-0005-0000-0000-0000548E0000}"/>
    <cellStyle name="40 % - Markeringsfarve6 3 3 7 2 2 2" xfId="15433" xr:uid="{00000000-0005-0000-0000-0000558E0000}"/>
    <cellStyle name="40 % - Markeringsfarve6 3 3 7 2 2 2 2" xfId="31748" xr:uid="{00000000-0005-0000-0000-0000568E0000}"/>
    <cellStyle name="40 % - Markeringsfarve6 3 3 7 2 2 2 3" xfId="46712" xr:uid="{00000000-0005-0000-0000-0000578E0000}"/>
    <cellStyle name="40 % - Markeringsfarve6 3 3 7 2 2 3" xfId="24726" xr:uid="{00000000-0005-0000-0000-0000588E0000}"/>
    <cellStyle name="40 % - Markeringsfarve6 3 3 7 2 2 4" xfId="39713" xr:uid="{00000000-0005-0000-0000-0000598E0000}"/>
    <cellStyle name="40 % - Markeringsfarve6 3 3 7 2 3" xfId="13088" xr:uid="{00000000-0005-0000-0000-00005A8E0000}"/>
    <cellStyle name="40 % - Markeringsfarve6 3 3 7 2 3 2" xfId="29408" xr:uid="{00000000-0005-0000-0000-00005B8E0000}"/>
    <cellStyle name="40 % - Markeringsfarve6 3 3 7 2 3 3" xfId="44373" xr:uid="{00000000-0005-0000-0000-00005C8E0000}"/>
    <cellStyle name="40 % - Markeringsfarve6 3 3 7 2 4" xfId="22386" xr:uid="{00000000-0005-0000-0000-00005D8E0000}"/>
    <cellStyle name="40 % - Markeringsfarve6 3 3 7 2 5" xfId="37374" xr:uid="{00000000-0005-0000-0000-00005E8E0000}"/>
    <cellStyle name="40 % - Markeringsfarve6 3 3 7 3" xfId="6118" xr:uid="{00000000-0005-0000-0000-00005F8E0000}"/>
    <cellStyle name="40 % - Markeringsfarve6 3 3 7 3 2" xfId="14036" xr:uid="{00000000-0005-0000-0000-0000608E0000}"/>
    <cellStyle name="40 % - Markeringsfarve6 3 3 7 3 2 2" xfId="30351" xr:uid="{00000000-0005-0000-0000-0000618E0000}"/>
    <cellStyle name="40 % - Markeringsfarve6 3 3 7 3 2 3" xfId="45315" xr:uid="{00000000-0005-0000-0000-0000628E0000}"/>
    <cellStyle name="40 % - Markeringsfarve6 3 3 7 3 3" xfId="23329" xr:uid="{00000000-0005-0000-0000-0000638E0000}"/>
    <cellStyle name="40 % - Markeringsfarve6 3 3 7 3 4" xfId="38316" xr:uid="{00000000-0005-0000-0000-0000648E0000}"/>
    <cellStyle name="40 % - Markeringsfarve6 3 3 7 4" xfId="13087" xr:uid="{00000000-0005-0000-0000-0000658E0000}"/>
    <cellStyle name="40 % - Markeringsfarve6 3 3 7 4 2" xfId="29407" xr:uid="{00000000-0005-0000-0000-0000668E0000}"/>
    <cellStyle name="40 % - Markeringsfarve6 3 3 7 4 3" xfId="44372" xr:uid="{00000000-0005-0000-0000-0000678E0000}"/>
    <cellStyle name="40 % - Markeringsfarve6 3 3 7 5" xfId="22385" xr:uid="{00000000-0005-0000-0000-0000688E0000}"/>
    <cellStyle name="40 % - Markeringsfarve6 3 3 7 6" xfId="37373" xr:uid="{00000000-0005-0000-0000-0000698E0000}"/>
    <cellStyle name="40 % - Markeringsfarve6 3 3 8" xfId="4529" xr:uid="{00000000-0005-0000-0000-00006A8E0000}"/>
    <cellStyle name="40 % - Markeringsfarve6 3 3 8 2" xfId="6759" xr:uid="{00000000-0005-0000-0000-00006B8E0000}"/>
    <cellStyle name="40 % - Markeringsfarve6 3 3 8 2 2" xfId="14671" xr:uid="{00000000-0005-0000-0000-00006C8E0000}"/>
    <cellStyle name="40 % - Markeringsfarve6 3 3 8 2 2 2" xfId="30986" xr:uid="{00000000-0005-0000-0000-00006D8E0000}"/>
    <cellStyle name="40 % - Markeringsfarve6 3 3 8 2 2 3" xfId="45950" xr:uid="{00000000-0005-0000-0000-00006E8E0000}"/>
    <cellStyle name="40 % - Markeringsfarve6 3 3 8 2 3" xfId="23964" xr:uid="{00000000-0005-0000-0000-00006F8E0000}"/>
    <cellStyle name="40 % - Markeringsfarve6 3 3 8 2 4" xfId="38951" xr:uid="{00000000-0005-0000-0000-0000708E0000}"/>
    <cellStyle name="40 % - Markeringsfarve6 3 3 8 3" xfId="13089" xr:uid="{00000000-0005-0000-0000-0000718E0000}"/>
    <cellStyle name="40 % - Markeringsfarve6 3 3 8 3 2" xfId="29409" xr:uid="{00000000-0005-0000-0000-0000728E0000}"/>
    <cellStyle name="40 % - Markeringsfarve6 3 3 8 3 3" xfId="44374" xr:uid="{00000000-0005-0000-0000-0000738E0000}"/>
    <cellStyle name="40 % - Markeringsfarve6 3 3 8 4" xfId="22387" xr:uid="{00000000-0005-0000-0000-0000748E0000}"/>
    <cellStyle name="40 % - Markeringsfarve6 3 3 8 5" xfId="37375" xr:uid="{00000000-0005-0000-0000-0000758E0000}"/>
    <cellStyle name="40 % - Markeringsfarve6 3 3 9" xfId="4530" xr:uid="{00000000-0005-0000-0000-0000768E0000}"/>
    <cellStyle name="40 % - Markeringsfarve6 3 3 9 2" xfId="8503" xr:uid="{00000000-0005-0000-0000-0000778E0000}"/>
    <cellStyle name="40 % - Markeringsfarve6 3 3 9 2 2" xfId="16391" xr:uid="{00000000-0005-0000-0000-0000788E0000}"/>
    <cellStyle name="40 % - Markeringsfarve6 3 3 9 2 2 2" xfId="32706" xr:uid="{00000000-0005-0000-0000-0000798E0000}"/>
    <cellStyle name="40 % - Markeringsfarve6 3 3 9 2 2 3" xfId="47670" xr:uid="{00000000-0005-0000-0000-00007A8E0000}"/>
    <cellStyle name="40 % - Markeringsfarve6 3 3 9 2 3" xfId="25684" xr:uid="{00000000-0005-0000-0000-00007B8E0000}"/>
    <cellStyle name="40 % - Markeringsfarve6 3 3 9 2 4" xfId="40671" xr:uid="{00000000-0005-0000-0000-00007C8E0000}"/>
    <cellStyle name="40 % - Markeringsfarve6 3 3 9 3" xfId="13090" xr:uid="{00000000-0005-0000-0000-00007D8E0000}"/>
    <cellStyle name="40 % - Markeringsfarve6 3 3 9 3 2" xfId="29410" xr:uid="{00000000-0005-0000-0000-00007E8E0000}"/>
    <cellStyle name="40 % - Markeringsfarve6 3 3 9 3 3" xfId="44375" xr:uid="{00000000-0005-0000-0000-00007F8E0000}"/>
    <cellStyle name="40 % - Markeringsfarve6 3 3 9 4" xfId="22388" xr:uid="{00000000-0005-0000-0000-0000808E0000}"/>
    <cellStyle name="40 % - Markeringsfarve6 3 3 9 5" xfId="37376" xr:uid="{00000000-0005-0000-0000-0000818E0000}"/>
    <cellStyle name="40 % - Markeringsfarve6 3 4" xfId="4531" xr:uid="{00000000-0005-0000-0000-0000828E0000}"/>
    <cellStyle name="40 % - Markeringsfarve6 3 4 2" xfId="4532" xr:uid="{00000000-0005-0000-0000-0000838E0000}"/>
    <cellStyle name="40 % - Markeringsfarve6 3 4 2 2" xfId="4533" xr:uid="{00000000-0005-0000-0000-0000848E0000}"/>
    <cellStyle name="40 % - Markeringsfarve6 3 4 2 2 2" xfId="7572" xr:uid="{00000000-0005-0000-0000-0000858E0000}"/>
    <cellStyle name="40 % - Markeringsfarve6 3 4 2 2 2 2" xfId="15474" xr:uid="{00000000-0005-0000-0000-0000868E0000}"/>
    <cellStyle name="40 % - Markeringsfarve6 3 4 2 2 2 2 2" xfId="31789" xr:uid="{00000000-0005-0000-0000-0000878E0000}"/>
    <cellStyle name="40 % - Markeringsfarve6 3 4 2 2 2 2 3" xfId="46753" xr:uid="{00000000-0005-0000-0000-0000888E0000}"/>
    <cellStyle name="40 % - Markeringsfarve6 3 4 2 2 2 3" xfId="24767" xr:uid="{00000000-0005-0000-0000-0000898E0000}"/>
    <cellStyle name="40 % - Markeringsfarve6 3 4 2 2 2 4" xfId="39754" xr:uid="{00000000-0005-0000-0000-00008A8E0000}"/>
    <cellStyle name="40 % - Markeringsfarve6 3 4 2 2 3" xfId="13093" xr:uid="{00000000-0005-0000-0000-00008B8E0000}"/>
    <cellStyle name="40 % - Markeringsfarve6 3 4 2 2 3 2" xfId="29413" xr:uid="{00000000-0005-0000-0000-00008C8E0000}"/>
    <cellStyle name="40 % - Markeringsfarve6 3 4 2 2 3 3" xfId="44378" xr:uid="{00000000-0005-0000-0000-00008D8E0000}"/>
    <cellStyle name="40 % - Markeringsfarve6 3 4 2 2 4" xfId="22391" xr:uid="{00000000-0005-0000-0000-00008E8E0000}"/>
    <cellStyle name="40 % - Markeringsfarve6 3 4 2 2 5" xfId="37379" xr:uid="{00000000-0005-0000-0000-00008F8E0000}"/>
    <cellStyle name="40 % - Markeringsfarve6 3 4 2 3" xfId="6151" xr:uid="{00000000-0005-0000-0000-0000908E0000}"/>
    <cellStyle name="40 % - Markeringsfarve6 3 4 2 3 2" xfId="14069" xr:uid="{00000000-0005-0000-0000-0000918E0000}"/>
    <cellStyle name="40 % - Markeringsfarve6 3 4 2 3 2 2" xfId="30384" xr:uid="{00000000-0005-0000-0000-0000928E0000}"/>
    <cellStyle name="40 % - Markeringsfarve6 3 4 2 3 2 3" xfId="45348" xr:uid="{00000000-0005-0000-0000-0000938E0000}"/>
    <cellStyle name="40 % - Markeringsfarve6 3 4 2 3 3" xfId="23362" xr:uid="{00000000-0005-0000-0000-0000948E0000}"/>
    <cellStyle name="40 % - Markeringsfarve6 3 4 2 3 4" xfId="38349" xr:uid="{00000000-0005-0000-0000-0000958E0000}"/>
    <cellStyle name="40 % - Markeringsfarve6 3 4 2 4" xfId="13092" xr:uid="{00000000-0005-0000-0000-0000968E0000}"/>
    <cellStyle name="40 % - Markeringsfarve6 3 4 2 4 2" xfId="29412" xr:uid="{00000000-0005-0000-0000-0000978E0000}"/>
    <cellStyle name="40 % - Markeringsfarve6 3 4 2 4 3" xfId="44377" xr:uid="{00000000-0005-0000-0000-0000988E0000}"/>
    <cellStyle name="40 % - Markeringsfarve6 3 4 2 5" xfId="22390" xr:uid="{00000000-0005-0000-0000-0000998E0000}"/>
    <cellStyle name="40 % - Markeringsfarve6 3 4 2 6" xfId="37378" xr:uid="{00000000-0005-0000-0000-00009A8E0000}"/>
    <cellStyle name="40 % - Markeringsfarve6 3 4 3" xfId="4534" xr:uid="{00000000-0005-0000-0000-00009B8E0000}"/>
    <cellStyle name="40 % - Markeringsfarve6 3 4 3 2" xfId="6802" xr:uid="{00000000-0005-0000-0000-00009C8E0000}"/>
    <cellStyle name="40 % - Markeringsfarve6 3 4 3 2 2" xfId="14714" xr:uid="{00000000-0005-0000-0000-00009D8E0000}"/>
    <cellStyle name="40 % - Markeringsfarve6 3 4 3 2 2 2" xfId="31029" xr:uid="{00000000-0005-0000-0000-00009E8E0000}"/>
    <cellStyle name="40 % - Markeringsfarve6 3 4 3 2 2 3" xfId="45993" xr:uid="{00000000-0005-0000-0000-00009F8E0000}"/>
    <cellStyle name="40 % - Markeringsfarve6 3 4 3 2 3" xfId="24007" xr:uid="{00000000-0005-0000-0000-0000A08E0000}"/>
    <cellStyle name="40 % - Markeringsfarve6 3 4 3 2 4" xfId="38994" xr:uid="{00000000-0005-0000-0000-0000A18E0000}"/>
    <cellStyle name="40 % - Markeringsfarve6 3 4 3 3" xfId="13094" xr:uid="{00000000-0005-0000-0000-0000A28E0000}"/>
    <cellStyle name="40 % - Markeringsfarve6 3 4 3 3 2" xfId="29414" xr:uid="{00000000-0005-0000-0000-0000A38E0000}"/>
    <cellStyle name="40 % - Markeringsfarve6 3 4 3 3 3" xfId="44379" xr:uid="{00000000-0005-0000-0000-0000A48E0000}"/>
    <cellStyle name="40 % - Markeringsfarve6 3 4 3 4" xfId="22392" xr:uid="{00000000-0005-0000-0000-0000A58E0000}"/>
    <cellStyle name="40 % - Markeringsfarve6 3 4 3 5" xfId="37380" xr:uid="{00000000-0005-0000-0000-0000A68E0000}"/>
    <cellStyle name="40 % - Markeringsfarve6 3 4 4" xfId="4535" xr:uid="{00000000-0005-0000-0000-0000A78E0000}"/>
    <cellStyle name="40 % - Markeringsfarve6 3 4 4 2" xfId="8360" xr:uid="{00000000-0005-0000-0000-0000A88E0000}"/>
    <cellStyle name="40 % - Markeringsfarve6 3 4 4 2 2" xfId="16254" xr:uid="{00000000-0005-0000-0000-0000A98E0000}"/>
    <cellStyle name="40 % - Markeringsfarve6 3 4 4 2 2 2" xfId="32569" xr:uid="{00000000-0005-0000-0000-0000AA8E0000}"/>
    <cellStyle name="40 % - Markeringsfarve6 3 4 4 2 2 3" xfId="47533" xr:uid="{00000000-0005-0000-0000-0000AB8E0000}"/>
    <cellStyle name="40 % - Markeringsfarve6 3 4 4 2 3" xfId="25547" xr:uid="{00000000-0005-0000-0000-0000AC8E0000}"/>
    <cellStyle name="40 % - Markeringsfarve6 3 4 4 2 4" xfId="40534" xr:uid="{00000000-0005-0000-0000-0000AD8E0000}"/>
    <cellStyle name="40 % - Markeringsfarve6 3 4 4 3" xfId="13095" xr:uid="{00000000-0005-0000-0000-0000AE8E0000}"/>
    <cellStyle name="40 % - Markeringsfarve6 3 4 4 3 2" xfId="29415" xr:uid="{00000000-0005-0000-0000-0000AF8E0000}"/>
    <cellStyle name="40 % - Markeringsfarve6 3 4 4 3 3" xfId="44380" xr:uid="{00000000-0005-0000-0000-0000B08E0000}"/>
    <cellStyle name="40 % - Markeringsfarve6 3 4 4 4" xfId="22393" xr:uid="{00000000-0005-0000-0000-0000B18E0000}"/>
    <cellStyle name="40 % - Markeringsfarve6 3 4 4 5" xfId="37381" xr:uid="{00000000-0005-0000-0000-0000B28E0000}"/>
    <cellStyle name="40 % - Markeringsfarve6 3 4 5" xfId="6002" xr:uid="{00000000-0005-0000-0000-0000B38E0000}"/>
    <cellStyle name="40 % - Markeringsfarve6 3 4 5 2" xfId="13921" xr:uid="{00000000-0005-0000-0000-0000B48E0000}"/>
    <cellStyle name="40 % - Markeringsfarve6 3 4 5 2 2" xfId="30236" xr:uid="{00000000-0005-0000-0000-0000B58E0000}"/>
    <cellStyle name="40 % - Markeringsfarve6 3 4 5 2 3" xfId="45200" xr:uid="{00000000-0005-0000-0000-0000B68E0000}"/>
    <cellStyle name="40 % - Markeringsfarve6 3 4 5 3" xfId="23214" xr:uid="{00000000-0005-0000-0000-0000B78E0000}"/>
    <cellStyle name="40 % - Markeringsfarve6 3 4 5 4" xfId="38201" xr:uid="{00000000-0005-0000-0000-0000B88E0000}"/>
    <cellStyle name="40 % - Markeringsfarve6 3 4 6" xfId="13091" xr:uid="{00000000-0005-0000-0000-0000B98E0000}"/>
    <cellStyle name="40 % - Markeringsfarve6 3 4 6 2" xfId="29411" xr:uid="{00000000-0005-0000-0000-0000BA8E0000}"/>
    <cellStyle name="40 % - Markeringsfarve6 3 4 6 3" xfId="44376" xr:uid="{00000000-0005-0000-0000-0000BB8E0000}"/>
    <cellStyle name="40 % - Markeringsfarve6 3 4 7" xfId="22389" xr:uid="{00000000-0005-0000-0000-0000BC8E0000}"/>
    <cellStyle name="40 % - Markeringsfarve6 3 4 8" xfId="37377" xr:uid="{00000000-0005-0000-0000-0000BD8E0000}"/>
    <cellStyle name="40 % - Markeringsfarve6 3 5" xfId="4536" xr:uid="{00000000-0005-0000-0000-0000BE8E0000}"/>
    <cellStyle name="40 % - Markeringsfarve6 3 5 2" xfId="4537" xr:uid="{00000000-0005-0000-0000-0000BF8E0000}"/>
    <cellStyle name="40 % - Markeringsfarve6 3 5 2 2" xfId="4538" xr:uid="{00000000-0005-0000-0000-0000C08E0000}"/>
    <cellStyle name="40 % - Markeringsfarve6 3 5 2 2 2" xfId="7768" xr:uid="{00000000-0005-0000-0000-0000C18E0000}"/>
    <cellStyle name="40 % - Markeringsfarve6 3 5 2 2 2 2" xfId="15670" xr:uid="{00000000-0005-0000-0000-0000C28E0000}"/>
    <cellStyle name="40 % - Markeringsfarve6 3 5 2 2 2 2 2" xfId="31985" xr:uid="{00000000-0005-0000-0000-0000C38E0000}"/>
    <cellStyle name="40 % - Markeringsfarve6 3 5 2 2 2 2 3" xfId="46949" xr:uid="{00000000-0005-0000-0000-0000C48E0000}"/>
    <cellStyle name="40 % - Markeringsfarve6 3 5 2 2 2 3" xfId="24963" xr:uid="{00000000-0005-0000-0000-0000C58E0000}"/>
    <cellStyle name="40 % - Markeringsfarve6 3 5 2 2 2 4" xfId="39950" xr:uid="{00000000-0005-0000-0000-0000C68E0000}"/>
    <cellStyle name="40 % - Markeringsfarve6 3 5 2 2 3" xfId="13098" xr:uid="{00000000-0005-0000-0000-0000C78E0000}"/>
    <cellStyle name="40 % - Markeringsfarve6 3 5 2 2 3 2" xfId="29418" xr:uid="{00000000-0005-0000-0000-0000C88E0000}"/>
    <cellStyle name="40 % - Markeringsfarve6 3 5 2 2 3 3" xfId="44383" xr:uid="{00000000-0005-0000-0000-0000C98E0000}"/>
    <cellStyle name="40 % - Markeringsfarve6 3 5 2 2 4" xfId="22396" xr:uid="{00000000-0005-0000-0000-0000CA8E0000}"/>
    <cellStyle name="40 % - Markeringsfarve6 3 5 2 2 5" xfId="37384" xr:uid="{00000000-0005-0000-0000-0000CB8E0000}"/>
    <cellStyle name="40 % - Markeringsfarve6 3 5 2 3" xfId="6314" xr:uid="{00000000-0005-0000-0000-0000CC8E0000}"/>
    <cellStyle name="40 % - Markeringsfarve6 3 5 2 3 2" xfId="14232" xr:uid="{00000000-0005-0000-0000-0000CD8E0000}"/>
    <cellStyle name="40 % - Markeringsfarve6 3 5 2 3 2 2" xfId="30547" xr:uid="{00000000-0005-0000-0000-0000CE8E0000}"/>
    <cellStyle name="40 % - Markeringsfarve6 3 5 2 3 2 3" xfId="45511" xr:uid="{00000000-0005-0000-0000-0000CF8E0000}"/>
    <cellStyle name="40 % - Markeringsfarve6 3 5 2 3 3" xfId="23525" xr:uid="{00000000-0005-0000-0000-0000D08E0000}"/>
    <cellStyle name="40 % - Markeringsfarve6 3 5 2 3 4" xfId="38512" xr:uid="{00000000-0005-0000-0000-0000D18E0000}"/>
    <cellStyle name="40 % - Markeringsfarve6 3 5 2 4" xfId="13097" xr:uid="{00000000-0005-0000-0000-0000D28E0000}"/>
    <cellStyle name="40 % - Markeringsfarve6 3 5 2 4 2" xfId="29417" xr:uid="{00000000-0005-0000-0000-0000D38E0000}"/>
    <cellStyle name="40 % - Markeringsfarve6 3 5 2 4 3" xfId="44382" xr:uid="{00000000-0005-0000-0000-0000D48E0000}"/>
    <cellStyle name="40 % - Markeringsfarve6 3 5 2 5" xfId="22395" xr:uid="{00000000-0005-0000-0000-0000D58E0000}"/>
    <cellStyle name="40 % - Markeringsfarve6 3 5 2 6" xfId="37383" xr:uid="{00000000-0005-0000-0000-0000D68E0000}"/>
    <cellStyle name="40 % - Markeringsfarve6 3 5 3" xfId="4539" xr:uid="{00000000-0005-0000-0000-0000D78E0000}"/>
    <cellStyle name="40 % - Markeringsfarve6 3 5 3 2" xfId="6998" xr:uid="{00000000-0005-0000-0000-0000D88E0000}"/>
    <cellStyle name="40 % - Markeringsfarve6 3 5 3 2 2" xfId="14910" xr:uid="{00000000-0005-0000-0000-0000D98E0000}"/>
    <cellStyle name="40 % - Markeringsfarve6 3 5 3 2 2 2" xfId="31225" xr:uid="{00000000-0005-0000-0000-0000DA8E0000}"/>
    <cellStyle name="40 % - Markeringsfarve6 3 5 3 2 2 3" xfId="46189" xr:uid="{00000000-0005-0000-0000-0000DB8E0000}"/>
    <cellStyle name="40 % - Markeringsfarve6 3 5 3 2 3" xfId="24203" xr:uid="{00000000-0005-0000-0000-0000DC8E0000}"/>
    <cellStyle name="40 % - Markeringsfarve6 3 5 3 2 4" xfId="39190" xr:uid="{00000000-0005-0000-0000-0000DD8E0000}"/>
    <cellStyle name="40 % - Markeringsfarve6 3 5 3 3" xfId="13099" xr:uid="{00000000-0005-0000-0000-0000DE8E0000}"/>
    <cellStyle name="40 % - Markeringsfarve6 3 5 3 3 2" xfId="29419" xr:uid="{00000000-0005-0000-0000-0000DF8E0000}"/>
    <cellStyle name="40 % - Markeringsfarve6 3 5 3 3 3" xfId="44384" xr:uid="{00000000-0005-0000-0000-0000E08E0000}"/>
    <cellStyle name="40 % - Markeringsfarve6 3 5 3 4" xfId="22397" xr:uid="{00000000-0005-0000-0000-0000E18E0000}"/>
    <cellStyle name="40 % - Markeringsfarve6 3 5 3 5" xfId="37385" xr:uid="{00000000-0005-0000-0000-0000E28E0000}"/>
    <cellStyle name="40 % - Markeringsfarve6 3 5 4" xfId="4540" xr:uid="{00000000-0005-0000-0000-0000E38E0000}"/>
    <cellStyle name="40 % - Markeringsfarve6 3 5 4 2" xfId="8563" xr:uid="{00000000-0005-0000-0000-0000E48E0000}"/>
    <cellStyle name="40 % - Markeringsfarve6 3 5 4 2 2" xfId="16447" xr:uid="{00000000-0005-0000-0000-0000E58E0000}"/>
    <cellStyle name="40 % - Markeringsfarve6 3 5 4 2 2 2" xfId="32762" xr:uid="{00000000-0005-0000-0000-0000E68E0000}"/>
    <cellStyle name="40 % - Markeringsfarve6 3 5 4 2 2 3" xfId="47726" xr:uid="{00000000-0005-0000-0000-0000E78E0000}"/>
    <cellStyle name="40 % - Markeringsfarve6 3 5 4 2 3" xfId="25740" xr:uid="{00000000-0005-0000-0000-0000E88E0000}"/>
    <cellStyle name="40 % - Markeringsfarve6 3 5 4 2 4" xfId="40727" xr:uid="{00000000-0005-0000-0000-0000E98E0000}"/>
    <cellStyle name="40 % - Markeringsfarve6 3 5 4 3" xfId="13100" xr:uid="{00000000-0005-0000-0000-0000EA8E0000}"/>
    <cellStyle name="40 % - Markeringsfarve6 3 5 4 3 2" xfId="29420" xr:uid="{00000000-0005-0000-0000-0000EB8E0000}"/>
    <cellStyle name="40 % - Markeringsfarve6 3 5 4 3 3" xfId="44385" xr:uid="{00000000-0005-0000-0000-0000EC8E0000}"/>
    <cellStyle name="40 % - Markeringsfarve6 3 5 4 4" xfId="22398" xr:uid="{00000000-0005-0000-0000-0000ED8E0000}"/>
    <cellStyle name="40 % - Markeringsfarve6 3 5 4 5" xfId="37386" xr:uid="{00000000-0005-0000-0000-0000EE8E0000}"/>
    <cellStyle name="40 % - Markeringsfarve6 3 5 5" xfId="6003" xr:uid="{00000000-0005-0000-0000-0000EF8E0000}"/>
    <cellStyle name="40 % - Markeringsfarve6 3 5 5 2" xfId="13922" xr:uid="{00000000-0005-0000-0000-0000F08E0000}"/>
    <cellStyle name="40 % - Markeringsfarve6 3 5 5 2 2" xfId="30237" xr:uid="{00000000-0005-0000-0000-0000F18E0000}"/>
    <cellStyle name="40 % - Markeringsfarve6 3 5 5 2 3" xfId="45201" xr:uid="{00000000-0005-0000-0000-0000F28E0000}"/>
    <cellStyle name="40 % - Markeringsfarve6 3 5 5 3" xfId="23215" xr:uid="{00000000-0005-0000-0000-0000F38E0000}"/>
    <cellStyle name="40 % - Markeringsfarve6 3 5 5 4" xfId="38202" xr:uid="{00000000-0005-0000-0000-0000F48E0000}"/>
    <cellStyle name="40 % - Markeringsfarve6 3 5 6" xfId="13096" xr:uid="{00000000-0005-0000-0000-0000F58E0000}"/>
    <cellStyle name="40 % - Markeringsfarve6 3 5 6 2" xfId="29416" xr:uid="{00000000-0005-0000-0000-0000F68E0000}"/>
    <cellStyle name="40 % - Markeringsfarve6 3 5 6 3" xfId="44381" xr:uid="{00000000-0005-0000-0000-0000F78E0000}"/>
    <cellStyle name="40 % - Markeringsfarve6 3 5 7" xfId="22394" xr:uid="{00000000-0005-0000-0000-0000F88E0000}"/>
    <cellStyle name="40 % - Markeringsfarve6 3 5 8" xfId="37382" xr:uid="{00000000-0005-0000-0000-0000F98E0000}"/>
    <cellStyle name="40 % - Markeringsfarve6 3 6" xfId="4541" xr:uid="{00000000-0005-0000-0000-0000FA8E0000}"/>
    <cellStyle name="40 % - Markeringsfarve6 3 6 2" xfId="4542" xr:uid="{00000000-0005-0000-0000-0000FB8E0000}"/>
    <cellStyle name="40 % - Markeringsfarve6 3 6 2 2" xfId="4543" xr:uid="{00000000-0005-0000-0000-0000FC8E0000}"/>
    <cellStyle name="40 % - Markeringsfarve6 3 6 2 2 2" xfId="7810" xr:uid="{00000000-0005-0000-0000-0000FD8E0000}"/>
    <cellStyle name="40 % - Markeringsfarve6 3 6 2 2 2 2" xfId="15712" xr:uid="{00000000-0005-0000-0000-0000FE8E0000}"/>
    <cellStyle name="40 % - Markeringsfarve6 3 6 2 2 2 2 2" xfId="32027" xr:uid="{00000000-0005-0000-0000-0000FF8E0000}"/>
    <cellStyle name="40 % - Markeringsfarve6 3 6 2 2 2 2 3" xfId="46991" xr:uid="{00000000-0005-0000-0000-0000008F0000}"/>
    <cellStyle name="40 % - Markeringsfarve6 3 6 2 2 2 3" xfId="25005" xr:uid="{00000000-0005-0000-0000-0000018F0000}"/>
    <cellStyle name="40 % - Markeringsfarve6 3 6 2 2 2 4" xfId="39992" xr:uid="{00000000-0005-0000-0000-0000028F0000}"/>
    <cellStyle name="40 % - Markeringsfarve6 3 6 2 2 3" xfId="13103" xr:uid="{00000000-0005-0000-0000-0000038F0000}"/>
    <cellStyle name="40 % - Markeringsfarve6 3 6 2 2 3 2" xfId="29423" xr:uid="{00000000-0005-0000-0000-0000048F0000}"/>
    <cellStyle name="40 % - Markeringsfarve6 3 6 2 2 3 3" xfId="44388" xr:uid="{00000000-0005-0000-0000-0000058F0000}"/>
    <cellStyle name="40 % - Markeringsfarve6 3 6 2 2 4" xfId="22401" xr:uid="{00000000-0005-0000-0000-0000068F0000}"/>
    <cellStyle name="40 % - Markeringsfarve6 3 6 2 2 5" xfId="37389" xr:uid="{00000000-0005-0000-0000-0000078F0000}"/>
    <cellStyle name="40 % - Markeringsfarve6 3 6 2 3" xfId="6353" xr:uid="{00000000-0005-0000-0000-0000088F0000}"/>
    <cellStyle name="40 % - Markeringsfarve6 3 6 2 3 2" xfId="14268" xr:uid="{00000000-0005-0000-0000-0000098F0000}"/>
    <cellStyle name="40 % - Markeringsfarve6 3 6 2 3 2 2" xfId="30583" xr:uid="{00000000-0005-0000-0000-00000A8F0000}"/>
    <cellStyle name="40 % - Markeringsfarve6 3 6 2 3 2 3" xfId="45547" xr:uid="{00000000-0005-0000-0000-00000B8F0000}"/>
    <cellStyle name="40 % - Markeringsfarve6 3 6 2 3 3" xfId="23561" xr:uid="{00000000-0005-0000-0000-00000C8F0000}"/>
    <cellStyle name="40 % - Markeringsfarve6 3 6 2 3 4" xfId="38548" xr:uid="{00000000-0005-0000-0000-00000D8F0000}"/>
    <cellStyle name="40 % - Markeringsfarve6 3 6 2 4" xfId="13102" xr:uid="{00000000-0005-0000-0000-00000E8F0000}"/>
    <cellStyle name="40 % - Markeringsfarve6 3 6 2 4 2" xfId="29422" xr:uid="{00000000-0005-0000-0000-00000F8F0000}"/>
    <cellStyle name="40 % - Markeringsfarve6 3 6 2 4 3" xfId="44387" xr:uid="{00000000-0005-0000-0000-0000108F0000}"/>
    <cellStyle name="40 % - Markeringsfarve6 3 6 2 5" xfId="22400" xr:uid="{00000000-0005-0000-0000-0000118F0000}"/>
    <cellStyle name="40 % - Markeringsfarve6 3 6 2 6" xfId="37388" xr:uid="{00000000-0005-0000-0000-0000128F0000}"/>
    <cellStyle name="40 % - Markeringsfarve6 3 6 3" xfId="4544" xr:uid="{00000000-0005-0000-0000-0000138F0000}"/>
    <cellStyle name="40 % - Markeringsfarve6 3 6 3 2" xfId="7086" xr:uid="{00000000-0005-0000-0000-0000148F0000}"/>
    <cellStyle name="40 % - Markeringsfarve6 3 6 3 2 2" xfId="14997" xr:uid="{00000000-0005-0000-0000-0000158F0000}"/>
    <cellStyle name="40 % - Markeringsfarve6 3 6 3 2 2 2" xfId="31312" xr:uid="{00000000-0005-0000-0000-0000168F0000}"/>
    <cellStyle name="40 % - Markeringsfarve6 3 6 3 2 2 3" xfId="46276" xr:uid="{00000000-0005-0000-0000-0000178F0000}"/>
    <cellStyle name="40 % - Markeringsfarve6 3 6 3 2 3" xfId="24290" xr:uid="{00000000-0005-0000-0000-0000188F0000}"/>
    <cellStyle name="40 % - Markeringsfarve6 3 6 3 2 4" xfId="39277" xr:uid="{00000000-0005-0000-0000-0000198F0000}"/>
    <cellStyle name="40 % - Markeringsfarve6 3 6 3 3" xfId="13104" xr:uid="{00000000-0005-0000-0000-00001A8F0000}"/>
    <cellStyle name="40 % - Markeringsfarve6 3 6 3 3 2" xfId="29424" xr:uid="{00000000-0005-0000-0000-00001B8F0000}"/>
    <cellStyle name="40 % - Markeringsfarve6 3 6 3 3 3" xfId="44389" xr:uid="{00000000-0005-0000-0000-00001C8F0000}"/>
    <cellStyle name="40 % - Markeringsfarve6 3 6 3 4" xfId="22402" xr:uid="{00000000-0005-0000-0000-00001D8F0000}"/>
    <cellStyle name="40 % - Markeringsfarve6 3 6 3 5" xfId="37390" xr:uid="{00000000-0005-0000-0000-00001E8F0000}"/>
    <cellStyle name="40 % - Markeringsfarve6 3 6 4" xfId="4545" xr:uid="{00000000-0005-0000-0000-00001F8F0000}"/>
    <cellStyle name="40 % - Markeringsfarve6 3 6 4 2" xfId="8213" xr:uid="{00000000-0005-0000-0000-0000208F0000}"/>
    <cellStyle name="40 % - Markeringsfarve6 3 6 4 2 2" xfId="16108" xr:uid="{00000000-0005-0000-0000-0000218F0000}"/>
    <cellStyle name="40 % - Markeringsfarve6 3 6 4 2 2 2" xfId="32423" xr:uid="{00000000-0005-0000-0000-0000228F0000}"/>
    <cellStyle name="40 % - Markeringsfarve6 3 6 4 2 2 3" xfId="47387" xr:uid="{00000000-0005-0000-0000-0000238F0000}"/>
    <cellStyle name="40 % - Markeringsfarve6 3 6 4 2 3" xfId="25401" xr:uid="{00000000-0005-0000-0000-0000248F0000}"/>
    <cellStyle name="40 % - Markeringsfarve6 3 6 4 2 4" xfId="40388" xr:uid="{00000000-0005-0000-0000-0000258F0000}"/>
    <cellStyle name="40 % - Markeringsfarve6 3 6 4 3" xfId="13105" xr:uid="{00000000-0005-0000-0000-0000268F0000}"/>
    <cellStyle name="40 % - Markeringsfarve6 3 6 4 3 2" xfId="29425" xr:uid="{00000000-0005-0000-0000-0000278F0000}"/>
    <cellStyle name="40 % - Markeringsfarve6 3 6 4 3 3" xfId="44390" xr:uid="{00000000-0005-0000-0000-0000288F0000}"/>
    <cellStyle name="40 % - Markeringsfarve6 3 6 4 4" xfId="22403" xr:uid="{00000000-0005-0000-0000-0000298F0000}"/>
    <cellStyle name="40 % - Markeringsfarve6 3 6 4 5" xfId="37391" xr:uid="{00000000-0005-0000-0000-00002A8F0000}"/>
    <cellStyle name="40 % - Markeringsfarve6 3 6 5" xfId="6004" xr:uid="{00000000-0005-0000-0000-00002B8F0000}"/>
    <cellStyle name="40 % - Markeringsfarve6 3 6 5 2" xfId="13923" xr:uid="{00000000-0005-0000-0000-00002C8F0000}"/>
    <cellStyle name="40 % - Markeringsfarve6 3 6 5 2 2" xfId="30238" xr:uid="{00000000-0005-0000-0000-00002D8F0000}"/>
    <cellStyle name="40 % - Markeringsfarve6 3 6 5 2 3" xfId="45202" xr:uid="{00000000-0005-0000-0000-00002E8F0000}"/>
    <cellStyle name="40 % - Markeringsfarve6 3 6 5 3" xfId="23216" xr:uid="{00000000-0005-0000-0000-00002F8F0000}"/>
    <cellStyle name="40 % - Markeringsfarve6 3 6 5 4" xfId="38203" xr:uid="{00000000-0005-0000-0000-0000308F0000}"/>
    <cellStyle name="40 % - Markeringsfarve6 3 6 6" xfId="13101" xr:uid="{00000000-0005-0000-0000-0000318F0000}"/>
    <cellStyle name="40 % - Markeringsfarve6 3 6 6 2" xfId="29421" xr:uid="{00000000-0005-0000-0000-0000328F0000}"/>
    <cellStyle name="40 % - Markeringsfarve6 3 6 6 3" xfId="44386" xr:uid="{00000000-0005-0000-0000-0000338F0000}"/>
    <cellStyle name="40 % - Markeringsfarve6 3 6 7" xfId="22399" xr:uid="{00000000-0005-0000-0000-0000348F0000}"/>
    <cellStyle name="40 % - Markeringsfarve6 3 6 8" xfId="37387" xr:uid="{00000000-0005-0000-0000-0000358F0000}"/>
    <cellStyle name="40 % - Markeringsfarve6 3 7" xfId="4546" xr:uid="{00000000-0005-0000-0000-0000368F0000}"/>
    <cellStyle name="40 % - Markeringsfarve6 3 7 2" xfId="4547" xr:uid="{00000000-0005-0000-0000-0000378F0000}"/>
    <cellStyle name="40 % - Markeringsfarve6 3 7 2 2" xfId="4548" xr:uid="{00000000-0005-0000-0000-0000388F0000}"/>
    <cellStyle name="40 % - Markeringsfarve6 3 7 2 2 2" xfId="7927" xr:uid="{00000000-0005-0000-0000-0000398F0000}"/>
    <cellStyle name="40 % - Markeringsfarve6 3 7 2 2 2 2" xfId="15829" xr:uid="{00000000-0005-0000-0000-00003A8F0000}"/>
    <cellStyle name="40 % - Markeringsfarve6 3 7 2 2 2 2 2" xfId="32144" xr:uid="{00000000-0005-0000-0000-00003B8F0000}"/>
    <cellStyle name="40 % - Markeringsfarve6 3 7 2 2 2 2 3" xfId="47108" xr:uid="{00000000-0005-0000-0000-00003C8F0000}"/>
    <cellStyle name="40 % - Markeringsfarve6 3 7 2 2 2 3" xfId="25122" xr:uid="{00000000-0005-0000-0000-00003D8F0000}"/>
    <cellStyle name="40 % - Markeringsfarve6 3 7 2 2 2 4" xfId="40109" xr:uid="{00000000-0005-0000-0000-00003E8F0000}"/>
    <cellStyle name="40 % - Markeringsfarve6 3 7 2 2 3" xfId="13108" xr:uid="{00000000-0005-0000-0000-00003F8F0000}"/>
    <cellStyle name="40 % - Markeringsfarve6 3 7 2 2 3 2" xfId="29428" xr:uid="{00000000-0005-0000-0000-0000408F0000}"/>
    <cellStyle name="40 % - Markeringsfarve6 3 7 2 2 3 3" xfId="44393" xr:uid="{00000000-0005-0000-0000-0000418F0000}"/>
    <cellStyle name="40 % - Markeringsfarve6 3 7 2 2 4" xfId="22406" xr:uid="{00000000-0005-0000-0000-0000428F0000}"/>
    <cellStyle name="40 % - Markeringsfarve6 3 7 2 2 5" xfId="37394" xr:uid="{00000000-0005-0000-0000-0000438F0000}"/>
    <cellStyle name="40 % - Markeringsfarve6 3 7 2 3" xfId="6452" xr:uid="{00000000-0005-0000-0000-0000448F0000}"/>
    <cellStyle name="40 % - Markeringsfarve6 3 7 2 3 2" xfId="14367" xr:uid="{00000000-0005-0000-0000-0000458F0000}"/>
    <cellStyle name="40 % - Markeringsfarve6 3 7 2 3 2 2" xfId="30682" xr:uid="{00000000-0005-0000-0000-0000468F0000}"/>
    <cellStyle name="40 % - Markeringsfarve6 3 7 2 3 2 3" xfId="45646" xr:uid="{00000000-0005-0000-0000-0000478F0000}"/>
    <cellStyle name="40 % - Markeringsfarve6 3 7 2 3 3" xfId="23660" xr:uid="{00000000-0005-0000-0000-0000488F0000}"/>
    <cellStyle name="40 % - Markeringsfarve6 3 7 2 3 4" xfId="38647" xr:uid="{00000000-0005-0000-0000-0000498F0000}"/>
    <cellStyle name="40 % - Markeringsfarve6 3 7 2 4" xfId="13107" xr:uid="{00000000-0005-0000-0000-00004A8F0000}"/>
    <cellStyle name="40 % - Markeringsfarve6 3 7 2 4 2" xfId="29427" xr:uid="{00000000-0005-0000-0000-00004B8F0000}"/>
    <cellStyle name="40 % - Markeringsfarve6 3 7 2 4 3" xfId="44392" xr:uid="{00000000-0005-0000-0000-00004C8F0000}"/>
    <cellStyle name="40 % - Markeringsfarve6 3 7 2 5" xfId="22405" xr:uid="{00000000-0005-0000-0000-00004D8F0000}"/>
    <cellStyle name="40 % - Markeringsfarve6 3 7 2 6" xfId="37393" xr:uid="{00000000-0005-0000-0000-00004E8F0000}"/>
    <cellStyle name="40 % - Markeringsfarve6 3 7 3" xfId="4549" xr:uid="{00000000-0005-0000-0000-00004F8F0000}"/>
    <cellStyle name="40 % - Markeringsfarve6 3 7 3 2" xfId="7203" xr:uid="{00000000-0005-0000-0000-0000508F0000}"/>
    <cellStyle name="40 % - Markeringsfarve6 3 7 3 2 2" xfId="15114" xr:uid="{00000000-0005-0000-0000-0000518F0000}"/>
    <cellStyle name="40 % - Markeringsfarve6 3 7 3 2 2 2" xfId="31429" xr:uid="{00000000-0005-0000-0000-0000528F0000}"/>
    <cellStyle name="40 % - Markeringsfarve6 3 7 3 2 2 3" xfId="46393" xr:uid="{00000000-0005-0000-0000-0000538F0000}"/>
    <cellStyle name="40 % - Markeringsfarve6 3 7 3 2 3" xfId="24407" xr:uid="{00000000-0005-0000-0000-0000548F0000}"/>
    <cellStyle name="40 % - Markeringsfarve6 3 7 3 2 4" xfId="39394" xr:uid="{00000000-0005-0000-0000-0000558F0000}"/>
    <cellStyle name="40 % - Markeringsfarve6 3 7 3 3" xfId="13109" xr:uid="{00000000-0005-0000-0000-0000568F0000}"/>
    <cellStyle name="40 % - Markeringsfarve6 3 7 3 3 2" xfId="29429" xr:uid="{00000000-0005-0000-0000-0000578F0000}"/>
    <cellStyle name="40 % - Markeringsfarve6 3 7 3 3 3" xfId="44394" xr:uid="{00000000-0005-0000-0000-0000588F0000}"/>
    <cellStyle name="40 % - Markeringsfarve6 3 7 3 4" xfId="22407" xr:uid="{00000000-0005-0000-0000-0000598F0000}"/>
    <cellStyle name="40 % - Markeringsfarve6 3 7 3 5" xfId="37395" xr:uid="{00000000-0005-0000-0000-00005A8F0000}"/>
    <cellStyle name="40 % - Markeringsfarve6 3 7 4" xfId="4550" xr:uid="{00000000-0005-0000-0000-00005B8F0000}"/>
    <cellStyle name="40 % - Markeringsfarve6 3 7 4 2" xfId="8545" xr:uid="{00000000-0005-0000-0000-00005C8F0000}"/>
    <cellStyle name="40 % - Markeringsfarve6 3 7 4 2 2" xfId="16432" xr:uid="{00000000-0005-0000-0000-00005D8F0000}"/>
    <cellStyle name="40 % - Markeringsfarve6 3 7 4 2 2 2" xfId="32747" xr:uid="{00000000-0005-0000-0000-00005E8F0000}"/>
    <cellStyle name="40 % - Markeringsfarve6 3 7 4 2 2 3" xfId="47711" xr:uid="{00000000-0005-0000-0000-00005F8F0000}"/>
    <cellStyle name="40 % - Markeringsfarve6 3 7 4 2 3" xfId="25725" xr:uid="{00000000-0005-0000-0000-0000608F0000}"/>
    <cellStyle name="40 % - Markeringsfarve6 3 7 4 2 4" xfId="40712" xr:uid="{00000000-0005-0000-0000-0000618F0000}"/>
    <cellStyle name="40 % - Markeringsfarve6 3 7 4 3" xfId="13110" xr:uid="{00000000-0005-0000-0000-0000628F0000}"/>
    <cellStyle name="40 % - Markeringsfarve6 3 7 4 3 2" xfId="29430" xr:uid="{00000000-0005-0000-0000-0000638F0000}"/>
    <cellStyle name="40 % - Markeringsfarve6 3 7 4 3 3" xfId="44395" xr:uid="{00000000-0005-0000-0000-0000648F0000}"/>
    <cellStyle name="40 % - Markeringsfarve6 3 7 4 4" xfId="22408" xr:uid="{00000000-0005-0000-0000-0000658F0000}"/>
    <cellStyle name="40 % - Markeringsfarve6 3 7 4 5" xfId="37396" xr:uid="{00000000-0005-0000-0000-0000668F0000}"/>
    <cellStyle name="40 % - Markeringsfarve6 3 7 5" xfId="6005" xr:uid="{00000000-0005-0000-0000-0000678F0000}"/>
    <cellStyle name="40 % - Markeringsfarve6 3 7 5 2" xfId="13924" xr:uid="{00000000-0005-0000-0000-0000688F0000}"/>
    <cellStyle name="40 % - Markeringsfarve6 3 7 5 2 2" xfId="30239" xr:uid="{00000000-0005-0000-0000-0000698F0000}"/>
    <cellStyle name="40 % - Markeringsfarve6 3 7 5 2 3" xfId="45203" xr:uid="{00000000-0005-0000-0000-00006A8F0000}"/>
    <cellStyle name="40 % - Markeringsfarve6 3 7 5 3" xfId="23217" xr:uid="{00000000-0005-0000-0000-00006B8F0000}"/>
    <cellStyle name="40 % - Markeringsfarve6 3 7 5 4" xfId="38204" xr:uid="{00000000-0005-0000-0000-00006C8F0000}"/>
    <cellStyle name="40 % - Markeringsfarve6 3 7 6" xfId="13106" xr:uid="{00000000-0005-0000-0000-00006D8F0000}"/>
    <cellStyle name="40 % - Markeringsfarve6 3 7 6 2" xfId="29426" xr:uid="{00000000-0005-0000-0000-00006E8F0000}"/>
    <cellStyle name="40 % - Markeringsfarve6 3 7 6 3" xfId="44391" xr:uid="{00000000-0005-0000-0000-00006F8F0000}"/>
    <cellStyle name="40 % - Markeringsfarve6 3 7 7" xfId="22404" xr:uid="{00000000-0005-0000-0000-0000708F0000}"/>
    <cellStyle name="40 % - Markeringsfarve6 3 7 8" xfId="37392" xr:uid="{00000000-0005-0000-0000-0000718F0000}"/>
    <cellStyle name="40 % - Markeringsfarve6 3 8" xfId="4551" xr:uid="{00000000-0005-0000-0000-0000728F0000}"/>
    <cellStyle name="40 % - Markeringsfarve6 3 8 2" xfId="4552" xr:uid="{00000000-0005-0000-0000-0000738F0000}"/>
    <cellStyle name="40 % - Markeringsfarve6 3 8 2 2" xfId="4553" xr:uid="{00000000-0005-0000-0000-0000748F0000}"/>
    <cellStyle name="40 % - Markeringsfarve6 3 8 2 2 2" xfId="8122" xr:uid="{00000000-0005-0000-0000-0000758F0000}"/>
    <cellStyle name="40 % - Markeringsfarve6 3 8 2 2 2 2" xfId="16024" xr:uid="{00000000-0005-0000-0000-0000768F0000}"/>
    <cellStyle name="40 % - Markeringsfarve6 3 8 2 2 2 2 2" xfId="32339" xr:uid="{00000000-0005-0000-0000-0000778F0000}"/>
    <cellStyle name="40 % - Markeringsfarve6 3 8 2 2 2 2 3" xfId="47303" xr:uid="{00000000-0005-0000-0000-0000788F0000}"/>
    <cellStyle name="40 % - Markeringsfarve6 3 8 2 2 2 3" xfId="25317" xr:uid="{00000000-0005-0000-0000-0000798F0000}"/>
    <cellStyle name="40 % - Markeringsfarve6 3 8 2 2 2 4" xfId="40304" xr:uid="{00000000-0005-0000-0000-00007A8F0000}"/>
    <cellStyle name="40 % - Markeringsfarve6 3 8 2 2 3" xfId="13113" xr:uid="{00000000-0005-0000-0000-00007B8F0000}"/>
    <cellStyle name="40 % - Markeringsfarve6 3 8 2 2 3 2" xfId="29433" xr:uid="{00000000-0005-0000-0000-00007C8F0000}"/>
    <cellStyle name="40 % - Markeringsfarve6 3 8 2 2 3 3" xfId="44398" xr:uid="{00000000-0005-0000-0000-00007D8F0000}"/>
    <cellStyle name="40 % - Markeringsfarve6 3 8 2 2 4" xfId="22411" xr:uid="{00000000-0005-0000-0000-00007E8F0000}"/>
    <cellStyle name="40 % - Markeringsfarve6 3 8 2 2 5" xfId="37399" xr:uid="{00000000-0005-0000-0000-00007F8F0000}"/>
    <cellStyle name="40 % - Markeringsfarve6 3 8 2 3" xfId="6615" xr:uid="{00000000-0005-0000-0000-0000808F0000}"/>
    <cellStyle name="40 % - Markeringsfarve6 3 8 2 3 2" xfId="14530" xr:uid="{00000000-0005-0000-0000-0000818F0000}"/>
    <cellStyle name="40 % - Markeringsfarve6 3 8 2 3 2 2" xfId="30845" xr:uid="{00000000-0005-0000-0000-0000828F0000}"/>
    <cellStyle name="40 % - Markeringsfarve6 3 8 2 3 2 3" xfId="45809" xr:uid="{00000000-0005-0000-0000-0000838F0000}"/>
    <cellStyle name="40 % - Markeringsfarve6 3 8 2 3 3" xfId="23823" xr:uid="{00000000-0005-0000-0000-0000848F0000}"/>
    <cellStyle name="40 % - Markeringsfarve6 3 8 2 3 4" xfId="38810" xr:uid="{00000000-0005-0000-0000-0000858F0000}"/>
    <cellStyle name="40 % - Markeringsfarve6 3 8 2 4" xfId="13112" xr:uid="{00000000-0005-0000-0000-0000868F0000}"/>
    <cellStyle name="40 % - Markeringsfarve6 3 8 2 4 2" xfId="29432" xr:uid="{00000000-0005-0000-0000-0000878F0000}"/>
    <cellStyle name="40 % - Markeringsfarve6 3 8 2 4 3" xfId="44397" xr:uid="{00000000-0005-0000-0000-0000888F0000}"/>
    <cellStyle name="40 % - Markeringsfarve6 3 8 2 5" xfId="22410" xr:uid="{00000000-0005-0000-0000-0000898F0000}"/>
    <cellStyle name="40 % - Markeringsfarve6 3 8 2 6" xfId="37398" xr:uid="{00000000-0005-0000-0000-00008A8F0000}"/>
    <cellStyle name="40 % - Markeringsfarve6 3 8 3" xfId="4554" xr:uid="{00000000-0005-0000-0000-00008B8F0000}"/>
    <cellStyle name="40 % - Markeringsfarve6 3 8 3 2" xfId="7399" xr:uid="{00000000-0005-0000-0000-00008C8F0000}"/>
    <cellStyle name="40 % - Markeringsfarve6 3 8 3 2 2" xfId="15310" xr:uid="{00000000-0005-0000-0000-00008D8F0000}"/>
    <cellStyle name="40 % - Markeringsfarve6 3 8 3 2 2 2" xfId="31625" xr:uid="{00000000-0005-0000-0000-00008E8F0000}"/>
    <cellStyle name="40 % - Markeringsfarve6 3 8 3 2 2 3" xfId="46589" xr:uid="{00000000-0005-0000-0000-00008F8F0000}"/>
    <cellStyle name="40 % - Markeringsfarve6 3 8 3 2 3" xfId="24603" xr:uid="{00000000-0005-0000-0000-0000908F0000}"/>
    <cellStyle name="40 % - Markeringsfarve6 3 8 3 2 4" xfId="39590" xr:uid="{00000000-0005-0000-0000-0000918F0000}"/>
    <cellStyle name="40 % - Markeringsfarve6 3 8 3 3" xfId="13114" xr:uid="{00000000-0005-0000-0000-0000928F0000}"/>
    <cellStyle name="40 % - Markeringsfarve6 3 8 3 3 2" xfId="29434" xr:uid="{00000000-0005-0000-0000-0000938F0000}"/>
    <cellStyle name="40 % - Markeringsfarve6 3 8 3 3 3" xfId="44399" xr:uid="{00000000-0005-0000-0000-0000948F0000}"/>
    <cellStyle name="40 % - Markeringsfarve6 3 8 3 4" xfId="22412" xr:uid="{00000000-0005-0000-0000-0000958F0000}"/>
    <cellStyle name="40 % - Markeringsfarve6 3 8 3 5" xfId="37400" xr:uid="{00000000-0005-0000-0000-0000968F0000}"/>
    <cellStyle name="40 % - Markeringsfarve6 3 8 4" xfId="4555" xr:uid="{00000000-0005-0000-0000-0000978F0000}"/>
    <cellStyle name="40 % - Markeringsfarve6 3 8 4 2" xfId="8196" xr:uid="{00000000-0005-0000-0000-0000988F0000}"/>
    <cellStyle name="40 % - Markeringsfarve6 3 8 4 2 2" xfId="16093" xr:uid="{00000000-0005-0000-0000-0000998F0000}"/>
    <cellStyle name="40 % - Markeringsfarve6 3 8 4 2 2 2" xfId="32408" xr:uid="{00000000-0005-0000-0000-00009A8F0000}"/>
    <cellStyle name="40 % - Markeringsfarve6 3 8 4 2 2 3" xfId="47372" xr:uid="{00000000-0005-0000-0000-00009B8F0000}"/>
    <cellStyle name="40 % - Markeringsfarve6 3 8 4 2 3" xfId="25386" xr:uid="{00000000-0005-0000-0000-00009C8F0000}"/>
    <cellStyle name="40 % - Markeringsfarve6 3 8 4 2 4" xfId="40373" xr:uid="{00000000-0005-0000-0000-00009D8F0000}"/>
    <cellStyle name="40 % - Markeringsfarve6 3 8 4 3" xfId="13115" xr:uid="{00000000-0005-0000-0000-00009E8F0000}"/>
    <cellStyle name="40 % - Markeringsfarve6 3 8 4 3 2" xfId="29435" xr:uid="{00000000-0005-0000-0000-00009F8F0000}"/>
    <cellStyle name="40 % - Markeringsfarve6 3 8 4 3 3" xfId="44400" xr:uid="{00000000-0005-0000-0000-0000A08F0000}"/>
    <cellStyle name="40 % - Markeringsfarve6 3 8 4 4" xfId="22413" xr:uid="{00000000-0005-0000-0000-0000A18F0000}"/>
    <cellStyle name="40 % - Markeringsfarve6 3 8 4 5" xfId="37401" xr:uid="{00000000-0005-0000-0000-0000A28F0000}"/>
    <cellStyle name="40 % - Markeringsfarve6 3 8 5" xfId="6006" xr:uid="{00000000-0005-0000-0000-0000A38F0000}"/>
    <cellStyle name="40 % - Markeringsfarve6 3 8 5 2" xfId="13925" xr:uid="{00000000-0005-0000-0000-0000A48F0000}"/>
    <cellStyle name="40 % - Markeringsfarve6 3 8 5 2 2" xfId="30240" xr:uid="{00000000-0005-0000-0000-0000A58F0000}"/>
    <cellStyle name="40 % - Markeringsfarve6 3 8 5 2 3" xfId="45204" xr:uid="{00000000-0005-0000-0000-0000A68F0000}"/>
    <cellStyle name="40 % - Markeringsfarve6 3 8 5 3" xfId="23218" xr:uid="{00000000-0005-0000-0000-0000A78F0000}"/>
    <cellStyle name="40 % - Markeringsfarve6 3 8 5 4" xfId="38205" xr:uid="{00000000-0005-0000-0000-0000A88F0000}"/>
    <cellStyle name="40 % - Markeringsfarve6 3 8 6" xfId="13111" xr:uid="{00000000-0005-0000-0000-0000A98F0000}"/>
    <cellStyle name="40 % - Markeringsfarve6 3 8 6 2" xfId="29431" xr:uid="{00000000-0005-0000-0000-0000AA8F0000}"/>
    <cellStyle name="40 % - Markeringsfarve6 3 8 6 3" xfId="44396" xr:uid="{00000000-0005-0000-0000-0000AB8F0000}"/>
    <cellStyle name="40 % - Markeringsfarve6 3 8 7" xfId="22409" xr:uid="{00000000-0005-0000-0000-0000AC8F0000}"/>
    <cellStyle name="40 % - Markeringsfarve6 3 8 8" xfId="37397" xr:uid="{00000000-0005-0000-0000-0000AD8F0000}"/>
    <cellStyle name="40 % - Markeringsfarve6 3 9" xfId="4556" xr:uid="{00000000-0005-0000-0000-0000AE8F0000}"/>
    <cellStyle name="40 % - Markeringsfarve6 3 9 2" xfId="4557" xr:uid="{00000000-0005-0000-0000-0000AF8F0000}"/>
    <cellStyle name="40 % - Markeringsfarve6 3 9 2 2" xfId="7453" xr:uid="{00000000-0005-0000-0000-0000B08F0000}"/>
    <cellStyle name="40 % - Markeringsfarve6 3 9 2 2 2" xfId="15355" xr:uid="{00000000-0005-0000-0000-0000B18F0000}"/>
    <cellStyle name="40 % - Markeringsfarve6 3 9 2 2 2 2" xfId="31670" xr:uid="{00000000-0005-0000-0000-0000B28F0000}"/>
    <cellStyle name="40 % - Markeringsfarve6 3 9 2 2 2 3" xfId="46634" xr:uid="{00000000-0005-0000-0000-0000B38F0000}"/>
    <cellStyle name="40 % - Markeringsfarve6 3 9 2 2 3" xfId="24648" xr:uid="{00000000-0005-0000-0000-0000B48F0000}"/>
    <cellStyle name="40 % - Markeringsfarve6 3 9 2 2 4" xfId="39635" xr:uid="{00000000-0005-0000-0000-0000B58F0000}"/>
    <cellStyle name="40 % - Markeringsfarve6 3 9 2 3" xfId="13117" xr:uid="{00000000-0005-0000-0000-0000B68F0000}"/>
    <cellStyle name="40 % - Markeringsfarve6 3 9 2 3 2" xfId="29437" xr:uid="{00000000-0005-0000-0000-0000B78F0000}"/>
    <cellStyle name="40 % - Markeringsfarve6 3 9 2 3 3" xfId="44402" xr:uid="{00000000-0005-0000-0000-0000B88F0000}"/>
    <cellStyle name="40 % - Markeringsfarve6 3 9 2 4" xfId="22415" xr:uid="{00000000-0005-0000-0000-0000B98F0000}"/>
    <cellStyle name="40 % - Markeringsfarve6 3 9 2 5" xfId="37403" xr:uid="{00000000-0005-0000-0000-0000BA8F0000}"/>
    <cellStyle name="40 % - Markeringsfarve6 3 9 3" xfId="6052" xr:uid="{00000000-0005-0000-0000-0000BB8F0000}"/>
    <cellStyle name="40 % - Markeringsfarve6 3 9 3 2" xfId="13970" xr:uid="{00000000-0005-0000-0000-0000BC8F0000}"/>
    <cellStyle name="40 % - Markeringsfarve6 3 9 3 2 2" xfId="30285" xr:uid="{00000000-0005-0000-0000-0000BD8F0000}"/>
    <cellStyle name="40 % - Markeringsfarve6 3 9 3 2 3" xfId="45249" xr:uid="{00000000-0005-0000-0000-0000BE8F0000}"/>
    <cellStyle name="40 % - Markeringsfarve6 3 9 3 3" xfId="23263" xr:uid="{00000000-0005-0000-0000-0000BF8F0000}"/>
    <cellStyle name="40 % - Markeringsfarve6 3 9 3 4" xfId="38250" xr:uid="{00000000-0005-0000-0000-0000C08F0000}"/>
    <cellStyle name="40 % - Markeringsfarve6 3 9 4" xfId="13116" xr:uid="{00000000-0005-0000-0000-0000C18F0000}"/>
    <cellStyle name="40 % - Markeringsfarve6 3 9 4 2" xfId="29436" xr:uid="{00000000-0005-0000-0000-0000C28F0000}"/>
    <cellStyle name="40 % - Markeringsfarve6 3 9 4 3" xfId="44401" xr:uid="{00000000-0005-0000-0000-0000C38F0000}"/>
    <cellStyle name="40 % - Markeringsfarve6 3 9 5" xfId="22414" xr:uid="{00000000-0005-0000-0000-0000C48F0000}"/>
    <cellStyle name="40 % - Markeringsfarve6 3 9 6" xfId="37402" xr:uid="{00000000-0005-0000-0000-0000C58F0000}"/>
    <cellStyle name="40 % - Markeringsfarve6 4" xfId="4558" xr:uid="{00000000-0005-0000-0000-0000C68F0000}"/>
    <cellStyle name="40 % - Markeringsfarve6 4 10" xfId="6007" xr:uid="{00000000-0005-0000-0000-0000C78F0000}"/>
    <cellStyle name="40 % - Markeringsfarve6 4 10 2" xfId="13926" xr:uid="{00000000-0005-0000-0000-0000C88F0000}"/>
    <cellStyle name="40 % - Markeringsfarve6 4 10 2 2" xfId="30241" xr:uid="{00000000-0005-0000-0000-0000C98F0000}"/>
    <cellStyle name="40 % - Markeringsfarve6 4 10 2 3" xfId="45205" xr:uid="{00000000-0005-0000-0000-0000CA8F0000}"/>
    <cellStyle name="40 % - Markeringsfarve6 4 10 3" xfId="23219" xr:uid="{00000000-0005-0000-0000-0000CB8F0000}"/>
    <cellStyle name="40 % - Markeringsfarve6 4 10 4" xfId="38206" xr:uid="{00000000-0005-0000-0000-0000CC8F0000}"/>
    <cellStyle name="40 % - Markeringsfarve6 4 11" xfId="13118" xr:uid="{00000000-0005-0000-0000-0000CD8F0000}"/>
    <cellStyle name="40 % - Markeringsfarve6 4 11 2" xfId="29438" xr:uid="{00000000-0005-0000-0000-0000CE8F0000}"/>
    <cellStyle name="40 % - Markeringsfarve6 4 11 3" xfId="44403" xr:uid="{00000000-0005-0000-0000-0000CF8F0000}"/>
    <cellStyle name="40 % - Markeringsfarve6 4 12" xfId="22416" xr:uid="{00000000-0005-0000-0000-0000D08F0000}"/>
    <cellStyle name="40 % - Markeringsfarve6 4 13" xfId="37404" xr:uid="{00000000-0005-0000-0000-0000D18F0000}"/>
    <cellStyle name="40 % - Markeringsfarve6 4 14" xfId="53345" xr:uid="{00000000-0005-0000-0000-0000D28F0000}"/>
    <cellStyle name="40 % - Markeringsfarve6 4 2" xfId="4559" xr:uid="{00000000-0005-0000-0000-0000D38F0000}"/>
    <cellStyle name="40 % - Markeringsfarve6 4 2 2" xfId="4560" xr:uid="{00000000-0005-0000-0000-0000D48F0000}"/>
    <cellStyle name="40 % - Markeringsfarve6 4 2 2 2" xfId="4561" xr:uid="{00000000-0005-0000-0000-0000D58F0000}"/>
    <cellStyle name="40 % - Markeringsfarve6 4 2 2 2 2" xfId="7597" xr:uid="{00000000-0005-0000-0000-0000D68F0000}"/>
    <cellStyle name="40 % - Markeringsfarve6 4 2 2 2 2 2" xfId="15499" xr:uid="{00000000-0005-0000-0000-0000D78F0000}"/>
    <cellStyle name="40 % - Markeringsfarve6 4 2 2 2 2 2 2" xfId="31814" xr:uid="{00000000-0005-0000-0000-0000D88F0000}"/>
    <cellStyle name="40 % - Markeringsfarve6 4 2 2 2 2 2 3" xfId="46778" xr:uid="{00000000-0005-0000-0000-0000D98F0000}"/>
    <cellStyle name="40 % - Markeringsfarve6 4 2 2 2 2 3" xfId="24792" xr:uid="{00000000-0005-0000-0000-0000DA8F0000}"/>
    <cellStyle name="40 % - Markeringsfarve6 4 2 2 2 2 4" xfId="39779" xr:uid="{00000000-0005-0000-0000-0000DB8F0000}"/>
    <cellStyle name="40 % - Markeringsfarve6 4 2 2 2 3" xfId="13121" xr:uid="{00000000-0005-0000-0000-0000DC8F0000}"/>
    <cellStyle name="40 % - Markeringsfarve6 4 2 2 2 3 2" xfId="29441" xr:uid="{00000000-0005-0000-0000-0000DD8F0000}"/>
    <cellStyle name="40 % - Markeringsfarve6 4 2 2 2 3 3" xfId="44406" xr:uid="{00000000-0005-0000-0000-0000DE8F0000}"/>
    <cellStyle name="40 % - Markeringsfarve6 4 2 2 2 4" xfId="22419" xr:uid="{00000000-0005-0000-0000-0000DF8F0000}"/>
    <cellStyle name="40 % - Markeringsfarve6 4 2 2 2 5" xfId="37407" xr:uid="{00000000-0005-0000-0000-0000E08F0000}"/>
    <cellStyle name="40 % - Markeringsfarve6 4 2 2 3" xfId="6172" xr:uid="{00000000-0005-0000-0000-0000E18F0000}"/>
    <cellStyle name="40 % - Markeringsfarve6 4 2 2 3 2" xfId="14090" xr:uid="{00000000-0005-0000-0000-0000E28F0000}"/>
    <cellStyle name="40 % - Markeringsfarve6 4 2 2 3 2 2" xfId="30405" xr:uid="{00000000-0005-0000-0000-0000E38F0000}"/>
    <cellStyle name="40 % - Markeringsfarve6 4 2 2 3 2 3" xfId="45369" xr:uid="{00000000-0005-0000-0000-0000E48F0000}"/>
    <cellStyle name="40 % - Markeringsfarve6 4 2 2 3 3" xfId="23383" xr:uid="{00000000-0005-0000-0000-0000E58F0000}"/>
    <cellStyle name="40 % - Markeringsfarve6 4 2 2 3 4" xfId="38370" xr:uid="{00000000-0005-0000-0000-0000E68F0000}"/>
    <cellStyle name="40 % - Markeringsfarve6 4 2 2 4" xfId="13120" xr:uid="{00000000-0005-0000-0000-0000E78F0000}"/>
    <cellStyle name="40 % - Markeringsfarve6 4 2 2 4 2" xfId="29440" xr:uid="{00000000-0005-0000-0000-0000E88F0000}"/>
    <cellStyle name="40 % - Markeringsfarve6 4 2 2 4 3" xfId="44405" xr:uid="{00000000-0005-0000-0000-0000E98F0000}"/>
    <cellStyle name="40 % - Markeringsfarve6 4 2 2 5" xfId="22418" xr:uid="{00000000-0005-0000-0000-0000EA8F0000}"/>
    <cellStyle name="40 % - Markeringsfarve6 4 2 2 6" xfId="37406" xr:uid="{00000000-0005-0000-0000-0000EB8F0000}"/>
    <cellStyle name="40 % - Markeringsfarve6 4 2 2 7" xfId="57149" xr:uid="{00000000-0005-0000-0000-0000EC8F0000}"/>
    <cellStyle name="40 % - Markeringsfarve6 4 2 3" xfId="4562" xr:uid="{00000000-0005-0000-0000-0000ED8F0000}"/>
    <cellStyle name="40 % - Markeringsfarve6 4 2 3 2" xfId="6827" xr:uid="{00000000-0005-0000-0000-0000EE8F0000}"/>
    <cellStyle name="40 % - Markeringsfarve6 4 2 3 2 2" xfId="14739" xr:uid="{00000000-0005-0000-0000-0000EF8F0000}"/>
    <cellStyle name="40 % - Markeringsfarve6 4 2 3 2 2 2" xfId="31054" xr:uid="{00000000-0005-0000-0000-0000F08F0000}"/>
    <cellStyle name="40 % - Markeringsfarve6 4 2 3 2 2 3" xfId="46018" xr:uid="{00000000-0005-0000-0000-0000F18F0000}"/>
    <cellStyle name="40 % - Markeringsfarve6 4 2 3 2 3" xfId="24032" xr:uid="{00000000-0005-0000-0000-0000F28F0000}"/>
    <cellStyle name="40 % - Markeringsfarve6 4 2 3 2 4" xfId="39019" xr:uid="{00000000-0005-0000-0000-0000F38F0000}"/>
    <cellStyle name="40 % - Markeringsfarve6 4 2 3 3" xfId="13122" xr:uid="{00000000-0005-0000-0000-0000F48F0000}"/>
    <cellStyle name="40 % - Markeringsfarve6 4 2 3 3 2" xfId="29442" xr:uid="{00000000-0005-0000-0000-0000F58F0000}"/>
    <cellStyle name="40 % - Markeringsfarve6 4 2 3 3 3" xfId="44407" xr:uid="{00000000-0005-0000-0000-0000F68F0000}"/>
    <cellStyle name="40 % - Markeringsfarve6 4 2 3 4" xfId="22420" xr:uid="{00000000-0005-0000-0000-0000F78F0000}"/>
    <cellStyle name="40 % - Markeringsfarve6 4 2 3 5" xfId="37408" xr:uid="{00000000-0005-0000-0000-0000F88F0000}"/>
    <cellStyle name="40 % - Markeringsfarve6 4 2 4" xfId="4563" xr:uid="{00000000-0005-0000-0000-0000F98F0000}"/>
    <cellStyle name="40 % - Markeringsfarve6 4 2 4 2" xfId="8490" xr:uid="{00000000-0005-0000-0000-0000FA8F0000}"/>
    <cellStyle name="40 % - Markeringsfarve6 4 2 4 2 2" xfId="16379" xr:uid="{00000000-0005-0000-0000-0000FB8F0000}"/>
    <cellStyle name="40 % - Markeringsfarve6 4 2 4 2 2 2" xfId="32694" xr:uid="{00000000-0005-0000-0000-0000FC8F0000}"/>
    <cellStyle name="40 % - Markeringsfarve6 4 2 4 2 2 3" xfId="47658" xr:uid="{00000000-0005-0000-0000-0000FD8F0000}"/>
    <cellStyle name="40 % - Markeringsfarve6 4 2 4 2 3" xfId="25672" xr:uid="{00000000-0005-0000-0000-0000FE8F0000}"/>
    <cellStyle name="40 % - Markeringsfarve6 4 2 4 2 4" xfId="40659" xr:uid="{00000000-0005-0000-0000-0000FF8F0000}"/>
    <cellStyle name="40 % - Markeringsfarve6 4 2 4 3" xfId="13123" xr:uid="{00000000-0005-0000-0000-000000900000}"/>
    <cellStyle name="40 % - Markeringsfarve6 4 2 4 3 2" xfId="29443" xr:uid="{00000000-0005-0000-0000-000001900000}"/>
    <cellStyle name="40 % - Markeringsfarve6 4 2 4 3 3" xfId="44408" xr:uid="{00000000-0005-0000-0000-000002900000}"/>
    <cellStyle name="40 % - Markeringsfarve6 4 2 4 4" xfId="22421" xr:uid="{00000000-0005-0000-0000-000003900000}"/>
    <cellStyle name="40 % - Markeringsfarve6 4 2 4 5" xfId="37409" xr:uid="{00000000-0005-0000-0000-000004900000}"/>
    <cellStyle name="40 % - Markeringsfarve6 4 2 5" xfId="6008" xr:uid="{00000000-0005-0000-0000-000005900000}"/>
    <cellStyle name="40 % - Markeringsfarve6 4 2 5 2" xfId="13927" xr:uid="{00000000-0005-0000-0000-000006900000}"/>
    <cellStyle name="40 % - Markeringsfarve6 4 2 5 2 2" xfId="30242" xr:uid="{00000000-0005-0000-0000-000007900000}"/>
    <cellStyle name="40 % - Markeringsfarve6 4 2 5 2 3" xfId="45206" xr:uid="{00000000-0005-0000-0000-000008900000}"/>
    <cellStyle name="40 % - Markeringsfarve6 4 2 5 3" xfId="23220" xr:uid="{00000000-0005-0000-0000-000009900000}"/>
    <cellStyle name="40 % - Markeringsfarve6 4 2 5 4" xfId="38207" xr:uid="{00000000-0005-0000-0000-00000A900000}"/>
    <cellStyle name="40 % - Markeringsfarve6 4 2 6" xfId="13119" xr:uid="{00000000-0005-0000-0000-00000B900000}"/>
    <cellStyle name="40 % - Markeringsfarve6 4 2 6 2" xfId="29439" xr:uid="{00000000-0005-0000-0000-00000C900000}"/>
    <cellStyle name="40 % - Markeringsfarve6 4 2 6 3" xfId="44404" xr:uid="{00000000-0005-0000-0000-00000D900000}"/>
    <cellStyle name="40 % - Markeringsfarve6 4 2 7" xfId="22417" xr:uid="{00000000-0005-0000-0000-00000E900000}"/>
    <cellStyle name="40 % - Markeringsfarve6 4 2 8" xfId="37405" xr:uid="{00000000-0005-0000-0000-00000F900000}"/>
    <cellStyle name="40 % - Markeringsfarve6 4 2 9" xfId="53982" xr:uid="{00000000-0005-0000-0000-000010900000}"/>
    <cellStyle name="40 % - Markeringsfarve6 4 3" xfId="4564" xr:uid="{00000000-0005-0000-0000-000011900000}"/>
    <cellStyle name="40 % - Markeringsfarve6 4 3 2" xfId="4565" xr:uid="{00000000-0005-0000-0000-000012900000}"/>
    <cellStyle name="40 % - Markeringsfarve6 4 3 2 2" xfId="4566" xr:uid="{00000000-0005-0000-0000-000013900000}"/>
    <cellStyle name="40 % - Markeringsfarve6 4 3 2 2 2" xfId="7771" xr:uid="{00000000-0005-0000-0000-000014900000}"/>
    <cellStyle name="40 % - Markeringsfarve6 4 3 2 2 2 2" xfId="15673" xr:uid="{00000000-0005-0000-0000-000015900000}"/>
    <cellStyle name="40 % - Markeringsfarve6 4 3 2 2 2 2 2" xfId="31988" xr:uid="{00000000-0005-0000-0000-000016900000}"/>
    <cellStyle name="40 % - Markeringsfarve6 4 3 2 2 2 2 3" xfId="46952" xr:uid="{00000000-0005-0000-0000-000017900000}"/>
    <cellStyle name="40 % - Markeringsfarve6 4 3 2 2 2 3" xfId="24966" xr:uid="{00000000-0005-0000-0000-000018900000}"/>
    <cellStyle name="40 % - Markeringsfarve6 4 3 2 2 2 4" xfId="39953" xr:uid="{00000000-0005-0000-0000-000019900000}"/>
    <cellStyle name="40 % - Markeringsfarve6 4 3 2 2 3" xfId="13126" xr:uid="{00000000-0005-0000-0000-00001A900000}"/>
    <cellStyle name="40 % - Markeringsfarve6 4 3 2 2 3 2" xfId="29446" xr:uid="{00000000-0005-0000-0000-00001B900000}"/>
    <cellStyle name="40 % - Markeringsfarve6 4 3 2 2 3 3" xfId="44411" xr:uid="{00000000-0005-0000-0000-00001C900000}"/>
    <cellStyle name="40 % - Markeringsfarve6 4 3 2 2 4" xfId="22424" xr:uid="{00000000-0005-0000-0000-00001D900000}"/>
    <cellStyle name="40 % - Markeringsfarve6 4 3 2 2 5" xfId="37412" xr:uid="{00000000-0005-0000-0000-00001E900000}"/>
    <cellStyle name="40 % - Markeringsfarve6 4 3 2 3" xfId="6317" xr:uid="{00000000-0005-0000-0000-00001F900000}"/>
    <cellStyle name="40 % - Markeringsfarve6 4 3 2 3 2" xfId="14235" xr:uid="{00000000-0005-0000-0000-000020900000}"/>
    <cellStyle name="40 % - Markeringsfarve6 4 3 2 3 2 2" xfId="30550" xr:uid="{00000000-0005-0000-0000-000021900000}"/>
    <cellStyle name="40 % - Markeringsfarve6 4 3 2 3 2 3" xfId="45514" xr:uid="{00000000-0005-0000-0000-000022900000}"/>
    <cellStyle name="40 % - Markeringsfarve6 4 3 2 3 3" xfId="23528" xr:uid="{00000000-0005-0000-0000-000023900000}"/>
    <cellStyle name="40 % - Markeringsfarve6 4 3 2 3 4" xfId="38515" xr:uid="{00000000-0005-0000-0000-000024900000}"/>
    <cellStyle name="40 % - Markeringsfarve6 4 3 2 4" xfId="13125" xr:uid="{00000000-0005-0000-0000-000025900000}"/>
    <cellStyle name="40 % - Markeringsfarve6 4 3 2 4 2" xfId="29445" xr:uid="{00000000-0005-0000-0000-000026900000}"/>
    <cellStyle name="40 % - Markeringsfarve6 4 3 2 4 3" xfId="44410" xr:uid="{00000000-0005-0000-0000-000027900000}"/>
    <cellStyle name="40 % - Markeringsfarve6 4 3 2 5" xfId="22423" xr:uid="{00000000-0005-0000-0000-000028900000}"/>
    <cellStyle name="40 % - Markeringsfarve6 4 3 2 6" xfId="37411" xr:uid="{00000000-0005-0000-0000-000029900000}"/>
    <cellStyle name="40 % - Markeringsfarve6 4 3 3" xfId="4567" xr:uid="{00000000-0005-0000-0000-00002A900000}"/>
    <cellStyle name="40 % - Markeringsfarve6 4 3 3 2" xfId="7001" xr:uid="{00000000-0005-0000-0000-00002B900000}"/>
    <cellStyle name="40 % - Markeringsfarve6 4 3 3 2 2" xfId="14913" xr:uid="{00000000-0005-0000-0000-00002C900000}"/>
    <cellStyle name="40 % - Markeringsfarve6 4 3 3 2 2 2" xfId="31228" xr:uid="{00000000-0005-0000-0000-00002D900000}"/>
    <cellStyle name="40 % - Markeringsfarve6 4 3 3 2 2 3" xfId="46192" xr:uid="{00000000-0005-0000-0000-00002E900000}"/>
    <cellStyle name="40 % - Markeringsfarve6 4 3 3 2 3" xfId="24206" xr:uid="{00000000-0005-0000-0000-00002F900000}"/>
    <cellStyle name="40 % - Markeringsfarve6 4 3 3 2 4" xfId="39193" xr:uid="{00000000-0005-0000-0000-000030900000}"/>
    <cellStyle name="40 % - Markeringsfarve6 4 3 3 3" xfId="13127" xr:uid="{00000000-0005-0000-0000-000031900000}"/>
    <cellStyle name="40 % - Markeringsfarve6 4 3 3 3 2" xfId="29447" xr:uid="{00000000-0005-0000-0000-000032900000}"/>
    <cellStyle name="40 % - Markeringsfarve6 4 3 3 3 3" xfId="44412" xr:uid="{00000000-0005-0000-0000-000033900000}"/>
    <cellStyle name="40 % - Markeringsfarve6 4 3 3 4" xfId="22425" xr:uid="{00000000-0005-0000-0000-000034900000}"/>
    <cellStyle name="40 % - Markeringsfarve6 4 3 3 5" xfId="37413" xr:uid="{00000000-0005-0000-0000-000035900000}"/>
    <cellStyle name="40 % - Markeringsfarve6 4 3 4" xfId="4568" xr:uid="{00000000-0005-0000-0000-000036900000}"/>
    <cellStyle name="40 % - Markeringsfarve6 4 3 4 2" xfId="8697" xr:uid="{00000000-0005-0000-0000-000037900000}"/>
    <cellStyle name="40 % - Markeringsfarve6 4 3 4 2 2" xfId="16574" xr:uid="{00000000-0005-0000-0000-000038900000}"/>
    <cellStyle name="40 % - Markeringsfarve6 4 3 4 2 2 2" xfId="32889" xr:uid="{00000000-0005-0000-0000-000039900000}"/>
    <cellStyle name="40 % - Markeringsfarve6 4 3 4 2 2 3" xfId="47853" xr:uid="{00000000-0005-0000-0000-00003A900000}"/>
    <cellStyle name="40 % - Markeringsfarve6 4 3 4 2 3" xfId="25867" xr:uid="{00000000-0005-0000-0000-00003B900000}"/>
    <cellStyle name="40 % - Markeringsfarve6 4 3 4 2 4" xfId="40854" xr:uid="{00000000-0005-0000-0000-00003C900000}"/>
    <cellStyle name="40 % - Markeringsfarve6 4 3 4 3" xfId="13128" xr:uid="{00000000-0005-0000-0000-00003D900000}"/>
    <cellStyle name="40 % - Markeringsfarve6 4 3 4 3 2" xfId="29448" xr:uid="{00000000-0005-0000-0000-00003E900000}"/>
    <cellStyle name="40 % - Markeringsfarve6 4 3 4 3 3" xfId="44413" xr:uid="{00000000-0005-0000-0000-00003F900000}"/>
    <cellStyle name="40 % - Markeringsfarve6 4 3 4 4" xfId="22426" xr:uid="{00000000-0005-0000-0000-000040900000}"/>
    <cellStyle name="40 % - Markeringsfarve6 4 3 4 5" xfId="37414" xr:uid="{00000000-0005-0000-0000-000041900000}"/>
    <cellStyle name="40 % - Markeringsfarve6 4 3 5" xfId="6009" xr:uid="{00000000-0005-0000-0000-000042900000}"/>
    <cellStyle name="40 % - Markeringsfarve6 4 3 5 2" xfId="13928" xr:uid="{00000000-0005-0000-0000-000043900000}"/>
    <cellStyle name="40 % - Markeringsfarve6 4 3 5 2 2" xfId="30243" xr:uid="{00000000-0005-0000-0000-000044900000}"/>
    <cellStyle name="40 % - Markeringsfarve6 4 3 5 2 3" xfId="45207" xr:uid="{00000000-0005-0000-0000-000045900000}"/>
    <cellStyle name="40 % - Markeringsfarve6 4 3 5 3" xfId="23221" xr:uid="{00000000-0005-0000-0000-000046900000}"/>
    <cellStyle name="40 % - Markeringsfarve6 4 3 5 4" xfId="38208" xr:uid="{00000000-0005-0000-0000-000047900000}"/>
    <cellStyle name="40 % - Markeringsfarve6 4 3 6" xfId="13124" xr:uid="{00000000-0005-0000-0000-000048900000}"/>
    <cellStyle name="40 % - Markeringsfarve6 4 3 6 2" xfId="29444" xr:uid="{00000000-0005-0000-0000-000049900000}"/>
    <cellStyle name="40 % - Markeringsfarve6 4 3 6 3" xfId="44409" xr:uid="{00000000-0005-0000-0000-00004A900000}"/>
    <cellStyle name="40 % - Markeringsfarve6 4 3 7" xfId="22422" xr:uid="{00000000-0005-0000-0000-00004B900000}"/>
    <cellStyle name="40 % - Markeringsfarve6 4 3 8" xfId="37410" xr:uid="{00000000-0005-0000-0000-00004C900000}"/>
    <cellStyle name="40 % - Markeringsfarve6 4 3 9" xfId="56526" xr:uid="{00000000-0005-0000-0000-00004D900000}"/>
    <cellStyle name="40 % - Markeringsfarve6 4 4" xfId="4569" xr:uid="{00000000-0005-0000-0000-00004E900000}"/>
    <cellStyle name="40 % - Markeringsfarve6 4 4 2" xfId="4570" xr:uid="{00000000-0005-0000-0000-00004F900000}"/>
    <cellStyle name="40 % - Markeringsfarve6 4 4 2 2" xfId="4571" xr:uid="{00000000-0005-0000-0000-000050900000}"/>
    <cellStyle name="40 % - Markeringsfarve6 4 4 2 2 2" xfId="7835" xr:uid="{00000000-0005-0000-0000-000051900000}"/>
    <cellStyle name="40 % - Markeringsfarve6 4 4 2 2 2 2" xfId="15737" xr:uid="{00000000-0005-0000-0000-000052900000}"/>
    <cellStyle name="40 % - Markeringsfarve6 4 4 2 2 2 2 2" xfId="32052" xr:uid="{00000000-0005-0000-0000-000053900000}"/>
    <cellStyle name="40 % - Markeringsfarve6 4 4 2 2 2 2 3" xfId="47016" xr:uid="{00000000-0005-0000-0000-000054900000}"/>
    <cellStyle name="40 % - Markeringsfarve6 4 4 2 2 2 3" xfId="25030" xr:uid="{00000000-0005-0000-0000-000055900000}"/>
    <cellStyle name="40 % - Markeringsfarve6 4 4 2 2 2 4" xfId="40017" xr:uid="{00000000-0005-0000-0000-000056900000}"/>
    <cellStyle name="40 % - Markeringsfarve6 4 4 2 2 3" xfId="13131" xr:uid="{00000000-0005-0000-0000-000057900000}"/>
    <cellStyle name="40 % - Markeringsfarve6 4 4 2 2 3 2" xfId="29451" xr:uid="{00000000-0005-0000-0000-000058900000}"/>
    <cellStyle name="40 % - Markeringsfarve6 4 4 2 2 3 3" xfId="44416" xr:uid="{00000000-0005-0000-0000-000059900000}"/>
    <cellStyle name="40 % - Markeringsfarve6 4 4 2 2 4" xfId="22429" xr:uid="{00000000-0005-0000-0000-00005A900000}"/>
    <cellStyle name="40 % - Markeringsfarve6 4 4 2 2 5" xfId="37417" xr:uid="{00000000-0005-0000-0000-00005B900000}"/>
    <cellStyle name="40 % - Markeringsfarve6 4 4 2 3" xfId="6374" xr:uid="{00000000-0005-0000-0000-00005C900000}"/>
    <cellStyle name="40 % - Markeringsfarve6 4 4 2 3 2" xfId="14289" xr:uid="{00000000-0005-0000-0000-00005D900000}"/>
    <cellStyle name="40 % - Markeringsfarve6 4 4 2 3 2 2" xfId="30604" xr:uid="{00000000-0005-0000-0000-00005E900000}"/>
    <cellStyle name="40 % - Markeringsfarve6 4 4 2 3 2 3" xfId="45568" xr:uid="{00000000-0005-0000-0000-00005F900000}"/>
    <cellStyle name="40 % - Markeringsfarve6 4 4 2 3 3" xfId="23582" xr:uid="{00000000-0005-0000-0000-000060900000}"/>
    <cellStyle name="40 % - Markeringsfarve6 4 4 2 3 4" xfId="38569" xr:uid="{00000000-0005-0000-0000-000061900000}"/>
    <cellStyle name="40 % - Markeringsfarve6 4 4 2 4" xfId="13130" xr:uid="{00000000-0005-0000-0000-000062900000}"/>
    <cellStyle name="40 % - Markeringsfarve6 4 4 2 4 2" xfId="29450" xr:uid="{00000000-0005-0000-0000-000063900000}"/>
    <cellStyle name="40 % - Markeringsfarve6 4 4 2 4 3" xfId="44415" xr:uid="{00000000-0005-0000-0000-000064900000}"/>
    <cellStyle name="40 % - Markeringsfarve6 4 4 2 5" xfId="22428" xr:uid="{00000000-0005-0000-0000-000065900000}"/>
    <cellStyle name="40 % - Markeringsfarve6 4 4 2 6" xfId="37416" xr:uid="{00000000-0005-0000-0000-000066900000}"/>
    <cellStyle name="40 % - Markeringsfarve6 4 4 3" xfId="4572" xr:uid="{00000000-0005-0000-0000-000067900000}"/>
    <cellStyle name="40 % - Markeringsfarve6 4 4 3 2" xfId="7111" xr:uid="{00000000-0005-0000-0000-000068900000}"/>
    <cellStyle name="40 % - Markeringsfarve6 4 4 3 2 2" xfId="15022" xr:uid="{00000000-0005-0000-0000-000069900000}"/>
    <cellStyle name="40 % - Markeringsfarve6 4 4 3 2 2 2" xfId="31337" xr:uid="{00000000-0005-0000-0000-00006A900000}"/>
    <cellStyle name="40 % - Markeringsfarve6 4 4 3 2 2 3" xfId="46301" xr:uid="{00000000-0005-0000-0000-00006B900000}"/>
    <cellStyle name="40 % - Markeringsfarve6 4 4 3 2 3" xfId="24315" xr:uid="{00000000-0005-0000-0000-00006C900000}"/>
    <cellStyle name="40 % - Markeringsfarve6 4 4 3 2 4" xfId="39302" xr:uid="{00000000-0005-0000-0000-00006D900000}"/>
    <cellStyle name="40 % - Markeringsfarve6 4 4 3 3" xfId="13132" xr:uid="{00000000-0005-0000-0000-00006E900000}"/>
    <cellStyle name="40 % - Markeringsfarve6 4 4 3 3 2" xfId="29452" xr:uid="{00000000-0005-0000-0000-00006F900000}"/>
    <cellStyle name="40 % - Markeringsfarve6 4 4 3 3 3" xfId="44417" xr:uid="{00000000-0005-0000-0000-000070900000}"/>
    <cellStyle name="40 % - Markeringsfarve6 4 4 3 4" xfId="22430" xr:uid="{00000000-0005-0000-0000-000071900000}"/>
    <cellStyle name="40 % - Markeringsfarve6 4 4 3 5" xfId="37418" xr:uid="{00000000-0005-0000-0000-000072900000}"/>
    <cellStyle name="40 % - Markeringsfarve6 4 4 4" xfId="4573" xr:uid="{00000000-0005-0000-0000-000073900000}"/>
    <cellStyle name="40 % - Markeringsfarve6 4 4 4 2" xfId="8417" xr:uid="{00000000-0005-0000-0000-000074900000}"/>
    <cellStyle name="40 % - Markeringsfarve6 4 4 4 2 2" xfId="16307" xr:uid="{00000000-0005-0000-0000-000075900000}"/>
    <cellStyle name="40 % - Markeringsfarve6 4 4 4 2 2 2" xfId="32622" xr:uid="{00000000-0005-0000-0000-000076900000}"/>
    <cellStyle name="40 % - Markeringsfarve6 4 4 4 2 2 3" xfId="47586" xr:uid="{00000000-0005-0000-0000-000077900000}"/>
    <cellStyle name="40 % - Markeringsfarve6 4 4 4 2 3" xfId="25600" xr:uid="{00000000-0005-0000-0000-000078900000}"/>
    <cellStyle name="40 % - Markeringsfarve6 4 4 4 2 4" xfId="40587" xr:uid="{00000000-0005-0000-0000-000079900000}"/>
    <cellStyle name="40 % - Markeringsfarve6 4 4 4 3" xfId="13133" xr:uid="{00000000-0005-0000-0000-00007A900000}"/>
    <cellStyle name="40 % - Markeringsfarve6 4 4 4 3 2" xfId="29453" xr:uid="{00000000-0005-0000-0000-00007B900000}"/>
    <cellStyle name="40 % - Markeringsfarve6 4 4 4 3 3" xfId="44418" xr:uid="{00000000-0005-0000-0000-00007C900000}"/>
    <cellStyle name="40 % - Markeringsfarve6 4 4 4 4" xfId="22431" xr:uid="{00000000-0005-0000-0000-00007D900000}"/>
    <cellStyle name="40 % - Markeringsfarve6 4 4 4 5" xfId="37419" xr:uid="{00000000-0005-0000-0000-00007E900000}"/>
    <cellStyle name="40 % - Markeringsfarve6 4 4 5" xfId="6010" xr:uid="{00000000-0005-0000-0000-00007F900000}"/>
    <cellStyle name="40 % - Markeringsfarve6 4 4 5 2" xfId="13929" xr:uid="{00000000-0005-0000-0000-000080900000}"/>
    <cellStyle name="40 % - Markeringsfarve6 4 4 5 2 2" xfId="30244" xr:uid="{00000000-0005-0000-0000-000081900000}"/>
    <cellStyle name="40 % - Markeringsfarve6 4 4 5 2 3" xfId="45208" xr:uid="{00000000-0005-0000-0000-000082900000}"/>
    <cellStyle name="40 % - Markeringsfarve6 4 4 5 3" xfId="23222" xr:uid="{00000000-0005-0000-0000-000083900000}"/>
    <cellStyle name="40 % - Markeringsfarve6 4 4 5 4" xfId="38209" xr:uid="{00000000-0005-0000-0000-000084900000}"/>
    <cellStyle name="40 % - Markeringsfarve6 4 4 6" xfId="13129" xr:uid="{00000000-0005-0000-0000-000085900000}"/>
    <cellStyle name="40 % - Markeringsfarve6 4 4 6 2" xfId="29449" xr:uid="{00000000-0005-0000-0000-000086900000}"/>
    <cellStyle name="40 % - Markeringsfarve6 4 4 6 3" xfId="44414" xr:uid="{00000000-0005-0000-0000-000087900000}"/>
    <cellStyle name="40 % - Markeringsfarve6 4 4 7" xfId="22427" xr:uid="{00000000-0005-0000-0000-000088900000}"/>
    <cellStyle name="40 % - Markeringsfarve6 4 4 8" xfId="37415" xr:uid="{00000000-0005-0000-0000-000089900000}"/>
    <cellStyle name="40 % - Markeringsfarve6 4 5" xfId="4574" xr:uid="{00000000-0005-0000-0000-00008A900000}"/>
    <cellStyle name="40 % - Markeringsfarve6 4 5 2" xfId="4575" xr:uid="{00000000-0005-0000-0000-00008B900000}"/>
    <cellStyle name="40 % - Markeringsfarve6 4 5 2 2" xfId="4576" xr:uid="{00000000-0005-0000-0000-00008C900000}"/>
    <cellStyle name="40 % - Markeringsfarve6 4 5 2 2 2" xfId="7952" xr:uid="{00000000-0005-0000-0000-00008D900000}"/>
    <cellStyle name="40 % - Markeringsfarve6 4 5 2 2 2 2" xfId="15854" xr:uid="{00000000-0005-0000-0000-00008E900000}"/>
    <cellStyle name="40 % - Markeringsfarve6 4 5 2 2 2 2 2" xfId="32169" xr:uid="{00000000-0005-0000-0000-00008F900000}"/>
    <cellStyle name="40 % - Markeringsfarve6 4 5 2 2 2 2 3" xfId="47133" xr:uid="{00000000-0005-0000-0000-000090900000}"/>
    <cellStyle name="40 % - Markeringsfarve6 4 5 2 2 2 3" xfId="25147" xr:uid="{00000000-0005-0000-0000-000091900000}"/>
    <cellStyle name="40 % - Markeringsfarve6 4 5 2 2 2 4" xfId="40134" xr:uid="{00000000-0005-0000-0000-000092900000}"/>
    <cellStyle name="40 % - Markeringsfarve6 4 5 2 2 3" xfId="13136" xr:uid="{00000000-0005-0000-0000-000093900000}"/>
    <cellStyle name="40 % - Markeringsfarve6 4 5 2 2 3 2" xfId="29456" xr:uid="{00000000-0005-0000-0000-000094900000}"/>
    <cellStyle name="40 % - Markeringsfarve6 4 5 2 2 3 3" xfId="44421" xr:uid="{00000000-0005-0000-0000-000095900000}"/>
    <cellStyle name="40 % - Markeringsfarve6 4 5 2 2 4" xfId="22434" xr:uid="{00000000-0005-0000-0000-000096900000}"/>
    <cellStyle name="40 % - Markeringsfarve6 4 5 2 2 5" xfId="37422" xr:uid="{00000000-0005-0000-0000-000097900000}"/>
    <cellStyle name="40 % - Markeringsfarve6 4 5 2 3" xfId="6473" xr:uid="{00000000-0005-0000-0000-000098900000}"/>
    <cellStyle name="40 % - Markeringsfarve6 4 5 2 3 2" xfId="14388" xr:uid="{00000000-0005-0000-0000-000099900000}"/>
    <cellStyle name="40 % - Markeringsfarve6 4 5 2 3 2 2" xfId="30703" xr:uid="{00000000-0005-0000-0000-00009A900000}"/>
    <cellStyle name="40 % - Markeringsfarve6 4 5 2 3 2 3" xfId="45667" xr:uid="{00000000-0005-0000-0000-00009B900000}"/>
    <cellStyle name="40 % - Markeringsfarve6 4 5 2 3 3" xfId="23681" xr:uid="{00000000-0005-0000-0000-00009C900000}"/>
    <cellStyle name="40 % - Markeringsfarve6 4 5 2 3 4" xfId="38668" xr:uid="{00000000-0005-0000-0000-00009D900000}"/>
    <cellStyle name="40 % - Markeringsfarve6 4 5 2 4" xfId="13135" xr:uid="{00000000-0005-0000-0000-00009E900000}"/>
    <cellStyle name="40 % - Markeringsfarve6 4 5 2 4 2" xfId="29455" xr:uid="{00000000-0005-0000-0000-00009F900000}"/>
    <cellStyle name="40 % - Markeringsfarve6 4 5 2 4 3" xfId="44420" xr:uid="{00000000-0005-0000-0000-0000A0900000}"/>
    <cellStyle name="40 % - Markeringsfarve6 4 5 2 5" xfId="22433" xr:uid="{00000000-0005-0000-0000-0000A1900000}"/>
    <cellStyle name="40 % - Markeringsfarve6 4 5 2 6" xfId="37421" xr:uid="{00000000-0005-0000-0000-0000A2900000}"/>
    <cellStyle name="40 % - Markeringsfarve6 4 5 3" xfId="4577" xr:uid="{00000000-0005-0000-0000-0000A3900000}"/>
    <cellStyle name="40 % - Markeringsfarve6 4 5 3 2" xfId="7228" xr:uid="{00000000-0005-0000-0000-0000A4900000}"/>
    <cellStyle name="40 % - Markeringsfarve6 4 5 3 2 2" xfId="15139" xr:uid="{00000000-0005-0000-0000-0000A5900000}"/>
    <cellStyle name="40 % - Markeringsfarve6 4 5 3 2 2 2" xfId="31454" xr:uid="{00000000-0005-0000-0000-0000A6900000}"/>
    <cellStyle name="40 % - Markeringsfarve6 4 5 3 2 2 3" xfId="46418" xr:uid="{00000000-0005-0000-0000-0000A7900000}"/>
    <cellStyle name="40 % - Markeringsfarve6 4 5 3 2 3" xfId="24432" xr:uid="{00000000-0005-0000-0000-0000A8900000}"/>
    <cellStyle name="40 % - Markeringsfarve6 4 5 3 2 4" xfId="39419" xr:uid="{00000000-0005-0000-0000-0000A9900000}"/>
    <cellStyle name="40 % - Markeringsfarve6 4 5 3 3" xfId="13137" xr:uid="{00000000-0005-0000-0000-0000AA900000}"/>
    <cellStyle name="40 % - Markeringsfarve6 4 5 3 3 2" xfId="29457" xr:uid="{00000000-0005-0000-0000-0000AB900000}"/>
    <cellStyle name="40 % - Markeringsfarve6 4 5 3 3 3" xfId="44422" xr:uid="{00000000-0005-0000-0000-0000AC900000}"/>
    <cellStyle name="40 % - Markeringsfarve6 4 5 3 4" xfId="22435" xr:uid="{00000000-0005-0000-0000-0000AD900000}"/>
    <cellStyle name="40 % - Markeringsfarve6 4 5 3 5" xfId="37423" xr:uid="{00000000-0005-0000-0000-0000AE900000}"/>
    <cellStyle name="40 % - Markeringsfarve6 4 5 4" xfId="4578" xr:uid="{00000000-0005-0000-0000-0000AF900000}"/>
    <cellStyle name="40 % - Markeringsfarve6 4 5 4 2" xfId="8662" xr:uid="{00000000-0005-0000-0000-0000B0900000}"/>
    <cellStyle name="40 % - Markeringsfarve6 4 5 4 2 2" xfId="16543" xr:uid="{00000000-0005-0000-0000-0000B1900000}"/>
    <cellStyle name="40 % - Markeringsfarve6 4 5 4 2 2 2" xfId="32858" xr:uid="{00000000-0005-0000-0000-0000B2900000}"/>
    <cellStyle name="40 % - Markeringsfarve6 4 5 4 2 2 3" xfId="47822" xr:uid="{00000000-0005-0000-0000-0000B3900000}"/>
    <cellStyle name="40 % - Markeringsfarve6 4 5 4 2 3" xfId="25836" xr:uid="{00000000-0005-0000-0000-0000B4900000}"/>
    <cellStyle name="40 % - Markeringsfarve6 4 5 4 2 4" xfId="40823" xr:uid="{00000000-0005-0000-0000-0000B5900000}"/>
    <cellStyle name="40 % - Markeringsfarve6 4 5 4 3" xfId="13138" xr:uid="{00000000-0005-0000-0000-0000B6900000}"/>
    <cellStyle name="40 % - Markeringsfarve6 4 5 4 3 2" xfId="29458" xr:uid="{00000000-0005-0000-0000-0000B7900000}"/>
    <cellStyle name="40 % - Markeringsfarve6 4 5 4 3 3" xfId="44423" xr:uid="{00000000-0005-0000-0000-0000B8900000}"/>
    <cellStyle name="40 % - Markeringsfarve6 4 5 4 4" xfId="22436" xr:uid="{00000000-0005-0000-0000-0000B9900000}"/>
    <cellStyle name="40 % - Markeringsfarve6 4 5 4 5" xfId="37424" xr:uid="{00000000-0005-0000-0000-0000BA900000}"/>
    <cellStyle name="40 % - Markeringsfarve6 4 5 5" xfId="6011" xr:uid="{00000000-0005-0000-0000-0000BB900000}"/>
    <cellStyle name="40 % - Markeringsfarve6 4 5 5 2" xfId="13930" xr:uid="{00000000-0005-0000-0000-0000BC900000}"/>
    <cellStyle name="40 % - Markeringsfarve6 4 5 5 2 2" xfId="30245" xr:uid="{00000000-0005-0000-0000-0000BD900000}"/>
    <cellStyle name="40 % - Markeringsfarve6 4 5 5 2 3" xfId="45209" xr:uid="{00000000-0005-0000-0000-0000BE900000}"/>
    <cellStyle name="40 % - Markeringsfarve6 4 5 5 3" xfId="23223" xr:uid="{00000000-0005-0000-0000-0000BF900000}"/>
    <cellStyle name="40 % - Markeringsfarve6 4 5 5 4" xfId="38210" xr:uid="{00000000-0005-0000-0000-0000C0900000}"/>
    <cellStyle name="40 % - Markeringsfarve6 4 5 6" xfId="13134" xr:uid="{00000000-0005-0000-0000-0000C1900000}"/>
    <cellStyle name="40 % - Markeringsfarve6 4 5 6 2" xfId="29454" xr:uid="{00000000-0005-0000-0000-0000C2900000}"/>
    <cellStyle name="40 % - Markeringsfarve6 4 5 6 3" xfId="44419" xr:uid="{00000000-0005-0000-0000-0000C3900000}"/>
    <cellStyle name="40 % - Markeringsfarve6 4 5 7" xfId="22432" xr:uid="{00000000-0005-0000-0000-0000C4900000}"/>
    <cellStyle name="40 % - Markeringsfarve6 4 5 8" xfId="37420" xr:uid="{00000000-0005-0000-0000-0000C5900000}"/>
    <cellStyle name="40 % - Markeringsfarve6 4 6" xfId="4579" xr:uid="{00000000-0005-0000-0000-0000C6900000}"/>
    <cellStyle name="40 % - Markeringsfarve6 4 6 2" xfId="4580" xr:uid="{00000000-0005-0000-0000-0000C7900000}"/>
    <cellStyle name="40 % - Markeringsfarve6 4 6 2 2" xfId="4581" xr:uid="{00000000-0005-0000-0000-0000C8900000}"/>
    <cellStyle name="40 % - Markeringsfarve6 4 6 2 2 2" xfId="8125" xr:uid="{00000000-0005-0000-0000-0000C9900000}"/>
    <cellStyle name="40 % - Markeringsfarve6 4 6 2 2 2 2" xfId="16027" xr:uid="{00000000-0005-0000-0000-0000CA900000}"/>
    <cellStyle name="40 % - Markeringsfarve6 4 6 2 2 2 2 2" xfId="32342" xr:uid="{00000000-0005-0000-0000-0000CB900000}"/>
    <cellStyle name="40 % - Markeringsfarve6 4 6 2 2 2 2 3" xfId="47306" xr:uid="{00000000-0005-0000-0000-0000CC900000}"/>
    <cellStyle name="40 % - Markeringsfarve6 4 6 2 2 2 3" xfId="25320" xr:uid="{00000000-0005-0000-0000-0000CD900000}"/>
    <cellStyle name="40 % - Markeringsfarve6 4 6 2 2 2 4" xfId="40307" xr:uid="{00000000-0005-0000-0000-0000CE900000}"/>
    <cellStyle name="40 % - Markeringsfarve6 4 6 2 2 3" xfId="13141" xr:uid="{00000000-0005-0000-0000-0000CF900000}"/>
    <cellStyle name="40 % - Markeringsfarve6 4 6 2 2 3 2" xfId="29461" xr:uid="{00000000-0005-0000-0000-0000D0900000}"/>
    <cellStyle name="40 % - Markeringsfarve6 4 6 2 2 3 3" xfId="44426" xr:uid="{00000000-0005-0000-0000-0000D1900000}"/>
    <cellStyle name="40 % - Markeringsfarve6 4 6 2 2 4" xfId="22439" xr:uid="{00000000-0005-0000-0000-0000D2900000}"/>
    <cellStyle name="40 % - Markeringsfarve6 4 6 2 2 5" xfId="37427" xr:uid="{00000000-0005-0000-0000-0000D3900000}"/>
    <cellStyle name="40 % - Markeringsfarve6 4 6 2 3" xfId="6618" xr:uid="{00000000-0005-0000-0000-0000D4900000}"/>
    <cellStyle name="40 % - Markeringsfarve6 4 6 2 3 2" xfId="14533" xr:uid="{00000000-0005-0000-0000-0000D5900000}"/>
    <cellStyle name="40 % - Markeringsfarve6 4 6 2 3 2 2" xfId="30848" xr:uid="{00000000-0005-0000-0000-0000D6900000}"/>
    <cellStyle name="40 % - Markeringsfarve6 4 6 2 3 2 3" xfId="45812" xr:uid="{00000000-0005-0000-0000-0000D7900000}"/>
    <cellStyle name="40 % - Markeringsfarve6 4 6 2 3 3" xfId="23826" xr:uid="{00000000-0005-0000-0000-0000D8900000}"/>
    <cellStyle name="40 % - Markeringsfarve6 4 6 2 3 4" xfId="38813" xr:uid="{00000000-0005-0000-0000-0000D9900000}"/>
    <cellStyle name="40 % - Markeringsfarve6 4 6 2 4" xfId="13140" xr:uid="{00000000-0005-0000-0000-0000DA900000}"/>
    <cellStyle name="40 % - Markeringsfarve6 4 6 2 4 2" xfId="29460" xr:uid="{00000000-0005-0000-0000-0000DB900000}"/>
    <cellStyle name="40 % - Markeringsfarve6 4 6 2 4 3" xfId="44425" xr:uid="{00000000-0005-0000-0000-0000DC900000}"/>
    <cellStyle name="40 % - Markeringsfarve6 4 6 2 5" xfId="22438" xr:uid="{00000000-0005-0000-0000-0000DD900000}"/>
    <cellStyle name="40 % - Markeringsfarve6 4 6 2 6" xfId="37426" xr:uid="{00000000-0005-0000-0000-0000DE900000}"/>
    <cellStyle name="40 % - Markeringsfarve6 4 6 3" xfId="4582" xr:uid="{00000000-0005-0000-0000-0000DF900000}"/>
    <cellStyle name="40 % - Markeringsfarve6 4 6 3 2" xfId="7402" xr:uid="{00000000-0005-0000-0000-0000E0900000}"/>
    <cellStyle name="40 % - Markeringsfarve6 4 6 3 2 2" xfId="15313" xr:uid="{00000000-0005-0000-0000-0000E1900000}"/>
    <cellStyle name="40 % - Markeringsfarve6 4 6 3 2 2 2" xfId="31628" xr:uid="{00000000-0005-0000-0000-0000E2900000}"/>
    <cellStyle name="40 % - Markeringsfarve6 4 6 3 2 2 3" xfId="46592" xr:uid="{00000000-0005-0000-0000-0000E3900000}"/>
    <cellStyle name="40 % - Markeringsfarve6 4 6 3 2 3" xfId="24606" xr:uid="{00000000-0005-0000-0000-0000E4900000}"/>
    <cellStyle name="40 % - Markeringsfarve6 4 6 3 2 4" xfId="39593" xr:uid="{00000000-0005-0000-0000-0000E5900000}"/>
    <cellStyle name="40 % - Markeringsfarve6 4 6 3 3" xfId="13142" xr:uid="{00000000-0005-0000-0000-0000E6900000}"/>
    <cellStyle name="40 % - Markeringsfarve6 4 6 3 3 2" xfId="29462" xr:uid="{00000000-0005-0000-0000-0000E7900000}"/>
    <cellStyle name="40 % - Markeringsfarve6 4 6 3 3 3" xfId="44427" xr:uid="{00000000-0005-0000-0000-0000E8900000}"/>
    <cellStyle name="40 % - Markeringsfarve6 4 6 3 4" xfId="22440" xr:uid="{00000000-0005-0000-0000-0000E9900000}"/>
    <cellStyle name="40 % - Markeringsfarve6 4 6 3 5" xfId="37428" xr:uid="{00000000-0005-0000-0000-0000EA900000}"/>
    <cellStyle name="40 % - Markeringsfarve6 4 6 4" xfId="4583" xr:uid="{00000000-0005-0000-0000-0000EB900000}"/>
    <cellStyle name="40 % - Markeringsfarve6 4 6 4 2" xfId="8387" xr:uid="{00000000-0005-0000-0000-0000EC900000}"/>
    <cellStyle name="40 % - Markeringsfarve6 4 6 4 2 2" xfId="16280" xr:uid="{00000000-0005-0000-0000-0000ED900000}"/>
    <cellStyle name="40 % - Markeringsfarve6 4 6 4 2 2 2" xfId="32595" xr:uid="{00000000-0005-0000-0000-0000EE900000}"/>
    <cellStyle name="40 % - Markeringsfarve6 4 6 4 2 2 3" xfId="47559" xr:uid="{00000000-0005-0000-0000-0000EF900000}"/>
    <cellStyle name="40 % - Markeringsfarve6 4 6 4 2 3" xfId="25573" xr:uid="{00000000-0005-0000-0000-0000F0900000}"/>
    <cellStyle name="40 % - Markeringsfarve6 4 6 4 2 4" xfId="40560" xr:uid="{00000000-0005-0000-0000-0000F1900000}"/>
    <cellStyle name="40 % - Markeringsfarve6 4 6 4 3" xfId="13143" xr:uid="{00000000-0005-0000-0000-0000F2900000}"/>
    <cellStyle name="40 % - Markeringsfarve6 4 6 4 3 2" xfId="29463" xr:uid="{00000000-0005-0000-0000-0000F3900000}"/>
    <cellStyle name="40 % - Markeringsfarve6 4 6 4 3 3" xfId="44428" xr:uid="{00000000-0005-0000-0000-0000F4900000}"/>
    <cellStyle name="40 % - Markeringsfarve6 4 6 4 4" xfId="22441" xr:uid="{00000000-0005-0000-0000-0000F5900000}"/>
    <cellStyle name="40 % - Markeringsfarve6 4 6 4 5" xfId="37429" xr:uid="{00000000-0005-0000-0000-0000F6900000}"/>
    <cellStyle name="40 % - Markeringsfarve6 4 6 5" xfId="6012" xr:uid="{00000000-0005-0000-0000-0000F7900000}"/>
    <cellStyle name="40 % - Markeringsfarve6 4 6 5 2" xfId="13931" xr:uid="{00000000-0005-0000-0000-0000F8900000}"/>
    <cellStyle name="40 % - Markeringsfarve6 4 6 5 2 2" xfId="30246" xr:uid="{00000000-0005-0000-0000-0000F9900000}"/>
    <cellStyle name="40 % - Markeringsfarve6 4 6 5 2 3" xfId="45210" xr:uid="{00000000-0005-0000-0000-0000FA900000}"/>
    <cellStyle name="40 % - Markeringsfarve6 4 6 5 3" xfId="23224" xr:uid="{00000000-0005-0000-0000-0000FB900000}"/>
    <cellStyle name="40 % - Markeringsfarve6 4 6 5 4" xfId="38211" xr:uid="{00000000-0005-0000-0000-0000FC900000}"/>
    <cellStyle name="40 % - Markeringsfarve6 4 6 6" xfId="13139" xr:uid="{00000000-0005-0000-0000-0000FD900000}"/>
    <cellStyle name="40 % - Markeringsfarve6 4 6 6 2" xfId="29459" xr:uid="{00000000-0005-0000-0000-0000FE900000}"/>
    <cellStyle name="40 % - Markeringsfarve6 4 6 6 3" xfId="44424" xr:uid="{00000000-0005-0000-0000-0000FF900000}"/>
    <cellStyle name="40 % - Markeringsfarve6 4 6 7" xfId="22437" xr:uid="{00000000-0005-0000-0000-000000910000}"/>
    <cellStyle name="40 % - Markeringsfarve6 4 6 8" xfId="37425" xr:uid="{00000000-0005-0000-0000-000001910000}"/>
    <cellStyle name="40 % - Markeringsfarve6 4 7" xfId="4584" xr:uid="{00000000-0005-0000-0000-000002910000}"/>
    <cellStyle name="40 % - Markeringsfarve6 4 7 2" xfId="4585" xr:uid="{00000000-0005-0000-0000-000003910000}"/>
    <cellStyle name="40 % - Markeringsfarve6 4 7 2 2" xfId="7478" xr:uid="{00000000-0005-0000-0000-000004910000}"/>
    <cellStyle name="40 % - Markeringsfarve6 4 7 2 2 2" xfId="15380" xr:uid="{00000000-0005-0000-0000-000005910000}"/>
    <cellStyle name="40 % - Markeringsfarve6 4 7 2 2 2 2" xfId="31695" xr:uid="{00000000-0005-0000-0000-000006910000}"/>
    <cellStyle name="40 % - Markeringsfarve6 4 7 2 2 2 3" xfId="46659" xr:uid="{00000000-0005-0000-0000-000007910000}"/>
    <cellStyle name="40 % - Markeringsfarve6 4 7 2 2 3" xfId="24673" xr:uid="{00000000-0005-0000-0000-000008910000}"/>
    <cellStyle name="40 % - Markeringsfarve6 4 7 2 2 4" xfId="39660" xr:uid="{00000000-0005-0000-0000-000009910000}"/>
    <cellStyle name="40 % - Markeringsfarve6 4 7 2 3" xfId="13145" xr:uid="{00000000-0005-0000-0000-00000A910000}"/>
    <cellStyle name="40 % - Markeringsfarve6 4 7 2 3 2" xfId="29465" xr:uid="{00000000-0005-0000-0000-00000B910000}"/>
    <cellStyle name="40 % - Markeringsfarve6 4 7 2 3 3" xfId="44430" xr:uid="{00000000-0005-0000-0000-00000C910000}"/>
    <cellStyle name="40 % - Markeringsfarve6 4 7 2 4" xfId="22443" xr:uid="{00000000-0005-0000-0000-00000D910000}"/>
    <cellStyle name="40 % - Markeringsfarve6 4 7 2 5" xfId="37431" xr:uid="{00000000-0005-0000-0000-00000E910000}"/>
    <cellStyle name="40 % - Markeringsfarve6 4 7 3" xfId="6073" xr:uid="{00000000-0005-0000-0000-00000F910000}"/>
    <cellStyle name="40 % - Markeringsfarve6 4 7 3 2" xfId="13991" xr:uid="{00000000-0005-0000-0000-000010910000}"/>
    <cellStyle name="40 % - Markeringsfarve6 4 7 3 2 2" xfId="30306" xr:uid="{00000000-0005-0000-0000-000011910000}"/>
    <cellStyle name="40 % - Markeringsfarve6 4 7 3 2 3" xfId="45270" xr:uid="{00000000-0005-0000-0000-000012910000}"/>
    <cellStyle name="40 % - Markeringsfarve6 4 7 3 3" xfId="23284" xr:uid="{00000000-0005-0000-0000-000013910000}"/>
    <cellStyle name="40 % - Markeringsfarve6 4 7 3 4" xfId="38271" xr:uid="{00000000-0005-0000-0000-000014910000}"/>
    <cellStyle name="40 % - Markeringsfarve6 4 7 4" xfId="13144" xr:uid="{00000000-0005-0000-0000-000015910000}"/>
    <cellStyle name="40 % - Markeringsfarve6 4 7 4 2" xfId="29464" xr:uid="{00000000-0005-0000-0000-000016910000}"/>
    <cellStyle name="40 % - Markeringsfarve6 4 7 4 3" xfId="44429" xr:uid="{00000000-0005-0000-0000-000017910000}"/>
    <cellStyle name="40 % - Markeringsfarve6 4 7 5" xfId="22442" xr:uid="{00000000-0005-0000-0000-000018910000}"/>
    <cellStyle name="40 % - Markeringsfarve6 4 7 6" xfId="37430" xr:uid="{00000000-0005-0000-0000-000019910000}"/>
    <cellStyle name="40 % - Markeringsfarve6 4 8" xfId="4586" xr:uid="{00000000-0005-0000-0000-00001A910000}"/>
    <cellStyle name="40 % - Markeringsfarve6 4 8 2" xfId="6706" xr:uid="{00000000-0005-0000-0000-00001B910000}"/>
    <cellStyle name="40 % - Markeringsfarve6 4 8 2 2" xfId="14618" xr:uid="{00000000-0005-0000-0000-00001C910000}"/>
    <cellStyle name="40 % - Markeringsfarve6 4 8 2 2 2" xfId="30933" xr:uid="{00000000-0005-0000-0000-00001D910000}"/>
    <cellStyle name="40 % - Markeringsfarve6 4 8 2 2 3" xfId="45897" xr:uid="{00000000-0005-0000-0000-00001E910000}"/>
    <cellStyle name="40 % - Markeringsfarve6 4 8 2 3" xfId="23911" xr:uid="{00000000-0005-0000-0000-00001F910000}"/>
    <cellStyle name="40 % - Markeringsfarve6 4 8 2 4" xfId="38898" xr:uid="{00000000-0005-0000-0000-000020910000}"/>
    <cellStyle name="40 % - Markeringsfarve6 4 8 3" xfId="13146" xr:uid="{00000000-0005-0000-0000-000021910000}"/>
    <cellStyle name="40 % - Markeringsfarve6 4 8 3 2" xfId="29466" xr:uid="{00000000-0005-0000-0000-000022910000}"/>
    <cellStyle name="40 % - Markeringsfarve6 4 8 3 3" xfId="44431" xr:uid="{00000000-0005-0000-0000-000023910000}"/>
    <cellStyle name="40 % - Markeringsfarve6 4 8 4" xfId="22444" xr:uid="{00000000-0005-0000-0000-000024910000}"/>
    <cellStyle name="40 % - Markeringsfarve6 4 8 5" xfId="37432" xr:uid="{00000000-0005-0000-0000-000025910000}"/>
    <cellStyle name="40 % - Markeringsfarve6 4 9" xfId="4587" xr:uid="{00000000-0005-0000-0000-000026910000}"/>
    <cellStyle name="40 % - Markeringsfarve6 4 9 2" xfId="8149" xr:uid="{00000000-0005-0000-0000-000027910000}"/>
    <cellStyle name="40 % - Markeringsfarve6 4 9 2 2" xfId="16047" xr:uid="{00000000-0005-0000-0000-000028910000}"/>
    <cellStyle name="40 % - Markeringsfarve6 4 9 2 2 2" xfId="32362" xr:uid="{00000000-0005-0000-0000-000029910000}"/>
    <cellStyle name="40 % - Markeringsfarve6 4 9 2 2 3" xfId="47326" xr:uid="{00000000-0005-0000-0000-00002A910000}"/>
    <cellStyle name="40 % - Markeringsfarve6 4 9 2 3" xfId="25340" xr:uid="{00000000-0005-0000-0000-00002B910000}"/>
    <cellStyle name="40 % - Markeringsfarve6 4 9 2 4" xfId="40327" xr:uid="{00000000-0005-0000-0000-00002C910000}"/>
    <cellStyle name="40 % - Markeringsfarve6 4 9 3" xfId="13147" xr:uid="{00000000-0005-0000-0000-00002D910000}"/>
    <cellStyle name="40 % - Markeringsfarve6 4 9 3 2" xfId="29467" xr:uid="{00000000-0005-0000-0000-00002E910000}"/>
    <cellStyle name="40 % - Markeringsfarve6 4 9 3 3" xfId="44432" xr:uid="{00000000-0005-0000-0000-00002F910000}"/>
    <cellStyle name="40 % - Markeringsfarve6 4 9 4" xfId="22445" xr:uid="{00000000-0005-0000-0000-000030910000}"/>
    <cellStyle name="40 % - Markeringsfarve6 4 9 5" xfId="37433" xr:uid="{00000000-0005-0000-0000-000031910000}"/>
    <cellStyle name="40 % - Markeringsfarve6 5" xfId="4588" xr:uid="{00000000-0005-0000-0000-000032910000}"/>
    <cellStyle name="40 % - Markeringsfarve6 5 10" xfId="6013" xr:uid="{00000000-0005-0000-0000-000033910000}"/>
    <cellStyle name="40 % - Markeringsfarve6 5 10 2" xfId="13932" xr:uid="{00000000-0005-0000-0000-000034910000}"/>
    <cellStyle name="40 % - Markeringsfarve6 5 10 2 2" xfId="30247" xr:uid="{00000000-0005-0000-0000-000035910000}"/>
    <cellStyle name="40 % - Markeringsfarve6 5 10 2 3" xfId="45211" xr:uid="{00000000-0005-0000-0000-000036910000}"/>
    <cellStyle name="40 % - Markeringsfarve6 5 10 3" xfId="23225" xr:uid="{00000000-0005-0000-0000-000037910000}"/>
    <cellStyle name="40 % - Markeringsfarve6 5 10 4" xfId="38212" xr:uid="{00000000-0005-0000-0000-000038910000}"/>
    <cellStyle name="40 % - Markeringsfarve6 5 11" xfId="13148" xr:uid="{00000000-0005-0000-0000-000039910000}"/>
    <cellStyle name="40 % - Markeringsfarve6 5 11 2" xfId="29468" xr:uid="{00000000-0005-0000-0000-00003A910000}"/>
    <cellStyle name="40 % - Markeringsfarve6 5 11 3" xfId="44433" xr:uid="{00000000-0005-0000-0000-00003B910000}"/>
    <cellStyle name="40 % - Markeringsfarve6 5 12" xfId="22446" xr:uid="{00000000-0005-0000-0000-00003C910000}"/>
    <cellStyle name="40 % - Markeringsfarve6 5 13" xfId="37434" xr:uid="{00000000-0005-0000-0000-00003D910000}"/>
    <cellStyle name="40 % - Markeringsfarve6 5 14" xfId="53346" xr:uid="{00000000-0005-0000-0000-00003E910000}"/>
    <cellStyle name="40 % - Markeringsfarve6 5 2" xfId="4589" xr:uid="{00000000-0005-0000-0000-00003F910000}"/>
    <cellStyle name="40 % - Markeringsfarve6 5 2 2" xfId="4590" xr:uid="{00000000-0005-0000-0000-000040910000}"/>
    <cellStyle name="40 % - Markeringsfarve6 5 2 2 2" xfId="4591" xr:uid="{00000000-0005-0000-0000-000041910000}"/>
    <cellStyle name="40 % - Markeringsfarve6 5 2 2 2 2" xfId="7636" xr:uid="{00000000-0005-0000-0000-000042910000}"/>
    <cellStyle name="40 % - Markeringsfarve6 5 2 2 2 2 2" xfId="15538" xr:uid="{00000000-0005-0000-0000-000043910000}"/>
    <cellStyle name="40 % - Markeringsfarve6 5 2 2 2 2 2 2" xfId="31853" xr:uid="{00000000-0005-0000-0000-000044910000}"/>
    <cellStyle name="40 % - Markeringsfarve6 5 2 2 2 2 2 3" xfId="46817" xr:uid="{00000000-0005-0000-0000-000045910000}"/>
    <cellStyle name="40 % - Markeringsfarve6 5 2 2 2 2 3" xfId="24831" xr:uid="{00000000-0005-0000-0000-000046910000}"/>
    <cellStyle name="40 % - Markeringsfarve6 5 2 2 2 2 4" xfId="39818" xr:uid="{00000000-0005-0000-0000-000047910000}"/>
    <cellStyle name="40 % - Markeringsfarve6 5 2 2 2 3" xfId="13151" xr:uid="{00000000-0005-0000-0000-000048910000}"/>
    <cellStyle name="40 % - Markeringsfarve6 5 2 2 2 3 2" xfId="29471" xr:uid="{00000000-0005-0000-0000-000049910000}"/>
    <cellStyle name="40 % - Markeringsfarve6 5 2 2 2 3 3" xfId="44436" xr:uid="{00000000-0005-0000-0000-00004A910000}"/>
    <cellStyle name="40 % - Markeringsfarve6 5 2 2 2 4" xfId="22449" xr:uid="{00000000-0005-0000-0000-00004B910000}"/>
    <cellStyle name="40 % - Markeringsfarve6 5 2 2 2 5" xfId="37437" xr:uid="{00000000-0005-0000-0000-00004C910000}"/>
    <cellStyle name="40 % - Markeringsfarve6 5 2 2 3" xfId="6205" xr:uid="{00000000-0005-0000-0000-00004D910000}"/>
    <cellStyle name="40 % - Markeringsfarve6 5 2 2 3 2" xfId="14123" xr:uid="{00000000-0005-0000-0000-00004E910000}"/>
    <cellStyle name="40 % - Markeringsfarve6 5 2 2 3 2 2" xfId="30438" xr:uid="{00000000-0005-0000-0000-00004F910000}"/>
    <cellStyle name="40 % - Markeringsfarve6 5 2 2 3 2 3" xfId="45402" xr:uid="{00000000-0005-0000-0000-000050910000}"/>
    <cellStyle name="40 % - Markeringsfarve6 5 2 2 3 3" xfId="23416" xr:uid="{00000000-0005-0000-0000-000051910000}"/>
    <cellStyle name="40 % - Markeringsfarve6 5 2 2 3 4" xfId="38403" xr:uid="{00000000-0005-0000-0000-000052910000}"/>
    <cellStyle name="40 % - Markeringsfarve6 5 2 2 4" xfId="13150" xr:uid="{00000000-0005-0000-0000-000053910000}"/>
    <cellStyle name="40 % - Markeringsfarve6 5 2 2 4 2" xfId="29470" xr:uid="{00000000-0005-0000-0000-000054910000}"/>
    <cellStyle name="40 % - Markeringsfarve6 5 2 2 4 3" xfId="44435" xr:uid="{00000000-0005-0000-0000-000055910000}"/>
    <cellStyle name="40 % - Markeringsfarve6 5 2 2 5" xfId="22448" xr:uid="{00000000-0005-0000-0000-000056910000}"/>
    <cellStyle name="40 % - Markeringsfarve6 5 2 2 6" xfId="37436" xr:uid="{00000000-0005-0000-0000-000057910000}"/>
    <cellStyle name="40 % - Markeringsfarve6 5 2 2 7" xfId="57150" xr:uid="{00000000-0005-0000-0000-000058910000}"/>
    <cellStyle name="40 % - Markeringsfarve6 5 2 3" xfId="4592" xr:uid="{00000000-0005-0000-0000-000059910000}"/>
    <cellStyle name="40 % - Markeringsfarve6 5 2 3 2" xfId="6866" xr:uid="{00000000-0005-0000-0000-00005A910000}"/>
    <cellStyle name="40 % - Markeringsfarve6 5 2 3 2 2" xfId="14778" xr:uid="{00000000-0005-0000-0000-00005B910000}"/>
    <cellStyle name="40 % - Markeringsfarve6 5 2 3 2 2 2" xfId="31093" xr:uid="{00000000-0005-0000-0000-00005C910000}"/>
    <cellStyle name="40 % - Markeringsfarve6 5 2 3 2 2 3" xfId="46057" xr:uid="{00000000-0005-0000-0000-00005D910000}"/>
    <cellStyle name="40 % - Markeringsfarve6 5 2 3 2 3" xfId="24071" xr:uid="{00000000-0005-0000-0000-00005E910000}"/>
    <cellStyle name="40 % - Markeringsfarve6 5 2 3 2 4" xfId="39058" xr:uid="{00000000-0005-0000-0000-00005F910000}"/>
    <cellStyle name="40 % - Markeringsfarve6 5 2 3 3" xfId="13152" xr:uid="{00000000-0005-0000-0000-000060910000}"/>
    <cellStyle name="40 % - Markeringsfarve6 5 2 3 3 2" xfId="29472" xr:uid="{00000000-0005-0000-0000-000061910000}"/>
    <cellStyle name="40 % - Markeringsfarve6 5 2 3 3 3" xfId="44437" xr:uid="{00000000-0005-0000-0000-000062910000}"/>
    <cellStyle name="40 % - Markeringsfarve6 5 2 3 4" xfId="22450" xr:uid="{00000000-0005-0000-0000-000063910000}"/>
    <cellStyle name="40 % - Markeringsfarve6 5 2 3 5" xfId="37438" xr:uid="{00000000-0005-0000-0000-000064910000}"/>
    <cellStyle name="40 % - Markeringsfarve6 5 2 4" xfId="4593" xr:uid="{00000000-0005-0000-0000-000065910000}"/>
    <cellStyle name="40 % - Markeringsfarve6 5 2 4 2" xfId="8346" xr:uid="{00000000-0005-0000-0000-000066910000}"/>
    <cellStyle name="40 % - Markeringsfarve6 5 2 4 2 2" xfId="16240" xr:uid="{00000000-0005-0000-0000-000067910000}"/>
    <cellStyle name="40 % - Markeringsfarve6 5 2 4 2 2 2" xfId="32555" xr:uid="{00000000-0005-0000-0000-000068910000}"/>
    <cellStyle name="40 % - Markeringsfarve6 5 2 4 2 2 3" xfId="47519" xr:uid="{00000000-0005-0000-0000-000069910000}"/>
    <cellStyle name="40 % - Markeringsfarve6 5 2 4 2 3" xfId="25533" xr:uid="{00000000-0005-0000-0000-00006A910000}"/>
    <cellStyle name="40 % - Markeringsfarve6 5 2 4 2 4" xfId="40520" xr:uid="{00000000-0005-0000-0000-00006B910000}"/>
    <cellStyle name="40 % - Markeringsfarve6 5 2 4 3" xfId="13153" xr:uid="{00000000-0005-0000-0000-00006C910000}"/>
    <cellStyle name="40 % - Markeringsfarve6 5 2 4 3 2" xfId="29473" xr:uid="{00000000-0005-0000-0000-00006D910000}"/>
    <cellStyle name="40 % - Markeringsfarve6 5 2 4 3 3" xfId="44438" xr:uid="{00000000-0005-0000-0000-00006E910000}"/>
    <cellStyle name="40 % - Markeringsfarve6 5 2 4 4" xfId="22451" xr:uid="{00000000-0005-0000-0000-00006F910000}"/>
    <cellStyle name="40 % - Markeringsfarve6 5 2 4 5" xfId="37439" xr:uid="{00000000-0005-0000-0000-000070910000}"/>
    <cellStyle name="40 % - Markeringsfarve6 5 2 5" xfId="6014" xr:uid="{00000000-0005-0000-0000-000071910000}"/>
    <cellStyle name="40 % - Markeringsfarve6 5 2 5 2" xfId="13933" xr:uid="{00000000-0005-0000-0000-000072910000}"/>
    <cellStyle name="40 % - Markeringsfarve6 5 2 5 2 2" xfId="30248" xr:uid="{00000000-0005-0000-0000-000073910000}"/>
    <cellStyle name="40 % - Markeringsfarve6 5 2 5 2 3" xfId="45212" xr:uid="{00000000-0005-0000-0000-000074910000}"/>
    <cellStyle name="40 % - Markeringsfarve6 5 2 5 3" xfId="23226" xr:uid="{00000000-0005-0000-0000-000075910000}"/>
    <cellStyle name="40 % - Markeringsfarve6 5 2 5 4" xfId="38213" xr:uid="{00000000-0005-0000-0000-000076910000}"/>
    <cellStyle name="40 % - Markeringsfarve6 5 2 6" xfId="13149" xr:uid="{00000000-0005-0000-0000-000077910000}"/>
    <cellStyle name="40 % - Markeringsfarve6 5 2 6 2" xfId="29469" xr:uid="{00000000-0005-0000-0000-000078910000}"/>
    <cellStyle name="40 % - Markeringsfarve6 5 2 6 3" xfId="44434" xr:uid="{00000000-0005-0000-0000-000079910000}"/>
    <cellStyle name="40 % - Markeringsfarve6 5 2 7" xfId="22447" xr:uid="{00000000-0005-0000-0000-00007A910000}"/>
    <cellStyle name="40 % - Markeringsfarve6 5 2 8" xfId="37435" xr:uid="{00000000-0005-0000-0000-00007B910000}"/>
    <cellStyle name="40 % - Markeringsfarve6 5 2 9" xfId="53983" xr:uid="{00000000-0005-0000-0000-00007C910000}"/>
    <cellStyle name="40 % - Markeringsfarve6 5 3" xfId="4594" xr:uid="{00000000-0005-0000-0000-00007D910000}"/>
    <cellStyle name="40 % - Markeringsfarve6 5 3 2" xfId="4595" xr:uid="{00000000-0005-0000-0000-00007E910000}"/>
    <cellStyle name="40 % - Markeringsfarve6 5 3 2 2" xfId="4596" xr:uid="{00000000-0005-0000-0000-00007F910000}"/>
    <cellStyle name="40 % - Markeringsfarve6 5 3 2 2 2" xfId="7772" xr:uid="{00000000-0005-0000-0000-000080910000}"/>
    <cellStyle name="40 % - Markeringsfarve6 5 3 2 2 2 2" xfId="15674" xr:uid="{00000000-0005-0000-0000-000081910000}"/>
    <cellStyle name="40 % - Markeringsfarve6 5 3 2 2 2 2 2" xfId="31989" xr:uid="{00000000-0005-0000-0000-000082910000}"/>
    <cellStyle name="40 % - Markeringsfarve6 5 3 2 2 2 2 3" xfId="46953" xr:uid="{00000000-0005-0000-0000-000083910000}"/>
    <cellStyle name="40 % - Markeringsfarve6 5 3 2 2 2 3" xfId="24967" xr:uid="{00000000-0005-0000-0000-000084910000}"/>
    <cellStyle name="40 % - Markeringsfarve6 5 3 2 2 2 4" xfId="39954" xr:uid="{00000000-0005-0000-0000-000085910000}"/>
    <cellStyle name="40 % - Markeringsfarve6 5 3 2 2 3" xfId="13156" xr:uid="{00000000-0005-0000-0000-000086910000}"/>
    <cellStyle name="40 % - Markeringsfarve6 5 3 2 2 3 2" xfId="29476" xr:uid="{00000000-0005-0000-0000-000087910000}"/>
    <cellStyle name="40 % - Markeringsfarve6 5 3 2 2 3 3" xfId="44441" xr:uid="{00000000-0005-0000-0000-000088910000}"/>
    <cellStyle name="40 % - Markeringsfarve6 5 3 2 2 4" xfId="22454" xr:uid="{00000000-0005-0000-0000-000089910000}"/>
    <cellStyle name="40 % - Markeringsfarve6 5 3 2 2 5" xfId="37442" xr:uid="{00000000-0005-0000-0000-00008A910000}"/>
    <cellStyle name="40 % - Markeringsfarve6 5 3 2 3" xfId="6318" xr:uid="{00000000-0005-0000-0000-00008B910000}"/>
    <cellStyle name="40 % - Markeringsfarve6 5 3 2 3 2" xfId="14236" xr:uid="{00000000-0005-0000-0000-00008C910000}"/>
    <cellStyle name="40 % - Markeringsfarve6 5 3 2 3 2 2" xfId="30551" xr:uid="{00000000-0005-0000-0000-00008D910000}"/>
    <cellStyle name="40 % - Markeringsfarve6 5 3 2 3 2 3" xfId="45515" xr:uid="{00000000-0005-0000-0000-00008E910000}"/>
    <cellStyle name="40 % - Markeringsfarve6 5 3 2 3 3" xfId="23529" xr:uid="{00000000-0005-0000-0000-00008F910000}"/>
    <cellStyle name="40 % - Markeringsfarve6 5 3 2 3 4" xfId="38516" xr:uid="{00000000-0005-0000-0000-000090910000}"/>
    <cellStyle name="40 % - Markeringsfarve6 5 3 2 4" xfId="13155" xr:uid="{00000000-0005-0000-0000-000091910000}"/>
    <cellStyle name="40 % - Markeringsfarve6 5 3 2 4 2" xfId="29475" xr:uid="{00000000-0005-0000-0000-000092910000}"/>
    <cellStyle name="40 % - Markeringsfarve6 5 3 2 4 3" xfId="44440" xr:uid="{00000000-0005-0000-0000-000093910000}"/>
    <cellStyle name="40 % - Markeringsfarve6 5 3 2 5" xfId="22453" xr:uid="{00000000-0005-0000-0000-000094910000}"/>
    <cellStyle name="40 % - Markeringsfarve6 5 3 2 6" xfId="37441" xr:uid="{00000000-0005-0000-0000-000095910000}"/>
    <cellStyle name="40 % - Markeringsfarve6 5 3 3" xfId="4597" xr:uid="{00000000-0005-0000-0000-000096910000}"/>
    <cellStyle name="40 % - Markeringsfarve6 5 3 3 2" xfId="7002" xr:uid="{00000000-0005-0000-0000-000097910000}"/>
    <cellStyle name="40 % - Markeringsfarve6 5 3 3 2 2" xfId="14914" xr:uid="{00000000-0005-0000-0000-000098910000}"/>
    <cellStyle name="40 % - Markeringsfarve6 5 3 3 2 2 2" xfId="31229" xr:uid="{00000000-0005-0000-0000-000099910000}"/>
    <cellStyle name="40 % - Markeringsfarve6 5 3 3 2 2 3" xfId="46193" xr:uid="{00000000-0005-0000-0000-00009A910000}"/>
    <cellStyle name="40 % - Markeringsfarve6 5 3 3 2 3" xfId="24207" xr:uid="{00000000-0005-0000-0000-00009B910000}"/>
    <cellStyle name="40 % - Markeringsfarve6 5 3 3 2 4" xfId="39194" xr:uid="{00000000-0005-0000-0000-00009C910000}"/>
    <cellStyle name="40 % - Markeringsfarve6 5 3 3 3" xfId="13157" xr:uid="{00000000-0005-0000-0000-00009D910000}"/>
    <cellStyle name="40 % - Markeringsfarve6 5 3 3 3 2" xfId="29477" xr:uid="{00000000-0005-0000-0000-00009E910000}"/>
    <cellStyle name="40 % - Markeringsfarve6 5 3 3 3 3" xfId="44442" xr:uid="{00000000-0005-0000-0000-00009F910000}"/>
    <cellStyle name="40 % - Markeringsfarve6 5 3 3 4" xfId="22455" xr:uid="{00000000-0005-0000-0000-0000A0910000}"/>
    <cellStyle name="40 % - Markeringsfarve6 5 3 3 5" xfId="37443" xr:uid="{00000000-0005-0000-0000-0000A1910000}"/>
    <cellStyle name="40 % - Markeringsfarve6 5 3 4" xfId="4598" xr:uid="{00000000-0005-0000-0000-0000A2910000}"/>
    <cellStyle name="40 % - Markeringsfarve6 5 3 4 2" xfId="8562" xr:uid="{00000000-0005-0000-0000-0000A3910000}"/>
    <cellStyle name="40 % - Markeringsfarve6 5 3 4 2 2" xfId="16446" xr:uid="{00000000-0005-0000-0000-0000A4910000}"/>
    <cellStyle name="40 % - Markeringsfarve6 5 3 4 2 2 2" xfId="32761" xr:uid="{00000000-0005-0000-0000-0000A5910000}"/>
    <cellStyle name="40 % - Markeringsfarve6 5 3 4 2 2 3" xfId="47725" xr:uid="{00000000-0005-0000-0000-0000A6910000}"/>
    <cellStyle name="40 % - Markeringsfarve6 5 3 4 2 3" xfId="25739" xr:uid="{00000000-0005-0000-0000-0000A7910000}"/>
    <cellStyle name="40 % - Markeringsfarve6 5 3 4 2 4" xfId="40726" xr:uid="{00000000-0005-0000-0000-0000A8910000}"/>
    <cellStyle name="40 % - Markeringsfarve6 5 3 4 3" xfId="13158" xr:uid="{00000000-0005-0000-0000-0000A9910000}"/>
    <cellStyle name="40 % - Markeringsfarve6 5 3 4 3 2" xfId="29478" xr:uid="{00000000-0005-0000-0000-0000AA910000}"/>
    <cellStyle name="40 % - Markeringsfarve6 5 3 4 3 3" xfId="44443" xr:uid="{00000000-0005-0000-0000-0000AB910000}"/>
    <cellStyle name="40 % - Markeringsfarve6 5 3 4 4" xfId="22456" xr:uid="{00000000-0005-0000-0000-0000AC910000}"/>
    <cellStyle name="40 % - Markeringsfarve6 5 3 4 5" xfId="37444" xr:uid="{00000000-0005-0000-0000-0000AD910000}"/>
    <cellStyle name="40 % - Markeringsfarve6 5 3 5" xfId="6015" xr:uid="{00000000-0005-0000-0000-0000AE910000}"/>
    <cellStyle name="40 % - Markeringsfarve6 5 3 5 2" xfId="13934" xr:uid="{00000000-0005-0000-0000-0000AF910000}"/>
    <cellStyle name="40 % - Markeringsfarve6 5 3 5 2 2" xfId="30249" xr:uid="{00000000-0005-0000-0000-0000B0910000}"/>
    <cellStyle name="40 % - Markeringsfarve6 5 3 5 2 3" xfId="45213" xr:uid="{00000000-0005-0000-0000-0000B1910000}"/>
    <cellStyle name="40 % - Markeringsfarve6 5 3 5 3" xfId="23227" xr:uid="{00000000-0005-0000-0000-0000B2910000}"/>
    <cellStyle name="40 % - Markeringsfarve6 5 3 5 4" xfId="38214" xr:uid="{00000000-0005-0000-0000-0000B3910000}"/>
    <cellStyle name="40 % - Markeringsfarve6 5 3 6" xfId="13154" xr:uid="{00000000-0005-0000-0000-0000B4910000}"/>
    <cellStyle name="40 % - Markeringsfarve6 5 3 6 2" xfId="29474" xr:uid="{00000000-0005-0000-0000-0000B5910000}"/>
    <cellStyle name="40 % - Markeringsfarve6 5 3 6 3" xfId="44439" xr:uid="{00000000-0005-0000-0000-0000B6910000}"/>
    <cellStyle name="40 % - Markeringsfarve6 5 3 7" xfId="22452" xr:uid="{00000000-0005-0000-0000-0000B7910000}"/>
    <cellStyle name="40 % - Markeringsfarve6 5 3 8" xfId="37440" xr:uid="{00000000-0005-0000-0000-0000B8910000}"/>
    <cellStyle name="40 % - Markeringsfarve6 5 3 9" xfId="56527" xr:uid="{00000000-0005-0000-0000-0000B9910000}"/>
    <cellStyle name="40 % - Markeringsfarve6 5 4" xfId="4599" xr:uid="{00000000-0005-0000-0000-0000BA910000}"/>
    <cellStyle name="40 % - Markeringsfarve6 5 4 2" xfId="4600" xr:uid="{00000000-0005-0000-0000-0000BB910000}"/>
    <cellStyle name="40 % - Markeringsfarve6 5 4 2 2" xfId="4601" xr:uid="{00000000-0005-0000-0000-0000BC910000}"/>
    <cellStyle name="40 % - Markeringsfarve6 5 4 2 2 2" xfId="7874" xr:uid="{00000000-0005-0000-0000-0000BD910000}"/>
    <cellStyle name="40 % - Markeringsfarve6 5 4 2 2 2 2" xfId="15776" xr:uid="{00000000-0005-0000-0000-0000BE910000}"/>
    <cellStyle name="40 % - Markeringsfarve6 5 4 2 2 2 2 2" xfId="32091" xr:uid="{00000000-0005-0000-0000-0000BF910000}"/>
    <cellStyle name="40 % - Markeringsfarve6 5 4 2 2 2 2 3" xfId="47055" xr:uid="{00000000-0005-0000-0000-0000C0910000}"/>
    <cellStyle name="40 % - Markeringsfarve6 5 4 2 2 2 3" xfId="25069" xr:uid="{00000000-0005-0000-0000-0000C1910000}"/>
    <cellStyle name="40 % - Markeringsfarve6 5 4 2 2 2 4" xfId="40056" xr:uid="{00000000-0005-0000-0000-0000C2910000}"/>
    <cellStyle name="40 % - Markeringsfarve6 5 4 2 2 3" xfId="13161" xr:uid="{00000000-0005-0000-0000-0000C3910000}"/>
    <cellStyle name="40 % - Markeringsfarve6 5 4 2 2 3 2" xfId="29481" xr:uid="{00000000-0005-0000-0000-0000C4910000}"/>
    <cellStyle name="40 % - Markeringsfarve6 5 4 2 2 3 3" xfId="44446" xr:uid="{00000000-0005-0000-0000-0000C5910000}"/>
    <cellStyle name="40 % - Markeringsfarve6 5 4 2 2 4" xfId="22459" xr:uid="{00000000-0005-0000-0000-0000C6910000}"/>
    <cellStyle name="40 % - Markeringsfarve6 5 4 2 2 5" xfId="37447" xr:uid="{00000000-0005-0000-0000-0000C7910000}"/>
    <cellStyle name="40 % - Markeringsfarve6 5 4 2 3" xfId="6407" xr:uid="{00000000-0005-0000-0000-0000C8910000}"/>
    <cellStyle name="40 % - Markeringsfarve6 5 4 2 3 2" xfId="14322" xr:uid="{00000000-0005-0000-0000-0000C9910000}"/>
    <cellStyle name="40 % - Markeringsfarve6 5 4 2 3 2 2" xfId="30637" xr:uid="{00000000-0005-0000-0000-0000CA910000}"/>
    <cellStyle name="40 % - Markeringsfarve6 5 4 2 3 2 3" xfId="45601" xr:uid="{00000000-0005-0000-0000-0000CB910000}"/>
    <cellStyle name="40 % - Markeringsfarve6 5 4 2 3 3" xfId="23615" xr:uid="{00000000-0005-0000-0000-0000CC910000}"/>
    <cellStyle name="40 % - Markeringsfarve6 5 4 2 3 4" xfId="38602" xr:uid="{00000000-0005-0000-0000-0000CD910000}"/>
    <cellStyle name="40 % - Markeringsfarve6 5 4 2 4" xfId="13160" xr:uid="{00000000-0005-0000-0000-0000CE910000}"/>
    <cellStyle name="40 % - Markeringsfarve6 5 4 2 4 2" xfId="29480" xr:uid="{00000000-0005-0000-0000-0000CF910000}"/>
    <cellStyle name="40 % - Markeringsfarve6 5 4 2 4 3" xfId="44445" xr:uid="{00000000-0005-0000-0000-0000D0910000}"/>
    <cellStyle name="40 % - Markeringsfarve6 5 4 2 5" xfId="22458" xr:uid="{00000000-0005-0000-0000-0000D1910000}"/>
    <cellStyle name="40 % - Markeringsfarve6 5 4 2 6" xfId="37446" xr:uid="{00000000-0005-0000-0000-0000D2910000}"/>
    <cellStyle name="40 % - Markeringsfarve6 5 4 3" xfId="4602" xr:uid="{00000000-0005-0000-0000-0000D3910000}"/>
    <cellStyle name="40 % - Markeringsfarve6 5 4 3 2" xfId="7150" xr:uid="{00000000-0005-0000-0000-0000D4910000}"/>
    <cellStyle name="40 % - Markeringsfarve6 5 4 3 2 2" xfId="15061" xr:uid="{00000000-0005-0000-0000-0000D5910000}"/>
    <cellStyle name="40 % - Markeringsfarve6 5 4 3 2 2 2" xfId="31376" xr:uid="{00000000-0005-0000-0000-0000D6910000}"/>
    <cellStyle name="40 % - Markeringsfarve6 5 4 3 2 2 3" xfId="46340" xr:uid="{00000000-0005-0000-0000-0000D7910000}"/>
    <cellStyle name="40 % - Markeringsfarve6 5 4 3 2 3" xfId="24354" xr:uid="{00000000-0005-0000-0000-0000D8910000}"/>
    <cellStyle name="40 % - Markeringsfarve6 5 4 3 2 4" xfId="39341" xr:uid="{00000000-0005-0000-0000-0000D9910000}"/>
    <cellStyle name="40 % - Markeringsfarve6 5 4 3 3" xfId="13162" xr:uid="{00000000-0005-0000-0000-0000DA910000}"/>
    <cellStyle name="40 % - Markeringsfarve6 5 4 3 3 2" xfId="29482" xr:uid="{00000000-0005-0000-0000-0000DB910000}"/>
    <cellStyle name="40 % - Markeringsfarve6 5 4 3 3 3" xfId="44447" xr:uid="{00000000-0005-0000-0000-0000DC910000}"/>
    <cellStyle name="40 % - Markeringsfarve6 5 4 3 4" xfId="22460" xr:uid="{00000000-0005-0000-0000-0000DD910000}"/>
    <cellStyle name="40 % - Markeringsfarve6 5 4 3 5" xfId="37448" xr:uid="{00000000-0005-0000-0000-0000DE910000}"/>
    <cellStyle name="40 % - Markeringsfarve6 5 4 4" xfId="4603" xr:uid="{00000000-0005-0000-0000-0000DF910000}"/>
    <cellStyle name="40 % - Markeringsfarve6 5 4 4 2" xfId="8212" xr:uid="{00000000-0005-0000-0000-0000E0910000}"/>
    <cellStyle name="40 % - Markeringsfarve6 5 4 4 2 2" xfId="16107" xr:uid="{00000000-0005-0000-0000-0000E1910000}"/>
    <cellStyle name="40 % - Markeringsfarve6 5 4 4 2 2 2" xfId="32422" xr:uid="{00000000-0005-0000-0000-0000E2910000}"/>
    <cellStyle name="40 % - Markeringsfarve6 5 4 4 2 2 3" xfId="47386" xr:uid="{00000000-0005-0000-0000-0000E3910000}"/>
    <cellStyle name="40 % - Markeringsfarve6 5 4 4 2 3" xfId="25400" xr:uid="{00000000-0005-0000-0000-0000E4910000}"/>
    <cellStyle name="40 % - Markeringsfarve6 5 4 4 2 4" xfId="40387" xr:uid="{00000000-0005-0000-0000-0000E5910000}"/>
    <cellStyle name="40 % - Markeringsfarve6 5 4 4 3" xfId="13163" xr:uid="{00000000-0005-0000-0000-0000E6910000}"/>
    <cellStyle name="40 % - Markeringsfarve6 5 4 4 3 2" xfId="29483" xr:uid="{00000000-0005-0000-0000-0000E7910000}"/>
    <cellStyle name="40 % - Markeringsfarve6 5 4 4 3 3" xfId="44448" xr:uid="{00000000-0005-0000-0000-0000E8910000}"/>
    <cellStyle name="40 % - Markeringsfarve6 5 4 4 4" xfId="22461" xr:uid="{00000000-0005-0000-0000-0000E9910000}"/>
    <cellStyle name="40 % - Markeringsfarve6 5 4 4 5" xfId="37449" xr:uid="{00000000-0005-0000-0000-0000EA910000}"/>
    <cellStyle name="40 % - Markeringsfarve6 5 4 5" xfId="6016" xr:uid="{00000000-0005-0000-0000-0000EB910000}"/>
    <cellStyle name="40 % - Markeringsfarve6 5 4 5 2" xfId="13935" xr:uid="{00000000-0005-0000-0000-0000EC910000}"/>
    <cellStyle name="40 % - Markeringsfarve6 5 4 5 2 2" xfId="30250" xr:uid="{00000000-0005-0000-0000-0000ED910000}"/>
    <cellStyle name="40 % - Markeringsfarve6 5 4 5 2 3" xfId="45214" xr:uid="{00000000-0005-0000-0000-0000EE910000}"/>
    <cellStyle name="40 % - Markeringsfarve6 5 4 5 3" xfId="23228" xr:uid="{00000000-0005-0000-0000-0000EF910000}"/>
    <cellStyle name="40 % - Markeringsfarve6 5 4 5 4" xfId="38215" xr:uid="{00000000-0005-0000-0000-0000F0910000}"/>
    <cellStyle name="40 % - Markeringsfarve6 5 4 6" xfId="13159" xr:uid="{00000000-0005-0000-0000-0000F1910000}"/>
    <cellStyle name="40 % - Markeringsfarve6 5 4 6 2" xfId="29479" xr:uid="{00000000-0005-0000-0000-0000F2910000}"/>
    <cellStyle name="40 % - Markeringsfarve6 5 4 6 3" xfId="44444" xr:uid="{00000000-0005-0000-0000-0000F3910000}"/>
    <cellStyle name="40 % - Markeringsfarve6 5 4 7" xfId="22457" xr:uid="{00000000-0005-0000-0000-0000F4910000}"/>
    <cellStyle name="40 % - Markeringsfarve6 5 4 8" xfId="37445" xr:uid="{00000000-0005-0000-0000-0000F5910000}"/>
    <cellStyle name="40 % - Markeringsfarve6 5 5" xfId="4604" xr:uid="{00000000-0005-0000-0000-0000F6910000}"/>
    <cellStyle name="40 % - Markeringsfarve6 5 5 2" xfId="4605" xr:uid="{00000000-0005-0000-0000-0000F7910000}"/>
    <cellStyle name="40 % - Markeringsfarve6 5 5 2 2" xfId="4606" xr:uid="{00000000-0005-0000-0000-0000F8910000}"/>
    <cellStyle name="40 % - Markeringsfarve6 5 5 2 2 2" xfId="7991" xr:uid="{00000000-0005-0000-0000-0000F9910000}"/>
    <cellStyle name="40 % - Markeringsfarve6 5 5 2 2 2 2" xfId="15893" xr:uid="{00000000-0005-0000-0000-0000FA910000}"/>
    <cellStyle name="40 % - Markeringsfarve6 5 5 2 2 2 2 2" xfId="32208" xr:uid="{00000000-0005-0000-0000-0000FB910000}"/>
    <cellStyle name="40 % - Markeringsfarve6 5 5 2 2 2 2 3" xfId="47172" xr:uid="{00000000-0005-0000-0000-0000FC910000}"/>
    <cellStyle name="40 % - Markeringsfarve6 5 5 2 2 2 3" xfId="25186" xr:uid="{00000000-0005-0000-0000-0000FD910000}"/>
    <cellStyle name="40 % - Markeringsfarve6 5 5 2 2 2 4" xfId="40173" xr:uid="{00000000-0005-0000-0000-0000FE910000}"/>
    <cellStyle name="40 % - Markeringsfarve6 5 5 2 2 3" xfId="13166" xr:uid="{00000000-0005-0000-0000-0000FF910000}"/>
    <cellStyle name="40 % - Markeringsfarve6 5 5 2 2 3 2" xfId="29486" xr:uid="{00000000-0005-0000-0000-000000920000}"/>
    <cellStyle name="40 % - Markeringsfarve6 5 5 2 2 3 3" xfId="44451" xr:uid="{00000000-0005-0000-0000-000001920000}"/>
    <cellStyle name="40 % - Markeringsfarve6 5 5 2 2 4" xfId="22464" xr:uid="{00000000-0005-0000-0000-000002920000}"/>
    <cellStyle name="40 % - Markeringsfarve6 5 5 2 2 5" xfId="37452" xr:uid="{00000000-0005-0000-0000-000003920000}"/>
    <cellStyle name="40 % - Markeringsfarve6 5 5 2 3" xfId="6506" xr:uid="{00000000-0005-0000-0000-000004920000}"/>
    <cellStyle name="40 % - Markeringsfarve6 5 5 2 3 2" xfId="14421" xr:uid="{00000000-0005-0000-0000-000005920000}"/>
    <cellStyle name="40 % - Markeringsfarve6 5 5 2 3 2 2" xfId="30736" xr:uid="{00000000-0005-0000-0000-000006920000}"/>
    <cellStyle name="40 % - Markeringsfarve6 5 5 2 3 2 3" xfId="45700" xr:uid="{00000000-0005-0000-0000-000007920000}"/>
    <cellStyle name="40 % - Markeringsfarve6 5 5 2 3 3" xfId="23714" xr:uid="{00000000-0005-0000-0000-000008920000}"/>
    <cellStyle name="40 % - Markeringsfarve6 5 5 2 3 4" xfId="38701" xr:uid="{00000000-0005-0000-0000-000009920000}"/>
    <cellStyle name="40 % - Markeringsfarve6 5 5 2 4" xfId="13165" xr:uid="{00000000-0005-0000-0000-00000A920000}"/>
    <cellStyle name="40 % - Markeringsfarve6 5 5 2 4 2" xfId="29485" xr:uid="{00000000-0005-0000-0000-00000B920000}"/>
    <cellStyle name="40 % - Markeringsfarve6 5 5 2 4 3" xfId="44450" xr:uid="{00000000-0005-0000-0000-00000C920000}"/>
    <cellStyle name="40 % - Markeringsfarve6 5 5 2 5" xfId="22463" xr:uid="{00000000-0005-0000-0000-00000D920000}"/>
    <cellStyle name="40 % - Markeringsfarve6 5 5 2 6" xfId="37451" xr:uid="{00000000-0005-0000-0000-00000E920000}"/>
    <cellStyle name="40 % - Markeringsfarve6 5 5 3" xfId="4607" xr:uid="{00000000-0005-0000-0000-00000F920000}"/>
    <cellStyle name="40 % - Markeringsfarve6 5 5 3 2" xfId="7267" xr:uid="{00000000-0005-0000-0000-000010920000}"/>
    <cellStyle name="40 % - Markeringsfarve6 5 5 3 2 2" xfId="15178" xr:uid="{00000000-0005-0000-0000-000011920000}"/>
    <cellStyle name="40 % - Markeringsfarve6 5 5 3 2 2 2" xfId="31493" xr:uid="{00000000-0005-0000-0000-000012920000}"/>
    <cellStyle name="40 % - Markeringsfarve6 5 5 3 2 2 3" xfId="46457" xr:uid="{00000000-0005-0000-0000-000013920000}"/>
    <cellStyle name="40 % - Markeringsfarve6 5 5 3 2 3" xfId="24471" xr:uid="{00000000-0005-0000-0000-000014920000}"/>
    <cellStyle name="40 % - Markeringsfarve6 5 5 3 2 4" xfId="39458" xr:uid="{00000000-0005-0000-0000-000015920000}"/>
    <cellStyle name="40 % - Markeringsfarve6 5 5 3 3" xfId="13167" xr:uid="{00000000-0005-0000-0000-000016920000}"/>
    <cellStyle name="40 % - Markeringsfarve6 5 5 3 3 2" xfId="29487" xr:uid="{00000000-0005-0000-0000-000017920000}"/>
    <cellStyle name="40 % - Markeringsfarve6 5 5 3 3 3" xfId="44452" xr:uid="{00000000-0005-0000-0000-000018920000}"/>
    <cellStyle name="40 % - Markeringsfarve6 5 5 3 4" xfId="22465" xr:uid="{00000000-0005-0000-0000-000019920000}"/>
    <cellStyle name="40 % - Markeringsfarve6 5 5 3 5" xfId="37453" xr:uid="{00000000-0005-0000-0000-00001A920000}"/>
    <cellStyle name="40 % - Markeringsfarve6 5 5 4" xfId="4608" xr:uid="{00000000-0005-0000-0000-00001B920000}"/>
    <cellStyle name="40 % - Markeringsfarve6 5 5 4 2" xfId="8530" xr:uid="{00000000-0005-0000-0000-00001C920000}"/>
    <cellStyle name="40 % - Markeringsfarve6 5 5 4 2 2" xfId="16418" xr:uid="{00000000-0005-0000-0000-00001D920000}"/>
    <cellStyle name="40 % - Markeringsfarve6 5 5 4 2 2 2" xfId="32733" xr:uid="{00000000-0005-0000-0000-00001E920000}"/>
    <cellStyle name="40 % - Markeringsfarve6 5 5 4 2 2 3" xfId="47697" xr:uid="{00000000-0005-0000-0000-00001F920000}"/>
    <cellStyle name="40 % - Markeringsfarve6 5 5 4 2 3" xfId="25711" xr:uid="{00000000-0005-0000-0000-000020920000}"/>
    <cellStyle name="40 % - Markeringsfarve6 5 5 4 2 4" xfId="40698" xr:uid="{00000000-0005-0000-0000-000021920000}"/>
    <cellStyle name="40 % - Markeringsfarve6 5 5 4 3" xfId="13168" xr:uid="{00000000-0005-0000-0000-000022920000}"/>
    <cellStyle name="40 % - Markeringsfarve6 5 5 4 3 2" xfId="29488" xr:uid="{00000000-0005-0000-0000-000023920000}"/>
    <cellStyle name="40 % - Markeringsfarve6 5 5 4 3 3" xfId="44453" xr:uid="{00000000-0005-0000-0000-000024920000}"/>
    <cellStyle name="40 % - Markeringsfarve6 5 5 4 4" xfId="22466" xr:uid="{00000000-0005-0000-0000-000025920000}"/>
    <cellStyle name="40 % - Markeringsfarve6 5 5 4 5" xfId="37454" xr:uid="{00000000-0005-0000-0000-000026920000}"/>
    <cellStyle name="40 % - Markeringsfarve6 5 5 5" xfId="6017" xr:uid="{00000000-0005-0000-0000-000027920000}"/>
    <cellStyle name="40 % - Markeringsfarve6 5 5 5 2" xfId="13936" xr:uid="{00000000-0005-0000-0000-000028920000}"/>
    <cellStyle name="40 % - Markeringsfarve6 5 5 5 2 2" xfId="30251" xr:uid="{00000000-0005-0000-0000-000029920000}"/>
    <cellStyle name="40 % - Markeringsfarve6 5 5 5 2 3" xfId="45215" xr:uid="{00000000-0005-0000-0000-00002A920000}"/>
    <cellStyle name="40 % - Markeringsfarve6 5 5 5 3" xfId="23229" xr:uid="{00000000-0005-0000-0000-00002B920000}"/>
    <cellStyle name="40 % - Markeringsfarve6 5 5 5 4" xfId="38216" xr:uid="{00000000-0005-0000-0000-00002C920000}"/>
    <cellStyle name="40 % - Markeringsfarve6 5 5 6" xfId="13164" xr:uid="{00000000-0005-0000-0000-00002D920000}"/>
    <cellStyle name="40 % - Markeringsfarve6 5 5 6 2" xfId="29484" xr:uid="{00000000-0005-0000-0000-00002E920000}"/>
    <cellStyle name="40 % - Markeringsfarve6 5 5 6 3" xfId="44449" xr:uid="{00000000-0005-0000-0000-00002F920000}"/>
    <cellStyle name="40 % - Markeringsfarve6 5 5 7" xfId="22462" xr:uid="{00000000-0005-0000-0000-000030920000}"/>
    <cellStyle name="40 % - Markeringsfarve6 5 5 8" xfId="37450" xr:uid="{00000000-0005-0000-0000-000031920000}"/>
    <cellStyle name="40 % - Markeringsfarve6 5 6" xfId="4609" xr:uid="{00000000-0005-0000-0000-000032920000}"/>
    <cellStyle name="40 % - Markeringsfarve6 5 6 2" xfId="4610" xr:uid="{00000000-0005-0000-0000-000033920000}"/>
    <cellStyle name="40 % - Markeringsfarve6 5 6 2 2" xfId="4611" xr:uid="{00000000-0005-0000-0000-000034920000}"/>
    <cellStyle name="40 % - Markeringsfarve6 5 6 2 2 2" xfId="8126" xr:uid="{00000000-0005-0000-0000-000035920000}"/>
    <cellStyle name="40 % - Markeringsfarve6 5 6 2 2 2 2" xfId="16028" xr:uid="{00000000-0005-0000-0000-000036920000}"/>
    <cellStyle name="40 % - Markeringsfarve6 5 6 2 2 2 2 2" xfId="32343" xr:uid="{00000000-0005-0000-0000-000037920000}"/>
    <cellStyle name="40 % - Markeringsfarve6 5 6 2 2 2 2 3" xfId="47307" xr:uid="{00000000-0005-0000-0000-000038920000}"/>
    <cellStyle name="40 % - Markeringsfarve6 5 6 2 2 2 3" xfId="25321" xr:uid="{00000000-0005-0000-0000-000039920000}"/>
    <cellStyle name="40 % - Markeringsfarve6 5 6 2 2 2 4" xfId="40308" xr:uid="{00000000-0005-0000-0000-00003A920000}"/>
    <cellStyle name="40 % - Markeringsfarve6 5 6 2 2 3" xfId="13171" xr:uid="{00000000-0005-0000-0000-00003B920000}"/>
    <cellStyle name="40 % - Markeringsfarve6 5 6 2 2 3 2" xfId="29491" xr:uid="{00000000-0005-0000-0000-00003C920000}"/>
    <cellStyle name="40 % - Markeringsfarve6 5 6 2 2 3 3" xfId="44456" xr:uid="{00000000-0005-0000-0000-00003D920000}"/>
    <cellStyle name="40 % - Markeringsfarve6 5 6 2 2 4" xfId="22469" xr:uid="{00000000-0005-0000-0000-00003E920000}"/>
    <cellStyle name="40 % - Markeringsfarve6 5 6 2 2 5" xfId="37457" xr:uid="{00000000-0005-0000-0000-00003F920000}"/>
    <cellStyle name="40 % - Markeringsfarve6 5 6 2 3" xfId="6619" xr:uid="{00000000-0005-0000-0000-000040920000}"/>
    <cellStyle name="40 % - Markeringsfarve6 5 6 2 3 2" xfId="14534" xr:uid="{00000000-0005-0000-0000-000041920000}"/>
    <cellStyle name="40 % - Markeringsfarve6 5 6 2 3 2 2" xfId="30849" xr:uid="{00000000-0005-0000-0000-000042920000}"/>
    <cellStyle name="40 % - Markeringsfarve6 5 6 2 3 2 3" xfId="45813" xr:uid="{00000000-0005-0000-0000-000043920000}"/>
    <cellStyle name="40 % - Markeringsfarve6 5 6 2 3 3" xfId="23827" xr:uid="{00000000-0005-0000-0000-000044920000}"/>
    <cellStyle name="40 % - Markeringsfarve6 5 6 2 3 4" xfId="38814" xr:uid="{00000000-0005-0000-0000-000045920000}"/>
    <cellStyle name="40 % - Markeringsfarve6 5 6 2 4" xfId="13170" xr:uid="{00000000-0005-0000-0000-000046920000}"/>
    <cellStyle name="40 % - Markeringsfarve6 5 6 2 4 2" xfId="29490" xr:uid="{00000000-0005-0000-0000-000047920000}"/>
    <cellStyle name="40 % - Markeringsfarve6 5 6 2 4 3" xfId="44455" xr:uid="{00000000-0005-0000-0000-000048920000}"/>
    <cellStyle name="40 % - Markeringsfarve6 5 6 2 5" xfId="22468" xr:uid="{00000000-0005-0000-0000-000049920000}"/>
    <cellStyle name="40 % - Markeringsfarve6 5 6 2 6" xfId="37456" xr:uid="{00000000-0005-0000-0000-00004A920000}"/>
    <cellStyle name="40 % - Markeringsfarve6 5 6 3" xfId="4612" xr:uid="{00000000-0005-0000-0000-00004B920000}"/>
    <cellStyle name="40 % - Markeringsfarve6 5 6 3 2" xfId="7403" xr:uid="{00000000-0005-0000-0000-00004C920000}"/>
    <cellStyle name="40 % - Markeringsfarve6 5 6 3 2 2" xfId="15314" xr:uid="{00000000-0005-0000-0000-00004D920000}"/>
    <cellStyle name="40 % - Markeringsfarve6 5 6 3 2 2 2" xfId="31629" xr:uid="{00000000-0005-0000-0000-00004E920000}"/>
    <cellStyle name="40 % - Markeringsfarve6 5 6 3 2 2 3" xfId="46593" xr:uid="{00000000-0005-0000-0000-00004F920000}"/>
    <cellStyle name="40 % - Markeringsfarve6 5 6 3 2 3" xfId="24607" xr:uid="{00000000-0005-0000-0000-000050920000}"/>
    <cellStyle name="40 % - Markeringsfarve6 5 6 3 2 4" xfId="39594" xr:uid="{00000000-0005-0000-0000-000051920000}"/>
    <cellStyle name="40 % - Markeringsfarve6 5 6 3 3" xfId="13172" xr:uid="{00000000-0005-0000-0000-000052920000}"/>
    <cellStyle name="40 % - Markeringsfarve6 5 6 3 3 2" xfId="29492" xr:uid="{00000000-0005-0000-0000-000053920000}"/>
    <cellStyle name="40 % - Markeringsfarve6 5 6 3 3 3" xfId="44457" xr:uid="{00000000-0005-0000-0000-000054920000}"/>
    <cellStyle name="40 % - Markeringsfarve6 5 6 3 4" xfId="22470" xr:uid="{00000000-0005-0000-0000-000055920000}"/>
    <cellStyle name="40 % - Markeringsfarve6 5 6 3 5" xfId="37458" xr:uid="{00000000-0005-0000-0000-000056920000}"/>
    <cellStyle name="40 % - Markeringsfarve6 5 6 4" xfId="4613" xr:uid="{00000000-0005-0000-0000-000057920000}"/>
    <cellStyle name="40 % - Markeringsfarve6 5 6 4 2" xfId="8181" xr:uid="{00000000-0005-0000-0000-000058920000}"/>
    <cellStyle name="40 % - Markeringsfarve6 5 6 4 2 2" xfId="16079" xr:uid="{00000000-0005-0000-0000-000059920000}"/>
    <cellStyle name="40 % - Markeringsfarve6 5 6 4 2 2 2" xfId="32394" xr:uid="{00000000-0005-0000-0000-00005A920000}"/>
    <cellStyle name="40 % - Markeringsfarve6 5 6 4 2 2 3" xfId="47358" xr:uid="{00000000-0005-0000-0000-00005B920000}"/>
    <cellStyle name="40 % - Markeringsfarve6 5 6 4 2 3" xfId="25372" xr:uid="{00000000-0005-0000-0000-00005C920000}"/>
    <cellStyle name="40 % - Markeringsfarve6 5 6 4 2 4" xfId="40359" xr:uid="{00000000-0005-0000-0000-00005D920000}"/>
    <cellStyle name="40 % - Markeringsfarve6 5 6 4 3" xfId="13173" xr:uid="{00000000-0005-0000-0000-00005E920000}"/>
    <cellStyle name="40 % - Markeringsfarve6 5 6 4 3 2" xfId="29493" xr:uid="{00000000-0005-0000-0000-00005F920000}"/>
    <cellStyle name="40 % - Markeringsfarve6 5 6 4 3 3" xfId="44458" xr:uid="{00000000-0005-0000-0000-000060920000}"/>
    <cellStyle name="40 % - Markeringsfarve6 5 6 4 4" xfId="22471" xr:uid="{00000000-0005-0000-0000-000061920000}"/>
    <cellStyle name="40 % - Markeringsfarve6 5 6 4 5" xfId="37459" xr:uid="{00000000-0005-0000-0000-000062920000}"/>
    <cellStyle name="40 % - Markeringsfarve6 5 6 5" xfId="6018" xr:uid="{00000000-0005-0000-0000-000063920000}"/>
    <cellStyle name="40 % - Markeringsfarve6 5 6 5 2" xfId="13937" xr:uid="{00000000-0005-0000-0000-000064920000}"/>
    <cellStyle name="40 % - Markeringsfarve6 5 6 5 2 2" xfId="30252" xr:uid="{00000000-0005-0000-0000-000065920000}"/>
    <cellStyle name="40 % - Markeringsfarve6 5 6 5 2 3" xfId="45216" xr:uid="{00000000-0005-0000-0000-000066920000}"/>
    <cellStyle name="40 % - Markeringsfarve6 5 6 5 3" xfId="23230" xr:uid="{00000000-0005-0000-0000-000067920000}"/>
    <cellStyle name="40 % - Markeringsfarve6 5 6 5 4" xfId="38217" xr:uid="{00000000-0005-0000-0000-000068920000}"/>
    <cellStyle name="40 % - Markeringsfarve6 5 6 6" xfId="13169" xr:uid="{00000000-0005-0000-0000-000069920000}"/>
    <cellStyle name="40 % - Markeringsfarve6 5 6 6 2" xfId="29489" xr:uid="{00000000-0005-0000-0000-00006A920000}"/>
    <cellStyle name="40 % - Markeringsfarve6 5 6 6 3" xfId="44454" xr:uid="{00000000-0005-0000-0000-00006B920000}"/>
    <cellStyle name="40 % - Markeringsfarve6 5 6 7" xfId="22467" xr:uid="{00000000-0005-0000-0000-00006C920000}"/>
    <cellStyle name="40 % - Markeringsfarve6 5 6 8" xfId="37455" xr:uid="{00000000-0005-0000-0000-00006D920000}"/>
    <cellStyle name="40 % - Markeringsfarve6 5 7" xfId="4614" xr:uid="{00000000-0005-0000-0000-00006E920000}"/>
    <cellStyle name="40 % - Markeringsfarve6 5 7 2" xfId="4615" xr:uid="{00000000-0005-0000-0000-00006F920000}"/>
    <cellStyle name="40 % - Markeringsfarve6 5 7 2 2" xfId="7517" xr:uid="{00000000-0005-0000-0000-000070920000}"/>
    <cellStyle name="40 % - Markeringsfarve6 5 7 2 2 2" xfId="15419" xr:uid="{00000000-0005-0000-0000-000071920000}"/>
    <cellStyle name="40 % - Markeringsfarve6 5 7 2 2 2 2" xfId="31734" xr:uid="{00000000-0005-0000-0000-000072920000}"/>
    <cellStyle name="40 % - Markeringsfarve6 5 7 2 2 2 3" xfId="46698" xr:uid="{00000000-0005-0000-0000-000073920000}"/>
    <cellStyle name="40 % - Markeringsfarve6 5 7 2 2 3" xfId="24712" xr:uid="{00000000-0005-0000-0000-000074920000}"/>
    <cellStyle name="40 % - Markeringsfarve6 5 7 2 2 4" xfId="39699" xr:uid="{00000000-0005-0000-0000-000075920000}"/>
    <cellStyle name="40 % - Markeringsfarve6 5 7 2 3" xfId="13175" xr:uid="{00000000-0005-0000-0000-000076920000}"/>
    <cellStyle name="40 % - Markeringsfarve6 5 7 2 3 2" xfId="29495" xr:uid="{00000000-0005-0000-0000-000077920000}"/>
    <cellStyle name="40 % - Markeringsfarve6 5 7 2 3 3" xfId="44460" xr:uid="{00000000-0005-0000-0000-000078920000}"/>
    <cellStyle name="40 % - Markeringsfarve6 5 7 2 4" xfId="22473" xr:uid="{00000000-0005-0000-0000-000079920000}"/>
    <cellStyle name="40 % - Markeringsfarve6 5 7 2 5" xfId="37461" xr:uid="{00000000-0005-0000-0000-00007A920000}"/>
    <cellStyle name="40 % - Markeringsfarve6 5 7 3" xfId="6106" xr:uid="{00000000-0005-0000-0000-00007B920000}"/>
    <cellStyle name="40 % - Markeringsfarve6 5 7 3 2" xfId="14024" xr:uid="{00000000-0005-0000-0000-00007C920000}"/>
    <cellStyle name="40 % - Markeringsfarve6 5 7 3 2 2" xfId="30339" xr:uid="{00000000-0005-0000-0000-00007D920000}"/>
    <cellStyle name="40 % - Markeringsfarve6 5 7 3 2 3" xfId="45303" xr:uid="{00000000-0005-0000-0000-00007E920000}"/>
    <cellStyle name="40 % - Markeringsfarve6 5 7 3 3" xfId="23317" xr:uid="{00000000-0005-0000-0000-00007F920000}"/>
    <cellStyle name="40 % - Markeringsfarve6 5 7 3 4" xfId="38304" xr:uid="{00000000-0005-0000-0000-000080920000}"/>
    <cellStyle name="40 % - Markeringsfarve6 5 7 4" xfId="13174" xr:uid="{00000000-0005-0000-0000-000081920000}"/>
    <cellStyle name="40 % - Markeringsfarve6 5 7 4 2" xfId="29494" xr:uid="{00000000-0005-0000-0000-000082920000}"/>
    <cellStyle name="40 % - Markeringsfarve6 5 7 4 3" xfId="44459" xr:uid="{00000000-0005-0000-0000-000083920000}"/>
    <cellStyle name="40 % - Markeringsfarve6 5 7 5" xfId="22472" xr:uid="{00000000-0005-0000-0000-000084920000}"/>
    <cellStyle name="40 % - Markeringsfarve6 5 7 6" xfId="37460" xr:uid="{00000000-0005-0000-0000-000085920000}"/>
    <cellStyle name="40 % - Markeringsfarve6 5 8" xfId="4616" xr:uid="{00000000-0005-0000-0000-000086920000}"/>
    <cellStyle name="40 % - Markeringsfarve6 5 8 2" xfId="6745" xr:uid="{00000000-0005-0000-0000-000087920000}"/>
    <cellStyle name="40 % - Markeringsfarve6 5 8 2 2" xfId="14657" xr:uid="{00000000-0005-0000-0000-000088920000}"/>
    <cellStyle name="40 % - Markeringsfarve6 5 8 2 2 2" xfId="30972" xr:uid="{00000000-0005-0000-0000-000089920000}"/>
    <cellStyle name="40 % - Markeringsfarve6 5 8 2 2 3" xfId="45936" xr:uid="{00000000-0005-0000-0000-00008A920000}"/>
    <cellStyle name="40 % - Markeringsfarve6 5 8 2 3" xfId="23950" xr:uid="{00000000-0005-0000-0000-00008B920000}"/>
    <cellStyle name="40 % - Markeringsfarve6 5 8 2 4" xfId="38937" xr:uid="{00000000-0005-0000-0000-00008C920000}"/>
    <cellStyle name="40 % - Markeringsfarve6 5 8 3" xfId="13176" xr:uid="{00000000-0005-0000-0000-00008D920000}"/>
    <cellStyle name="40 % - Markeringsfarve6 5 8 3 2" xfId="29496" xr:uid="{00000000-0005-0000-0000-00008E920000}"/>
    <cellStyle name="40 % - Markeringsfarve6 5 8 3 3" xfId="44461" xr:uid="{00000000-0005-0000-0000-00008F920000}"/>
    <cellStyle name="40 % - Markeringsfarve6 5 8 4" xfId="22474" xr:uid="{00000000-0005-0000-0000-000090920000}"/>
    <cellStyle name="40 % - Markeringsfarve6 5 8 5" xfId="37462" xr:uid="{00000000-0005-0000-0000-000091920000}"/>
    <cellStyle name="40 % - Markeringsfarve6 5 9" xfId="4617" xr:uid="{00000000-0005-0000-0000-000092920000}"/>
    <cellStyle name="40 % - Markeringsfarve6 5 9 2" xfId="8622" xr:uid="{00000000-0005-0000-0000-000093920000}"/>
    <cellStyle name="40 % - Markeringsfarve6 5 9 2 2" xfId="16504" xr:uid="{00000000-0005-0000-0000-000094920000}"/>
    <cellStyle name="40 % - Markeringsfarve6 5 9 2 2 2" xfId="32819" xr:uid="{00000000-0005-0000-0000-000095920000}"/>
    <cellStyle name="40 % - Markeringsfarve6 5 9 2 2 3" xfId="47783" xr:uid="{00000000-0005-0000-0000-000096920000}"/>
    <cellStyle name="40 % - Markeringsfarve6 5 9 2 3" xfId="25797" xr:uid="{00000000-0005-0000-0000-000097920000}"/>
    <cellStyle name="40 % - Markeringsfarve6 5 9 2 4" xfId="40784" xr:uid="{00000000-0005-0000-0000-000098920000}"/>
    <cellStyle name="40 % - Markeringsfarve6 5 9 3" xfId="13177" xr:uid="{00000000-0005-0000-0000-000099920000}"/>
    <cellStyle name="40 % - Markeringsfarve6 5 9 3 2" xfId="29497" xr:uid="{00000000-0005-0000-0000-00009A920000}"/>
    <cellStyle name="40 % - Markeringsfarve6 5 9 3 3" xfId="44462" xr:uid="{00000000-0005-0000-0000-00009B920000}"/>
    <cellStyle name="40 % - Markeringsfarve6 5 9 4" xfId="22475" xr:uid="{00000000-0005-0000-0000-00009C920000}"/>
    <cellStyle name="40 % - Markeringsfarve6 5 9 5" xfId="37463" xr:uid="{00000000-0005-0000-0000-00009D920000}"/>
    <cellStyle name="40 % - Markeringsfarve6 6" xfId="4618" xr:uid="{00000000-0005-0000-0000-00009E920000}"/>
    <cellStyle name="40 % - Markeringsfarve6 6 2" xfId="4619" xr:uid="{00000000-0005-0000-0000-00009F920000}"/>
    <cellStyle name="40 % - Markeringsfarve6 6 2 2" xfId="4620" xr:uid="{00000000-0005-0000-0000-0000A0920000}"/>
    <cellStyle name="40 % - Markeringsfarve6 6 2 2 2" xfId="7558" xr:uid="{00000000-0005-0000-0000-0000A1920000}"/>
    <cellStyle name="40 % - Markeringsfarve6 6 2 2 2 2" xfId="15460" xr:uid="{00000000-0005-0000-0000-0000A2920000}"/>
    <cellStyle name="40 % - Markeringsfarve6 6 2 2 2 2 2" xfId="31775" xr:uid="{00000000-0005-0000-0000-0000A3920000}"/>
    <cellStyle name="40 % - Markeringsfarve6 6 2 2 2 2 3" xfId="46739" xr:uid="{00000000-0005-0000-0000-0000A4920000}"/>
    <cellStyle name="40 % - Markeringsfarve6 6 2 2 2 3" xfId="24753" xr:uid="{00000000-0005-0000-0000-0000A5920000}"/>
    <cellStyle name="40 % - Markeringsfarve6 6 2 2 2 4" xfId="39740" xr:uid="{00000000-0005-0000-0000-0000A6920000}"/>
    <cellStyle name="40 % - Markeringsfarve6 6 2 2 3" xfId="13180" xr:uid="{00000000-0005-0000-0000-0000A7920000}"/>
    <cellStyle name="40 % - Markeringsfarve6 6 2 2 3 2" xfId="29500" xr:uid="{00000000-0005-0000-0000-0000A8920000}"/>
    <cellStyle name="40 % - Markeringsfarve6 6 2 2 3 3" xfId="44465" xr:uid="{00000000-0005-0000-0000-0000A9920000}"/>
    <cellStyle name="40 % - Markeringsfarve6 6 2 2 4" xfId="22478" xr:uid="{00000000-0005-0000-0000-0000AA920000}"/>
    <cellStyle name="40 % - Markeringsfarve6 6 2 2 5" xfId="37466" xr:uid="{00000000-0005-0000-0000-0000AB920000}"/>
    <cellStyle name="40 % - Markeringsfarve6 6 2 2 6" xfId="57151" xr:uid="{00000000-0005-0000-0000-0000AC920000}"/>
    <cellStyle name="40 % - Markeringsfarve6 6 2 3" xfId="6139" xr:uid="{00000000-0005-0000-0000-0000AD920000}"/>
    <cellStyle name="40 % - Markeringsfarve6 6 2 3 2" xfId="14057" xr:uid="{00000000-0005-0000-0000-0000AE920000}"/>
    <cellStyle name="40 % - Markeringsfarve6 6 2 3 2 2" xfId="30372" xr:uid="{00000000-0005-0000-0000-0000AF920000}"/>
    <cellStyle name="40 % - Markeringsfarve6 6 2 3 2 3" xfId="45336" xr:uid="{00000000-0005-0000-0000-0000B0920000}"/>
    <cellStyle name="40 % - Markeringsfarve6 6 2 3 3" xfId="23350" xr:uid="{00000000-0005-0000-0000-0000B1920000}"/>
    <cellStyle name="40 % - Markeringsfarve6 6 2 3 4" xfId="38337" xr:uid="{00000000-0005-0000-0000-0000B2920000}"/>
    <cellStyle name="40 % - Markeringsfarve6 6 2 4" xfId="13179" xr:uid="{00000000-0005-0000-0000-0000B3920000}"/>
    <cellStyle name="40 % - Markeringsfarve6 6 2 4 2" xfId="29499" xr:uid="{00000000-0005-0000-0000-0000B4920000}"/>
    <cellStyle name="40 % - Markeringsfarve6 6 2 4 3" xfId="44464" xr:uid="{00000000-0005-0000-0000-0000B5920000}"/>
    <cellStyle name="40 % - Markeringsfarve6 6 2 5" xfId="22477" xr:uid="{00000000-0005-0000-0000-0000B6920000}"/>
    <cellStyle name="40 % - Markeringsfarve6 6 2 6" xfId="37465" xr:uid="{00000000-0005-0000-0000-0000B7920000}"/>
    <cellStyle name="40 % - Markeringsfarve6 6 2 7" xfId="53984" xr:uid="{00000000-0005-0000-0000-0000B8920000}"/>
    <cellStyle name="40 % - Markeringsfarve6 6 3" xfId="4621" xr:uid="{00000000-0005-0000-0000-0000B9920000}"/>
    <cellStyle name="40 % - Markeringsfarve6 6 3 2" xfId="6788" xr:uid="{00000000-0005-0000-0000-0000BA920000}"/>
    <cellStyle name="40 % - Markeringsfarve6 6 3 2 2" xfId="14700" xr:uid="{00000000-0005-0000-0000-0000BB920000}"/>
    <cellStyle name="40 % - Markeringsfarve6 6 3 2 2 2" xfId="31015" xr:uid="{00000000-0005-0000-0000-0000BC920000}"/>
    <cellStyle name="40 % - Markeringsfarve6 6 3 2 2 3" xfId="45979" xr:uid="{00000000-0005-0000-0000-0000BD920000}"/>
    <cellStyle name="40 % - Markeringsfarve6 6 3 2 3" xfId="23993" xr:uid="{00000000-0005-0000-0000-0000BE920000}"/>
    <cellStyle name="40 % - Markeringsfarve6 6 3 2 4" xfId="38980" xr:uid="{00000000-0005-0000-0000-0000BF920000}"/>
    <cellStyle name="40 % - Markeringsfarve6 6 3 3" xfId="13181" xr:uid="{00000000-0005-0000-0000-0000C0920000}"/>
    <cellStyle name="40 % - Markeringsfarve6 6 3 3 2" xfId="29501" xr:uid="{00000000-0005-0000-0000-0000C1920000}"/>
    <cellStyle name="40 % - Markeringsfarve6 6 3 3 3" xfId="44466" xr:uid="{00000000-0005-0000-0000-0000C2920000}"/>
    <cellStyle name="40 % - Markeringsfarve6 6 3 4" xfId="22479" xr:uid="{00000000-0005-0000-0000-0000C3920000}"/>
    <cellStyle name="40 % - Markeringsfarve6 6 3 5" xfId="37467" xr:uid="{00000000-0005-0000-0000-0000C4920000}"/>
    <cellStyle name="40 % - Markeringsfarve6 6 3 6" xfId="56528" xr:uid="{00000000-0005-0000-0000-0000C5920000}"/>
    <cellStyle name="40 % - Markeringsfarve6 6 4" xfId="4622" xr:uid="{00000000-0005-0000-0000-0000C6920000}"/>
    <cellStyle name="40 % - Markeringsfarve6 6 4 2" xfId="7014" xr:uid="{00000000-0005-0000-0000-0000C7920000}"/>
    <cellStyle name="40 % - Markeringsfarve6 6 4 2 2" xfId="14926" xr:uid="{00000000-0005-0000-0000-0000C8920000}"/>
    <cellStyle name="40 % - Markeringsfarve6 6 4 2 2 2" xfId="31241" xr:uid="{00000000-0005-0000-0000-0000C9920000}"/>
    <cellStyle name="40 % - Markeringsfarve6 6 4 2 2 3" xfId="46205" xr:uid="{00000000-0005-0000-0000-0000CA920000}"/>
    <cellStyle name="40 % - Markeringsfarve6 6 4 2 3" xfId="24219" xr:uid="{00000000-0005-0000-0000-0000CB920000}"/>
    <cellStyle name="40 % - Markeringsfarve6 6 4 2 4" xfId="39206" xr:uid="{00000000-0005-0000-0000-0000CC920000}"/>
    <cellStyle name="40 % - Markeringsfarve6 6 4 3" xfId="13182" xr:uid="{00000000-0005-0000-0000-0000CD920000}"/>
    <cellStyle name="40 % - Markeringsfarve6 6 4 3 2" xfId="29502" xr:uid="{00000000-0005-0000-0000-0000CE920000}"/>
    <cellStyle name="40 % - Markeringsfarve6 6 4 3 3" xfId="44467" xr:uid="{00000000-0005-0000-0000-0000CF920000}"/>
    <cellStyle name="40 % - Markeringsfarve6 6 4 4" xfId="22480" xr:uid="{00000000-0005-0000-0000-0000D0920000}"/>
    <cellStyle name="40 % - Markeringsfarve6 6 4 5" xfId="37468" xr:uid="{00000000-0005-0000-0000-0000D1920000}"/>
    <cellStyle name="40 % - Markeringsfarve6 6 5" xfId="6019" xr:uid="{00000000-0005-0000-0000-0000D2920000}"/>
    <cellStyle name="40 % - Markeringsfarve6 6 5 2" xfId="13938" xr:uid="{00000000-0005-0000-0000-0000D3920000}"/>
    <cellStyle name="40 % - Markeringsfarve6 6 5 2 2" xfId="30253" xr:uid="{00000000-0005-0000-0000-0000D4920000}"/>
    <cellStyle name="40 % - Markeringsfarve6 6 5 2 3" xfId="45217" xr:uid="{00000000-0005-0000-0000-0000D5920000}"/>
    <cellStyle name="40 % - Markeringsfarve6 6 5 3" xfId="23231" xr:uid="{00000000-0005-0000-0000-0000D6920000}"/>
    <cellStyle name="40 % - Markeringsfarve6 6 5 4" xfId="38218" xr:uid="{00000000-0005-0000-0000-0000D7920000}"/>
    <cellStyle name="40 % - Markeringsfarve6 6 6" xfId="13178" xr:uid="{00000000-0005-0000-0000-0000D8920000}"/>
    <cellStyle name="40 % - Markeringsfarve6 6 6 2" xfId="29498" xr:uid="{00000000-0005-0000-0000-0000D9920000}"/>
    <cellStyle name="40 % - Markeringsfarve6 6 6 3" xfId="44463" xr:uid="{00000000-0005-0000-0000-0000DA920000}"/>
    <cellStyle name="40 % - Markeringsfarve6 6 7" xfId="22476" xr:uid="{00000000-0005-0000-0000-0000DB920000}"/>
    <cellStyle name="40 % - Markeringsfarve6 6 8" xfId="37464" xr:uid="{00000000-0005-0000-0000-0000DC920000}"/>
    <cellStyle name="40 % - Markeringsfarve6 6 9" xfId="53347" xr:uid="{00000000-0005-0000-0000-0000DD920000}"/>
    <cellStyle name="40 % - Markeringsfarve6 7" xfId="4623" xr:uid="{00000000-0005-0000-0000-0000DE920000}"/>
    <cellStyle name="40 % - Markeringsfarve6 7 2" xfId="4624" xr:uid="{00000000-0005-0000-0000-0000DF920000}"/>
    <cellStyle name="40 % - Markeringsfarve6 7 2 2" xfId="4625" xr:uid="{00000000-0005-0000-0000-0000E0920000}"/>
    <cellStyle name="40 % - Markeringsfarve6 7 2 2 2" xfId="7764" xr:uid="{00000000-0005-0000-0000-0000E1920000}"/>
    <cellStyle name="40 % - Markeringsfarve6 7 2 2 2 2" xfId="15666" xr:uid="{00000000-0005-0000-0000-0000E2920000}"/>
    <cellStyle name="40 % - Markeringsfarve6 7 2 2 2 2 2" xfId="31981" xr:uid="{00000000-0005-0000-0000-0000E3920000}"/>
    <cellStyle name="40 % - Markeringsfarve6 7 2 2 2 2 3" xfId="46945" xr:uid="{00000000-0005-0000-0000-0000E4920000}"/>
    <cellStyle name="40 % - Markeringsfarve6 7 2 2 2 3" xfId="24959" xr:uid="{00000000-0005-0000-0000-0000E5920000}"/>
    <cellStyle name="40 % - Markeringsfarve6 7 2 2 2 4" xfId="39946" xr:uid="{00000000-0005-0000-0000-0000E6920000}"/>
    <cellStyle name="40 % - Markeringsfarve6 7 2 2 3" xfId="13185" xr:uid="{00000000-0005-0000-0000-0000E7920000}"/>
    <cellStyle name="40 % - Markeringsfarve6 7 2 2 3 2" xfId="29505" xr:uid="{00000000-0005-0000-0000-0000E8920000}"/>
    <cellStyle name="40 % - Markeringsfarve6 7 2 2 3 3" xfId="44470" xr:uid="{00000000-0005-0000-0000-0000E9920000}"/>
    <cellStyle name="40 % - Markeringsfarve6 7 2 2 4" xfId="22483" xr:uid="{00000000-0005-0000-0000-0000EA920000}"/>
    <cellStyle name="40 % - Markeringsfarve6 7 2 2 5" xfId="37471" xr:uid="{00000000-0005-0000-0000-0000EB920000}"/>
    <cellStyle name="40 % - Markeringsfarve6 7 2 3" xfId="6310" xr:uid="{00000000-0005-0000-0000-0000EC920000}"/>
    <cellStyle name="40 % - Markeringsfarve6 7 2 3 2" xfId="14228" xr:uid="{00000000-0005-0000-0000-0000ED920000}"/>
    <cellStyle name="40 % - Markeringsfarve6 7 2 3 2 2" xfId="30543" xr:uid="{00000000-0005-0000-0000-0000EE920000}"/>
    <cellStyle name="40 % - Markeringsfarve6 7 2 3 2 3" xfId="45507" xr:uid="{00000000-0005-0000-0000-0000EF920000}"/>
    <cellStyle name="40 % - Markeringsfarve6 7 2 3 3" xfId="23521" xr:uid="{00000000-0005-0000-0000-0000F0920000}"/>
    <cellStyle name="40 % - Markeringsfarve6 7 2 3 4" xfId="38508" xr:uid="{00000000-0005-0000-0000-0000F1920000}"/>
    <cellStyle name="40 % - Markeringsfarve6 7 2 4" xfId="13184" xr:uid="{00000000-0005-0000-0000-0000F2920000}"/>
    <cellStyle name="40 % - Markeringsfarve6 7 2 4 2" xfId="29504" xr:uid="{00000000-0005-0000-0000-0000F3920000}"/>
    <cellStyle name="40 % - Markeringsfarve6 7 2 4 3" xfId="44469" xr:uid="{00000000-0005-0000-0000-0000F4920000}"/>
    <cellStyle name="40 % - Markeringsfarve6 7 2 5" xfId="22482" xr:uid="{00000000-0005-0000-0000-0000F5920000}"/>
    <cellStyle name="40 % - Markeringsfarve6 7 2 6" xfId="37470" xr:uid="{00000000-0005-0000-0000-0000F6920000}"/>
    <cellStyle name="40 % - Markeringsfarve6 7 2 7" xfId="57065" xr:uid="{00000000-0005-0000-0000-0000F7920000}"/>
    <cellStyle name="40 % - Markeringsfarve6 7 3" xfId="4626" xr:uid="{00000000-0005-0000-0000-0000F8920000}"/>
    <cellStyle name="40 % - Markeringsfarve6 7 3 2" xfId="6994" xr:uid="{00000000-0005-0000-0000-0000F9920000}"/>
    <cellStyle name="40 % - Markeringsfarve6 7 3 2 2" xfId="14906" xr:uid="{00000000-0005-0000-0000-0000FA920000}"/>
    <cellStyle name="40 % - Markeringsfarve6 7 3 2 2 2" xfId="31221" xr:uid="{00000000-0005-0000-0000-0000FB920000}"/>
    <cellStyle name="40 % - Markeringsfarve6 7 3 2 2 3" xfId="46185" xr:uid="{00000000-0005-0000-0000-0000FC920000}"/>
    <cellStyle name="40 % - Markeringsfarve6 7 3 2 3" xfId="24199" xr:uid="{00000000-0005-0000-0000-0000FD920000}"/>
    <cellStyle name="40 % - Markeringsfarve6 7 3 2 4" xfId="39186" xr:uid="{00000000-0005-0000-0000-0000FE920000}"/>
    <cellStyle name="40 % - Markeringsfarve6 7 3 3" xfId="13186" xr:uid="{00000000-0005-0000-0000-0000FF920000}"/>
    <cellStyle name="40 % - Markeringsfarve6 7 3 3 2" xfId="29506" xr:uid="{00000000-0005-0000-0000-000000930000}"/>
    <cellStyle name="40 % - Markeringsfarve6 7 3 3 3" xfId="44471" xr:uid="{00000000-0005-0000-0000-000001930000}"/>
    <cellStyle name="40 % - Markeringsfarve6 7 3 4" xfId="22484" xr:uid="{00000000-0005-0000-0000-000002930000}"/>
    <cellStyle name="40 % - Markeringsfarve6 7 3 5" xfId="37472" xr:uid="{00000000-0005-0000-0000-000003930000}"/>
    <cellStyle name="40 % - Markeringsfarve6 7 4" xfId="4627" xr:uid="{00000000-0005-0000-0000-000004930000}"/>
    <cellStyle name="40 % - Markeringsfarve6 7 4 2" xfId="6637" xr:uid="{00000000-0005-0000-0000-000005930000}"/>
    <cellStyle name="40 % - Markeringsfarve6 7 4 2 2" xfId="14551" xr:uid="{00000000-0005-0000-0000-000006930000}"/>
    <cellStyle name="40 % - Markeringsfarve6 7 4 2 2 2" xfId="30866" xr:uid="{00000000-0005-0000-0000-000007930000}"/>
    <cellStyle name="40 % - Markeringsfarve6 7 4 2 2 3" xfId="45830" xr:uid="{00000000-0005-0000-0000-000008930000}"/>
    <cellStyle name="40 % - Markeringsfarve6 7 4 2 3" xfId="23844" xr:uid="{00000000-0005-0000-0000-000009930000}"/>
    <cellStyle name="40 % - Markeringsfarve6 7 4 2 4" xfId="38831" xr:uid="{00000000-0005-0000-0000-00000A930000}"/>
    <cellStyle name="40 % - Markeringsfarve6 7 4 3" xfId="13187" xr:uid="{00000000-0005-0000-0000-00000B930000}"/>
    <cellStyle name="40 % - Markeringsfarve6 7 4 3 2" xfId="29507" xr:uid="{00000000-0005-0000-0000-00000C930000}"/>
    <cellStyle name="40 % - Markeringsfarve6 7 4 3 3" xfId="44472" xr:uid="{00000000-0005-0000-0000-00000D930000}"/>
    <cellStyle name="40 % - Markeringsfarve6 7 4 4" xfId="22485" xr:uid="{00000000-0005-0000-0000-00000E930000}"/>
    <cellStyle name="40 % - Markeringsfarve6 7 4 5" xfId="37473" xr:uid="{00000000-0005-0000-0000-00000F930000}"/>
    <cellStyle name="40 % - Markeringsfarve6 7 5" xfId="6020" xr:uid="{00000000-0005-0000-0000-000010930000}"/>
    <cellStyle name="40 % - Markeringsfarve6 7 5 2" xfId="13939" xr:uid="{00000000-0005-0000-0000-000011930000}"/>
    <cellStyle name="40 % - Markeringsfarve6 7 5 2 2" xfId="30254" xr:uid="{00000000-0005-0000-0000-000012930000}"/>
    <cellStyle name="40 % - Markeringsfarve6 7 5 2 3" xfId="45218" xr:uid="{00000000-0005-0000-0000-000013930000}"/>
    <cellStyle name="40 % - Markeringsfarve6 7 5 3" xfId="23232" xr:uid="{00000000-0005-0000-0000-000014930000}"/>
    <cellStyle name="40 % - Markeringsfarve6 7 5 4" xfId="38219" xr:uid="{00000000-0005-0000-0000-000015930000}"/>
    <cellStyle name="40 % - Markeringsfarve6 7 6" xfId="13183" xr:uid="{00000000-0005-0000-0000-000016930000}"/>
    <cellStyle name="40 % - Markeringsfarve6 7 6 2" xfId="29503" xr:uid="{00000000-0005-0000-0000-000017930000}"/>
    <cellStyle name="40 % - Markeringsfarve6 7 6 3" xfId="44468" xr:uid="{00000000-0005-0000-0000-000018930000}"/>
    <cellStyle name="40 % - Markeringsfarve6 7 7" xfId="22481" xr:uid="{00000000-0005-0000-0000-000019930000}"/>
    <cellStyle name="40 % - Markeringsfarve6 7 8" xfId="37469" xr:uid="{00000000-0005-0000-0000-00001A930000}"/>
    <cellStyle name="40 % - Markeringsfarve6 7 9" xfId="53898" xr:uid="{00000000-0005-0000-0000-00001B930000}"/>
    <cellStyle name="40 % - Markeringsfarve6 8" xfId="4628" xr:uid="{00000000-0005-0000-0000-00001C930000}"/>
    <cellStyle name="40 % - Markeringsfarve6 8 2" xfId="4629" xr:uid="{00000000-0005-0000-0000-00001D930000}"/>
    <cellStyle name="40 % - Markeringsfarve6 8 2 2" xfId="4630" xr:uid="{00000000-0005-0000-0000-00001E930000}"/>
    <cellStyle name="40 % - Markeringsfarve6 8 2 2 2" xfId="7796" xr:uid="{00000000-0005-0000-0000-00001F930000}"/>
    <cellStyle name="40 % - Markeringsfarve6 8 2 2 2 2" xfId="15698" xr:uid="{00000000-0005-0000-0000-000020930000}"/>
    <cellStyle name="40 % - Markeringsfarve6 8 2 2 2 2 2" xfId="32013" xr:uid="{00000000-0005-0000-0000-000021930000}"/>
    <cellStyle name="40 % - Markeringsfarve6 8 2 2 2 2 3" xfId="46977" xr:uid="{00000000-0005-0000-0000-000022930000}"/>
    <cellStyle name="40 % - Markeringsfarve6 8 2 2 2 3" xfId="24991" xr:uid="{00000000-0005-0000-0000-000023930000}"/>
    <cellStyle name="40 % - Markeringsfarve6 8 2 2 2 4" xfId="39978" xr:uid="{00000000-0005-0000-0000-000024930000}"/>
    <cellStyle name="40 % - Markeringsfarve6 8 2 2 3" xfId="13190" xr:uid="{00000000-0005-0000-0000-000025930000}"/>
    <cellStyle name="40 % - Markeringsfarve6 8 2 2 3 2" xfId="29510" xr:uid="{00000000-0005-0000-0000-000026930000}"/>
    <cellStyle name="40 % - Markeringsfarve6 8 2 2 3 3" xfId="44475" xr:uid="{00000000-0005-0000-0000-000027930000}"/>
    <cellStyle name="40 % - Markeringsfarve6 8 2 2 4" xfId="22488" xr:uid="{00000000-0005-0000-0000-000028930000}"/>
    <cellStyle name="40 % - Markeringsfarve6 8 2 2 5" xfId="37476" xr:uid="{00000000-0005-0000-0000-000029930000}"/>
    <cellStyle name="40 % - Markeringsfarve6 8 2 3" xfId="6341" xr:uid="{00000000-0005-0000-0000-00002A930000}"/>
    <cellStyle name="40 % - Markeringsfarve6 8 2 3 2" xfId="14256" xr:uid="{00000000-0005-0000-0000-00002B930000}"/>
    <cellStyle name="40 % - Markeringsfarve6 8 2 3 2 2" xfId="30571" xr:uid="{00000000-0005-0000-0000-00002C930000}"/>
    <cellStyle name="40 % - Markeringsfarve6 8 2 3 2 3" xfId="45535" xr:uid="{00000000-0005-0000-0000-00002D930000}"/>
    <cellStyle name="40 % - Markeringsfarve6 8 2 3 3" xfId="23549" xr:uid="{00000000-0005-0000-0000-00002E930000}"/>
    <cellStyle name="40 % - Markeringsfarve6 8 2 3 4" xfId="38536" xr:uid="{00000000-0005-0000-0000-00002F930000}"/>
    <cellStyle name="40 % - Markeringsfarve6 8 2 4" xfId="13189" xr:uid="{00000000-0005-0000-0000-000030930000}"/>
    <cellStyle name="40 % - Markeringsfarve6 8 2 4 2" xfId="29509" xr:uid="{00000000-0005-0000-0000-000031930000}"/>
    <cellStyle name="40 % - Markeringsfarve6 8 2 4 3" xfId="44474" xr:uid="{00000000-0005-0000-0000-000032930000}"/>
    <cellStyle name="40 % - Markeringsfarve6 8 2 5" xfId="22487" xr:uid="{00000000-0005-0000-0000-000033930000}"/>
    <cellStyle name="40 % - Markeringsfarve6 8 2 6" xfId="37475" xr:uid="{00000000-0005-0000-0000-000034930000}"/>
    <cellStyle name="40 % - Markeringsfarve6 8 3" xfId="4631" xr:uid="{00000000-0005-0000-0000-000035930000}"/>
    <cellStyle name="40 % - Markeringsfarve6 8 3 2" xfId="7072" xr:uid="{00000000-0005-0000-0000-000036930000}"/>
    <cellStyle name="40 % - Markeringsfarve6 8 3 2 2" xfId="14983" xr:uid="{00000000-0005-0000-0000-000037930000}"/>
    <cellStyle name="40 % - Markeringsfarve6 8 3 2 2 2" xfId="31298" xr:uid="{00000000-0005-0000-0000-000038930000}"/>
    <cellStyle name="40 % - Markeringsfarve6 8 3 2 2 3" xfId="46262" xr:uid="{00000000-0005-0000-0000-000039930000}"/>
    <cellStyle name="40 % - Markeringsfarve6 8 3 2 3" xfId="24276" xr:uid="{00000000-0005-0000-0000-00003A930000}"/>
    <cellStyle name="40 % - Markeringsfarve6 8 3 2 4" xfId="39263" xr:uid="{00000000-0005-0000-0000-00003B930000}"/>
    <cellStyle name="40 % - Markeringsfarve6 8 3 3" xfId="13191" xr:uid="{00000000-0005-0000-0000-00003C930000}"/>
    <cellStyle name="40 % - Markeringsfarve6 8 3 3 2" xfId="29511" xr:uid="{00000000-0005-0000-0000-00003D930000}"/>
    <cellStyle name="40 % - Markeringsfarve6 8 3 3 3" xfId="44476" xr:uid="{00000000-0005-0000-0000-00003E930000}"/>
    <cellStyle name="40 % - Markeringsfarve6 8 3 4" xfId="22489" xr:uid="{00000000-0005-0000-0000-00003F930000}"/>
    <cellStyle name="40 % - Markeringsfarve6 8 3 5" xfId="37477" xr:uid="{00000000-0005-0000-0000-000040930000}"/>
    <cellStyle name="40 % - Markeringsfarve6 8 4" xfId="4632" xr:uid="{00000000-0005-0000-0000-000041930000}"/>
    <cellStyle name="40 % - Markeringsfarve6 8 4 2" xfId="8480" xr:uid="{00000000-0005-0000-0000-000042930000}"/>
    <cellStyle name="40 % - Markeringsfarve6 8 4 2 2" xfId="16369" xr:uid="{00000000-0005-0000-0000-000043930000}"/>
    <cellStyle name="40 % - Markeringsfarve6 8 4 2 2 2" xfId="32684" xr:uid="{00000000-0005-0000-0000-000044930000}"/>
    <cellStyle name="40 % - Markeringsfarve6 8 4 2 2 3" xfId="47648" xr:uid="{00000000-0005-0000-0000-000045930000}"/>
    <cellStyle name="40 % - Markeringsfarve6 8 4 2 3" xfId="25662" xr:uid="{00000000-0005-0000-0000-000046930000}"/>
    <cellStyle name="40 % - Markeringsfarve6 8 4 2 4" xfId="40649" xr:uid="{00000000-0005-0000-0000-000047930000}"/>
    <cellStyle name="40 % - Markeringsfarve6 8 4 3" xfId="13192" xr:uid="{00000000-0005-0000-0000-000048930000}"/>
    <cellStyle name="40 % - Markeringsfarve6 8 4 3 2" xfId="29512" xr:uid="{00000000-0005-0000-0000-000049930000}"/>
    <cellStyle name="40 % - Markeringsfarve6 8 4 3 3" xfId="44477" xr:uid="{00000000-0005-0000-0000-00004A930000}"/>
    <cellStyle name="40 % - Markeringsfarve6 8 4 4" xfId="22490" xr:uid="{00000000-0005-0000-0000-00004B930000}"/>
    <cellStyle name="40 % - Markeringsfarve6 8 4 5" xfId="37478" xr:uid="{00000000-0005-0000-0000-00004C930000}"/>
    <cellStyle name="40 % - Markeringsfarve6 8 5" xfId="6021" xr:uid="{00000000-0005-0000-0000-00004D930000}"/>
    <cellStyle name="40 % - Markeringsfarve6 8 5 2" xfId="13940" xr:uid="{00000000-0005-0000-0000-00004E930000}"/>
    <cellStyle name="40 % - Markeringsfarve6 8 5 2 2" xfId="30255" xr:uid="{00000000-0005-0000-0000-00004F930000}"/>
    <cellStyle name="40 % - Markeringsfarve6 8 5 2 3" xfId="45219" xr:uid="{00000000-0005-0000-0000-000050930000}"/>
    <cellStyle name="40 % - Markeringsfarve6 8 5 3" xfId="23233" xr:uid="{00000000-0005-0000-0000-000051930000}"/>
    <cellStyle name="40 % - Markeringsfarve6 8 5 4" xfId="38220" xr:uid="{00000000-0005-0000-0000-000052930000}"/>
    <cellStyle name="40 % - Markeringsfarve6 8 6" xfId="13188" xr:uid="{00000000-0005-0000-0000-000053930000}"/>
    <cellStyle name="40 % - Markeringsfarve6 8 6 2" xfId="29508" xr:uid="{00000000-0005-0000-0000-000054930000}"/>
    <cellStyle name="40 % - Markeringsfarve6 8 6 3" xfId="44473" xr:uid="{00000000-0005-0000-0000-000055930000}"/>
    <cellStyle name="40 % - Markeringsfarve6 8 7" xfId="22486" xr:uid="{00000000-0005-0000-0000-000056930000}"/>
    <cellStyle name="40 % - Markeringsfarve6 8 8" xfId="37474" xr:uid="{00000000-0005-0000-0000-000057930000}"/>
    <cellStyle name="40 % - Markeringsfarve6 9" xfId="4633" xr:uid="{00000000-0005-0000-0000-000058930000}"/>
    <cellStyle name="40 % - Markeringsfarve6 9 2" xfId="4634" xr:uid="{00000000-0005-0000-0000-000059930000}"/>
    <cellStyle name="40 % - Markeringsfarve6 9 2 2" xfId="4635" xr:uid="{00000000-0005-0000-0000-00005A930000}"/>
    <cellStyle name="40 % - Markeringsfarve6 9 2 2 2" xfId="7913" xr:uid="{00000000-0005-0000-0000-00005B930000}"/>
    <cellStyle name="40 % - Markeringsfarve6 9 2 2 2 2" xfId="15815" xr:uid="{00000000-0005-0000-0000-00005C930000}"/>
    <cellStyle name="40 % - Markeringsfarve6 9 2 2 2 2 2" xfId="32130" xr:uid="{00000000-0005-0000-0000-00005D930000}"/>
    <cellStyle name="40 % - Markeringsfarve6 9 2 2 2 2 3" xfId="47094" xr:uid="{00000000-0005-0000-0000-00005E930000}"/>
    <cellStyle name="40 % - Markeringsfarve6 9 2 2 2 3" xfId="25108" xr:uid="{00000000-0005-0000-0000-00005F930000}"/>
    <cellStyle name="40 % - Markeringsfarve6 9 2 2 2 4" xfId="40095" xr:uid="{00000000-0005-0000-0000-000060930000}"/>
    <cellStyle name="40 % - Markeringsfarve6 9 2 2 3" xfId="13195" xr:uid="{00000000-0005-0000-0000-000061930000}"/>
    <cellStyle name="40 % - Markeringsfarve6 9 2 2 3 2" xfId="29515" xr:uid="{00000000-0005-0000-0000-000062930000}"/>
    <cellStyle name="40 % - Markeringsfarve6 9 2 2 3 3" xfId="44480" xr:uid="{00000000-0005-0000-0000-000063930000}"/>
    <cellStyle name="40 % - Markeringsfarve6 9 2 2 4" xfId="22493" xr:uid="{00000000-0005-0000-0000-000064930000}"/>
    <cellStyle name="40 % - Markeringsfarve6 9 2 2 5" xfId="37481" xr:uid="{00000000-0005-0000-0000-000065930000}"/>
    <cellStyle name="40 % - Markeringsfarve6 9 2 3" xfId="6440" xr:uid="{00000000-0005-0000-0000-000066930000}"/>
    <cellStyle name="40 % - Markeringsfarve6 9 2 3 2" xfId="14355" xr:uid="{00000000-0005-0000-0000-000067930000}"/>
    <cellStyle name="40 % - Markeringsfarve6 9 2 3 2 2" xfId="30670" xr:uid="{00000000-0005-0000-0000-000068930000}"/>
    <cellStyle name="40 % - Markeringsfarve6 9 2 3 2 3" xfId="45634" xr:uid="{00000000-0005-0000-0000-000069930000}"/>
    <cellStyle name="40 % - Markeringsfarve6 9 2 3 3" xfId="23648" xr:uid="{00000000-0005-0000-0000-00006A930000}"/>
    <cellStyle name="40 % - Markeringsfarve6 9 2 3 4" xfId="38635" xr:uid="{00000000-0005-0000-0000-00006B930000}"/>
    <cellStyle name="40 % - Markeringsfarve6 9 2 4" xfId="13194" xr:uid="{00000000-0005-0000-0000-00006C930000}"/>
    <cellStyle name="40 % - Markeringsfarve6 9 2 4 2" xfId="29514" xr:uid="{00000000-0005-0000-0000-00006D930000}"/>
    <cellStyle name="40 % - Markeringsfarve6 9 2 4 3" xfId="44479" xr:uid="{00000000-0005-0000-0000-00006E930000}"/>
    <cellStyle name="40 % - Markeringsfarve6 9 2 5" xfId="22492" xr:uid="{00000000-0005-0000-0000-00006F930000}"/>
    <cellStyle name="40 % - Markeringsfarve6 9 2 6" xfId="37480" xr:uid="{00000000-0005-0000-0000-000070930000}"/>
    <cellStyle name="40 % - Markeringsfarve6 9 3" xfId="4636" xr:uid="{00000000-0005-0000-0000-000071930000}"/>
    <cellStyle name="40 % - Markeringsfarve6 9 3 2" xfId="7189" xr:uid="{00000000-0005-0000-0000-000072930000}"/>
    <cellStyle name="40 % - Markeringsfarve6 9 3 2 2" xfId="15100" xr:uid="{00000000-0005-0000-0000-000073930000}"/>
    <cellStyle name="40 % - Markeringsfarve6 9 3 2 2 2" xfId="31415" xr:uid="{00000000-0005-0000-0000-000074930000}"/>
    <cellStyle name="40 % - Markeringsfarve6 9 3 2 2 3" xfId="46379" xr:uid="{00000000-0005-0000-0000-000075930000}"/>
    <cellStyle name="40 % - Markeringsfarve6 9 3 2 3" xfId="24393" xr:uid="{00000000-0005-0000-0000-000076930000}"/>
    <cellStyle name="40 % - Markeringsfarve6 9 3 2 4" xfId="39380" xr:uid="{00000000-0005-0000-0000-000077930000}"/>
    <cellStyle name="40 % - Markeringsfarve6 9 3 3" xfId="13196" xr:uid="{00000000-0005-0000-0000-000078930000}"/>
    <cellStyle name="40 % - Markeringsfarve6 9 3 3 2" xfId="29516" xr:uid="{00000000-0005-0000-0000-000079930000}"/>
    <cellStyle name="40 % - Markeringsfarve6 9 3 3 3" xfId="44481" xr:uid="{00000000-0005-0000-0000-00007A930000}"/>
    <cellStyle name="40 % - Markeringsfarve6 9 3 4" xfId="22494" xr:uid="{00000000-0005-0000-0000-00007B930000}"/>
    <cellStyle name="40 % - Markeringsfarve6 9 3 5" xfId="37482" xr:uid="{00000000-0005-0000-0000-00007C930000}"/>
    <cellStyle name="40 % - Markeringsfarve6 9 4" xfId="4637" xr:uid="{00000000-0005-0000-0000-00007D930000}"/>
    <cellStyle name="40 % - Markeringsfarve6 9 4 2" xfId="8695" xr:uid="{00000000-0005-0000-0000-00007E930000}"/>
    <cellStyle name="40 % - Markeringsfarve6 9 4 2 2" xfId="16572" xr:uid="{00000000-0005-0000-0000-00007F930000}"/>
    <cellStyle name="40 % - Markeringsfarve6 9 4 2 2 2" xfId="32887" xr:uid="{00000000-0005-0000-0000-000080930000}"/>
    <cellStyle name="40 % - Markeringsfarve6 9 4 2 2 3" xfId="47851" xr:uid="{00000000-0005-0000-0000-000081930000}"/>
    <cellStyle name="40 % - Markeringsfarve6 9 4 2 3" xfId="25865" xr:uid="{00000000-0005-0000-0000-000082930000}"/>
    <cellStyle name="40 % - Markeringsfarve6 9 4 2 4" xfId="40852" xr:uid="{00000000-0005-0000-0000-000083930000}"/>
    <cellStyle name="40 % - Markeringsfarve6 9 4 3" xfId="13197" xr:uid="{00000000-0005-0000-0000-000084930000}"/>
    <cellStyle name="40 % - Markeringsfarve6 9 4 3 2" xfId="29517" xr:uid="{00000000-0005-0000-0000-000085930000}"/>
    <cellStyle name="40 % - Markeringsfarve6 9 4 3 3" xfId="44482" xr:uid="{00000000-0005-0000-0000-000086930000}"/>
    <cellStyle name="40 % - Markeringsfarve6 9 4 4" xfId="22495" xr:uid="{00000000-0005-0000-0000-000087930000}"/>
    <cellStyle name="40 % - Markeringsfarve6 9 4 5" xfId="37483" xr:uid="{00000000-0005-0000-0000-000088930000}"/>
    <cellStyle name="40 % - Markeringsfarve6 9 5" xfId="6022" xr:uid="{00000000-0005-0000-0000-000089930000}"/>
    <cellStyle name="40 % - Markeringsfarve6 9 5 2" xfId="13941" xr:uid="{00000000-0005-0000-0000-00008A930000}"/>
    <cellStyle name="40 % - Markeringsfarve6 9 5 2 2" xfId="30256" xr:uid="{00000000-0005-0000-0000-00008B930000}"/>
    <cellStyle name="40 % - Markeringsfarve6 9 5 2 3" xfId="45220" xr:uid="{00000000-0005-0000-0000-00008C930000}"/>
    <cellStyle name="40 % - Markeringsfarve6 9 5 3" xfId="23234" xr:uid="{00000000-0005-0000-0000-00008D930000}"/>
    <cellStyle name="40 % - Markeringsfarve6 9 5 4" xfId="38221" xr:uid="{00000000-0005-0000-0000-00008E930000}"/>
    <cellStyle name="40 % - Markeringsfarve6 9 6" xfId="13193" xr:uid="{00000000-0005-0000-0000-00008F930000}"/>
    <cellStyle name="40 % - Markeringsfarve6 9 6 2" xfId="29513" xr:uid="{00000000-0005-0000-0000-000090930000}"/>
    <cellStyle name="40 % - Markeringsfarve6 9 6 3" xfId="44478" xr:uid="{00000000-0005-0000-0000-000091930000}"/>
    <cellStyle name="40 % - Markeringsfarve6 9 7" xfId="22491" xr:uid="{00000000-0005-0000-0000-000092930000}"/>
    <cellStyle name="40 % - Markeringsfarve6 9 8" xfId="37479" xr:uid="{00000000-0005-0000-0000-000093930000}"/>
    <cellStyle name="40% - Accent1" xfId="1133" builtinId="31" customBuiltin="1"/>
    <cellStyle name="40% - Accent1 10" xfId="51005" xr:uid="{00000000-0005-0000-0000-000095930000}"/>
    <cellStyle name="40% - Accent1 11" xfId="51608" xr:uid="{00000000-0005-0000-0000-000096930000}"/>
    <cellStyle name="40% - Accent1 12" xfId="52028" xr:uid="{00000000-0005-0000-0000-000097930000}"/>
    <cellStyle name="40% - Accent1 13" xfId="53088" xr:uid="{00000000-0005-0000-0000-000098930000}"/>
    <cellStyle name="40% - Accent1 2" xfId="8870" xr:uid="{00000000-0005-0000-0000-000099930000}"/>
    <cellStyle name="40% - Accent1 2 2" xfId="16646" xr:uid="{00000000-0005-0000-0000-00009A930000}"/>
    <cellStyle name="40% - Accent1 2 2 2" xfId="32960" xr:uid="{00000000-0005-0000-0000-00009B930000}"/>
    <cellStyle name="40% - Accent1 2 2 3" xfId="47924" xr:uid="{00000000-0005-0000-0000-00009C930000}"/>
    <cellStyle name="40% - Accent1 2 3" xfId="25938" xr:uid="{00000000-0005-0000-0000-00009D930000}"/>
    <cellStyle name="40% - Accent1 2 4" xfId="40925" xr:uid="{00000000-0005-0000-0000-00009E930000}"/>
    <cellStyle name="40% - Accent1 2 5" xfId="53131" xr:uid="{00000000-0005-0000-0000-00009F930000}"/>
    <cellStyle name="40% - Accent1 3" xfId="9655" xr:uid="{00000000-0005-0000-0000-0000A0930000}"/>
    <cellStyle name="40% - Accent1 3 2" xfId="25986" xr:uid="{00000000-0005-0000-0000-0000A1930000}"/>
    <cellStyle name="40% - Accent1 3 3" xfId="40966" xr:uid="{00000000-0005-0000-0000-0000A2930000}"/>
    <cellStyle name="40% - Accent1 3 4" xfId="56362" xr:uid="{00000000-0005-0000-0000-0000A3930000}"/>
    <cellStyle name="40% - Accent1 4" xfId="18967" xr:uid="{00000000-0005-0000-0000-0000A4930000}"/>
    <cellStyle name="40% - Accent1 5" xfId="33964" xr:uid="{00000000-0005-0000-0000-0000A5930000}"/>
    <cellStyle name="40% - Accent1 6" xfId="49228" xr:uid="{00000000-0005-0000-0000-0000A6930000}"/>
    <cellStyle name="40% - Accent1 7" xfId="49633" xr:uid="{00000000-0005-0000-0000-0000A7930000}"/>
    <cellStyle name="40% - Accent1 8" xfId="50042" xr:uid="{00000000-0005-0000-0000-0000A8930000}"/>
    <cellStyle name="40% - Accent1 9" xfId="50447" xr:uid="{00000000-0005-0000-0000-0000A9930000}"/>
    <cellStyle name="40% - Accent2" xfId="1137" builtinId="35" customBuiltin="1"/>
    <cellStyle name="40% - Accent2 10" xfId="50449" xr:uid="{00000000-0005-0000-0000-0000AB930000}"/>
    <cellStyle name="40% - Accent2 11" xfId="51008" xr:uid="{00000000-0005-0000-0000-0000AC930000}"/>
    <cellStyle name="40% - Accent2 12" xfId="51610" xr:uid="{00000000-0005-0000-0000-0000AD930000}"/>
    <cellStyle name="40% - Accent2 13" xfId="52030" xr:uid="{00000000-0005-0000-0000-0000AE930000}"/>
    <cellStyle name="40% - Accent2 14" xfId="53090" xr:uid="{00000000-0005-0000-0000-0000AF930000}"/>
    <cellStyle name="40% - Accent2 2" xfId="1516" xr:uid="{00000000-0005-0000-0000-0000B0930000}"/>
    <cellStyle name="40% - Accent2 2 2" xfId="10082" xr:uid="{00000000-0005-0000-0000-0000B1930000}"/>
    <cellStyle name="40% - Accent2 2 2 2" xfId="26402" xr:uid="{00000000-0005-0000-0000-0000B2930000}"/>
    <cellStyle name="40% - Accent2 2 2 3" xfId="41368" xr:uid="{00000000-0005-0000-0000-0000B3930000}"/>
    <cellStyle name="40% - Accent2 2 3" xfId="19380" xr:uid="{00000000-0005-0000-0000-0000B4930000}"/>
    <cellStyle name="40% - Accent2 2 4" xfId="34369" xr:uid="{00000000-0005-0000-0000-0000B5930000}"/>
    <cellStyle name="40% - Accent2 2 5" xfId="53132" xr:uid="{00000000-0005-0000-0000-0000B6930000}"/>
    <cellStyle name="40% - Accent2 3" xfId="8872" xr:uid="{00000000-0005-0000-0000-0000B7930000}"/>
    <cellStyle name="40% - Accent2 3 2" xfId="16648" xr:uid="{00000000-0005-0000-0000-0000B8930000}"/>
    <cellStyle name="40% - Accent2 3 2 2" xfId="32962" xr:uid="{00000000-0005-0000-0000-0000B9930000}"/>
    <cellStyle name="40% - Accent2 3 2 3" xfId="47926" xr:uid="{00000000-0005-0000-0000-0000BA930000}"/>
    <cellStyle name="40% - Accent2 3 3" xfId="25940" xr:uid="{00000000-0005-0000-0000-0000BB930000}"/>
    <cellStyle name="40% - Accent2 3 4" xfId="40927" xr:uid="{00000000-0005-0000-0000-0000BC930000}"/>
    <cellStyle name="40% - Accent2 3 5" xfId="56364" xr:uid="{00000000-0005-0000-0000-0000BD930000}"/>
    <cellStyle name="40% - Accent2 4" xfId="9657" xr:uid="{00000000-0005-0000-0000-0000BE930000}"/>
    <cellStyle name="40% - Accent2 4 2" xfId="25988" xr:uid="{00000000-0005-0000-0000-0000BF930000}"/>
    <cellStyle name="40% - Accent2 4 3" xfId="40968" xr:uid="{00000000-0005-0000-0000-0000C0930000}"/>
    <cellStyle name="40% - Accent2 5" xfId="18969" xr:uid="{00000000-0005-0000-0000-0000C1930000}"/>
    <cellStyle name="40% - Accent2 6" xfId="33966" xr:uid="{00000000-0005-0000-0000-0000C2930000}"/>
    <cellStyle name="40% - Accent2 7" xfId="49230" xr:uid="{00000000-0005-0000-0000-0000C3930000}"/>
    <cellStyle name="40% - Accent2 8" xfId="49635" xr:uid="{00000000-0005-0000-0000-0000C4930000}"/>
    <cellStyle name="40% - Accent2 9" xfId="50044" xr:uid="{00000000-0005-0000-0000-0000C5930000}"/>
    <cellStyle name="40% - Accent3" xfId="1141" builtinId="39" customBuiltin="1"/>
    <cellStyle name="40% - Accent3 10" xfId="51010" xr:uid="{00000000-0005-0000-0000-0000C7930000}"/>
    <cellStyle name="40% - Accent3 11" xfId="51612" xr:uid="{00000000-0005-0000-0000-0000C8930000}"/>
    <cellStyle name="40% - Accent3 12" xfId="52032" xr:uid="{00000000-0005-0000-0000-0000C9930000}"/>
    <cellStyle name="40% - Accent3 13" xfId="53092" xr:uid="{00000000-0005-0000-0000-0000CA930000}"/>
    <cellStyle name="40% - Accent3 2" xfId="8874" xr:uid="{00000000-0005-0000-0000-0000CB930000}"/>
    <cellStyle name="40% - Accent3 2 2" xfId="16650" xr:uid="{00000000-0005-0000-0000-0000CC930000}"/>
    <cellStyle name="40% - Accent3 2 2 2" xfId="32964" xr:uid="{00000000-0005-0000-0000-0000CD930000}"/>
    <cellStyle name="40% - Accent3 2 2 3" xfId="47928" xr:uid="{00000000-0005-0000-0000-0000CE930000}"/>
    <cellStyle name="40% - Accent3 2 3" xfId="25942" xr:uid="{00000000-0005-0000-0000-0000CF930000}"/>
    <cellStyle name="40% - Accent3 2 4" xfId="40929" xr:uid="{00000000-0005-0000-0000-0000D0930000}"/>
    <cellStyle name="40% - Accent3 2 5" xfId="53133" xr:uid="{00000000-0005-0000-0000-0000D1930000}"/>
    <cellStyle name="40% - Accent3 3" xfId="9659" xr:uid="{00000000-0005-0000-0000-0000D2930000}"/>
    <cellStyle name="40% - Accent3 3 2" xfId="25990" xr:uid="{00000000-0005-0000-0000-0000D3930000}"/>
    <cellStyle name="40% - Accent3 3 3" xfId="40970" xr:uid="{00000000-0005-0000-0000-0000D4930000}"/>
    <cellStyle name="40% - Accent3 3 4" xfId="56366" xr:uid="{00000000-0005-0000-0000-0000D5930000}"/>
    <cellStyle name="40% - Accent3 4" xfId="18971" xr:uid="{00000000-0005-0000-0000-0000D6930000}"/>
    <cellStyle name="40% - Accent3 5" xfId="33968" xr:uid="{00000000-0005-0000-0000-0000D7930000}"/>
    <cellStyle name="40% - Accent3 6" xfId="49232" xr:uid="{00000000-0005-0000-0000-0000D8930000}"/>
    <cellStyle name="40% - Accent3 7" xfId="49637" xr:uid="{00000000-0005-0000-0000-0000D9930000}"/>
    <cellStyle name="40% - Accent3 8" xfId="50046" xr:uid="{00000000-0005-0000-0000-0000DA930000}"/>
    <cellStyle name="40% - Accent3 9" xfId="50451" xr:uid="{00000000-0005-0000-0000-0000DB930000}"/>
    <cellStyle name="40% - Accent4" xfId="1145" builtinId="43" customBuiltin="1"/>
    <cellStyle name="40% - Accent4 10" xfId="51012" xr:uid="{00000000-0005-0000-0000-0000DD930000}"/>
    <cellStyle name="40% - Accent4 11" xfId="51614" xr:uid="{00000000-0005-0000-0000-0000DE930000}"/>
    <cellStyle name="40% - Accent4 12" xfId="52034" xr:uid="{00000000-0005-0000-0000-0000DF930000}"/>
    <cellStyle name="40% - Accent4 13" xfId="53094" xr:uid="{00000000-0005-0000-0000-0000E0930000}"/>
    <cellStyle name="40% - Accent4 2" xfId="8876" xr:uid="{00000000-0005-0000-0000-0000E1930000}"/>
    <cellStyle name="40% - Accent4 2 2" xfId="16652" xr:uid="{00000000-0005-0000-0000-0000E2930000}"/>
    <cellStyle name="40% - Accent4 2 2 2" xfId="32966" xr:uid="{00000000-0005-0000-0000-0000E3930000}"/>
    <cellStyle name="40% - Accent4 2 2 3" xfId="47930" xr:uid="{00000000-0005-0000-0000-0000E4930000}"/>
    <cellStyle name="40% - Accent4 2 3" xfId="25944" xr:uid="{00000000-0005-0000-0000-0000E5930000}"/>
    <cellStyle name="40% - Accent4 2 4" xfId="40931" xr:uid="{00000000-0005-0000-0000-0000E6930000}"/>
    <cellStyle name="40% - Accent4 2 5" xfId="53134" xr:uid="{00000000-0005-0000-0000-0000E7930000}"/>
    <cellStyle name="40% - Accent4 3" xfId="9661" xr:uid="{00000000-0005-0000-0000-0000E8930000}"/>
    <cellStyle name="40% - Accent4 3 2" xfId="25992" xr:uid="{00000000-0005-0000-0000-0000E9930000}"/>
    <cellStyle name="40% - Accent4 3 3" xfId="40972" xr:uid="{00000000-0005-0000-0000-0000EA930000}"/>
    <cellStyle name="40% - Accent4 3 4" xfId="56368" xr:uid="{00000000-0005-0000-0000-0000EB930000}"/>
    <cellStyle name="40% - Accent4 4" xfId="18973" xr:uid="{00000000-0005-0000-0000-0000EC930000}"/>
    <cellStyle name="40% - Accent4 5" xfId="33970" xr:uid="{00000000-0005-0000-0000-0000ED930000}"/>
    <cellStyle name="40% - Accent4 6" xfId="49234" xr:uid="{00000000-0005-0000-0000-0000EE930000}"/>
    <cellStyle name="40% - Accent4 7" xfId="49639" xr:uid="{00000000-0005-0000-0000-0000EF930000}"/>
    <cellStyle name="40% - Accent4 8" xfId="50048" xr:uid="{00000000-0005-0000-0000-0000F0930000}"/>
    <cellStyle name="40% - Accent4 9" xfId="50453" xr:uid="{00000000-0005-0000-0000-0000F1930000}"/>
    <cellStyle name="40% - Accent5" xfId="1149" builtinId="47" customBuiltin="1"/>
    <cellStyle name="40% - Accent5 10" xfId="51015" xr:uid="{00000000-0005-0000-0000-0000F3930000}"/>
    <cellStyle name="40% - Accent5 11" xfId="51616" xr:uid="{00000000-0005-0000-0000-0000F4930000}"/>
    <cellStyle name="40% - Accent5 12" xfId="52036" xr:uid="{00000000-0005-0000-0000-0000F5930000}"/>
    <cellStyle name="40% - Accent5 13" xfId="53096" xr:uid="{00000000-0005-0000-0000-0000F6930000}"/>
    <cellStyle name="40% - Accent5 2" xfId="8878" xr:uid="{00000000-0005-0000-0000-0000F7930000}"/>
    <cellStyle name="40% - Accent5 2 2" xfId="16654" xr:uid="{00000000-0005-0000-0000-0000F8930000}"/>
    <cellStyle name="40% - Accent5 2 2 2" xfId="32968" xr:uid="{00000000-0005-0000-0000-0000F9930000}"/>
    <cellStyle name="40% - Accent5 2 2 3" xfId="47932" xr:uid="{00000000-0005-0000-0000-0000FA930000}"/>
    <cellStyle name="40% - Accent5 2 3" xfId="25946" xr:uid="{00000000-0005-0000-0000-0000FB930000}"/>
    <cellStyle name="40% - Accent5 2 4" xfId="40933" xr:uid="{00000000-0005-0000-0000-0000FC930000}"/>
    <cellStyle name="40% - Accent5 2 5" xfId="53135" xr:uid="{00000000-0005-0000-0000-0000FD930000}"/>
    <cellStyle name="40% - Accent5 3" xfId="9663" xr:uid="{00000000-0005-0000-0000-0000FE930000}"/>
    <cellStyle name="40% - Accent5 3 2" xfId="25994" xr:uid="{00000000-0005-0000-0000-0000FF930000}"/>
    <cellStyle name="40% - Accent5 3 3" xfId="40974" xr:uid="{00000000-0005-0000-0000-000000940000}"/>
    <cellStyle name="40% - Accent5 3 4" xfId="56370" xr:uid="{00000000-0005-0000-0000-000001940000}"/>
    <cellStyle name="40% - Accent5 4" xfId="18975" xr:uid="{00000000-0005-0000-0000-000002940000}"/>
    <cellStyle name="40% - Accent5 5" xfId="33972" xr:uid="{00000000-0005-0000-0000-000003940000}"/>
    <cellStyle name="40% - Accent5 6" xfId="49236" xr:uid="{00000000-0005-0000-0000-000004940000}"/>
    <cellStyle name="40% - Accent5 7" xfId="49641" xr:uid="{00000000-0005-0000-0000-000005940000}"/>
    <cellStyle name="40% - Accent5 8" xfId="50050" xr:uid="{00000000-0005-0000-0000-000006940000}"/>
    <cellStyle name="40% - Accent5 9" xfId="50455" xr:uid="{00000000-0005-0000-0000-000007940000}"/>
    <cellStyle name="40% - Accent6" xfId="1153" builtinId="51" customBuiltin="1"/>
    <cellStyle name="40% - Accent6 10" xfId="51017" xr:uid="{00000000-0005-0000-0000-000009940000}"/>
    <cellStyle name="40% - Accent6 11" xfId="51618" xr:uid="{00000000-0005-0000-0000-00000A940000}"/>
    <cellStyle name="40% - Accent6 12" xfId="52038" xr:uid="{00000000-0005-0000-0000-00000B940000}"/>
    <cellStyle name="40% - Accent6 13" xfId="53098" xr:uid="{00000000-0005-0000-0000-00000C940000}"/>
    <cellStyle name="40% - Accent6 2" xfId="8880" xr:uid="{00000000-0005-0000-0000-00000D940000}"/>
    <cellStyle name="40% - Accent6 2 2" xfId="16656" xr:uid="{00000000-0005-0000-0000-00000E940000}"/>
    <cellStyle name="40% - Accent6 2 2 2" xfId="32970" xr:uid="{00000000-0005-0000-0000-00000F940000}"/>
    <cellStyle name="40% - Accent6 2 2 3" xfId="47934" xr:uid="{00000000-0005-0000-0000-000010940000}"/>
    <cellStyle name="40% - Accent6 2 3" xfId="25948" xr:uid="{00000000-0005-0000-0000-000011940000}"/>
    <cellStyle name="40% - Accent6 2 4" xfId="40935" xr:uid="{00000000-0005-0000-0000-000012940000}"/>
    <cellStyle name="40% - Accent6 2 5" xfId="53136" xr:uid="{00000000-0005-0000-0000-000013940000}"/>
    <cellStyle name="40% - Accent6 3" xfId="9665" xr:uid="{00000000-0005-0000-0000-000014940000}"/>
    <cellStyle name="40% - Accent6 3 2" xfId="25996" xr:uid="{00000000-0005-0000-0000-000015940000}"/>
    <cellStyle name="40% - Accent6 3 3" xfId="40976" xr:uid="{00000000-0005-0000-0000-000016940000}"/>
    <cellStyle name="40% - Accent6 3 4" xfId="56372" xr:uid="{00000000-0005-0000-0000-000017940000}"/>
    <cellStyle name="40% - Accent6 4" xfId="18977" xr:uid="{00000000-0005-0000-0000-000018940000}"/>
    <cellStyle name="40% - Accent6 5" xfId="33974" xr:uid="{00000000-0005-0000-0000-000019940000}"/>
    <cellStyle name="40% - Accent6 6" xfId="49238" xr:uid="{00000000-0005-0000-0000-00001A940000}"/>
    <cellStyle name="40% - Accent6 7" xfId="49643" xr:uid="{00000000-0005-0000-0000-00001B940000}"/>
    <cellStyle name="40% - Accent6 8" xfId="50052" xr:uid="{00000000-0005-0000-0000-00001C940000}"/>
    <cellStyle name="40% - Accent6 9" xfId="50457" xr:uid="{00000000-0005-0000-0000-00001D940000}"/>
    <cellStyle name="40% - Colore 1" xfId="7" xr:uid="{00000000-0005-0000-0000-00001E940000}"/>
    <cellStyle name="40% - Colore 2" xfId="8" xr:uid="{00000000-0005-0000-0000-00001F940000}"/>
    <cellStyle name="40% - Colore 3" xfId="9" xr:uid="{00000000-0005-0000-0000-000020940000}"/>
    <cellStyle name="40% - Colore 4" xfId="10" xr:uid="{00000000-0005-0000-0000-000021940000}"/>
    <cellStyle name="40% - Colore 5" xfId="11" xr:uid="{00000000-0005-0000-0000-000022940000}"/>
    <cellStyle name="40% - Colore 6" xfId="12" xr:uid="{00000000-0005-0000-0000-000023940000}"/>
    <cellStyle name="5x indented GHG Textfiels" xfId="13" xr:uid="{00000000-0005-0000-0000-000024940000}"/>
    <cellStyle name="5x indented GHG Textfiels 2" xfId="14" xr:uid="{00000000-0005-0000-0000-000025940000}"/>
    <cellStyle name="5x indented GHG Textfiels 2 2" xfId="9667" xr:uid="{00000000-0005-0000-0000-000026940000}"/>
    <cellStyle name="5x indented GHG Textfiels 2 2 2" xfId="25997" xr:uid="{00000000-0005-0000-0000-000027940000}"/>
    <cellStyle name="5x indented GHG Textfiels 2 3" xfId="9643" xr:uid="{00000000-0005-0000-0000-000028940000}"/>
    <cellStyle name="5x indented GHG Textfiels 2 4" xfId="17956" xr:uid="{00000000-0005-0000-0000-000029940000}"/>
    <cellStyle name="5x indented GHG Textfiels 3" xfId="1193" xr:uid="{00000000-0005-0000-0000-00002A940000}"/>
    <cellStyle name="60 % - Markeringsfarve1 2" xfId="4639" xr:uid="{00000000-0005-0000-0000-00002B940000}"/>
    <cellStyle name="60 % - Markeringsfarve1 3" xfId="4640" xr:uid="{00000000-0005-0000-0000-00002C940000}"/>
    <cellStyle name="60 % - Markeringsfarve1 4" xfId="4641" xr:uid="{00000000-0005-0000-0000-00002D940000}"/>
    <cellStyle name="60 % - Markeringsfarve1 5" xfId="4642" xr:uid="{00000000-0005-0000-0000-00002E940000}"/>
    <cellStyle name="60 % - Markeringsfarve1 5 2" xfId="8499" xr:uid="{00000000-0005-0000-0000-00002F940000}"/>
    <cellStyle name="60 % - Markeringsfarve1 6" xfId="5325" xr:uid="{00000000-0005-0000-0000-000030940000}"/>
    <cellStyle name="60 % - Markeringsfarve1 7" xfId="4638" xr:uid="{00000000-0005-0000-0000-000031940000}"/>
    <cellStyle name="60 % - Markeringsfarve2 2" xfId="4644" xr:uid="{00000000-0005-0000-0000-000032940000}"/>
    <cellStyle name="60 % - Markeringsfarve2 3" xfId="4645" xr:uid="{00000000-0005-0000-0000-000033940000}"/>
    <cellStyle name="60 % - Markeringsfarve2 4" xfId="4646" xr:uid="{00000000-0005-0000-0000-000034940000}"/>
    <cellStyle name="60 % - Markeringsfarve2 5" xfId="4647" xr:uid="{00000000-0005-0000-0000-000035940000}"/>
    <cellStyle name="60 % - Markeringsfarve2 5 2" xfId="8672" xr:uid="{00000000-0005-0000-0000-000036940000}"/>
    <cellStyle name="60 % - Markeringsfarve2 6" xfId="5329" xr:uid="{00000000-0005-0000-0000-000037940000}"/>
    <cellStyle name="60 % - Markeringsfarve2 7" xfId="4643" xr:uid="{00000000-0005-0000-0000-000038940000}"/>
    <cellStyle name="60 % - Markeringsfarve3 2" xfId="4649" xr:uid="{00000000-0005-0000-0000-000039940000}"/>
    <cellStyle name="60 % - Markeringsfarve3 2 2" xfId="4650" xr:uid="{00000000-0005-0000-0000-00003A940000}"/>
    <cellStyle name="60 % - Markeringsfarve3 2 2 2" xfId="6319" xr:uid="{00000000-0005-0000-0000-00003B940000}"/>
    <cellStyle name="60 % - Markeringsfarve3 3" xfId="4651" xr:uid="{00000000-0005-0000-0000-00003C940000}"/>
    <cellStyle name="60 % - Markeringsfarve3 4" xfId="4652" xr:uid="{00000000-0005-0000-0000-00003D940000}"/>
    <cellStyle name="60 % - Markeringsfarve3 5" xfId="4653" xr:uid="{00000000-0005-0000-0000-00003E940000}"/>
    <cellStyle name="60 % - Markeringsfarve3 6" xfId="4654" xr:uid="{00000000-0005-0000-0000-00003F940000}"/>
    <cellStyle name="60 % - Markeringsfarve3 6 2" xfId="8557" xr:uid="{00000000-0005-0000-0000-000040940000}"/>
    <cellStyle name="60 % - Markeringsfarve3 7" xfId="5333" xr:uid="{00000000-0005-0000-0000-000041940000}"/>
    <cellStyle name="60 % - Markeringsfarve3 8" xfId="4648" xr:uid="{00000000-0005-0000-0000-000042940000}"/>
    <cellStyle name="60 % - Markeringsfarve4 2" xfId="4656" xr:uid="{00000000-0005-0000-0000-000043940000}"/>
    <cellStyle name="60 % - Markeringsfarve4 2 2" xfId="4657" xr:uid="{00000000-0005-0000-0000-000044940000}"/>
    <cellStyle name="60 % - Markeringsfarve4 2 2 2" xfId="6320" xr:uid="{00000000-0005-0000-0000-000045940000}"/>
    <cellStyle name="60 % - Markeringsfarve4 3" xfId="4658" xr:uid="{00000000-0005-0000-0000-000046940000}"/>
    <cellStyle name="60 % - Markeringsfarve4 4" xfId="4659" xr:uid="{00000000-0005-0000-0000-000047940000}"/>
    <cellStyle name="60 % - Markeringsfarve4 5" xfId="4660" xr:uid="{00000000-0005-0000-0000-000048940000}"/>
    <cellStyle name="60 % - Markeringsfarve4 6" xfId="4661" xr:uid="{00000000-0005-0000-0000-000049940000}"/>
    <cellStyle name="60 % - Markeringsfarve4 6 2" xfId="8145" xr:uid="{00000000-0005-0000-0000-00004A940000}"/>
    <cellStyle name="60 % - Markeringsfarve4 7" xfId="5337" xr:uid="{00000000-0005-0000-0000-00004B940000}"/>
    <cellStyle name="60 % - Markeringsfarve4 8" xfId="4655" xr:uid="{00000000-0005-0000-0000-00004C940000}"/>
    <cellStyle name="60 % - Markeringsfarve5 2" xfId="4663" xr:uid="{00000000-0005-0000-0000-00004D940000}"/>
    <cellStyle name="60 % - Markeringsfarve5 3" xfId="4664" xr:uid="{00000000-0005-0000-0000-00004E940000}"/>
    <cellStyle name="60 % - Markeringsfarve5 4" xfId="4665" xr:uid="{00000000-0005-0000-0000-00004F940000}"/>
    <cellStyle name="60 % - Markeringsfarve5 5" xfId="4666" xr:uid="{00000000-0005-0000-0000-000050940000}"/>
    <cellStyle name="60 % - Markeringsfarve5 5 2" xfId="8691" xr:uid="{00000000-0005-0000-0000-000051940000}"/>
    <cellStyle name="60 % - Markeringsfarve5 6" xfId="5340" xr:uid="{00000000-0005-0000-0000-000052940000}"/>
    <cellStyle name="60 % - Markeringsfarve5 7" xfId="4662" xr:uid="{00000000-0005-0000-0000-000053940000}"/>
    <cellStyle name="60 % - Markeringsfarve6 2" xfId="4668" xr:uid="{00000000-0005-0000-0000-000054940000}"/>
    <cellStyle name="60 % - Markeringsfarve6 2 2" xfId="4669" xr:uid="{00000000-0005-0000-0000-000055940000}"/>
    <cellStyle name="60 % - Markeringsfarve6 2 2 2" xfId="6321" xr:uid="{00000000-0005-0000-0000-000056940000}"/>
    <cellStyle name="60 % - Markeringsfarve6 3" xfId="4670" xr:uid="{00000000-0005-0000-0000-000057940000}"/>
    <cellStyle name="60 % - Markeringsfarve6 4" xfId="4671" xr:uid="{00000000-0005-0000-0000-000058940000}"/>
    <cellStyle name="60 % - Markeringsfarve6 5" xfId="4672" xr:uid="{00000000-0005-0000-0000-000059940000}"/>
    <cellStyle name="60 % - Markeringsfarve6 6" xfId="4673" xr:uid="{00000000-0005-0000-0000-00005A940000}"/>
    <cellStyle name="60 % - Markeringsfarve6 6 2" xfId="8619" xr:uid="{00000000-0005-0000-0000-00005B940000}"/>
    <cellStyle name="60 % - Markeringsfarve6 7" xfId="5344" xr:uid="{00000000-0005-0000-0000-00005C940000}"/>
    <cellStyle name="60 % - Markeringsfarve6 8" xfId="4667" xr:uid="{00000000-0005-0000-0000-00005D940000}"/>
    <cellStyle name="60% - Accent1" xfId="1134" builtinId="32" customBuiltin="1"/>
    <cellStyle name="60% - Accent1 2" xfId="53137" xr:uid="{00000000-0005-0000-0000-00005F940000}"/>
    <cellStyle name="60% - Accent2" xfId="1138" builtinId="36" customBuiltin="1"/>
    <cellStyle name="60% - Accent2 2" xfId="53138" xr:uid="{00000000-0005-0000-0000-000061940000}"/>
    <cellStyle name="60% - Accent3" xfId="1142" builtinId="40" customBuiltin="1"/>
    <cellStyle name="60% - Accent3 2" xfId="53139" xr:uid="{00000000-0005-0000-0000-000063940000}"/>
    <cellStyle name="60% - Accent4" xfId="1146" builtinId="44" customBuiltin="1"/>
    <cellStyle name="60% - Accent4 2" xfId="53140" xr:uid="{00000000-0005-0000-0000-000065940000}"/>
    <cellStyle name="60% - Accent5" xfId="1150" builtinId="48" customBuiltin="1"/>
    <cellStyle name="60% - Accent5 2" xfId="53141" xr:uid="{00000000-0005-0000-0000-000067940000}"/>
    <cellStyle name="60% - Accent6" xfId="1154" builtinId="52" customBuiltin="1"/>
    <cellStyle name="60% - Accent6 2" xfId="53142" xr:uid="{00000000-0005-0000-0000-000069940000}"/>
    <cellStyle name="60% - Colore 1" xfId="15" xr:uid="{00000000-0005-0000-0000-00006A940000}"/>
    <cellStyle name="60% - Colore 2" xfId="16" xr:uid="{00000000-0005-0000-0000-00006B940000}"/>
    <cellStyle name="60% - Colore 3" xfId="17" xr:uid="{00000000-0005-0000-0000-00006C940000}"/>
    <cellStyle name="60% - Colore 4" xfId="18" xr:uid="{00000000-0005-0000-0000-00006D940000}"/>
    <cellStyle name="60% - Colore 5" xfId="19" xr:uid="{00000000-0005-0000-0000-00006E940000}"/>
    <cellStyle name="60% - Colore 6" xfId="20" xr:uid="{00000000-0005-0000-0000-00006F940000}"/>
    <cellStyle name="Accent1" xfId="1131" builtinId="29" customBuiltin="1"/>
    <cellStyle name="Accent1 2" xfId="53143" xr:uid="{00000000-0005-0000-0000-000071940000}"/>
    <cellStyle name="Accent2" xfId="1135" builtinId="33" customBuiltin="1"/>
    <cellStyle name="Accent2 2" xfId="53144" xr:uid="{00000000-0005-0000-0000-000073940000}"/>
    <cellStyle name="Accent3" xfId="1139" builtinId="37" customBuiltin="1"/>
    <cellStyle name="Accent3 2" xfId="53145" xr:uid="{00000000-0005-0000-0000-000075940000}"/>
    <cellStyle name="Accent4" xfId="1143" builtinId="41" customBuiltin="1"/>
    <cellStyle name="Accent4 2" xfId="53146" xr:uid="{00000000-0005-0000-0000-000077940000}"/>
    <cellStyle name="Accent5" xfId="1147" builtinId="45" customBuiltin="1"/>
    <cellStyle name="Accent5 2" xfId="53147" xr:uid="{00000000-0005-0000-0000-000079940000}"/>
    <cellStyle name="Accent6" xfId="1151" builtinId="49" customBuiltin="1"/>
    <cellStyle name="Accent6 2" xfId="53148" xr:uid="{00000000-0005-0000-0000-00007B940000}"/>
    <cellStyle name="AggOrange_CRFReport-template" xfId="21" xr:uid="{00000000-0005-0000-0000-00007C940000}"/>
    <cellStyle name="AggOrange9_CRFReport-template" xfId="22" xr:uid="{00000000-0005-0000-0000-00007D940000}"/>
    <cellStyle name="AZ1" xfId="4674" xr:uid="{00000000-0005-0000-0000-00007E940000}"/>
    <cellStyle name="AZ1 2" xfId="4675" xr:uid="{00000000-0005-0000-0000-00007F940000}"/>
    <cellStyle name="Background" xfId="1160" xr:uid="{00000000-0005-0000-0000-000080940000}"/>
    <cellStyle name="Bad" xfId="23" builtinId="27" customBuiltin="1"/>
    <cellStyle name="Bad 2" xfId="24" xr:uid="{00000000-0005-0000-0000-000082940000}"/>
    <cellStyle name="Bad 2 2" xfId="53149" xr:uid="{00000000-0005-0000-0000-000083940000}"/>
    <cellStyle name="Bad 3" xfId="17889" xr:uid="{00000000-0005-0000-0000-000084940000}"/>
    <cellStyle name="Bemærk! 2" xfId="1186" xr:uid="{00000000-0005-0000-0000-000085940000}"/>
    <cellStyle name="Bemærk! 2 10" xfId="4677" xr:uid="{00000000-0005-0000-0000-000086940000}"/>
    <cellStyle name="Bemærk! 2 10 2" xfId="4678" xr:uid="{00000000-0005-0000-0000-000087940000}"/>
    <cellStyle name="Bemærk! 2 10 2 2" xfId="7440" xr:uid="{00000000-0005-0000-0000-000088940000}"/>
    <cellStyle name="Bemærk! 2 10 2 2 2" xfId="15342" xr:uid="{00000000-0005-0000-0000-000089940000}"/>
    <cellStyle name="Bemærk! 2 10 2 2 2 2" xfId="31657" xr:uid="{00000000-0005-0000-0000-00008A940000}"/>
    <cellStyle name="Bemærk! 2 10 2 2 2 3" xfId="46621" xr:uid="{00000000-0005-0000-0000-00008B940000}"/>
    <cellStyle name="Bemærk! 2 10 2 2 3" xfId="24635" xr:uid="{00000000-0005-0000-0000-00008C940000}"/>
    <cellStyle name="Bemærk! 2 10 2 2 4" xfId="39622" xr:uid="{00000000-0005-0000-0000-00008D940000}"/>
    <cellStyle name="Bemærk! 2 11" xfId="4679" xr:uid="{00000000-0005-0000-0000-00008E940000}"/>
    <cellStyle name="Bemærk! 2 11 2" xfId="4680" xr:uid="{00000000-0005-0000-0000-00008F940000}"/>
    <cellStyle name="Bemærk! 2 11 2 2" xfId="8689" xr:uid="{00000000-0005-0000-0000-000090940000}"/>
    <cellStyle name="Bemærk! 2 11 2 2 2" xfId="16569" xr:uid="{00000000-0005-0000-0000-000091940000}"/>
    <cellStyle name="Bemærk! 2 11 2 2 2 2" xfId="32884" xr:uid="{00000000-0005-0000-0000-000092940000}"/>
    <cellStyle name="Bemærk! 2 11 2 2 2 3" xfId="47848" xr:uid="{00000000-0005-0000-0000-000093940000}"/>
    <cellStyle name="Bemærk! 2 11 2 2 3" xfId="25862" xr:uid="{00000000-0005-0000-0000-000094940000}"/>
    <cellStyle name="Bemærk! 2 11 2 2 4" xfId="40849" xr:uid="{00000000-0005-0000-0000-000095940000}"/>
    <cellStyle name="Bemærk! 2 11 3" xfId="6041" xr:uid="{00000000-0005-0000-0000-000096940000}"/>
    <cellStyle name="Bemærk! 2 11 3 2" xfId="13959" xr:uid="{00000000-0005-0000-0000-000097940000}"/>
    <cellStyle name="Bemærk! 2 11 3 2 2" xfId="30274" xr:uid="{00000000-0005-0000-0000-000098940000}"/>
    <cellStyle name="Bemærk! 2 11 3 2 3" xfId="45238" xr:uid="{00000000-0005-0000-0000-000099940000}"/>
    <cellStyle name="Bemærk! 2 11 3 3" xfId="23252" xr:uid="{00000000-0005-0000-0000-00009A940000}"/>
    <cellStyle name="Bemærk! 2 11 3 4" xfId="38239" xr:uid="{00000000-0005-0000-0000-00009B940000}"/>
    <cellStyle name="Bemærk! 2 12" xfId="4681" xr:uid="{00000000-0005-0000-0000-00009C940000}"/>
    <cellStyle name="Bemærk! 2 12 2" xfId="6665" xr:uid="{00000000-0005-0000-0000-00009D940000}"/>
    <cellStyle name="Bemærk! 2 12 2 2" xfId="14578" xr:uid="{00000000-0005-0000-0000-00009E940000}"/>
    <cellStyle name="Bemærk! 2 12 2 2 2" xfId="30893" xr:uid="{00000000-0005-0000-0000-00009F940000}"/>
    <cellStyle name="Bemærk! 2 12 2 2 3" xfId="45857" xr:uid="{00000000-0005-0000-0000-0000A0940000}"/>
    <cellStyle name="Bemærk! 2 12 2 3" xfId="23871" xr:uid="{00000000-0005-0000-0000-0000A1940000}"/>
    <cellStyle name="Bemærk! 2 12 2 4" xfId="38858" xr:uid="{00000000-0005-0000-0000-0000A2940000}"/>
    <cellStyle name="Bemærk! 2 13" xfId="4676" xr:uid="{00000000-0005-0000-0000-0000A3940000}"/>
    <cellStyle name="Bemærk! 2 14" xfId="53348" xr:uid="{00000000-0005-0000-0000-0000A4940000}"/>
    <cellStyle name="Bemærk! 2 2" xfId="4682" xr:uid="{00000000-0005-0000-0000-0000A5940000}"/>
    <cellStyle name="Bemærk! 2 2 10" xfId="4683" xr:uid="{00000000-0005-0000-0000-0000A6940000}"/>
    <cellStyle name="Bemærk! 2 2 10 2" xfId="4684" xr:uid="{00000000-0005-0000-0000-0000A7940000}"/>
    <cellStyle name="Bemærk! 2 2 10 2 2" xfId="8494" xr:uid="{00000000-0005-0000-0000-0000A8940000}"/>
    <cellStyle name="Bemærk! 2 2 10 2 2 2" xfId="16383" xr:uid="{00000000-0005-0000-0000-0000A9940000}"/>
    <cellStyle name="Bemærk! 2 2 10 2 2 2 2" xfId="32698" xr:uid="{00000000-0005-0000-0000-0000AA940000}"/>
    <cellStyle name="Bemærk! 2 2 10 2 2 2 3" xfId="47662" xr:uid="{00000000-0005-0000-0000-0000AB940000}"/>
    <cellStyle name="Bemærk! 2 2 10 2 2 3" xfId="25676" xr:uid="{00000000-0005-0000-0000-0000AC940000}"/>
    <cellStyle name="Bemærk! 2 2 10 2 2 4" xfId="40663" xr:uid="{00000000-0005-0000-0000-0000AD940000}"/>
    <cellStyle name="Bemærk! 2 2 10 3" xfId="6063" xr:uid="{00000000-0005-0000-0000-0000AE940000}"/>
    <cellStyle name="Bemærk! 2 2 10 3 2" xfId="13981" xr:uid="{00000000-0005-0000-0000-0000AF940000}"/>
    <cellStyle name="Bemærk! 2 2 10 3 2 2" xfId="30296" xr:uid="{00000000-0005-0000-0000-0000B0940000}"/>
    <cellStyle name="Bemærk! 2 2 10 3 2 3" xfId="45260" xr:uid="{00000000-0005-0000-0000-0000B1940000}"/>
    <cellStyle name="Bemærk! 2 2 10 3 3" xfId="23274" xr:uid="{00000000-0005-0000-0000-0000B2940000}"/>
    <cellStyle name="Bemærk! 2 2 10 3 4" xfId="38261" xr:uid="{00000000-0005-0000-0000-0000B3940000}"/>
    <cellStyle name="Bemærk! 2 2 11" xfId="4685" xr:uid="{00000000-0005-0000-0000-0000B4940000}"/>
    <cellStyle name="Bemærk! 2 2 11 2" xfId="6693" xr:uid="{00000000-0005-0000-0000-0000B5940000}"/>
    <cellStyle name="Bemærk! 2 2 11 2 2" xfId="14605" xr:uid="{00000000-0005-0000-0000-0000B6940000}"/>
    <cellStyle name="Bemærk! 2 2 11 2 2 2" xfId="30920" xr:uid="{00000000-0005-0000-0000-0000B7940000}"/>
    <cellStyle name="Bemærk! 2 2 11 2 2 3" xfId="45884" xr:uid="{00000000-0005-0000-0000-0000B8940000}"/>
    <cellStyle name="Bemærk! 2 2 11 2 3" xfId="23898" xr:uid="{00000000-0005-0000-0000-0000B9940000}"/>
    <cellStyle name="Bemærk! 2 2 11 2 4" xfId="38885" xr:uid="{00000000-0005-0000-0000-0000BA940000}"/>
    <cellStyle name="Bemærk! 2 2 12" xfId="53349" xr:uid="{00000000-0005-0000-0000-0000BB940000}"/>
    <cellStyle name="Bemærk! 2 2 2" xfId="4686" xr:uid="{00000000-0005-0000-0000-0000BC940000}"/>
    <cellStyle name="Bemærk! 2 2 2 10" xfId="53350" xr:uid="{00000000-0005-0000-0000-0000BD940000}"/>
    <cellStyle name="Bemærk! 2 2 2 2" xfId="4687" xr:uid="{00000000-0005-0000-0000-0000BE940000}"/>
    <cellStyle name="Bemærk! 2 2 2 2 2" xfId="4688" xr:uid="{00000000-0005-0000-0000-0000BF940000}"/>
    <cellStyle name="Bemærk! 2 2 2 2 2 2" xfId="4689" xr:uid="{00000000-0005-0000-0000-0000C0940000}"/>
    <cellStyle name="Bemærk! 2 2 2 2 2 2 2" xfId="7624" xr:uid="{00000000-0005-0000-0000-0000C1940000}"/>
    <cellStyle name="Bemærk! 2 2 2 2 2 2 2 2" xfId="15526" xr:uid="{00000000-0005-0000-0000-0000C2940000}"/>
    <cellStyle name="Bemærk! 2 2 2 2 2 2 2 2 2" xfId="31841" xr:uid="{00000000-0005-0000-0000-0000C3940000}"/>
    <cellStyle name="Bemærk! 2 2 2 2 2 2 2 2 3" xfId="46805" xr:uid="{00000000-0005-0000-0000-0000C4940000}"/>
    <cellStyle name="Bemærk! 2 2 2 2 2 2 2 3" xfId="24819" xr:uid="{00000000-0005-0000-0000-0000C5940000}"/>
    <cellStyle name="Bemærk! 2 2 2 2 2 2 2 4" xfId="39806" xr:uid="{00000000-0005-0000-0000-0000C6940000}"/>
    <cellStyle name="Bemærk! 2 2 2 2 2 3" xfId="57154" xr:uid="{00000000-0005-0000-0000-0000C7940000}"/>
    <cellStyle name="Bemærk! 2 2 2 2 3" xfId="4690" xr:uid="{00000000-0005-0000-0000-0000C8940000}"/>
    <cellStyle name="Bemærk! 2 2 2 2 3 2" xfId="4691" xr:uid="{00000000-0005-0000-0000-0000C9940000}"/>
    <cellStyle name="Bemærk! 2 2 2 2 3 2 2" xfId="8554" xr:uid="{00000000-0005-0000-0000-0000CA940000}"/>
    <cellStyle name="Bemærk! 2 2 2 2 3 2 2 2" xfId="16441" xr:uid="{00000000-0005-0000-0000-0000CB940000}"/>
    <cellStyle name="Bemærk! 2 2 2 2 3 2 2 2 2" xfId="32756" xr:uid="{00000000-0005-0000-0000-0000CC940000}"/>
    <cellStyle name="Bemærk! 2 2 2 2 3 2 2 2 3" xfId="47720" xr:uid="{00000000-0005-0000-0000-0000CD940000}"/>
    <cellStyle name="Bemærk! 2 2 2 2 3 2 2 3" xfId="25734" xr:uid="{00000000-0005-0000-0000-0000CE940000}"/>
    <cellStyle name="Bemærk! 2 2 2 2 3 2 2 4" xfId="40721" xr:uid="{00000000-0005-0000-0000-0000CF940000}"/>
    <cellStyle name="Bemærk! 2 2 2 2 3 3" xfId="6195" xr:uid="{00000000-0005-0000-0000-0000D0940000}"/>
    <cellStyle name="Bemærk! 2 2 2 2 3 3 2" xfId="14113" xr:uid="{00000000-0005-0000-0000-0000D1940000}"/>
    <cellStyle name="Bemærk! 2 2 2 2 3 3 2 2" xfId="30428" xr:uid="{00000000-0005-0000-0000-0000D2940000}"/>
    <cellStyle name="Bemærk! 2 2 2 2 3 3 2 3" xfId="45392" xr:uid="{00000000-0005-0000-0000-0000D3940000}"/>
    <cellStyle name="Bemærk! 2 2 2 2 3 3 3" xfId="23406" xr:uid="{00000000-0005-0000-0000-0000D4940000}"/>
    <cellStyle name="Bemærk! 2 2 2 2 3 3 4" xfId="38393" xr:uid="{00000000-0005-0000-0000-0000D5940000}"/>
    <cellStyle name="Bemærk! 2 2 2 2 4" xfId="4692" xr:uid="{00000000-0005-0000-0000-0000D6940000}"/>
    <cellStyle name="Bemærk! 2 2 2 2 4 2" xfId="6854" xr:uid="{00000000-0005-0000-0000-0000D7940000}"/>
    <cellStyle name="Bemærk! 2 2 2 2 4 2 2" xfId="14766" xr:uid="{00000000-0005-0000-0000-0000D8940000}"/>
    <cellStyle name="Bemærk! 2 2 2 2 4 2 2 2" xfId="31081" xr:uid="{00000000-0005-0000-0000-0000D9940000}"/>
    <cellStyle name="Bemærk! 2 2 2 2 4 2 2 3" xfId="46045" xr:uid="{00000000-0005-0000-0000-0000DA940000}"/>
    <cellStyle name="Bemærk! 2 2 2 2 4 2 3" xfId="24059" xr:uid="{00000000-0005-0000-0000-0000DB940000}"/>
    <cellStyle name="Bemærk! 2 2 2 2 4 2 4" xfId="39046" xr:uid="{00000000-0005-0000-0000-0000DC940000}"/>
    <cellStyle name="Bemærk! 2 2 2 2 5" xfId="53987" xr:uid="{00000000-0005-0000-0000-0000DD940000}"/>
    <cellStyle name="Bemærk! 2 2 2 3" xfId="4693" xr:uid="{00000000-0005-0000-0000-0000DE940000}"/>
    <cellStyle name="Bemærk! 2 2 2 3 2" xfId="4694" xr:uid="{00000000-0005-0000-0000-0000DF940000}"/>
    <cellStyle name="Bemærk! 2 2 2 3 2 2" xfId="4695" xr:uid="{00000000-0005-0000-0000-0000E0940000}"/>
    <cellStyle name="Bemærk! 2 2 2 3 2 2 2" xfId="7775" xr:uid="{00000000-0005-0000-0000-0000E1940000}"/>
    <cellStyle name="Bemærk! 2 2 2 3 2 2 2 2" xfId="15677" xr:uid="{00000000-0005-0000-0000-0000E2940000}"/>
    <cellStyle name="Bemærk! 2 2 2 3 2 2 2 2 2" xfId="31992" xr:uid="{00000000-0005-0000-0000-0000E3940000}"/>
    <cellStyle name="Bemærk! 2 2 2 3 2 2 2 2 3" xfId="46956" xr:uid="{00000000-0005-0000-0000-0000E4940000}"/>
    <cellStyle name="Bemærk! 2 2 2 3 2 2 2 3" xfId="24970" xr:uid="{00000000-0005-0000-0000-0000E5940000}"/>
    <cellStyle name="Bemærk! 2 2 2 3 2 2 2 4" xfId="39957" xr:uid="{00000000-0005-0000-0000-0000E6940000}"/>
    <cellStyle name="Bemærk! 2 2 2 3 3" xfId="4696" xr:uid="{00000000-0005-0000-0000-0000E7940000}"/>
    <cellStyle name="Bemærk! 2 2 2 3 3 2" xfId="4697" xr:uid="{00000000-0005-0000-0000-0000E8940000}"/>
    <cellStyle name="Bemærk! 2 2 2 3 3 2 2" xfId="8339" xr:uid="{00000000-0005-0000-0000-0000E9940000}"/>
    <cellStyle name="Bemærk! 2 2 2 3 3 2 2 2" xfId="16233" xr:uid="{00000000-0005-0000-0000-0000EA940000}"/>
    <cellStyle name="Bemærk! 2 2 2 3 3 2 2 2 2" xfId="32548" xr:uid="{00000000-0005-0000-0000-0000EB940000}"/>
    <cellStyle name="Bemærk! 2 2 2 3 3 2 2 2 3" xfId="47512" xr:uid="{00000000-0005-0000-0000-0000EC940000}"/>
    <cellStyle name="Bemærk! 2 2 2 3 3 2 2 3" xfId="25526" xr:uid="{00000000-0005-0000-0000-0000ED940000}"/>
    <cellStyle name="Bemærk! 2 2 2 3 3 2 2 4" xfId="40513" xr:uid="{00000000-0005-0000-0000-0000EE940000}"/>
    <cellStyle name="Bemærk! 2 2 2 3 3 3" xfId="6324" xr:uid="{00000000-0005-0000-0000-0000EF940000}"/>
    <cellStyle name="Bemærk! 2 2 2 3 3 3 2" xfId="14239" xr:uid="{00000000-0005-0000-0000-0000F0940000}"/>
    <cellStyle name="Bemærk! 2 2 2 3 3 3 2 2" xfId="30554" xr:uid="{00000000-0005-0000-0000-0000F1940000}"/>
    <cellStyle name="Bemærk! 2 2 2 3 3 3 2 3" xfId="45518" xr:uid="{00000000-0005-0000-0000-0000F2940000}"/>
    <cellStyle name="Bemærk! 2 2 2 3 3 3 3" xfId="23532" xr:uid="{00000000-0005-0000-0000-0000F3940000}"/>
    <cellStyle name="Bemærk! 2 2 2 3 3 3 4" xfId="38519" xr:uid="{00000000-0005-0000-0000-0000F4940000}"/>
    <cellStyle name="Bemærk! 2 2 2 3 4" xfId="4698" xr:uid="{00000000-0005-0000-0000-0000F5940000}"/>
    <cellStyle name="Bemærk! 2 2 2 3 4 2" xfId="7006" xr:uid="{00000000-0005-0000-0000-0000F6940000}"/>
    <cellStyle name="Bemærk! 2 2 2 3 4 2 2" xfId="14918" xr:uid="{00000000-0005-0000-0000-0000F7940000}"/>
    <cellStyle name="Bemærk! 2 2 2 3 4 2 2 2" xfId="31233" xr:uid="{00000000-0005-0000-0000-0000F8940000}"/>
    <cellStyle name="Bemærk! 2 2 2 3 4 2 2 3" xfId="46197" xr:uid="{00000000-0005-0000-0000-0000F9940000}"/>
    <cellStyle name="Bemærk! 2 2 2 3 4 2 3" xfId="24211" xr:uid="{00000000-0005-0000-0000-0000FA940000}"/>
    <cellStyle name="Bemærk! 2 2 2 3 4 2 4" xfId="39198" xr:uid="{00000000-0005-0000-0000-0000FB940000}"/>
    <cellStyle name="Bemærk! 2 2 2 3 5" xfId="56531" xr:uid="{00000000-0005-0000-0000-0000FC940000}"/>
    <cellStyle name="Bemærk! 2 2 2 4" xfId="4699" xr:uid="{00000000-0005-0000-0000-0000FD940000}"/>
    <cellStyle name="Bemærk! 2 2 2 4 2" xfId="4700" xr:uid="{00000000-0005-0000-0000-0000FE940000}"/>
    <cellStyle name="Bemærk! 2 2 2 4 2 2" xfId="4701" xr:uid="{00000000-0005-0000-0000-0000FF940000}"/>
    <cellStyle name="Bemærk! 2 2 2 4 2 2 2" xfId="7862" xr:uid="{00000000-0005-0000-0000-000000950000}"/>
    <cellStyle name="Bemærk! 2 2 2 4 2 2 2 2" xfId="15764" xr:uid="{00000000-0005-0000-0000-000001950000}"/>
    <cellStyle name="Bemærk! 2 2 2 4 2 2 2 2 2" xfId="32079" xr:uid="{00000000-0005-0000-0000-000002950000}"/>
    <cellStyle name="Bemærk! 2 2 2 4 2 2 2 2 3" xfId="47043" xr:uid="{00000000-0005-0000-0000-000003950000}"/>
    <cellStyle name="Bemærk! 2 2 2 4 2 2 2 3" xfId="25057" xr:uid="{00000000-0005-0000-0000-000004950000}"/>
    <cellStyle name="Bemærk! 2 2 2 4 2 2 2 4" xfId="40044" xr:uid="{00000000-0005-0000-0000-000005950000}"/>
    <cellStyle name="Bemærk! 2 2 2 4 3" xfId="4702" xr:uid="{00000000-0005-0000-0000-000006950000}"/>
    <cellStyle name="Bemærk! 2 2 2 4 3 2" xfId="4703" xr:uid="{00000000-0005-0000-0000-000007950000}"/>
    <cellStyle name="Bemærk! 2 2 2 4 3 2 2" xfId="8204" xr:uid="{00000000-0005-0000-0000-000008950000}"/>
    <cellStyle name="Bemærk! 2 2 2 4 3 2 2 2" xfId="16101" xr:uid="{00000000-0005-0000-0000-000009950000}"/>
    <cellStyle name="Bemærk! 2 2 2 4 3 2 2 2 2" xfId="32416" xr:uid="{00000000-0005-0000-0000-00000A950000}"/>
    <cellStyle name="Bemærk! 2 2 2 4 3 2 2 2 3" xfId="47380" xr:uid="{00000000-0005-0000-0000-00000B950000}"/>
    <cellStyle name="Bemærk! 2 2 2 4 3 2 2 3" xfId="25394" xr:uid="{00000000-0005-0000-0000-00000C950000}"/>
    <cellStyle name="Bemærk! 2 2 2 4 3 2 2 4" xfId="40381" xr:uid="{00000000-0005-0000-0000-00000D950000}"/>
    <cellStyle name="Bemærk! 2 2 2 4 3 3" xfId="6397" xr:uid="{00000000-0005-0000-0000-00000E950000}"/>
    <cellStyle name="Bemærk! 2 2 2 4 3 3 2" xfId="14312" xr:uid="{00000000-0005-0000-0000-00000F950000}"/>
    <cellStyle name="Bemærk! 2 2 2 4 3 3 2 2" xfId="30627" xr:uid="{00000000-0005-0000-0000-000010950000}"/>
    <cellStyle name="Bemærk! 2 2 2 4 3 3 2 3" xfId="45591" xr:uid="{00000000-0005-0000-0000-000011950000}"/>
    <cellStyle name="Bemærk! 2 2 2 4 3 3 3" xfId="23605" xr:uid="{00000000-0005-0000-0000-000012950000}"/>
    <cellStyle name="Bemærk! 2 2 2 4 3 3 4" xfId="38592" xr:uid="{00000000-0005-0000-0000-000013950000}"/>
    <cellStyle name="Bemærk! 2 2 2 4 4" xfId="4704" xr:uid="{00000000-0005-0000-0000-000014950000}"/>
    <cellStyle name="Bemærk! 2 2 2 4 4 2" xfId="7138" xr:uid="{00000000-0005-0000-0000-000015950000}"/>
    <cellStyle name="Bemærk! 2 2 2 4 4 2 2" xfId="15049" xr:uid="{00000000-0005-0000-0000-000016950000}"/>
    <cellStyle name="Bemærk! 2 2 2 4 4 2 2 2" xfId="31364" xr:uid="{00000000-0005-0000-0000-000017950000}"/>
    <cellStyle name="Bemærk! 2 2 2 4 4 2 2 3" xfId="46328" xr:uid="{00000000-0005-0000-0000-000018950000}"/>
    <cellStyle name="Bemærk! 2 2 2 4 4 2 3" xfId="24342" xr:uid="{00000000-0005-0000-0000-000019950000}"/>
    <cellStyle name="Bemærk! 2 2 2 4 4 2 4" xfId="39329" xr:uid="{00000000-0005-0000-0000-00001A950000}"/>
    <cellStyle name="Bemærk! 2 2 2 5" xfId="4705" xr:uid="{00000000-0005-0000-0000-00001B950000}"/>
    <cellStyle name="Bemærk! 2 2 2 5 2" xfId="4706" xr:uid="{00000000-0005-0000-0000-00001C950000}"/>
    <cellStyle name="Bemærk! 2 2 2 5 2 2" xfId="4707" xr:uid="{00000000-0005-0000-0000-00001D950000}"/>
    <cellStyle name="Bemærk! 2 2 2 5 2 2 2" xfId="7979" xr:uid="{00000000-0005-0000-0000-00001E950000}"/>
    <cellStyle name="Bemærk! 2 2 2 5 2 2 2 2" xfId="15881" xr:uid="{00000000-0005-0000-0000-00001F950000}"/>
    <cellStyle name="Bemærk! 2 2 2 5 2 2 2 2 2" xfId="32196" xr:uid="{00000000-0005-0000-0000-000020950000}"/>
    <cellStyle name="Bemærk! 2 2 2 5 2 2 2 2 3" xfId="47160" xr:uid="{00000000-0005-0000-0000-000021950000}"/>
    <cellStyle name="Bemærk! 2 2 2 5 2 2 2 3" xfId="25174" xr:uid="{00000000-0005-0000-0000-000022950000}"/>
    <cellStyle name="Bemærk! 2 2 2 5 2 2 2 4" xfId="40161" xr:uid="{00000000-0005-0000-0000-000023950000}"/>
    <cellStyle name="Bemærk! 2 2 2 5 3" xfId="4708" xr:uid="{00000000-0005-0000-0000-000024950000}"/>
    <cellStyle name="Bemærk! 2 2 2 5 3 2" xfId="4709" xr:uid="{00000000-0005-0000-0000-000025950000}"/>
    <cellStyle name="Bemærk! 2 2 2 5 3 2 2" xfId="8152" xr:uid="{00000000-0005-0000-0000-000026950000}"/>
    <cellStyle name="Bemærk! 2 2 2 5 3 2 2 2" xfId="16050" xr:uid="{00000000-0005-0000-0000-000027950000}"/>
    <cellStyle name="Bemærk! 2 2 2 5 3 2 2 2 2" xfId="32365" xr:uid="{00000000-0005-0000-0000-000028950000}"/>
    <cellStyle name="Bemærk! 2 2 2 5 3 2 2 2 3" xfId="47329" xr:uid="{00000000-0005-0000-0000-000029950000}"/>
    <cellStyle name="Bemærk! 2 2 2 5 3 2 2 3" xfId="25343" xr:uid="{00000000-0005-0000-0000-00002A950000}"/>
    <cellStyle name="Bemærk! 2 2 2 5 3 2 2 4" xfId="40330" xr:uid="{00000000-0005-0000-0000-00002B950000}"/>
    <cellStyle name="Bemærk! 2 2 2 5 3 3" xfId="6496" xr:uid="{00000000-0005-0000-0000-00002C950000}"/>
    <cellStyle name="Bemærk! 2 2 2 5 3 3 2" xfId="14411" xr:uid="{00000000-0005-0000-0000-00002D950000}"/>
    <cellStyle name="Bemærk! 2 2 2 5 3 3 2 2" xfId="30726" xr:uid="{00000000-0005-0000-0000-00002E950000}"/>
    <cellStyle name="Bemærk! 2 2 2 5 3 3 2 3" xfId="45690" xr:uid="{00000000-0005-0000-0000-00002F950000}"/>
    <cellStyle name="Bemærk! 2 2 2 5 3 3 3" xfId="23704" xr:uid="{00000000-0005-0000-0000-000030950000}"/>
    <cellStyle name="Bemærk! 2 2 2 5 3 3 4" xfId="38691" xr:uid="{00000000-0005-0000-0000-000031950000}"/>
    <cellStyle name="Bemærk! 2 2 2 5 4" xfId="4710" xr:uid="{00000000-0005-0000-0000-000032950000}"/>
    <cellStyle name="Bemærk! 2 2 2 5 4 2" xfId="7255" xr:uid="{00000000-0005-0000-0000-000033950000}"/>
    <cellStyle name="Bemærk! 2 2 2 5 4 2 2" xfId="15166" xr:uid="{00000000-0005-0000-0000-000034950000}"/>
    <cellStyle name="Bemærk! 2 2 2 5 4 2 2 2" xfId="31481" xr:uid="{00000000-0005-0000-0000-000035950000}"/>
    <cellStyle name="Bemærk! 2 2 2 5 4 2 2 3" xfId="46445" xr:uid="{00000000-0005-0000-0000-000036950000}"/>
    <cellStyle name="Bemærk! 2 2 2 5 4 2 3" xfId="24459" xr:uid="{00000000-0005-0000-0000-000037950000}"/>
    <cellStyle name="Bemærk! 2 2 2 5 4 2 4" xfId="39446" xr:uid="{00000000-0005-0000-0000-000038950000}"/>
    <cellStyle name="Bemærk! 2 2 2 6" xfId="4711" xr:uid="{00000000-0005-0000-0000-000039950000}"/>
    <cellStyle name="Bemærk! 2 2 2 6 2" xfId="4712" xr:uid="{00000000-0005-0000-0000-00003A950000}"/>
    <cellStyle name="Bemærk! 2 2 2 6 2 2" xfId="4713" xr:uid="{00000000-0005-0000-0000-00003B950000}"/>
    <cellStyle name="Bemærk! 2 2 2 6 2 2 2" xfId="8129" xr:uid="{00000000-0005-0000-0000-00003C950000}"/>
    <cellStyle name="Bemærk! 2 2 2 6 2 2 2 2" xfId="16031" xr:uid="{00000000-0005-0000-0000-00003D950000}"/>
    <cellStyle name="Bemærk! 2 2 2 6 2 2 2 2 2" xfId="32346" xr:uid="{00000000-0005-0000-0000-00003E950000}"/>
    <cellStyle name="Bemærk! 2 2 2 6 2 2 2 2 3" xfId="47310" xr:uid="{00000000-0005-0000-0000-00003F950000}"/>
    <cellStyle name="Bemærk! 2 2 2 6 2 2 2 3" xfId="25324" xr:uid="{00000000-0005-0000-0000-000040950000}"/>
    <cellStyle name="Bemærk! 2 2 2 6 2 2 2 4" xfId="40311" xr:uid="{00000000-0005-0000-0000-000041950000}"/>
    <cellStyle name="Bemærk! 2 2 2 6 3" xfId="4714" xr:uid="{00000000-0005-0000-0000-000042950000}"/>
    <cellStyle name="Bemærk! 2 2 2 6 3 2" xfId="4715" xr:uid="{00000000-0005-0000-0000-000043950000}"/>
    <cellStyle name="Bemærk! 2 2 2 6 3 2 2" xfId="8741" xr:uid="{00000000-0005-0000-0000-000044950000}"/>
    <cellStyle name="Bemærk! 2 2 2 6 3 2 2 2" xfId="16618" xr:uid="{00000000-0005-0000-0000-000045950000}"/>
    <cellStyle name="Bemærk! 2 2 2 6 3 2 2 2 2" xfId="32933" xr:uid="{00000000-0005-0000-0000-000046950000}"/>
    <cellStyle name="Bemærk! 2 2 2 6 3 2 2 2 3" xfId="47897" xr:uid="{00000000-0005-0000-0000-000047950000}"/>
    <cellStyle name="Bemærk! 2 2 2 6 3 2 2 3" xfId="25911" xr:uid="{00000000-0005-0000-0000-000048950000}"/>
    <cellStyle name="Bemærk! 2 2 2 6 3 2 2 4" xfId="40898" xr:uid="{00000000-0005-0000-0000-000049950000}"/>
    <cellStyle name="Bemærk! 2 2 2 6 3 3" xfId="6622" xr:uid="{00000000-0005-0000-0000-00004A950000}"/>
    <cellStyle name="Bemærk! 2 2 2 6 3 3 2" xfId="14537" xr:uid="{00000000-0005-0000-0000-00004B950000}"/>
    <cellStyle name="Bemærk! 2 2 2 6 3 3 2 2" xfId="30852" xr:uid="{00000000-0005-0000-0000-00004C950000}"/>
    <cellStyle name="Bemærk! 2 2 2 6 3 3 2 3" xfId="45816" xr:uid="{00000000-0005-0000-0000-00004D950000}"/>
    <cellStyle name="Bemærk! 2 2 2 6 3 3 3" xfId="23830" xr:uid="{00000000-0005-0000-0000-00004E950000}"/>
    <cellStyle name="Bemærk! 2 2 2 6 3 3 4" xfId="38817" xr:uid="{00000000-0005-0000-0000-00004F950000}"/>
    <cellStyle name="Bemærk! 2 2 2 6 4" xfId="4716" xr:uid="{00000000-0005-0000-0000-000050950000}"/>
    <cellStyle name="Bemærk! 2 2 2 6 4 2" xfId="7406" xr:uid="{00000000-0005-0000-0000-000051950000}"/>
    <cellStyle name="Bemærk! 2 2 2 6 4 2 2" xfId="15317" xr:uid="{00000000-0005-0000-0000-000052950000}"/>
    <cellStyle name="Bemærk! 2 2 2 6 4 2 2 2" xfId="31632" xr:uid="{00000000-0005-0000-0000-000053950000}"/>
    <cellStyle name="Bemærk! 2 2 2 6 4 2 2 3" xfId="46596" xr:uid="{00000000-0005-0000-0000-000054950000}"/>
    <cellStyle name="Bemærk! 2 2 2 6 4 2 3" xfId="24610" xr:uid="{00000000-0005-0000-0000-000055950000}"/>
    <cellStyle name="Bemærk! 2 2 2 6 4 2 4" xfId="39597" xr:uid="{00000000-0005-0000-0000-000056950000}"/>
    <cellStyle name="Bemærk! 2 2 2 7" xfId="4717" xr:uid="{00000000-0005-0000-0000-000057950000}"/>
    <cellStyle name="Bemærk! 2 2 2 7 2" xfId="4718" xr:uid="{00000000-0005-0000-0000-000058950000}"/>
    <cellStyle name="Bemærk! 2 2 2 7 2 2" xfId="7505" xr:uid="{00000000-0005-0000-0000-000059950000}"/>
    <cellStyle name="Bemærk! 2 2 2 7 2 2 2" xfId="15407" xr:uid="{00000000-0005-0000-0000-00005A950000}"/>
    <cellStyle name="Bemærk! 2 2 2 7 2 2 2 2" xfId="31722" xr:uid="{00000000-0005-0000-0000-00005B950000}"/>
    <cellStyle name="Bemærk! 2 2 2 7 2 2 2 3" xfId="46686" xr:uid="{00000000-0005-0000-0000-00005C950000}"/>
    <cellStyle name="Bemærk! 2 2 2 7 2 2 3" xfId="24700" xr:uid="{00000000-0005-0000-0000-00005D950000}"/>
    <cellStyle name="Bemærk! 2 2 2 7 2 2 4" xfId="39687" xr:uid="{00000000-0005-0000-0000-00005E950000}"/>
    <cellStyle name="Bemærk! 2 2 2 8" xfId="4719" xr:uid="{00000000-0005-0000-0000-00005F950000}"/>
    <cellStyle name="Bemærk! 2 2 2 8 2" xfId="4720" xr:uid="{00000000-0005-0000-0000-000060950000}"/>
    <cellStyle name="Bemærk! 2 2 2 8 2 2" xfId="8354" xr:uid="{00000000-0005-0000-0000-000061950000}"/>
    <cellStyle name="Bemærk! 2 2 2 8 2 2 2" xfId="16248" xr:uid="{00000000-0005-0000-0000-000062950000}"/>
    <cellStyle name="Bemærk! 2 2 2 8 2 2 2 2" xfId="32563" xr:uid="{00000000-0005-0000-0000-000063950000}"/>
    <cellStyle name="Bemærk! 2 2 2 8 2 2 2 3" xfId="47527" xr:uid="{00000000-0005-0000-0000-000064950000}"/>
    <cellStyle name="Bemærk! 2 2 2 8 2 2 3" xfId="25541" xr:uid="{00000000-0005-0000-0000-000065950000}"/>
    <cellStyle name="Bemærk! 2 2 2 8 2 2 4" xfId="40528" xr:uid="{00000000-0005-0000-0000-000066950000}"/>
    <cellStyle name="Bemærk! 2 2 2 8 3" xfId="6096" xr:uid="{00000000-0005-0000-0000-000067950000}"/>
    <cellStyle name="Bemærk! 2 2 2 8 3 2" xfId="14014" xr:uid="{00000000-0005-0000-0000-000068950000}"/>
    <cellStyle name="Bemærk! 2 2 2 8 3 2 2" xfId="30329" xr:uid="{00000000-0005-0000-0000-000069950000}"/>
    <cellStyle name="Bemærk! 2 2 2 8 3 2 3" xfId="45293" xr:uid="{00000000-0005-0000-0000-00006A950000}"/>
    <cellStyle name="Bemærk! 2 2 2 8 3 3" xfId="23307" xr:uid="{00000000-0005-0000-0000-00006B950000}"/>
    <cellStyle name="Bemærk! 2 2 2 8 3 4" xfId="38294" xr:uid="{00000000-0005-0000-0000-00006C950000}"/>
    <cellStyle name="Bemærk! 2 2 2 9" xfId="4721" xr:uid="{00000000-0005-0000-0000-00006D950000}"/>
    <cellStyle name="Bemærk! 2 2 2 9 2" xfId="6733" xr:uid="{00000000-0005-0000-0000-00006E950000}"/>
    <cellStyle name="Bemærk! 2 2 2 9 2 2" xfId="14645" xr:uid="{00000000-0005-0000-0000-00006F950000}"/>
    <cellStyle name="Bemærk! 2 2 2 9 2 2 2" xfId="30960" xr:uid="{00000000-0005-0000-0000-000070950000}"/>
    <cellStyle name="Bemærk! 2 2 2 9 2 2 3" xfId="45924" xr:uid="{00000000-0005-0000-0000-000071950000}"/>
    <cellStyle name="Bemærk! 2 2 2 9 2 3" xfId="23938" xr:uid="{00000000-0005-0000-0000-000072950000}"/>
    <cellStyle name="Bemærk! 2 2 2 9 2 4" xfId="38925" xr:uid="{00000000-0005-0000-0000-000073950000}"/>
    <cellStyle name="Bemærk! 2 2 3" xfId="4722" xr:uid="{00000000-0005-0000-0000-000074950000}"/>
    <cellStyle name="Bemærk! 2 2 3 10" xfId="53351" xr:uid="{00000000-0005-0000-0000-000075950000}"/>
    <cellStyle name="Bemærk! 2 2 3 2" xfId="4723" xr:uid="{00000000-0005-0000-0000-000076950000}"/>
    <cellStyle name="Bemærk! 2 2 3 2 2" xfId="4724" xr:uid="{00000000-0005-0000-0000-000077950000}"/>
    <cellStyle name="Bemærk! 2 2 3 2 2 2" xfId="4725" xr:uid="{00000000-0005-0000-0000-000078950000}"/>
    <cellStyle name="Bemærk! 2 2 3 2 2 2 2" xfId="7663" xr:uid="{00000000-0005-0000-0000-000079950000}"/>
    <cellStyle name="Bemærk! 2 2 3 2 2 2 2 2" xfId="15565" xr:uid="{00000000-0005-0000-0000-00007A950000}"/>
    <cellStyle name="Bemærk! 2 2 3 2 2 2 2 2 2" xfId="31880" xr:uid="{00000000-0005-0000-0000-00007B950000}"/>
    <cellStyle name="Bemærk! 2 2 3 2 2 2 2 2 3" xfId="46844" xr:uid="{00000000-0005-0000-0000-00007C950000}"/>
    <cellStyle name="Bemærk! 2 2 3 2 2 2 2 3" xfId="24858" xr:uid="{00000000-0005-0000-0000-00007D950000}"/>
    <cellStyle name="Bemærk! 2 2 3 2 2 2 2 4" xfId="39845" xr:uid="{00000000-0005-0000-0000-00007E950000}"/>
    <cellStyle name="Bemærk! 2 2 3 2 2 3" xfId="57155" xr:uid="{00000000-0005-0000-0000-00007F950000}"/>
    <cellStyle name="Bemærk! 2 2 3 2 3" xfId="4726" xr:uid="{00000000-0005-0000-0000-000080950000}"/>
    <cellStyle name="Bemærk! 2 2 3 2 3 2" xfId="4727" xr:uid="{00000000-0005-0000-0000-000081950000}"/>
    <cellStyle name="Bemærk! 2 2 3 2 3 2 2" xfId="8331" xr:uid="{00000000-0005-0000-0000-000082950000}"/>
    <cellStyle name="Bemærk! 2 2 3 2 3 2 2 2" xfId="16225" xr:uid="{00000000-0005-0000-0000-000083950000}"/>
    <cellStyle name="Bemærk! 2 2 3 2 3 2 2 2 2" xfId="32540" xr:uid="{00000000-0005-0000-0000-000084950000}"/>
    <cellStyle name="Bemærk! 2 2 3 2 3 2 2 2 3" xfId="47504" xr:uid="{00000000-0005-0000-0000-000085950000}"/>
    <cellStyle name="Bemærk! 2 2 3 2 3 2 2 3" xfId="25518" xr:uid="{00000000-0005-0000-0000-000086950000}"/>
    <cellStyle name="Bemærk! 2 2 3 2 3 2 2 4" xfId="40505" xr:uid="{00000000-0005-0000-0000-000087950000}"/>
    <cellStyle name="Bemærk! 2 2 3 2 3 3" xfId="6228" xr:uid="{00000000-0005-0000-0000-000088950000}"/>
    <cellStyle name="Bemærk! 2 2 3 2 3 3 2" xfId="14146" xr:uid="{00000000-0005-0000-0000-000089950000}"/>
    <cellStyle name="Bemærk! 2 2 3 2 3 3 2 2" xfId="30461" xr:uid="{00000000-0005-0000-0000-00008A950000}"/>
    <cellStyle name="Bemærk! 2 2 3 2 3 3 2 3" xfId="45425" xr:uid="{00000000-0005-0000-0000-00008B950000}"/>
    <cellStyle name="Bemærk! 2 2 3 2 3 3 3" xfId="23439" xr:uid="{00000000-0005-0000-0000-00008C950000}"/>
    <cellStyle name="Bemærk! 2 2 3 2 3 3 4" xfId="38426" xr:uid="{00000000-0005-0000-0000-00008D950000}"/>
    <cellStyle name="Bemærk! 2 2 3 2 4" xfId="4728" xr:uid="{00000000-0005-0000-0000-00008E950000}"/>
    <cellStyle name="Bemærk! 2 2 3 2 4 2" xfId="6893" xr:uid="{00000000-0005-0000-0000-00008F950000}"/>
    <cellStyle name="Bemærk! 2 2 3 2 4 2 2" xfId="14805" xr:uid="{00000000-0005-0000-0000-000090950000}"/>
    <cellStyle name="Bemærk! 2 2 3 2 4 2 2 2" xfId="31120" xr:uid="{00000000-0005-0000-0000-000091950000}"/>
    <cellStyle name="Bemærk! 2 2 3 2 4 2 2 3" xfId="46084" xr:uid="{00000000-0005-0000-0000-000092950000}"/>
    <cellStyle name="Bemærk! 2 2 3 2 4 2 3" xfId="24098" xr:uid="{00000000-0005-0000-0000-000093950000}"/>
    <cellStyle name="Bemærk! 2 2 3 2 4 2 4" xfId="39085" xr:uid="{00000000-0005-0000-0000-000094950000}"/>
    <cellStyle name="Bemærk! 2 2 3 2 5" xfId="53988" xr:uid="{00000000-0005-0000-0000-000095950000}"/>
    <cellStyle name="Bemærk! 2 2 3 3" xfId="4729" xr:uid="{00000000-0005-0000-0000-000096950000}"/>
    <cellStyle name="Bemærk! 2 2 3 3 2" xfId="4730" xr:uid="{00000000-0005-0000-0000-000097950000}"/>
    <cellStyle name="Bemærk! 2 2 3 3 2 2" xfId="4731" xr:uid="{00000000-0005-0000-0000-000098950000}"/>
    <cellStyle name="Bemærk! 2 2 3 3 2 2 2" xfId="7776" xr:uid="{00000000-0005-0000-0000-000099950000}"/>
    <cellStyle name="Bemærk! 2 2 3 3 2 2 2 2" xfId="15678" xr:uid="{00000000-0005-0000-0000-00009A950000}"/>
    <cellStyle name="Bemærk! 2 2 3 3 2 2 2 2 2" xfId="31993" xr:uid="{00000000-0005-0000-0000-00009B950000}"/>
    <cellStyle name="Bemærk! 2 2 3 3 2 2 2 2 3" xfId="46957" xr:uid="{00000000-0005-0000-0000-00009C950000}"/>
    <cellStyle name="Bemærk! 2 2 3 3 2 2 2 3" xfId="24971" xr:uid="{00000000-0005-0000-0000-00009D950000}"/>
    <cellStyle name="Bemærk! 2 2 3 3 2 2 2 4" xfId="39958" xr:uid="{00000000-0005-0000-0000-00009E950000}"/>
    <cellStyle name="Bemærk! 2 2 3 3 3" xfId="4732" xr:uid="{00000000-0005-0000-0000-00009F950000}"/>
    <cellStyle name="Bemærk! 2 2 3 3 3 2" xfId="4733" xr:uid="{00000000-0005-0000-0000-0000A0950000}"/>
    <cellStyle name="Bemærk! 2 2 3 3 3 2 2" xfId="8553" xr:uid="{00000000-0005-0000-0000-0000A1950000}"/>
    <cellStyle name="Bemærk! 2 2 3 3 3 2 2 2" xfId="16440" xr:uid="{00000000-0005-0000-0000-0000A2950000}"/>
    <cellStyle name="Bemærk! 2 2 3 3 3 2 2 2 2" xfId="32755" xr:uid="{00000000-0005-0000-0000-0000A3950000}"/>
    <cellStyle name="Bemærk! 2 2 3 3 3 2 2 2 3" xfId="47719" xr:uid="{00000000-0005-0000-0000-0000A4950000}"/>
    <cellStyle name="Bemærk! 2 2 3 3 3 2 2 3" xfId="25733" xr:uid="{00000000-0005-0000-0000-0000A5950000}"/>
    <cellStyle name="Bemærk! 2 2 3 3 3 2 2 4" xfId="40720" xr:uid="{00000000-0005-0000-0000-0000A6950000}"/>
    <cellStyle name="Bemærk! 2 2 3 3 3 3" xfId="6325" xr:uid="{00000000-0005-0000-0000-0000A7950000}"/>
    <cellStyle name="Bemærk! 2 2 3 3 3 3 2" xfId="14240" xr:uid="{00000000-0005-0000-0000-0000A8950000}"/>
    <cellStyle name="Bemærk! 2 2 3 3 3 3 2 2" xfId="30555" xr:uid="{00000000-0005-0000-0000-0000A9950000}"/>
    <cellStyle name="Bemærk! 2 2 3 3 3 3 2 3" xfId="45519" xr:uid="{00000000-0005-0000-0000-0000AA950000}"/>
    <cellStyle name="Bemærk! 2 2 3 3 3 3 3" xfId="23533" xr:uid="{00000000-0005-0000-0000-0000AB950000}"/>
    <cellStyle name="Bemærk! 2 2 3 3 3 3 4" xfId="38520" xr:uid="{00000000-0005-0000-0000-0000AC950000}"/>
    <cellStyle name="Bemærk! 2 2 3 3 4" xfId="4734" xr:uid="{00000000-0005-0000-0000-0000AD950000}"/>
    <cellStyle name="Bemærk! 2 2 3 3 4 2" xfId="7007" xr:uid="{00000000-0005-0000-0000-0000AE950000}"/>
    <cellStyle name="Bemærk! 2 2 3 3 4 2 2" xfId="14919" xr:uid="{00000000-0005-0000-0000-0000AF950000}"/>
    <cellStyle name="Bemærk! 2 2 3 3 4 2 2 2" xfId="31234" xr:uid="{00000000-0005-0000-0000-0000B0950000}"/>
    <cellStyle name="Bemærk! 2 2 3 3 4 2 2 3" xfId="46198" xr:uid="{00000000-0005-0000-0000-0000B1950000}"/>
    <cellStyle name="Bemærk! 2 2 3 3 4 2 3" xfId="24212" xr:uid="{00000000-0005-0000-0000-0000B2950000}"/>
    <cellStyle name="Bemærk! 2 2 3 3 4 2 4" xfId="39199" xr:uid="{00000000-0005-0000-0000-0000B3950000}"/>
    <cellStyle name="Bemærk! 2 2 3 3 5" xfId="56532" xr:uid="{00000000-0005-0000-0000-0000B4950000}"/>
    <cellStyle name="Bemærk! 2 2 3 4" xfId="4735" xr:uid="{00000000-0005-0000-0000-0000B5950000}"/>
    <cellStyle name="Bemærk! 2 2 3 4 2" xfId="4736" xr:uid="{00000000-0005-0000-0000-0000B6950000}"/>
    <cellStyle name="Bemærk! 2 2 3 4 2 2" xfId="4737" xr:uid="{00000000-0005-0000-0000-0000B7950000}"/>
    <cellStyle name="Bemærk! 2 2 3 4 2 2 2" xfId="7901" xr:uid="{00000000-0005-0000-0000-0000B8950000}"/>
    <cellStyle name="Bemærk! 2 2 3 4 2 2 2 2" xfId="15803" xr:uid="{00000000-0005-0000-0000-0000B9950000}"/>
    <cellStyle name="Bemærk! 2 2 3 4 2 2 2 2 2" xfId="32118" xr:uid="{00000000-0005-0000-0000-0000BA950000}"/>
    <cellStyle name="Bemærk! 2 2 3 4 2 2 2 2 3" xfId="47082" xr:uid="{00000000-0005-0000-0000-0000BB950000}"/>
    <cellStyle name="Bemærk! 2 2 3 4 2 2 2 3" xfId="25096" xr:uid="{00000000-0005-0000-0000-0000BC950000}"/>
    <cellStyle name="Bemærk! 2 2 3 4 2 2 2 4" xfId="40083" xr:uid="{00000000-0005-0000-0000-0000BD950000}"/>
    <cellStyle name="Bemærk! 2 2 3 4 3" xfId="4738" xr:uid="{00000000-0005-0000-0000-0000BE950000}"/>
    <cellStyle name="Bemærk! 2 2 3 4 3 2" xfId="4739" xr:uid="{00000000-0005-0000-0000-0000BF950000}"/>
    <cellStyle name="Bemærk! 2 2 3 4 3 2 2" xfId="8380" xr:uid="{00000000-0005-0000-0000-0000C0950000}"/>
    <cellStyle name="Bemærk! 2 2 3 4 3 2 2 2" xfId="16273" xr:uid="{00000000-0005-0000-0000-0000C1950000}"/>
    <cellStyle name="Bemærk! 2 2 3 4 3 2 2 2 2" xfId="32588" xr:uid="{00000000-0005-0000-0000-0000C2950000}"/>
    <cellStyle name="Bemærk! 2 2 3 4 3 2 2 2 3" xfId="47552" xr:uid="{00000000-0005-0000-0000-0000C3950000}"/>
    <cellStyle name="Bemærk! 2 2 3 4 3 2 2 3" xfId="25566" xr:uid="{00000000-0005-0000-0000-0000C4950000}"/>
    <cellStyle name="Bemærk! 2 2 3 4 3 2 2 4" xfId="40553" xr:uid="{00000000-0005-0000-0000-0000C5950000}"/>
    <cellStyle name="Bemærk! 2 2 3 4 3 3" xfId="6430" xr:uid="{00000000-0005-0000-0000-0000C6950000}"/>
    <cellStyle name="Bemærk! 2 2 3 4 3 3 2" xfId="14345" xr:uid="{00000000-0005-0000-0000-0000C7950000}"/>
    <cellStyle name="Bemærk! 2 2 3 4 3 3 2 2" xfId="30660" xr:uid="{00000000-0005-0000-0000-0000C8950000}"/>
    <cellStyle name="Bemærk! 2 2 3 4 3 3 2 3" xfId="45624" xr:uid="{00000000-0005-0000-0000-0000C9950000}"/>
    <cellStyle name="Bemærk! 2 2 3 4 3 3 3" xfId="23638" xr:uid="{00000000-0005-0000-0000-0000CA950000}"/>
    <cellStyle name="Bemærk! 2 2 3 4 3 3 4" xfId="38625" xr:uid="{00000000-0005-0000-0000-0000CB950000}"/>
    <cellStyle name="Bemærk! 2 2 3 4 4" xfId="4740" xr:uid="{00000000-0005-0000-0000-0000CC950000}"/>
    <cellStyle name="Bemærk! 2 2 3 4 4 2" xfId="7177" xr:uid="{00000000-0005-0000-0000-0000CD950000}"/>
    <cellStyle name="Bemærk! 2 2 3 4 4 2 2" xfId="15088" xr:uid="{00000000-0005-0000-0000-0000CE950000}"/>
    <cellStyle name="Bemærk! 2 2 3 4 4 2 2 2" xfId="31403" xr:uid="{00000000-0005-0000-0000-0000CF950000}"/>
    <cellStyle name="Bemærk! 2 2 3 4 4 2 2 3" xfId="46367" xr:uid="{00000000-0005-0000-0000-0000D0950000}"/>
    <cellStyle name="Bemærk! 2 2 3 4 4 2 3" xfId="24381" xr:uid="{00000000-0005-0000-0000-0000D1950000}"/>
    <cellStyle name="Bemærk! 2 2 3 4 4 2 4" xfId="39368" xr:uid="{00000000-0005-0000-0000-0000D2950000}"/>
    <cellStyle name="Bemærk! 2 2 3 5" xfId="4741" xr:uid="{00000000-0005-0000-0000-0000D3950000}"/>
    <cellStyle name="Bemærk! 2 2 3 5 2" xfId="4742" xr:uid="{00000000-0005-0000-0000-0000D4950000}"/>
    <cellStyle name="Bemærk! 2 2 3 5 2 2" xfId="4743" xr:uid="{00000000-0005-0000-0000-0000D5950000}"/>
    <cellStyle name="Bemærk! 2 2 3 5 2 2 2" xfId="8018" xr:uid="{00000000-0005-0000-0000-0000D6950000}"/>
    <cellStyle name="Bemærk! 2 2 3 5 2 2 2 2" xfId="15920" xr:uid="{00000000-0005-0000-0000-0000D7950000}"/>
    <cellStyle name="Bemærk! 2 2 3 5 2 2 2 2 2" xfId="32235" xr:uid="{00000000-0005-0000-0000-0000D8950000}"/>
    <cellStyle name="Bemærk! 2 2 3 5 2 2 2 2 3" xfId="47199" xr:uid="{00000000-0005-0000-0000-0000D9950000}"/>
    <cellStyle name="Bemærk! 2 2 3 5 2 2 2 3" xfId="25213" xr:uid="{00000000-0005-0000-0000-0000DA950000}"/>
    <cellStyle name="Bemærk! 2 2 3 5 2 2 2 4" xfId="40200" xr:uid="{00000000-0005-0000-0000-0000DB950000}"/>
    <cellStyle name="Bemærk! 2 2 3 5 3" xfId="4744" xr:uid="{00000000-0005-0000-0000-0000DC950000}"/>
    <cellStyle name="Bemærk! 2 2 3 5 3 2" xfId="4745" xr:uid="{00000000-0005-0000-0000-0000DD950000}"/>
    <cellStyle name="Bemærk! 2 2 3 5 3 2 2" xfId="8738" xr:uid="{00000000-0005-0000-0000-0000DE950000}"/>
    <cellStyle name="Bemærk! 2 2 3 5 3 2 2 2" xfId="16615" xr:uid="{00000000-0005-0000-0000-0000DF950000}"/>
    <cellStyle name="Bemærk! 2 2 3 5 3 2 2 2 2" xfId="32930" xr:uid="{00000000-0005-0000-0000-0000E0950000}"/>
    <cellStyle name="Bemærk! 2 2 3 5 3 2 2 2 3" xfId="47894" xr:uid="{00000000-0005-0000-0000-0000E1950000}"/>
    <cellStyle name="Bemærk! 2 2 3 5 3 2 2 3" xfId="25908" xr:uid="{00000000-0005-0000-0000-0000E2950000}"/>
    <cellStyle name="Bemærk! 2 2 3 5 3 2 2 4" xfId="40895" xr:uid="{00000000-0005-0000-0000-0000E3950000}"/>
    <cellStyle name="Bemærk! 2 2 3 5 3 3" xfId="6529" xr:uid="{00000000-0005-0000-0000-0000E4950000}"/>
    <cellStyle name="Bemærk! 2 2 3 5 3 3 2" xfId="14444" xr:uid="{00000000-0005-0000-0000-0000E5950000}"/>
    <cellStyle name="Bemærk! 2 2 3 5 3 3 2 2" xfId="30759" xr:uid="{00000000-0005-0000-0000-0000E6950000}"/>
    <cellStyle name="Bemærk! 2 2 3 5 3 3 2 3" xfId="45723" xr:uid="{00000000-0005-0000-0000-0000E7950000}"/>
    <cellStyle name="Bemærk! 2 2 3 5 3 3 3" xfId="23737" xr:uid="{00000000-0005-0000-0000-0000E8950000}"/>
    <cellStyle name="Bemærk! 2 2 3 5 3 3 4" xfId="38724" xr:uid="{00000000-0005-0000-0000-0000E9950000}"/>
    <cellStyle name="Bemærk! 2 2 3 5 4" xfId="4746" xr:uid="{00000000-0005-0000-0000-0000EA950000}"/>
    <cellStyle name="Bemærk! 2 2 3 5 4 2" xfId="7294" xr:uid="{00000000-0005-0000-0000-0000EB950000}"/>
    <cellStyle name="Bemærk! 2 2 3 5 4 2 2" xfId="15205" xr:uid="{00000000-0005-0000-0000-0000EC950000}"/>
    <cellStyle name="Bemærk! 2 2 3 5 4 2 2 2" xfId="31520" xr:uid="{00000000-0005-0000-0000-0000ED950000}"/>
    <cellStyle name="Bemærk! 2 2 3 5 4 2 2 3" xfId="46484" xr:uid="{00000000-0005-0000-0000-0000EE950000}"/>
    <cellStyle name="Bemærk! 2 2 3 5 4 2 3" xfId="24498" xr:uid="{00000000-0005-0000-0000-0000EF950000}"/>
    <cellStyle name="Bemærk! 2 2 3 5 4 2 4" xfId="39485" xr:uid="{00000000-0005-0000-0000-0000F0950000}"/>
    <cellStyle name="Bemærk! 2 2 3 6" xfId="4747" xr:uid="{00000000-0005-0000-0000-0000F1950000}"/>
    <cellStyle name="Bemærk! 2 2 3 6 2" xfId="4748" xr:uid="{00000000-0005-0000-0000-0000F2950000}"/>
    <cellStyle name="Bemærk! 2 2 3 6 2 2" xfId="4749" xr:uid="{00000000-0005-0000-0000-0000F3950000}"/>
    <cellStyle name="Bemærk! 2 2 3 6 2 2 2" xfId="8130" xr:uid="{00000000-0005-0000-0000-0000F4950000}"/>
    <cellStyle name="Bemærk! 2 2 3 6 2 2 2 2" xfId="16032" xr:uid="{00000000-0005-0000-0000-0000F5950000}"/>
    <cellStyle name="Bemærk! 2 2 3 6 2 2 2 2 2" xfId="32347" xr:uid="{00000000-0005-0000-0000-0000F6950000}"/>
    <cellStyle name="Bemærk! 2 2 3 6 2 2 2 2 3" xfId="47311" xr:uid="{00000000-0005-0000-0000-0000F7950000}"/>
    <cellStyle name="Bemærk! 2 2 3 6 2 2 2 3" xfId="25325" xr:uid="{00000000-0005-0000-0000-0000F8950000}"/>
    <cellStyle name="Bemærk! 2 2 3 6 2 2 2 4" xfId="40312" xr:uid="{00000000-0005-0000-0000-0000F9950000}"/>
    <cellStyle name="Bemærk! 2 2 3 6 3" xfId="4750" xr:uid="{00000000-0005-0000-0000-0000FA950000}"/>
    <cellStyle name="Bemærk! 2 2 3 6 3 2" xfId="4751" xr:uid="{00000000-0005-0000-0000-0000FB950000}"/>
    <cellStyle name="Bemærk! 2 2 3 6 3 2 2" xfId="8742" xr:uid="{00000000-0005-0000-0000-0000FC950000}"/>
    <cellStyle name="Bemærk! 2 2 3 6 3 2 2 2" xfId="16619" xr:uid="{00000000-0005-0000-0000-0000FD950000}"/>
    <cellStyle name="Bemærk! 2 2 3 6 3 2 2 2 2" xfId="32934" xr:uid="{00000000-0005-0000-0000-0000FE950000}"/>
    <cellStyle name="Bemærk! 2 2 3 6 3 2 2 2 3" xfId="47898" xr:uid="{00000000-0005-0000-0000-0000FF950000}"/>
    <cellStyle name="Bemærk! 2 2 3 6 3 2 2 3" xfId="25912" xr:uid="{00000000-0005-0000-0000-000000960000}"/>
    <cellStyle name="Bemærk! 2 2 3 6 3 2 2 4" xfId="40899" xr:uid="{00000000-0005-0000-0000-000001960000}"/>
    <cellStyle name="Bemærk! 2 2 3 6 3 3" xfId="6623" xr:uid="{00000000-0005-0000-0000-000002960000}"/>
    <cellStyle name="Bemærk! 2 2 3 6 3 3 2" xfId="14538" xr:uid="{00000000-0005-0000-0000-000003960000}"/>
    <cellStyle name="Bemærk! 2 2 3 6 3 3 2 2" xfId="30853" xr:uid="{00000000-0005-0000-0000-000004960000}"/>
    <cellStyle name="Bemærk! 2 2 3 6 3 3 2 3" xfId="45817" xr:uid="{00000000-0005-0000-0000-000005960000}"/>
    <cellStyle name="Bemærk! 2 2 3 6 3 3 3" xfId="23831" xr:uid="{00000000-0005-0000-0000-000006960000}"/>
    <cellStyle name="Bemærk! 2 2 3 6 3 3 4" xfId="38818" xr:uid="{00000000-0005-0000-0000-000007960000}"/>
    <cellStyle name="Bemærk! 2 2 3 6 4" xfId="4752" xr:uid="{00000000-0005-0000-0000-000008960000}"/>
    <cellStyle name="Bemærk! 2 2 3 6 4 2" xfId="7407" xr:uid="{00000000-0005-0000-0000-000009960000}"/>
    <cellStyle name="Bemærk! 2 2 3 6 4 2 2" xfId="15318" xr:uid="{00000000-0005-0000-0000-00000A960000}"/>
    <cellStyle name="Bemærk! 2 2 3 6 4 2 2 2" xfId="31633" xr:uid="{00000000-0005-0000-0000-00000B960000}"/>
    <cellStyle name="Bemærk! 2 2 3 6 4 2 2 3" xfId="46597" xr:uid="{00000000-0005-0000-0000-00000C960000}"/>
    <cellStyle name="Bemærk! 2 2 3 6 4 2 3" xfId="24611" xr:uid="{00000000-0005-0000-0000-00000D960000}"/>
    <cellStyle name="Bemærk! 2 2 3 6 4 2 4" xfId="39598" xr:uid="{00000000-0005-0000-0000-00000E960000}"/>
    <cellStyle name="Bemærk! 2 2 3 7" xfId="4753" xr:uid="{00000000-0005-0000-0000-00000F960000}"/>
    <cellStyle name="Bemærk! 2 2 3 7 2" xfId="4754" xr:uid="{00000000-0005-0000-0000-000010960000}"/>
    <cellStyle name="Bemærk! 2 2 3 7 2 2" xfId="7544" xr:uid="{00000000-0005-0000-0000-000011960000}"/>
    <cellStyle name="Bemærk! 2 2 3 7 2 2 2" xfId="15446" xr:uid="{00000000-0005-0000-0000-000012960000}"/>
    <cellStyle name="Bemærk! 2 2 3 7 2 2 2 2" xfId="31761" xr:uid="{00000000-0005-0000-0000-000013960000}"/>
    <cellStyle name="Bemærk! 2 2 3 7 2 2 2 3" xfId="46725" xr:uid="{00000000-0005-0000-0000-000014960000}"/>
    <cellStyle name="Bemærk! 2 2 3 7 2 2 3" xfId="24739" xr:uid="{00000000-0005-0000-0000-000015960000}"/>
    <cellStyle name="Bemærk! 2 2 3 7 2 2 4" xfId="39726" xr:uid="{00000000-0005-0000-0000-000016960000}"/>
    <cellStyle name="Bemærk! 2 2 3 8" xfId="4755" xr:uid="{00000000-0005-0000-0000-000017960000}"/>
    <cellStyle name="Bemærk! 2 2 3 8 2" xfId="4756" xr:uid="{00000000-0005-0000-0000-000018960000}"/>
    <cellStyle name="Bemærk! 2 2 3 8 2 2" xfId="8401" xr:uid="{00000000-0005-0000-0000-000019960000}"/>
    <cellStyle name="Bemærk! 2 2 3 8 2 2 2" xfId="16293" xr:uid="{00000000-0005-0000-0000-00001A960000}"/>
    <cellStyle name="Bemærk! 2 2 3 8 2 2 2 2" xfId="32608" xr:uid="{00000000-0005-0000-0000-00001B960000}"/>
    <cellStyle name="Bemærk! 2 2 3 8 2 2 2 3" xfId="47572" xr:uid="{00000000-0005-0000-0000-00001C960000}"/>
    <cellStyle name="Bemærk! 2 2 3 8 2 2 3" xfId="25586" xr:uid="{00000000-0005-0000-0000-00001D960000}"/>
    <cellStyle name="Bemærk! 2 2 3 8 2 2 4" xfId="40573" xr:uid="{00000000-0005-0000-0000-00001E960000}"/>
    <cellStyle name="Bemærk! 2 2 3 8 3" xfId="6129" xr:uid="{00000000-0005-0000-0000-00001F960000}"/>
    <cellStyle name="Bemærk! 2 2 3 8 3 2" xfId="14047" xr:uid="{00000000-0005-0000-0000-000020960000}"/>
    <cellStyle name="Bemærk! 2 2 3 8 3 2 2" xfId="30362" xr:uid="{00000000-0005-0000-0000-000021960000}"/>
    <cellStyle name="Bemærk! 2 2 3 8 3 2 3" xfId="45326" xr:uid="{00000000-0005-0000-0000-000022960000}"/>
    <cellStyle name="Bemærk! 2 2 3 8 3 3" xfId="23340" xr:uid="{00000000-0005-0000-0000-000023960000}"/>
    <cellStyle name="Bemærk! 2 2 3 8 3 4" xfId="38327" xr:uid="{00000000-0005-0000-0000-000024960000}"/>
    <cellStyle name="Bemærk! 2 2 3 9" xfId="4757" xr:uid="{00000000-0005-0000-0000-000025960000}"/>
    <cellStyle name="Bemærk! 2 2 3 9 2" xfId="6772" xr:uid="{00000000-0005-0000-0000-000026960000}"/>
    <cellStyle name="Bemærk! 2 2 3 9 2 2" xfId="14684" xr:uid="{00000000-0005-0000-0000-000027960000}"/>
    <cellStyle name="Bemærk! 2 2 3 9 2 2 2" xfId="30999" xr:uid="{00000000-0005-0000-0000-000028960000}"/>
    <cellStyle name="Bemærk! 2 2 3 9 2 2 3" xfId="45963" xr:uid="{00000000-0005-0000-0000-000029960000}"/>
    <cellStyle name="Bemærk! 2 2 3 9 2 3" xfId="23977" xr:uid="{00000000-0005-0000-0000-00002A960000}"/>
    <cellStyle name="Bemærk! 2 2 3 9 2 4" xfId="38964" xr:uid="{00000000-0005-0000-0000-00002B960000}"/>
    <cellStyle name="Bemærk! 2 2 4" xfId="4758" xr:uid="{00000000-0005-0000-0000-00002C960000}"/>
    <cellStyle name="Bemærk! 2 2 4 2" xfId="4759" xr:uid="{00000000-0005-0000-0000-00002D960000}"/>
    <cellStyle name="Bemærk! 2 2 4 2 2" xfId="4760" xr:uid="{00000000-0005-0000-0000-00002E960000}"/>
    <cellStyle name="Bemærk! 2 2 4 2 2 2" xfId="7585" xr:uid="{00000000-0005-0000-0000-00002F960000}"/>
    <cellStyle name="Bemærk! 2 2 4 2 2 2 2" xfId="15487" xr:uid="{00000000-0005-0000-0000-000030960000}"/>
    <cellStyle name="Bemærk! 2 2 4 2 2 2 2 2" xfId="31802" xr:uid="{00000000-0005-0000-0000-000031960000}"/>
    <cellStyle name="Bemærk! 2 2 4 2 2 2 2 3" xfId="46766" xr:uid="{00000000-0005-0000-0000-000032960000}"/>
    <cellStyle name="Bemærk! 2 2 4 2 2 2 3" xfId="24780" xr:uid="{00000000-0005-0000-0000-000033960000}"/>
    <cellStyle name="Bemærk! 2 2 4 2 2 2 4" xfId="39767" xr:uid="{00000000-0005-0000-0000-000034960000}"/>
    <cellStyle name="Bemærk! 2 2 4 2 3" xfId="57153" xr:uid="{00000000-0005-0000-0000-000035960000}"/>
    <cellStyle name="Bemærk! 2 2 4 3" xfId="4761" xr:uid="{00000000-0005-0000-0000-000036960000}"/>
    <cellStyle name="Bemærk! 2 2 4 3 2" xfId="4762" xr:uid="{00000000-0005-0000-0000-000037960000}"/>
    <cellStyle name="Bemærk! 2 2 4 3 2 2" xfId="8688" xr:uid="{00000000-0005-0000-0000-000038960000}"/>
    <cellStyle name="Bemærk! 2 2 4 3 2 2 2" xfId="16568" xr:uid="{00000000-0005-0000-0000-000039960000}"/>
    <cellStyle name="Bemærk! 2 2 4 3 2 2 2 2" xfId="32883" xr:uid="{00000000-0005-0000-0000-00003A960000}"/>
    <cellStyle name="Bemærk! 2 2 4 3 2 2 2 3" xfId="47847" xr:uid="{00000000-0005-0000-0000-00003B960000}"/>
    <cellStyle name="Bemærk! 2 2 4 3 2 2 3" xfId="25861" xr:uid="{00000000-0005-0000-0000-00003C960000}"/>
    <cellStyle name="Bemærk! 2 2 4 3 2 2 4" xfId="40848" xr:uid="{00000000-0005-0000-0000-00003D960000}"/>
    <cellStyle name="Bemærk! 2 2 4 3 3" xfId="6162" xr:uid="{00000000-0005-0000-0000-00003E960000}"/>
    <cellStyle name="Bemærk! 2 2 4 3 3 2" xfId="14080" xr:uid="{00000000-0005-0000-0000-00003F960000}"/>
    <cellStyle name="Bemærk! 2 2 4 3 3 2 2" xfId="30395" xr:uid="{00000000-0005-0000-0000-000040960000}"/>
    <cellStyle name="Bemærk! 2 2 4 3 3 2 3" xfId="45359" xr:uid="{00000000-0005-0000-0000-000041960000}"/>
    <cellStyle name="Bemærk! 2 2 4 3 3 3" xfId="23373" xr:uid="{00000000-0005-0000-0000-000042960000}"/>
    <cellStyle name="Bemærk! 2 2 4 3 3 4" xfId="38360" xr:uid="{00000000-0005-0000-0000-000043960000}"/>
    <cellStyle name="Bemærk! 2 2 4 4" xfId="4763" xr:uid="{00000000-0005-0000-0000-000044960000}"/>
    <cellStyle name="Bemærk! 2 2 4 4 2" xfId="6815" xr:uid="{00000000-0005-0000-0000-000045960000}"/>
    <cellStyle name="Bemærk! 2 2 4 4 2 2" xfId="14727" xr:uid="{00000000-0005-0000-0000-000046960000}"/>
    <cellStyle name="Bemærk! 2 2 4 4 2 2 2" xfId="31042" xr:uid="{00000000-0005-0000-0000-000047960000}"/>
    <cellStyle name="Bemærk! 2 2 4 4 2 2 3" xfId="46006" xr:uid="{00000000-0005-0000-0000-000048960000}"/>
    <cellStyle name="Bemærk! 2 2 4 4 2 3" xfId="24020" xr:uid="{00000000-0005-0000-0000-000049960000}"/>
    <cellStyle name="Bemærk! 2 2 4 4 2 4" xfId="39007" xr:uid="{00000000-0005-0000-0000-00004A960000}"/>
    <cellStyle name="Bemærk! 2 2 4 5" xfId="53986" xr:uid="{00000000-0005-0000-0000-00004B960000}"/>
    <cellStyle name="Bemærk! 2 2 5" xfId="4764" xr:uid="{00000000-0005-0000-0000-00004C960000}"/>
    <cellStyle name="Bemærk! 2 2 5 2" xfId="4765" xr:uid="{00000000-0005-0000-0000-00004D960000}"/>
    <cellStyle name="Bemærk! 2 2 5 2 2" xfId="4766" xr:uid="{00000000-0005-0000-0000-00004E960000}"/>
    <cellStyle name="Bemærk! 2 2 5 2 2 2" xfId="7774" xr:uid="{00000000-0005-0000-0000-00004F960000}"/>
    <cellStyle name="Bemærk! 2 2 5 2 2 2 2" xfId="15676" xr:uid="{00000000-0005-0000-0000-000050960000}"/>
    <cellStyle name="Bemærk! 2 2 5 2 2 2 2 2" xfId="31991" xr:uid="{00000000-0005-0000-0000-000051960000}"/>
    <cellStyle name="Bemærk! 2 2 5 2 2 2 2 3" xfId="46955" xr:uid="{00000000-0005-0000-0000-000052960000}"/>
    <cellStyle name="Bemærk! 2 2 5 2 2 2 3" xfId="24969" xr:uid="{00000000-0005-0000-0000-000053960000}"/>
    <cellStyle name="Bemærk! 2 2 5 2 2 2 4" xfId="39956" xr:uid="{00000000-0005-0000-0000-000054960000}"/>
    <cellStyle name="Bemærk! 2 2 5 3" xfId="4767" xr:uid="{00000000-0005-0000-0000-000055960000}"/>
    <cellStyle name="Bemærk! 2 2 5 3 2" xfId="4768" xr:uid="{00000000-0005-0000-0000-000056960000}"/>
    <cellStyle name="Bemærk! 2 2 5 3 2 2" xfId="8615" xr:uid="{00000000-0005-0000-0000-000057960000}"/>
    <cellStyle name="Bemærk! 2 2 5 3 2 2 2" xfId="16498" xr:uid="{00000000-0005-0000-0000-000058960000}"/>
    <cellStyle name="Bemærk! 2 2 5 3 2 2 2 2" xfId="32813" xr:uid="{00000000-0005-0000-0000-000059960000}"/>
    <cellStyle name="Bemærk! 2 2 5 3 2 2 2 3" xfId="47777" xr:uid="{00000000-0005-0000-0000-00005A960000}"/>
    <cellStyle name="Bemærk! 2 2 5 3 2 2 3" xfId="25791" xr:uid="{00000000-0005-0000-0000-00005B960000}"/>
    <cellStyle name="Bemærk! 2 2 5 3 2 2 4" xfId="40778" xr:uid="{00000000-0005-0000-0000-00005C960000}"/>
    <cellStyle name="Bemærk! 2 2 5 3 3" xfId="6323" xr:uid="{00000000-0005-0000-0000-00005D960000}"/>
    <cellStyle name="Bemærk! 2 2 5 3 3 2" xfId="14238" xr:uid="{00000000-0005-0000-0000-00005E960000}"/>
    <cellStyle name="Bemærk! 2 2 5 3 3 2 2" xfId="30553" xr:uid="{00000000-0005-0000-0000-00005F960000}"/>
    <cellStyle name="Bemærk! 2 2 5 3 3 2 3" xfId="45517" xr:uid="{00000000-0005-0000-0000-000060960000}"/>
    <cellStyle name="Bemærk! 2 2 5 3 3 3" xfId="23531" xr:uid="{00000000-0005-0000-0000-000061960000}"/>
    <cellStyle name="Bemærk! 2 2 5 3 3 4" xfId="38518" xr:uid="{00000000-0005-0000-0000-000062960000}"/>
    <cellStyle name="Bemærk! 2 2 5 4" xfId="4769" xr:uid="{00000000-0005-0000-0000-000063960000}"/>
    <cellStyle name="Bemærk! 2 2 5 4 2" xfId="7005" xr:uid="{00000000-0005-0000-0000-000064960000}"/>
    <cellStyle name="Bemærk! 2 2 5 4 2 2" xfId="14917" xr:uid="{00000000-0005-0000-0000-000065960000}"/>
    <cellStyle name="Bemærk! 2 2 5 4 2 2 2" xfId="31232" xr:uid="{00000000-0005-0000-0000-000066960000}"/>
    <cellStyle name="Bemærk! 2 2 5 4 2 2 3" xfId="46196" xr:uid="{00000000-0005-0000-0000-000067960000}"/>
    <cellStyle name="Bemærk! 2 2 5 4 2 3" xfId="24210" xr:uid="{00000000-0005-0000-0000-000068960000}"/>
    <cellStyle name="Bemærk! 2 2 5 4 2 4" xfId="39197" xr:uid="{00000000-0005-0000-0000-000069960000}"/>
    <cellStyle name="Bemærk! 2 2 5 5" xfId="56530" xr:uid="{00000000-0005-0000-0000-00006A960000}"/>
    <cellStyle name="Bemærk! 2 2 6" xfId="4770" xr:uid="{00000000-0005-0000-0000-00006B960000}"/>
    <cellStyle name="Bemærk! 2 2 6 2" xfId="4771" xr:uid="{00000000-0005-0000-0000-00006C960000}"/>
    <cellStyle name="Bemærk! 2 2 6 2 2" xfId="4772" xr:uid="{00000000-0005-0000-0000-00006D960000}"/>
    <cellStyle name="Bemærk! 2 2 6 2 2 2" xfId="7823" xr:uid="{00000000-0005-0000-0000-00006E960000}"/>
    <cellStyle name="Bemærk! 2 2 6 2 2 2 2" xfId="15725" xr:uid="{00000000-0005-0000-0000-00006F960000}"/>
    <cellStyle name="Bemærk! 2 2 6 2 2 2 2 2" xfId="32040" xr:uid="{00000000-0005-0000-0000-000070960000}"/>
    <cellStyle name="Bemærk! 2 2 6 2 2 2 2 3" xfId="47004" xr:uid="{00000000-0005-0000-0000-000071960000}"/>
    <cellStyle name="Bemærk! 2 2 6 2 2 2 3" xfId="25018" xr:uid="{00000000-0005-0000-0000-000072960000}"/>
    <cellStyle name="Bemærk! 2 2 6 2 2 2 4" xfId="40005" xr:uid="{00000000-0005-0000-0000-000073960000}"/>
    <cellStyle name="Bemærk! 2 2 6 3" xfId="4773" xr:uid="{00000000-0005-0000-0000-000074960000}"/>
    <cellStyle name="Bemærk! 2 2 6 3 2" xfId="4774" xr:uid="{00000000-0005-0000-0000-000075960000}"/>
    <cellStyle name="Bemærk! 2 2 6 3 2 2" xfId="7015" xr:uid="{00000000-0005-0000-0000-000076960000}"/>
    <cellStyle name="Bemærk! 2 2 6 3 2 2 2" xfId="14927" xr:uid="{00000000-0005-0000-0000-000077960000}"/>
    <cellStyle name="Bemærk! 2 2 6 3 2 2 2 2" xfId="31242" xr:uid="{00000000-0005-0000-0000-000078960000}"/>
    <cellStyle name="Bemærk! 2 2 6 3 2 2 2 3" xfId="46206" xr:uid="{00000000-0005-0000-0000-000079960000}"/>
    <cellStyle name="Bemærk! 2 2 6 3 2 2 3" xfId="24220" xr:uid="{00000000-0005-0000-0000-00007A960000}"/>
    <cellStyle name="Bemærk! 2 2 6 3 2 2 4" xfId="39207" xr:uid="{00000000-0005-0000-0000-00007B960000}"/>
    <cellStyle name="Bemærk! 2 2 6 3 3" xfId="6364" xr:uid="{00000000-0005-0000-0000-00007C960000}"/>
    <cellStyle name="Bemærk! 2 2 6 3 3 2" xfId="14279" xr:uid="{00000000-0005-0000-0000-00007D960000}"/>
    <cellStyle name="Bemærk! 2 2 6 3 3 2 2" xfId="30594" xr:uid="{00000000-0005-0000-0000-00007E960000}"/>
    <cellStyle name="Bemærk! 2 2 6 3 3 2 3" xfId="45558" xr:uid="{00000000-0005-0000-0000-00007F960000}"/>
    <cellStyle name="Bemærk! 2 2 6 3 3 3" xfId="23572" xr:uid="{00000000-0005-0000-0000-000080960000}"/>
    <cellStyle name="Bemærk! 2 2 6 3 3 4" xfId="38559" xr:uid="{00000000-0005-0000-0000-000081960000}"/>
    <cellStyle name="Bemærk! 2 2 6 4" xfId="4775" xr:uid="{00000000-0005-0000-0000-000082960000}"/>
    <cellStyle name="Bemærk! 2 2 6 4 2" xfId="7099" xr:uid="{00000000-0005-0000-0000-000083960000}"/>
    <cellStyle name="Bemærk! 2 2 6 4 2 2" xfId="15010" xr:uid="{00000000-0005-0000-0000-000084960000}"/>
    <cellStyle name="Bemærk! 2 2 6 4 2 2 2" xfId="31325" xr:uid="{00000000-0005-0000-0000-000085960000}"/>
    <cellStyle name="Bemærk! 2 2 6 4 2 2 3" xfId="46289" xr:uid="{00000000-0005-0000-0000-000086960000}"/>
    <cellStyle name="Bemærk! 2 2 6 4 2 3" xfId="24303" xr:uid="{00000000-0005-0000-0000-000087960000}"/>
    <cellStyle name="Bemærk! 2 2 6 4 2 4" xfId="39290" xr:uid="{00000000-0005-0000-0000-000088960000}"/>
    <cellStyle name="Bemærk! 2 2 7" xfId="4776" xr:uid="{00000000-0005-0000-0000-000089960000}"/>
    <cellStyle name="Bemærk! 2 2 7 2" xfId="4777" xr:uid="{00000000-0005-0000-0000-00008A960000}"/>
    <cellStyle name="Bemærk! 2 2 7 2 2" xfId="4778" xr:uid="{00000000-0005-0000-0000-00008B960000}"/>
    <cellStyle name="Bemærk! 2 2 7 2 2 2" xfId="7940" xr:uid="{00000000-0005-0000-0000-00008C960000}"/>
    <cellStyle name="Bemærk! 2 2 7 2 2 2 2" xfId="15842" xr:uid="{00000000-0005-0000-0000-00008D960000}"/>
    <cellStyle name="Bemærk! 2 2 7 2 2 2 2 2" xfId="32157" xr:uid="{00000000-0005-0000-0000-00008E960000}"/>
    <cellStyle name="Bemærk! 2 2 7 2 2 2 2 3" xfId="47121" xr:uid="{00000000-0005-0000-0000-00008F960000}"/>
    <cellStyle name="Bemærk! 2 2 7 2 2 2 3" xfId="25135" xr:uid="{00000000-0005-0000-0000-000090960000}"/>
    <cellStyle name="Bemærk! 2 2 7 2 2 2 4" xfId="40122" xr:uid="{00000000-0005-0000-0000-000091960000}"/>
    <cellStyle name="Bemærk! 2 2 7 3" xfId="4779" xr:uid="{00000000-0005-0000-0000-000092960000}"/>
    <cellStyle name="Bemærk! 2 2 7 3 2" xfId="4780" xr:uid="{00000000-0005-0000-0000-000093960000}"/>
    <cellStyle name="Bemærk! 2 2 7 3 2 2" xfId="8408" xr:uid="{00000000-0005-0000-0000-000094960000}"/>
    <cellStyle name="Bemærk! 2 2 7 3 2 2 2" xfId="16300" xr:uid="{00000000-0005-0000-0000-000095960000}"/>
    <cellStyle name="Bemærk! 2 2 7 3 2 2 2 2" xfId="32615" xr:uid="{00000000-0005-0000-0000-000096960000}"/>
    <cellStyle name="Bemærk! 2 2 7 3 2 2 2 3" xfId="47579" xr:uid="{00000000-0005-0000-0000-000097960000}"/>
    <cellStyle name="Bemærk! 2 2 7 3 2 2 3" xfId="25593" xr:uid="{00000000-0005-0000-0000-000098960000}"/>
    <cellStyle name="Bemærk! 2 2 7 3 2 2 4" xfId="40580" xr:uid="{00000000-0005-0000-0000-000099960000}"/>
    <cellStyle name="Bemærk! 2 2 7 3 3" xfId="6463" xr:uid="{00000000-0005-0000-0000-00009A960000}"/>
    <cellStyle name="Bemærk! 2 2 7 3 3 2" xfId="14378" xr:uid="{00000000-0005-0000-0000-00009B960000}"/>
    <cellStyle name="Bemærk! 2 2 7 3 3 2 2" xfId="30693" xr:uid="{00000000-0005-0000-0000-00009C960000}"/>
    <cellStyle name="Bemærk! 2 2 7 3 3 2 3" xfId="45657" xr:uid="{00000000-0005-0000-0000-00009D960000}"/>
    <cellStyle name="Bemærk! 2 2 7 3 3 3" xfId="23671" xr:uid="{00000000-0005-0000-0000-00009E960000}"/>
    <cellStyle name="Bemærk! 2 2 7 3 3 4" xfId="38658" xr:uid="{00000000-0005-0000-0000-00009F960000}"/>
    <cellStyle name="Bemærk! 2 2 7 4" xfId="4781" xr:uid="{00000000-0005-0000-0000-0000A0960000}"/>
    <cellStyle name="Bemærk! 2 2 7 4 2" xfId="7216" xr:uid="{00000000-0005-0000-0000-0000A1960000}"/>
    <cellStyle name="Bemærk! 2 2 7 4 2 2" xfId="15127" xr:uid="{00000000-0005-0000-0000-0000A2960000}"/>
    <cellStyle name="Bemærk! 2 2 7 4 2 2 2" xfId="31442" xr:uid="{00000000-0005-0000-0000-0000A3960000}"/>
    <cellStyle name="Bemærk! 2 2 7 4 2 2 3" xfId="46406" xr:uid="{00000000-0005-0000-0000-0000A4960000}"/>
    <cellStyle name="Bemærk! 2 2 7 4 2 3" xfId="24420" xr:uid="{00000000-0005-0000-0000-0000A5960000}"/>
    <cellStyle name="Bemærk! 2 2 7 4 2 4" xfId="39407" xr:uid="{00000000-0005-0000-0000-0000A6960000}"/>
    <cellStyle name="Bemærk! 2 2 8" xfId="4782" xr:uid="{00000000-0005-0000-0000-0000A7960000}"/>
    <cellStyle name="Bemærk! 2 2 8 2" xfId="4783" xr:uid="{00000000-0005-0000-0000-0000A8960000}"/>
    <cellStyle name="Bemærk! 2 2 8 2 2" xfId="4784" xr:uid="{00000000-0005-0000-0000-0000A9960000}"/>
    <cellStyle name="Bemærk! 2 2 8 2 2 2" xfId="8128" xr:uid="{00000000-0005-0000-0000-0000AA960000}"/>
    <cellStyle name="Bemærk! 2 2 8 2 2 2 2" xfId="16030" xr:uid="{00000000-0005-0000-0000-0000AB960000}"/>
    <cellStyle name="Bemærk! 2 2 8 2 2 2 2 2" xfId="32345" xr:uid="{00000000-0005-0000-0000-0000AC960000}"/>
    <cellStyle name="Bemærk! 2 2 8 2 2 2 2 3" xfId="47309" xr:uid="{00000000-0005-0000-0000-0000AD960000}"/>
    <cellStyle name="Bemærk! 2 2 8 2 2 2 3" xfId="25323" xr:uid="{00000000-0005-0000-0000-0000AE960000}"/>
    <cellStyle name="Bemærk! 2 2 8 2 2 2 4" xfId="40310" xr:uid="{00000000-0005-0000-0000-0000AF960000}"/>
    <cellStyle name="Bemærk! 2 2 8 3" xfId="4785" xr:uid="{00000000-0005-0000-0000-0000B0960000}"/>
    <cellStyle name="Bemærk! 2 2 8 3 2" xfId="4786" xr:uid="{00000000-0005-0000-0000-0000B1960000}"/>
    <cellStyle name="Bemærk! 2 2 8 3 2 2" xfId="8740" xr:uid="{00000000-0005-0000-0000-0000B2960000}"/>
    <cellStyle name="Bemærk! 2 2 8 3 2 2 2" xfId="16617" xr:uid="{00000000-0005-0000-0000-0000B3960000}"/>
    <cellStyle name="Bemærk! 2 2 8 3 2 2 2 2" xfId="32932" xr:uid="{00000000-0005-0000-0000-0000B4960000}"/>
    <cellStyle name="Bemærk! 2 2 8 3 2 2 2 3" xfId="47896" xr:uid="{00000000-0005-0000-0000-0000B5960000}"/>
    <cellStyle name="Bemærk! 2 2 8 3 2 2 3" xfId="25910" xr:uid="{00000000-0005-0000-0000-0000B6960000}"/>
    <cellStyle name="Bemærk! 2 2 8 3 2 2 4" xfId="40897" xr:uid="{00000000-0005-0000-0000-0000B7960000}"/>
    <cellStyle name="Bemærk! 2 2 8 3 3" xfId="6621" xr:uid="{00000000-0005-0000-0000-0000B8960000}"/>
    <cellStyle name="Bemærk! 2 2 8 3 3 2" xfId="14536" xr:uid="{00000000-0005-0000-0000-0000B9960000}"/>
    <cellStyle name="Bemærk! 2 2 8 3 3 2 2" xfId="30851" xr:uid="{00000000-0005-0000-0000-0000BA960000}"/>
    <cellStyle name="Bemærk! 2 2 8 3 3 2 3" xfId="45815" xr:uid="{00000000-0005-0000-0000-0000BB960000}"/>
    <cellStyle name="Bemærk! 2 2 8 3 3 3" xfId="23829" xr:uid="{00000000-0005-0000-0000-0000BC960000}"/>
    <cellStyle name="Bemærk! 2 2 8 3 3 4" xfId="38816" xr:uid="{00000000-0005-0000-0000-0000BD960000}"/>
    <cellStyle name="Bemærk! 2 2 8 4" xfId="4787" xr:uid="{00000000-0005-0000-0000-0000BE960000}"/>
    <cellStyle name="Bemærk! 2 2 8 4 2" xfId="7405" xr:uid="{00000000-0005-0000-0000-0000BF960000}"/>
    <cellStyle name="Bemærk! 2 2 8 4 2 2" xfId="15316" xr:uid="{00000000-0005-0000-0000-0000C0960000}"/>
    <cellStyle name="Bemærk! 2 2 8 4 2 2 2" xfId="31631" xr:uid="{00000000-0005-0000-0000-0000C1960000}"/>
    <cellStyle name="Bemærk! 2 2 8 4 2 2 3" xfId="46595" xr:uid="{00000000-0005-0000-0000-0000C2960000}"/>
    <cellStyle name="Bemærk! 2 2 8 4 2 3" xfId="24609" xr:uid="{00000000-0005-0000-0000-0000C3960000}"/>
    <cellStyle name="Bemærk! 2 2 8 4 2 4" xfId="39596" xr:uid="{00000000-0005-0000-0000-0000C4960000}"/>
    <cellStyle name="Bemærk! 2 2 9" xfId="4788" xr:uid="{00000000-0005-0000-0000-0000C5960000}"/>
    <cellStyle name="Bemærk! 2 2 9 2" xfId="4789" xr:uid="{00000000-0005-0000-0000-0000C6960000}"/>
    <cellStyle name="Bemærk! 2 2 9 2 2" xfId="7466" xr:uid="{00000000-0005-0000-0000-0000C7960000}"/>
    <cellStyle name="Bemærk! 2 2 9 2 2 2" xfId="15368" xr:uid="{00000000-0005-0000-0000-0000C8960000}"/>
    <cellStyle name="Bemærk! 2 2 9 2 2 2 2" xfId="31683" xr:uid="{00000000-0005-0000-0000-0000C9960000}"/>
    <cellStyle name="Bemærk! 2 2 9 2 2 2 3" xfId="46647" xr:uid="{00000000-0005-0000-0000-0000CA960000}"/>
    <cellStyle name="Bemærk! 2 2 9 2 2 3" xfId="24661" xr:uid="{00000000-0005-0000-0000-0000CB960000}"/>
    <cellStyle name="Bemærk! 2 2 9 2 2 4" xfId="39648" xr:uid="{00000000-0005-0000-0000-0000CC960000}"/>
    <cellStyle name="Bemærk! 2 3" xfId="4790" xr:uid="{00000000-0005-0000-0000-0000CD960000}"/>
    <cellStyle name="Bemærk! 2 3 10" xfId="53352" xr:uid="{00000000-0005-0000-0000-0000CE960000}"/>
    <cellStyle name="Bemærk! 2 3 2" xfId="4791" xr:uid="{00000000-0005-0000-0000-0000CF960000}"/>
    <cellStyle name="Bemærk! 2 3 2 2" xfId="4792" xr:uid="{00000000-0005-0000-0000-0000D0960000}"/>
    <cellStyle name="Bemærk! 2 3 2 2 2" xfId="4793" xr:uid="{00000000-0005-0000-0000-0000D1960000}"/>
    <cellStyle name="Bemærk! 2 3 2 2 2 2" xfId="7598" xr:uid="{00000000-0005-0000-0000-0000D2960000}"/>
    <cellStyle name="Bemærk! 2 3 2 2 2 2 2" xfId="15500" xr:uid="{00000000-0005-0000-0000-0000D3960000}"/>
    <cellStyle name="Bemærk! 2 3 2 2 2 2 2 2" xfId="31815" xr:uid="{00000000-0005-0000-0000-0000D4960000}"/>
    <cellStyle name="Bemærk! 2 3 2 2 2 2 2 3" xfId="46779" xr:uid="{00000000-0005-0000-0000-0000D5960000}"/>
    <cellStyle name="Bemærk! 2 3 2 2 2 2 3" xfId="24793" xr:uid="{00000000-0005-0000-0000-0000D6960000}"/>
    <cellStyle name="Bemærk! 2 3 2 2 2 2 4" xfId="39780" xr:uid="{00000000-0005-0000-0000-0000D7960000}"/>
    <cellStyle name="Bemærk! 2 3 2 2 3" xfId="57156" xr:uid="{00000000-0005-0000-0000-0000D8960000}"/>
    <cellStyle name="Bemærk! 2 3 2 3" xfId="4794" xr:uid="{00000000-0005-0000-0000-0000D9960000}"/>
    <cellStyle name="Bemærk! 2 3 2 3 2" xfId="4795" xr:uid="{00000000-0005-0000-0000-0000DA960000}"/>
    <cellStyle name="Bemærk! 2 3 2 3 2 2" xfId="8492" xr:uid="{00000000-0005-0000-0000-0000DB960000}"/>
    <cellStyle name="Bemærk! 2 3 2 3 2 2 2" xfId="16381" xr:uid="{00000000-0005-0000-0000-0000DC960000}"/>
    <cellStyle name="Bemærk! 2 3 2 3 2 2 2 2" xfId="32696" xr:uid="{00000000-0005-0000-0000-0000DD960000}"/>
    <cellStyle name="Bemærk! 2 3 2 3 2 2 2 3" xfId="47660" xr:uid="{00000000-0005-0000-0000-0000DE960000}"/>
    <cellStyle name="Bemærk! 2 3 2 3 2 2 3" xfId="25674" xr:uid="{00000000-0005-0000-0000-0000DF960000}"/>
    <cellStyle name="Bemærk! 2 3 2 3 2 2 4" xfId="40661" xr:uid="{00000000-0005-0000-0000-0000E0960000}"/>
    <cellStyle name="Bemærk! 2 3 2 3 3" xfId="6173" xr:uid="{00000000-0005-0000-0000-0000E1960000}"/>
    <cellStyle name="Bemærk! 2 3 2 3 3 2" xfId="14091" xr:uid="{00000000-0005-0000-0000-0000E2960000}"/>
    <cellStyle name="Bemærk! 2 3 2 3 3 2 2" xfId="30406" xr:uid="{00000000-0005-0000-0000-0000E3960000}"/>
    <cellStyle name="Bemærk! 2 3 2 3 3 2 3" xfId="45370" xr:uid="{00000000-0005-0000-0000-0000E4960000}"/>
    <cellStyle name="Bemærk! 2 3 2 3 3 3" xfId="23384" xr:uid="{00000000-0005-0000-0000-0000E5960000}"/>
    <cellStyle name="Bemærk! 2 3 2 3 3 4" xfId="38371" xr:uid="{00000000-0005-0000-0000-0000E6960000}"/>
    <cellStyle name="Bemærk! 2 3 2 4" xfId="4796" xr:uid="{00000000-0005-0000-0000-0000E7960000}"/>
    <cellStyle name="Bemærk! 2 3 2 4 2" xfId="6828" xr:uid="{00000000-0005-0000-0000-0000E8960000}"/>
    <cellStyle name="Bemærk! 2 3 2 4 2 2" xfId="14740" xr:uid="{00000000-0005-0000-0000-0000E9960000}"/>
    <cellStyle name="Bemærk! 2 3 2 4 2 2 2" xfId="31055" xr:uid="{00000000-0005-0000-0000-0000EA960000}"/>
    <cellStyle name="Bemærk! 2 3 2 4 2 2 3" xfId="46019" xr:uid="{00000000-0005-0000-0000-0000EB960000}"/>
    <cellStyle name="Bemærk! 2 3 2 4 2 3" xfId="24033" xr:uid="{00000000-0005-0000-0000-0000EC960000}"/>
    <cellStyle name="Bemærk! 2 3 2 4 2 4" xfId="39020" xr:uid="{00000000-0005-0000-0000-0000ED960000}"/>
    <cellStyle name="Bemærk! 2 3 2 5" xfId="53989" xr:uid="{00000000-0005-0000-0000-0000EE960000}"/>
    <cellStyle name="Bemærk! 2 3 3" xfId="4797" xr:uid="{00000000-0005-0000-0000-0000EF960000}"/>
    <cellStyle name="Bemærk! 2 3 3 2" xfId="4798" xr:uid="{00000000-0005-0000-0000-0000F0960000}"/>
    <cellStyle name="Bemærk! 2 3 3 2 2" xfId="4799" xr:uid="{00000000-0005-0000-0000-0000F1960000}"/>
    <cellStyle name="Bemærk! 2 3 3 2 2 2" xfId="7777" xr:uid="{00000000-0005-0000-0000-0000F2960000}"/>
    <cellStyle name="Bemærk! 2 3 3 2 2 2 2" xfId="15679" xr:uid="{00000000-0005-0000-0000-0000F3960000}"/>
    <cellStyle name="Bemærk! 2 3 3 2 2 2 2 2" xfId="31994" xr:uid="{00000000-0005-0000-0000-0000F4960000}"/>
    <cellStyle name="Bemærk! 2 3 3 2 2 2 2 3" xfId="46958" xr:uid="{00000000-0005-0000-0000-0000F5960000}"/>
    <cellStyle name="Bemærk! 2 3 3 2 2 2 3" xfId="24972" xr:uid="{00000000-0005-0000-0000-0000F6960000}"/>
    <cellStyle name="Bemærk! 2 3 3 2 2 2 4" xfId="39959" xr:uid="{00000000-0005-0000-0000-0000F7960000}"/>
    <cellStyle name="Bemærk! 2 3 3 3" xfId="4800" xr:uid="{00000000-0005-0000-0000-0000F8960000}"/>
    <cellStyle name="Bemærk! 2 3 3 3 2" xfId="4801" xr:uid="{00000000-0005-0000-0000-0000F9960000}"/>
    <cellStyle name="Bemærk! 2 3 3 3 2 2" xfId="8205" xr:uid="{00000000-0005-0000-0000-0000FA960000}"/>
    <cellStyle name="Bemærk! 2 3 3 3 2 2 2" xfId="16102" xr:uid="{00000000-0005-0000-0000-0000FB960000}"/>
    <cellStyle name="Bemærk! 2 3 3 3 2 2 2 2" xfId="32417" xr:uid="{00000000-0005-0000-0000-0000FC960000}"/>
    <cellStyle name="Bemærk! 2 3 3 3 2 2 2 3" xfId="47381" xr:uid="{00000000-0005-0000-0000-0000FD960000}"/>
    <cellStyle name="Bemærk! 2 3 3 3 2 2 3" xfId="25395" xr:uid="{00000000-0005-0000-0000-0000FE960000}"/>
    <cellStyle name="Bemærk! 2 3 3 3 2 2 4" xfId="40382" xr:uid="{00000000-0005-0000-0000-0000FF960000}"/>
    <cellStyle name="Bemærk! 2 3 3 3 3" xfId="6326" xr:uid="{00000000-0005-0000-0000-000000970000}"/>
    <cellStyle name="Bemærk! 2 3 3 3 3 2" xfId="14241" xr:uid="{00000000-0005-0000-0000-000001970000}"/>
    <cellStyle name="Bemærk! 2 3 3 3 3 2 2" xfId="30556" xr:uid="{00000000-0005-0000-0000-000002970000}"/>
    <cellStyle name="Bemærk! 2 3 3 3 3 2 3" xfId="45520" xr:uid="{00000000-0005-0000-0000-000003970000}"/>
    <cellStyle name="Bemærk! 2 3 3 3 3 3" xfId="23534" xr:uid="{00000000-0005-0000-0000-000004970000}"/>
    <cellStyle name="Bemærk! 2 3 3 3 3 4" xfId="38521" xr:uid="{00000000-0005-0000-0000-000005970000}"/>
    <cellStyle name="Bemærk! 2 3 3 4" xfId="4802" xr:uid="{00000000-0005-0000-0000-000006970000}"/>
    <cellStyle name="Bemærk! 2 3 3 4 2" xfId="7008" xr:uid="{00000000-0005-0000-0000-000007970000}"/>
    <cellStyle name="Bemærk! 2 3 3 4 2 2" xfId="14920" xr:uid="{00000000-0005-0000-0000-000008970000}"/>
    <cellStyle name="Bemærk! 2 3 3 4 2 2 2" xfId="31235" xr:uid="{00000000-0005-0000-0000-000009970000}"/>
    <cellStyle name="Bemærk! 2 3 3 4 2 2 3" xfId="46199" xr:uid="{00000000-0005-0000-0000-00000A970000}"/>
    <cellStyle name="Bemærk! 2 3 3 4 2 3" xfId="24213" xr:uid="{00000000-0005-0000-0000-00000B970000}"/>
    <cellStyle name="Bemærk! 2 3 3 4 2 4" xfId="39200" xr:uid="{00000000-0005-0000-0000-00000C970000}"/>
    <cellStyle name="Bemærk! 2 3 3 5" xfId="56533" xr:uid="{00000000-0005-0000-0000-00000D970000}"/>
    <cellStyle name="Bemærk! 2 3 4" xfId="4803" xr:uid="{00000000-0005-0000-0000-00000E970000}"/>
    <cellStyle name="Bemærk! 2 3 4 2" xfId="4804" xr:uid="{00000000-0005-0000-0000-00000F970000}"/>
    <cellStyle name="Bemærk! 2 3 4 2 2" xfId="4805" xr:uid="{00000000-0005-0000-0000-000010970000}"/>
    <cellStyle name="Bemærk! 2 3 4 2 2 2" xfId="7836" xr:uid="{00000000-0005-0000-0000-000011970000}"/>
    <cellStyle name="Bemærk! 2 3 4 2 2 2 2" xfId="15738" xr:uid="{00000000-0005-0000-0000-000012970000}"/>
    <cellStyle name="Bemærk! 2 3 4 2 2 2 2 2" xfId="32053" xr:uid="{00000000-0005-0000-0000-000013970000}"/>
    <cellStyle name="Bemærk! 2 3 4 2 2 2 2 3" xfId="47017" xr:uid="{00000000-0005-0000-0000-000014970000}"/>
    <cellStyle name="Bemærk! 2 3 4 2 2 2 3" xfId="25031" xr:uid="{00000000-0005-0000-0000-000015970000}"/>
    <cellStyle name="Bemærk! 2 3 4 2 2 2 4" xfId="40018" xr:uid="{00000000-0005-0000-0000-000016970000}"/>
    <cellStyle name="Bemærk! 2 3 4 3" xfId="4806" xr:uid="{00000000-0005-0000-0000-000017970000}"/>
    <cellStyle name="Bemærk! 2 3 4 3 2" xfId="4807" xr:uid="{00000000-0005-0000-0000-000018970000}"/>
    <cellStyle name="Bemærk! 2 3 4 3 2 2" xfId="8520" xr:uid="{00000000-0005-0000-0000-000019970000}"/>
    <cellStyle name="Bemærk! 2 3 4 3 2 2 2" xfId="16408" xr:uid="{00000000-0005-0000-0000-00001A970000}"/>
    <cellStyle name="Bemærk! 2 3 4 3 2 2 2 2" xfId="32723" xr:uid="{00000000-0005-0000-0000-00001B970000}"/>
    <cellStyle name="Bemærk! 2 3 4 3 2 2 2 3" xfId="47687" xr:uid="{00000000-0005-0000-0000-00001C970000}"/>
    <cellStyle name="Bemærk! 2 3 4 3 2 2 3" xfId="25701" xr:uid="{00000000-0005-0000-0000-00001D970000}"/>
    <cellStyle name="Bemærk! 2 3 4 3 2 2 4" xfId="40688" xr:uid="{00000000-0005-0000-0000-00001E970000}"/>
    <cellStyle name="Bemærk! 2 3 4 3 3" xfId="6375" xr:uid="{00000000-0005-0000-0000-00001F970000}"/>
    <cellStyle name="Bemærk! 2 3 4 3 3 2" xfId="14290" xr:uid="{00000000-0005-0000-0000-000020970000}"/>
    <cellStyle name="Bemærk! 2 3 4 3 3 2 2" xfId="30605" xr:uid="{00000000-0005-0000-0000-000021970000}"/>
    <cellStyle name="Bemærk! 2 3 4 3 3 2 3" xfId="45569" xr:uid="{00000000-0005-0000-0000-000022970000}"/>
    <cellStyle name="Bemærk! 2 3 4 3 3 3" xfId="23583" xr:uid="{00000000-0005-0000-0000-000023970000}"/>
    <cellStyle name="Bemærk! 2 3 4 3 3 4" xfId="38570" xr:uid="{00000000-0005-0000-0000-000024970000}"/>
    <cellStyle name="Bemærk! 2 3 4 4" xfId="4808" xr:uid="{00000000-0005-0000-0000-000025970000}"/>
    <cellStyle name="Bemærk! 2 3 4 4 2" xfId="7112" xr:uid="{00000000-0005-0000-0000-000026970000}"/>
    <cellStyle name="Bemærk! 2 3 4 4 2 2" xfId="15023" xr:uid="{00000000-0005-0000-0000-000027970000}"/>
    <cellStyle name="Bemærk! 2 3 4 4 2 2 2" xfId="31338" xr:uid="{00000000-0005-0000-0000-000028970000}"/>
    <cellStyle name="Bemærk! 2 3 4 4 2 2 3" xfId="46302" xr:uid="{00000000-0005-0000-0000-000029970000}"/>
    <cellStyle name="Bemærk! 2 3 4 4 2 3" xfId="24316" xr:uid="{00000000-0005-0000-0000-00002A970000}"/>
    <cellStyle name="Bemærk! 2 3 4 4 2 4" xfId="39303" xr:uid="{00000000-0005-0000-0000-00002B970000}"/>
    <cellStyle name="Bemærk! 2 3 5" xfId="4809" xr:uid="{00000000-0005-0000-0000-00002C970000}"/>
    <cellStyle name="Bemærk! 2 3 5 2" xfId="4810" xr:uid="{00000000-0005-0000-0000-00002D970000}"/>
    <cellStyle name="Bemærk! 2 3 5 2 2" xfId="4811" xr:uid="{00000000-0005-0000-0000-00002E970000}"/>
    <cellStyle name="Bemærk! 2 3 5 2 2 2" xfId="7953" xr:uid="{00000000-0005-0000-0000-00002F970000}"/>
    <cellStyle name="Bemærk! 2 3 5 2 2 2 2" xfId="15855" xr:uid="{00000000-0005-0000-0000-000030970000}"/>
    <cellStyle name="Bemærk! 2 3 5 2 2 2 2 2" xfId="32170" xr:uid="{00000000-0005-0000-0000-000031970000}"/>
    <cellStyle name="Bemærk! 2 3 5 2 2 2 2 3" xfId="47134" xr:uid="{00000000-0005-0000-0000-000032970000}"/>
    <cellStyle name="Bemærk! 2 3 5 2 2 2 3" xfId="25148" xr:uid="{00000000-0005-0000-0000-000033970000}"/>
    <cellStyle name="Bemærk! 2 3 5 2 2 2 4" xfId="40135" xr:uid="{00000000-0005-0000-0000-000034970000}"/>
    <cellStyle name="Bemærk! 2 3 5 3" xfId="4812" xr:uid="{00000000-0005-0000-0000-000035970000}"/>
    <cellStyle name="Bemærk! 2 3 5 3 2" xfId="4813" xr:uid="{00000000-0005-0000-0000-000036970000}"/>
    <cellStyle name="Bemærk! 2 3 5 3 2 2" xfId="8479" xr:uid="{00000000-0005-0000-0000-000037970000}"/>
    <cellStyle name="Bemærk! 2 3 5 3 2 2 2" xfId="16368" xr:uid="{00000000-0005-0000-0000-000038970000}"/>
    <cellStyle name="Bemærk! 2 3 5 3 2 2 2 2" xfId="32683" xr:uid="{00000000-0005-0000-0000-000039970000}"/>
    <cellStyle name="Bemærk! 2 3 5 3 2 2 2 3" xfId="47647" xr:uid="{00000000-0005-0000-0000-00003A970000}"/>
    <cellStyle name="Bemærk! 2 3 5 3 2 2 3" xfId="25661" xr:uid="{00000000-0005-0000-0000-00003B970000}"/>
    <cellStyle name="Bemærk! 2 3 5 3 2 2 4" xfId="40648" xr:uid="{00000000-0005-0000-0000-00003C970000}"/>
    <cellStyle name="Bemærk! 2 3 5 3 3" xfId="6474" xr:uid="{00000000-0005-0000-0000-00003D970000}"/>
    <cellStyle name="Bemærk! 2 3 5 3 3 2" xfId="14389" xr:uid="{00000000-0005-0000-0000-00003E970000}"/>
    <cellStyle name="Bemærk! 2 3 5 3 3 2 2" xfId="30704" xr:uid="{00000000-0005-0000-0000-00003F970000}"/>
    <cellStyle name="Bemærk! 2 3 5 3 3 2 3" xfId="45668" xr:uid="{00000000-0005-0000-0000-000040970000}"/>
    <cellStyle name="Bemærk! 2 3 5 3 3 3" xfId="23682" xr:uid="{00000000-0005-0000-0000-000041970000}"/>
    <cellStyle name="Bemærk! 2 3 5 3 3 4" xfId="38669" xr:uid="{00000000-0005-0000-0000-000042970000}"/>
    <cellStyle name="Bemærk! 2 3 5 4" xfId="4814" xr:uid="{00000000-0005-0000-0000-000043970000}"/>
    <cellStyle name="Bemærk! 2 3 5 4 2" xfId="7229" xr:uid="{00000000-0005-0000-0000-000044970000}"/>
    <cellStyle name="Bemærk! 2 3 5 4 2 2" xfId="15140" xr:uid="{00000000-0005-0000-0000-000045970000}"/>
    <cellStyle name="Bemærk! 2 3 5 4 2 2 2" xfId="31455" xr:uid="{00000000-0005-0000-0000-000046970000}"/>
    <cellStyle name="Bemærk! 2 3 5 4 2 2 3" xfId="46419" xr:uid="{00000000-0005-0000-0000-000047970000}"/>
    <cellStyle name="Bemærk! 2 3 5 4 2 3" xfId="24433" xr:uid="{00000000-0005-0000-0000-000048970000}"/>
    <cellStyle name="Bemærk! 2 3 5 4 2 4" xfId="39420" xr:uid="{00000000-0005-0000-0000-000049970000}"/>
    <cellStyle name="Bemærk! 2 3 6" xfId="4815" xr:uid="{00000000-0005-0000-0000-00004A970000}"/>
    <cellStyle name="Bemærk! 2 3 6 2" xfId="4816" xr:uid="{00000000-0005-0000-0000-00004B970000}"/>
    <cellStyle name="Bemærk! 2 3 6 2 2" xfId="4817" xr:uid="{00000000-0005-0000-0000-00004C970000}"/>
    <cellStyle name="Bemærk! 2 3 6 2 2 2" xfId="8131" xr:uid="{00000000-0005-0000-0000-00004D970000}"/>
    <cellStyle name="Bemærk! 2 3 6 2 2 2 2" xfId="16033" xr:uid="{00000000-0005-0000-0000-00004E970000}"/>
    <cellStyle name="Bemærk! 2 3 6 2 2 2 2 2" xfId="32348" xr:uid="{00000000-0005-0000-0000-00004F970000}"/>
    <cellStyle name="Bemærk! 2 3 6 2 2 2 2 3" xfId="47312" xr:uid="{00000000-0005-0000-0000-000050970000}"/>
    <cellStyle name="Bemærk! 2 3 6 2 2 2 3" xfId="25326" xr:uid="{00000000-0005-0000-0000-000051970000}"/>
    <cellStyle name="Bemærk! 2 3 6 2 2 2 4" xfId="40313" xr:uid="{00000000-0005-0000-0000-000052970000}"/>
    <cellStyle name="Bemærk! 2 3 6 3" xfId="4818" xr:uid="{00000000-0005-0000-0000-000053970000}"/>
    <cellStyle name="Bemærk! 2 3 6 3 2" xfId="4819" xr:uid="{00000000-0005-0000-0000-000054970000}"/>
    <cellStyle name="Bemærk! 2 3 6 3 2 2" xfId="8743" xr:uid="{00000000-0005-0000-0000-000055970000}"/>
    <cellStyle name="Bemærk! 2 3 6 3 2 2 2" xfId="16620" xr:uid="{00000000-0005-0000-0000-000056970000}"/>
    <cellStyle name="Bemærk! 2 3 6 3 2 2 2 2" xfId="32935" xr:uid="{00000000-0005-0000-0000-000057970000}"/>
    <cellStyle name="Bemærk! 2 3 6 3 2 2 2 3" xfId="47899" xr:uid="{00000000-0005-0000-0000-000058970000}"/>
    <cellStyle name="Bemærk! 2 3 6 3 2 2 3" xfId="25913" xr:uid="{00000000-0005-0000-0000-000059970000}"/>
    <cellStyle name="Bemærk! 2 3 6 3 2 2 4" xfId="40900" xr:uid="{00000000-0005-0000-0000-00005A970000}"/>
    <cellStyle name="Bemærk! 2 3 6 3 3" xfId="6624" xr:uid="{00000000-0005-0000-0000-00005B970000}"/>
    <cellStyle name="Bemærk! 2 3 6 3 3 2" xfId="14539" xr:uid="{00000000-0005-0000-0000-00005C970000}"/>
    <cellStyle name="Bemærk! 2 3 6 3 3 2 2" xfId="30854" xr:uid="{00000000-0005-0000-0000-00005D970000}"/>
    <cellStyle name="Bemærk! 2 3 6 3 3 2 3" xfId="45818" xr:uid="{00000000-0005-0000-0000-00005E970000}"/>
    <cellStyle name="Bemærk! 2 3 6 3 3 3" xfId="23832" xr:uid="{00000000-0005-0000-0000-00005F970000}"/>
    <cellStyle name="Bemærk! 2 3 6 3 3 4" xfId="38819" xr:uid="{00000000-0005-0000-0000-000060970000}"/>
    <cellStyle name="Bemærk! 2 3 6 4" xfId="4820" xr:uid="{00000000-0005-0000-0000-000061970000}"/>
    <cellStyle name="Bemærk! 2 3 6 4 2" xfId="7408" xr:uid="{00000000-0005-0000-0000-000062970000}"/>
    <cellStyle name="Bemærk! 2 3 6 4 2 2" xfId="15319" xr:uid="{00000000-0005-0000-0000-000063970000}"/>
    <cellStyle name="Bemærk! 2 3 6 4 2 2 2" xfId="31634" xr:uid="{00000000-0005-0000-0000-000064970000}"/>
    <cellStyle name="Bemærk! 2 3 6 4 2 2 3" xfId="46598" xr:uid="{00000000-0005-0000-0000-000065970000}"/>
    <cellStyle name="Bemærk! 2 3 6 4 2 3" xfId="24612" xr:uid="{00000000-0005-0000-0000-000066970000}"/>
    <cellStyle name="Bemærk! 2 3 6 4 2 4" xfId="39599" xr:uid="{00000000-0005-0000-0000-000067970000}"/>
    <cellStyle name="Bemærk! 2 3 7" xfId="4821" xr:uid="{00000000-0005-0000-0000-000068970000}"/>
    <cellStyle name="Bemærk! 2 3 7 2" xfId="4822" xr:uid="{00000000-0005-0000-0000-000069970000}"/>
    <cellStyle name="Bemærk! 2 3 7 2 2" xfId="7479" xr:uid="{00000000-0005-0000-0000-00006A970000}"/>
    <cellStyle name="Bemærk! 2 3 7 2 2 2" xfId="15381" xr:uid="{00000000-0005-0000-0000-00006B970000}"/>
    <cellStyle name="Bemærk! 2 3 7 2 2 2 2" xfId="31696" xr:uid="{00000000-0005-0000-0000-00006C970000}"/>
    <cellStyle name="Bemærk! 2 3 7 2 2 2 3" xfId="46660" xr:uid="{00000000-0005-0000-0000-00006D970000}"/>
    <cellStyle name="Bemærk! 2 3 7 2 2 3" xfId="24674" xr:uid="{00000000-0005-0000-0000-00006E970000}"/>
    <cellStyle name="Bemærk! 2 3 7 2 2 4" xfId="39661" xr:uid="{00000000-0005-0000-0000-00006F970000}"/>
    <cellStyle name="Bemærk! 2 3 8" xfId="4823" xr:uid="{00000000-0005-0000-0000-000070970000}"/>
    <cellStyle name="Bemærk! 2 3 8 2" xfId="4824" xr:uid="{00000000-0005-0000-0000-000071970000}"/>
    <cellStyle name="Bemærk! 2 3 8 2 2" xfId="6644" xr:uid="{00000000-0005-0000-0000-000072970000}"/>
    <cellStyle name="Bemærk! 2 3 8 2 2 2" xfId="14558" xr:uid="{00000000-0005-0000-0000-000073970000}"/>
    <cellStyle name="Bemærk! 2 3 8 2 2 2 2" xfId="30873" xr:uid="{00000000-0005-0000-0000-000074970000}"/>
    <cellStyle name="Bemærk! 2 3 8 2 2 2 3" xfId="45837" xr:uid="{00000000-0005-0000-0000-000075970000}"/>
    <cellStyle name="Bemærk! 2 3 8 2 2 3" xfId="23851" xr:uid="{00000000-0005-0000-0000-000076970000}"/>
    <cellStyle name="Bemærk! 2 3 8 2 2 4" xfId="38838" xr:uid="{00000000-0005-0000-0000-000077970000}"/>
    <cellStyle name="Bemærk! 2 3 8 3" xfId="6074" xr:uid="{00000000-0005-0000-0000-000078970000}"/>
    <cellStyle name="Bemærk! 2 3 8 3 2" xfId="13992" xr:uid="{00000000-0005-0000-0000-000079970000}"/>
    <cellStyle name="Bemærk! 2 3 8 3 2 2" xfId="30307" xr:uid="{00000000-0005-0000-0000-00007A970000}"/>
    <cellStyle name="Bemærk! 2 3 8 3 2 3" xfId="45271" xr:uid="{00000000-0005-0000-0000-00007B970000}"/>
    <cellStyle name="Bemærk! 2 3 8 3 3" xfId="23285" xr:uid="{00000000-0005-0000-0000-00007C970000}"/>
    <cellStyle name="Bemærk! 2 3 8 3 4" xfId="38272" xr:uid="{00000000-0005-0000-0000-00007D970000}"/>
    <cellStyle name="Bemærk! 2 3 9" xfId="4825" xr:uid="{00000000-0005-0000-0000-00007E970000}"/>
    <cellStyle name="Bemærk! 2 3 9 2" xfId="6707" xr:uid="{00000000-0005-0000-0000-00007F970000}"/>
    <cellStyle name="Bemærk! 2 3 9 2 2" xfId="14619" xr:uid="{00000000-0005-0000-0000-000080970000}"/>
    <cellStyle name="Bemærk! 2 3 9 2 2 2" xfId="30934" xr:uid="{00000000-0005-0000-0000-000081970000}"/>
    <cellStyle name="Bemærk! 2 3 9 2 2 3" xfId="45898" xr:uid="{00000000-0005-0000-0000-000082970000}"/>
    <cellStyle name="Bemærk! 2 3 9 2 3" xfId="23912" xr:uid="{00000000-0005-0000-0000-000083970000}"/>
    <cellStyle name="Bemærk! 2 3 9 2 4" xfId="38899" xr:uid="{00000000-0005-0000-0000-000084970000}"/>
    <cellStyle name="Bemærk! 2 4" xfId="4826" xr:uid="{00000000-0005-0000-0000-000085970000}"/>
    <cellStyle name="Bemærk! 2 4 10" xfId="53353" xr:uid="{00000000-0005-0000-0000-000086970000}"/>
    <cellStyle name="Bemærk! 2 4 2" xfId="4827" xr:uid="{00000000-0005-0000-0000-000087970000}"/>
    <cellStyle name="Bemærk! 2 4 2 2" xfId="4828" xr:uid="{00000000-0005-0000-0000-000088970000}"/>
    <cellStyle name="Bemærk! 2 4 2 2 2" xfId="4829" xr:uid="{00000000-0005-0000-0000-000089970000}"/>
    <cellStyle name="Bemærk! 2 4 2 2 2 2" xfId="7637" xr:uid="{00000000-0005-0000-0000-00008A970000}"/>
    <cellStyle name="Bemærk! 2 4 2 2 2 2 2" xfId="15539" xr:uid="{00000000-0005-0000-0000-00008B970000}"/>
    <cellStyle name="Bemærk! 2 4 2 2 2 2 2 2" xfId="31854" xr:uid="{00000000-0005-0000-0000-00008C970000}"/>
    <cellStyle name="Bemærk! 2 4 2 2 2 2 2 3" xfId="46818" xr:uid="{00000000-0005-0000-0000-00008D970000}"/>
    <cellStyle name="Bemærk! 2 4 2 2 2 2 3" xfId="24832" xr:uid="{00000000-0005-0000-0000-00008E970000}"/>
    <cellStyle name="Bemærk! 2 4 2 2 2 2 4" xfId="39819" xr:uid="{00000000-0005-0000-0000-00008F970000}"/>
    <cellStyle name="Bemærk! 2 4 2 2 3" xfId="57157" xr:uid="{00000000-0005-0000-0000-000090970000}"/>
    <cellStyle name="Bemærk! 2 4 2 3" xfId="4830" xr:uid="{00000000-0005-0000-0000-000091970000}"/>
    <cellStyle name="Bemærk! 2 4 2 3 2" xfId="4831" xr:uid="{00000000-0005-0000-0000-000092970000}"/>
    <cellStyle name="Bemærk! 2 4 2 3 2 2" xfId="8206" xr:uid="{00000000-0005-0000-0000-000093970000}"/>
    <cellStyle name="Bemærk! 2 4 2 3 2 2 2" xfId="16103" xr:uid="{00000000-0005-0000-0000-000094970000}"/>
    <cellStyle name="Bemærk! 2 4 2 3 2 2 2 2" xfId="32418" xr:uid="{00000000-0005-0000-0000-000095970000}"/>
    <cellStyle name="Bemærk! 2 4 2 3 2 2 2 3" xfId="47382" xr:uid="{00000000-0005-0000-0000-000096970000}"/>
    <cellStyle name="Bemærk! 2 4 2 3 2 2 3" xfId="25396" xr:uid="{00000000-0005-0000-0000-000097970000}"/>
    <cellStyle name="Bemærk! 2 4 2 3 2 2 4" xfId="40383" xr:uid="{00000000-0005-0000-0000-000098970000}"/>
    <cellStyle name="Bemærk! 2 4 2 3 3" xfId="6206" xr:uid="{00000000-0005-0000-0000-000099970000}"/>
    <cellStyle name="Bemærk! 2 4 2 3 3 2" xfId="14124" xr:uid="{00000000-0005-0000-0000-00009A970000}"/>
    <cellStyle name="Bemærk! 2 4 2 3 3 2 2" xfId="30439" xr:uid="{00000000-0005-0000-0000-00009B970000}"/>
    <cellStyle name="Bemærk! 2 4 2 3 3 2 3" xfId="45403" xr:uid="{00000000-0005-0000-0000-00009C970000}"/>
    <cellStyle name="Bemærk! 2 4 2 3 3 3" xfId="23417" xr:uid="{00000000-0005-0000-0000-00009D970000}"/>
    <cellStyle name="Bemærk! 2 4 2 3 3 4" xfId="38404" xr:uid="{00000000-0005-0000-0000-00009E970000}"/>
    <cellStyle name="Bemærk! 2 4 2 4" xfId="4832" xr:uid="{00000000-0005-0000-0000-00009F970000}"/>
    <cellStyle name="Bemærk! 2 4 2 4 2" xfId="6867" xr:uid="{00000000-0005-0000-0000-0000A0970000}"/>
    <cellStyle name="Bemærk! 2 4 2 4 2 2" xfId="14779" xr:uid="{00000000-0005-0000-0000-0000A1970000}"/>
    <cellStyle name="Bemærk! 2 4 2 4 2 2 2" xfId="31094" xr:uid="{00000000-0005-0000-0000-0000A2970000}"/>
    <cellStyle name="Bemærk! 2 4 2 4 2 2 3" xfId="46058" xr:uid="{00000000-0005-0000-0000-0000A3970000}"/>
    <cellStyle name="Bemærk! 2 4 2 4 2 3" xfId="24072" xr:uid="{00000000-0005-0000-0000-0000A4970000}"/>
    <cellStyle name="Bemærk! 2 4 2 4 2 4" xfId="39059" xr:uid="{00000000-0005-0000-0000-0000A5970000}"/>
    <cellStyle name="Bemærk! 2 4 2 5" xfId="53990" xr:uid="{00000000-0005-0000-0000-0000A6970000}"/>
    <cellStyle name="Bemærk! 2 4 3" xfId="4833" xr:uid="{00000000-0005-0000-0000-0000A7970000}"/>
    <cellStyle name="Bemærk! 2 4 3 2" xfId="4834" xr:uid="{00000000-0005-0000-0000-0000A8970000}"/>
    <cellStyle name="Bemærk! 2 4 3 2 2" xfId="4835" xr:uid="{00000000-0005-0000-0000-0000A9970000}"/>
    <cellStyle name="Bemærk! 2 4 3 2 2 2" xfId="7778" xr:uid="{00000000-0005-0000-0000-0000AA970000}"/>
    <cellStyle name="Bemærk! 2 4 3 2 2 2 2" xfId="15680" xr:uid="{00000000-0005-0000-0000-0000AB970000}"/>
    <cellStyle name="Bemærk! 2 4 3 2 2 2 2 2" xfId="31995" xr:uid="{00000000-0005-0000-0000-0000AC970000}"/>
    <cellStyle name="Bemærk! 2 4 3 2 2 2 2 3" xfId="46959" xr:uid="{00000000-0005-0000-0000-0000AD970000}"/>
    <cellStyle name="Bemærk! 2 4 3 2 2 2 3" xfId="24973" xr:uid="{00000000-0005-0000-0000-0000AE970000}"/>
    <cellStyle name="Bemærk! 2 4 3 2 2 2 4" xfId="39960" xr:uid="{00000000-0005-0000-0000-0000AF970000}"/>
    <cellStyle name="Bemærk! 2 4 3 3" xfId="4836" xr:uid="{00000000-0005-0000-0000-0000B0970000}"/>
    <cellStyle name="Bemærk! 2 4 3 3 2" xfId="4837" xr:uid="{00000000-0005-0000-0000-0000B1970000}"/>
    <cellStyle name="Bemærk! 2 4 3 3 2 2" xfId="8524" xr:uid="{00000000-0005-0000-0000-0000B2970000}"/>
    <cellStyle name="Bemærk! 2 4 3 3 2 2 2" xfId="16412" xr:uid="{00000000-0005-0000-0000-0000B3970000}"/>
    <cellStyle name="Bemærk! 2 4 3 3 2 2 2 2" xfId="32727" xr:uid="{00000000-0005-0000-0000-0000B4970000}"/>
    <cellStyle name="Bemærk! 2 4 3 3 2 2 2 3" xfId="47691" xr:uid="{00000000-0005-0000-0000-0000B5970000}"/>
    <cellStyle name="Bemærk! 2 4 3 3 2 2 3" xfId="25705" xr:uid="{00000000-0005-0000-0000-0000B6970000}"/>
    <cellStyle name="Bemærk! 2 4 3 3 2 2 4" xfId="40692" xr:uid="{00000000-0005-0000-0000-0000B7970000}"/>
    <cellStyle name="Bemærk! 2 4 3 3 3" xfId="6327" xr:uid="{00000000-0005-0000-0000-0000B8970000}"/>
    <cellStyle name="Bemærk! 2 4 3 3 3 2" xfId="14242" xr:uid="{00000000-0005-0000-0000-0000B9970000}"/>
    <cellStyle name="Bemærk! 2 4 3 3 3 2 2" xfId="30557" xr:uid="{00000000-0005-0000-0000-0000BA970000}"/>
    <cellStyle name="Bemærk! 2 4 3 3 3 2 3" xfId="45521" xr:uid="{00000000-0005-0000-0000-0000BB970000}"/>
    <cellStyle name="Bemærk! 2 4 3 3 3 3" xfId="23535" xr:uid="{00000000-0005-0000-0000-0000BC970000}"/>
    <cellStyle name="Bemærk! 2 4 3 3 3 4" xfId="38522" xr:uid="{00000000-0005-0000-0000-0000BD970000}"/>
    <cellStyle name="Bemærk! 2 4 3 4" xfId="4838" xr:uid="{00000000-0005-0000-0000-0000BE970000}"/>
    <cellStyle name="Bemærk! 2 4 3 4 2" xfId="7009" xr:uid="{00000000-0005-0000-0000-0000BF970000}"/>
    <cellStyle name="Bemærk! 2 4 3 4 2 2" xfId="14921" xr:uid="{00000000-0005-0000-0000-0000C0970000}"/>
    <cellStyle name="Bemærk! 2 4 3 4 2 2 2" xfId="31236" xr:uid="{00000000-0005-0000-0000-0000C1970000}"/>
    <cellStyle name="Bemærk! 2 4 3 4 2 2 3" xfId="46200" xr:uid="{00000000-0005-0000-0000-0000C2970000}"/>
    <cellStyle name="Bemærk! 2 4 3 4 2 3" xfId="24214" xr:uid="{00000000-0005-0000-0000-0000C3970000}"/>
    <cellStyle name="Bemærk! 2 4 3 4 2 4" xfId="39201" xr:uid="{00000000-0005-0000-0000-0000C4970000}"/>
    <cellStyle name="Bemærk! 2 4 3 5" xfId="56534" xr:uid="{00000000-0005-0000-0000-0000C5970000}"/>
    <cellStyle name="Bemærk! 2 4 4" xfId="4839" xr:uid="{00000000-0005-0000-0000-0000C6970000}"/>
    <cellStyle name="Bemærk! 2 4 4 2" xfId="4840" xr:uid="{00000000-0005-0000-0000-0000C7970000}"/>
    <cellStyle name="Bemærk! 2 4 4 2 2" xfId="4841" xr:uid="{00000000-0005-0000-0000-0000C8970000}"/>
    <cellStyle name="Bemærk! 2 4 4 2 2 2" xfId="7875" xr:uid="{00000000-0005-0000-0000-0000C9970000}"/>
    <cellStyle name="Bemærk! 2 4 4 2 2 2 2" xfId="15777" xr:uid="{00000000-0005-0000-0000-0000CA970000}"/>
    <cellStyle name="Bemærk! 2 4 4 2 2 2 2 2" xfId="32092" xr:uid="{00000000-0005-0000-0000-0000CB970000}"/>
    <cellStyle name="Bemærk! 2 4 4 2 2 2 2 3" xfId="47056" xr:uid="{00000000-0005-0000-0000-0000CC970000}"/>
    <cellStyle name="Bemærk! 2 4 4 2 2 2 3" xfId="25070" xr:uid="{00000000-0005-0000-0000-0000CD970000}"/>
    <cellStyle name="Bemærk! 2 4 4 2 2 2 4" xfId="40057" xr:uid="{00000000-0005-0000-0000-0000CE970000}"/>
    <cellStyle name="Bemærk! 2 4 4 3" xfId="4842" xr:uid="{00000000-0005-0000-0000-0000CF970000}"/>
    <cellStyle name="Bemærk! 2 4 4 3 2" xfId="4843" xr:uid="{00000000-0005-0000-0000-0000D0970000}"/>
    <cellStyle name="Bemærk! 2 4 4 3 2 2" xfId="8601" xr:uid="{00000000-0005-0000-0000-0000D1970000}"/>
    <cellStyle name="Bemærk! 2 4 4 3 2 2 2" xfId="16485" xr:uid="{00000000-0005-0000-0000-0000D2970000}"/>
    <cellStyle name="Bemærk! 2 4 4 3 2 2 2 2" xfId="32800" xr:uid="{00000000-0005-0000-0000-0000D3970000}"/>
    <cellStyle name="Bemærk! 2 4 4 3 2 2 2 3" xfId="47764" xr:uid="{00000000-0005-0000-0000-0000D4970000}"/>
    <cellStyle name="Bemærk! 2 4 4 3 2 2 3" xfId="25778" xr:uid="{00000000-0005-0000-0000-0000D5970000}"/>
    <cellStyle name="Bemærk! 2 4 4 3 2 2 4" xfId="40765" xr:uid="{00000000-0005-0000-0000-0000D6970000}"/>
    <cellStyle name="Bemærk! 2 4 4 3 3" xfId="6408" xr:uid="{00000000-0005-0000-0000-0000D7970000}"/>
    <cellStyle name="Bemærk! 2 4 4 3 3 2" xfId="14323" xr:uid="{00000000-0005-0000-0000-0000D8970000}"/>
    <cellStyle name="Bemærk! 2 4 4 3 3 2 2" xfId="30638" xr:uid="{00000000-0005-0000-0000-0000D9970000}"/>
    <cellStyle name="Bemærk! 2 4 4 3 3 2 3" xfId="45602" xr:uid="{00000000-0005-0000-0000-0000DA970000}"/>
    <cellStyle name="Bemærk! 2 4 4 3 3 3" xfId="23616" xr:uid="{00000000-0005-0000-0000-0000DB970000}"/>
    <cellStyle name="Bemærk! 2 4 4 3 3 4" xfId="38603" xr:uid="{00000000-0005-0000-0000-0000DC970000}"/>
    <cellStyle name="Bemærk! 2 4 4 4" xfId="4844" xr:uid="{00000000-0005-0000-0000-0000DD970000}"/>
    <cellStyle name="Bemærk! 2 4 4 4 2" xfId="7151" xr:uid="{00000000-0005-0000-0000-0000DE970000}"/>
    <cellStyle name="Bemærk! 2 4 4 4 2 2" xfId="15062" xr:uid="{00000000-0005-0000-0000-0000DF970000}"/>
    <cellStyle name="Bemærk! 2 4 4 4 2 2 2" xfId="31377" xr:uid="{00000000-0005-0000-0000-0000E0970000}"/>
    <cellStyle name="Bemærk! 2 4 4 4 2 2 3" xfId="46341" xr:uid="{00000000-0005-0000-0000-0000E1970000}"/>
    <cellStyle name="Bemærk! 2 4 4 4 2 3" xfId="24355" xr:uid="{00000000-0005-0000-0000-0000E2970000}"/>
    <cellStyle name="Bemærk! 2 4 4 4 2 4" xfId="39342" xr:uid="{00000000-0005-0000-0000-0000E3970000}"/>
    <cellStyle name="Bemærk! 2 4 5" xfId="4845" xr:uid="{00000000-0005-0000-0000-0000E4970000}"/>
    <cellStyle name="Bemærk! 2 4 5 2" xfId="4846" xr:uid="{00000000-0005-0000-0000-0000E5970000}"/>
    <cellStyle name="Bemærk! 2 4 5 2 2" xfId="4847" xr:uid="{00000000-0005-0000-0000-0000E6970000}"/>
    <cellStyle name="Bemærk! 2 4 5 2 2 2" xfId="7992" xr:uid="{00000000-0005-0000-0000-0000E7970000}"/>
    <cellStyle name="Bemærk! 2 4 5 2 2 2 2" xfId="15894" xr:uid="{00000000-0005-0000-0000-0000E8970000}"/>
    <cellStyle name="Bemærk! 2 4 5 2 2 2 2 2" xfId="32209" xr:uid="{00000000-0005-0000-0000-0000E9970000}"/>
    <cellStyle name="Bemærk! 2 4 5 2 2 2 2 3" xfId="47173" xr:uid="{00000000-0005-0000-0000-0000EA970000}"/>
    <cellStyle name="Bemærk! 2 4 5 2 2 2 3" xfId="25187" xr:uid="{00000000-0005-0000-0000-0000EB970000}"/>
    <cellStyle name="Bemærk! 2 4 5 2 2 2 4" xfId="40174" xr:uid="{00000000-0005-0000-0000-0000EC970000}"/>
    <cellStyle name="Bemærk! 2 4 5 3" xfId="4848" xr:uid="{00000000-0005-0000-0000-0000ED970000}"/>
    <cellStyle name="Bemærk! 2 4 5 3 2" xfId="4849" xr:uid="{00000000-0005-0000-0000-0000EE970000}"/>
    <cellStyle name="Bemærk! 2 4 5 3 2 2" xfId="8185" xr:uid="{00000000-0005-0000-0000-0000EF970000}"/>
    <cellStyle name="Bemærk! 2 4 5 3 2 2 2" xfId="16083" xr:uid="{00000000-0005-0000-0000-0000F0970000}"/>
    <cellStyle name="Bemærk! 2 4 5 3 2 2 2 2" xfId="32398" xr:uid="{00000000-0005-0000-0000-0000F1970000}"/>
    <cellStyle name="Bemærk! 2 4 5 3 2 2 2 3" xfId="47362" xr:uid="{00000000-0005-0000-0000-0000F2970000}"/>
    <cellStyle name="Bemærk! 2 4 5 3 2 2 3" xfId="25376" xr:uid="{00000000-0005-0000-0000-0000F3970000}"/>
    <cellStyle name="Bemærk! 2 4 5 3 2 2 4" xfId="40363" xr:uid="{00000000-0005-0000-0000-0000F4970000}"/>
    <cellStyle name="Bemærk! 2 4 5 3 3" xfId="6507" xr:uid="{00000000-0005-0000-0000-0000F5970000}"/>
    <cellStyle name="Bemærk! 2 4 5 3 3 2" xfId="14422" xr:uid="{00000000-0005-0000-0000-0000F6970000}"/>
    <cellStyle name="Bemærk! 2 4 5 3 3 2 2" xfId="30737" xr:uid="{00000000-0005-0000-0000-0000F7970000}"/>
    <cellStyle name="Bemærk! 2 4 5 3 3 2 3" xfId="45701" xr:uid="{00000000-0005-0000-0000-0000F8970000}"/>
    <cellStyle name="Bemærk! 2 4 5 3 3 3" xfId="23715" xr:uid="{00000000-0005-0000-0000-0000F9970000}"/>
    <cellStyle name="Bemærk! 2 4 5 3 3 4" xfId="38702" xr:uid="{00000000-0005-0000-0000-0000FA970000}"/>
    <cellStyle name="Bemærk! 2 4 5 4" xfId="4850" xr:uid="{00000000-0005-0000-0000-0000FB970000}"/>
    <cellStyle name="Bemærk! 2 4 5 4 2" xfId="7268" xr:uid="{00000000-0005-0000-0000-0000FC970000}"/>
    <cellStyle name="Bemærk! 2 4 5 4 2 2" xfId="15179" xr:uid="{00000000-0005-0000-0000-0000FD970000}"/>
    <cellStyle name="Bemærk! 2 4 5 4 2 2 2" xfId="31494" xr:uid="{00000000-0005-0000-0000-0000FE970000}"/>
    <cellStyle name="Bemærk! 2 4 5 4 2 2 3" xfId="46458" xr:uid="{00000000-0005-0000-0000-0000FF970000}"/>
    <cellStyle name="Bemærk! 2 4 5 4 2 3" xfId="24472" xr:uid="{00000000-0005-0000-0000-000000980000}"/>
    <cellStyle name="Bemærk! 2 4 5 4 2 4" xfId="39459" xr:uid="{00000000-0005-0000-0000-000001980000}"/>
    <cellStyle name="Bemærk! 2 4 6" xfId="4851" xr:uid="{00000000-0005-0000-0000-000002980000}"/>
    <cellStyle name="Bemærk! 2 4 6 2" xfId="4852" xr:uid="{00000000-0005-0000-0000-000003980000}"/>
    <cellStyle name="Bemærk! 2 4 6 2 2" xfId="4853" xr:uid="{00000000-0005-0000-0000-000004980000}"/>
    <cellStyle name="Bemærk! 2 4 6 2 2 2" xfId="8132" xr:uid="{00000000-0005-0000-0000-000005980000}"/>
    <cellStyle name="Bemærk! 2 4 6 2 2 2 2" xfId="16034" xr:uid="{00000000-0005-0000-0000-000006980000}"/>
    <cellStyle name="Bemærk! 2 4 6 2 2 2 2 2" xfId="32349" xr:uid="{00000000-0005-0000-0000-000007980000}"/>
    <cellStyle name="Bemærk! 2 4 6 2 2 2 2 3" xfId="47313" xr:uid="{00000000-0005-0000-0000-000008980000}"/>
    <cellStyle name="Bemærk! 2 4 6 2 2 2 3" xfId="25327" xr:uid="{00000000-0005-0000-0000-000009980000}"/>
    <cellStyle name="Bemærk! 2 4 6 2 2 2 4" xfId="40314" xr:uid="{00000000-0005-0000-0000-00000A980000}"/>
    <cellStyle name="Bemærk! 2 4 6 3" xfId="4854" xr:uid="{00000000-0005-0000-0000-00000B980000}"/>
    <cellStyle name="Bemærk! 2 4 6 3 2" xfId="4855" xr:uid="{00000000-0005-0000-0000-00000C980000}"/>
    <cellStyle name="Bemærk! 2 4 6 3 2 2" xfId="8744" xr:uid="{00000000-0005-0000-0000-00000D980000}"/>
    <cellStyle name="Bemærk! 2 4 6 3 2 2 2" xfId="16621" xr:uid="{00000000-0005-0000-0000-00000E980000}"/>
    <cellStyle name="Bemærk! 2 4 6 3 2 2 2 2" xfId="32936" xr:uid="{00000000-0005-0000-0000-00000F980000}"/>
    <cellStyle name="Bemærk! 2 4 6 3 2 2 2 3" xfId="47900" xr:uid="{00000000-0005-0000-0000-000010980000}"/>
    <cellStyle name="Bemærk! 2 4 6 3 2 2 3" xfId="25914" xr:uid="{00000000-0005-0000-0000-000011980000}"/>
    <cellStyle name="Bemærk! 2 4 6 3 2 2 4" xfId="40901" xr:uid="{00000000-0005-0000-0000-000012980000}"/>
    <cellStyle name="Bemærk! 2 4 6 3 3" xfId="6625" xr:uid="{00000000-0005-0000-0000-000013980000}"/>
    <cellStyle name="Bemærk! 2 4 6 3 3 2" xfId="14540" xr:uid="{00000000-0005-0000-0000-000014980000}"/>
    <cellStyle name="Bemærk! 2 4 6 3 3 2 2" xfId="30855" xr:uid="{00000000-0005-0000-0000-000015980000}"/>
    <cellStyle name="Bemærk! 2 4 6 3 3 2 3" xfId="45819" xr:uid="{00000000-0005-0000-0000-000016980000}"/>
    <cellStyle name="Bemærk! 2 4 6 3 3 3" xfId="23833" xr:uid="{00000000-0005-0000-0000-000017980000}"/>
    <cellStyle name="Bemærk! 2 4 6 3 3 4" xfId="38820" xr:uid="{00000000-0005-0000-0000-000018980000}"/>
    <cellStyle name="Bemærk! 2 4 6 4" xfId="4856" xr:uid="{00000000-0005-0000-0000-000019980000}"/>
    <cellStyle name="Bemærk! 2 4 6 4 2" xfId="7409" xr:uid="{00000000-0005-0000-0000-00001A980000}"/>
    <cellStyle name="Bemærk! 2 4 6 4 2 2" xfId="15320" xr:uid="{00000000-0005-0000-0000-00001B980000}"/>
    <cellStyle name="Bemærk! 2 4 6 4 2 2 2" xfId="31635" xr:uid="{00000000-0005-0000-0000-00001C980000}"/>
    <cellStyle name="Bemærk! 2 4 6 4 2 2 3" xfId="46599" xr:uid="{00000000-0005-0000-0000-00001D980000}"/>
    <cellStyle name="Bemærk! 2 4 6 4 2 3" xfId="24613" xr:uid="{00000000-0005-0000-0000-00001E980000}"/>
    <cellStyle name="Bemærk! 2 4 6 4 2 4" xfId="39600" xr:uid="{00000000-0005-0000-0000-00001F980000}"/>
    <cellStyle name="Bemærk! 2 4 7" xfId="4857" xr:uid="{00000000-0005-0000-0000-000020980000}"/>
    <cellStyle name="Bemærk! 2 4 7 2" xfId="4858" xr:uid="{00000000-0005-0000-0000-000021980000}"/>
    <cellStyle name="Bemærk! 2 4 7 2 2" xfId="7518" xr:uid="{00000000-0005-0000-0000-000022980000}"/>
    <cellStyle name="Bemærk! 2 4 7 2 2 2" xfId="15420" xr:uid="{00000000-0005-0000-0000-000023980000}"/>
    <cellStyle name="Bemærk! 2 4 7 2 2 2 2" xfId="31735" xr:uid="{00000000-0005-0000-0000-000024980000}"/>
    <cellStyle name="Bemærk! 2 4 7 2 2 2 3" xfId="46699" xr:uid="{00000000-0005-0000-0000-000025980000}"/>
    <cellStyle name="Bemærk! 2 4 7 2 2 3" xfId="24713" xr:uid="{00000000-0005-0000-0000-000026980000}"/>
    <cellStyle name="Bemærk! 2 4 7 2 2 4" xfId="39700" xr:uid="{00000000-0005-0000-0000-000027980000}"/>
    <cellStyle name="Bemærk! 2 4 8" xfId="4859" xr:uid="{00000000-0005-0000-0000-000028980000}"/>
    <cellStyle name="Bemærk! 2 4 8 2" xfId="4860" xr:uid="{00000000-0005-0000-0000-000029980000}"/>
    <cellStyle name="Bemærk! 2 4 8 2 2" xfId="8617" xr:uid="{00000000-0005-0000-0000-00002A980000}"/>
    <cellStyle name="Bemærk! 2 4 8 2 2 2" xfId="16500" xr:uid="{00000000-0005-0000-0000-00002B980000}"/>
    <cellStyle name="Bemærk! 2 4 8 2 2 2 2" xfId="32815" xr:uid="{00000000-0005-0000-0000-00002C980000}"/>
    <cellStyle name="Bemærk! 2 4 8 2 2 2 3" xfId="47779" xr:uid="{00000000-0005-0000-0000-00002D980000}"/>
    <cellStyle name="Bemærk! 2 4 8 2 2 3" xfId="25793" xr:uid="{00000000-0005-0000-0000-00002E980000}"/>
    <cellStyle name="Bemærk! 2 4 8 2 2 4" xfId="40780" xr:uid="{00000000-0005-0000-0000-00002F980000}"/>
    <cellStyle name="Bemærk! 2 4 8 3" xfId="6107" xr:uid="{00000000-0005-0000-0000-000030980000}"/>
    <cellStyle name="Bemærk! 2 4 8 3 2" xfId="14025" xr:uid="{00000000-0005-0000-0000-000031980000}"/>
    <cellStyle name="Bemærk! 2 4 8 3 2 2" xfId="30340" xr:uid="{00000000-0005-0000-0000-000032980000}"/>
    <cellStyle name="Bemærk! 2 4 8 3 2 3" xfId="45304" xr:uid="{00000000-0005-0000-0000-000033980000}"/>
    <cellStyle name="Bemærk! 2 4 8 3 3" xfId="23318" xr:uid="{00000000-0005-0000-0000-000034980000}"/>
    <cellStyle name="Bemærk! 2 4 8 3 4" xfId="38305" xr:uid="{00000000-0005-0000-0000-000035980000}"/>
    <cellStyle name="Bemærk! 2 4 9" xfId="4861" xr:uid="{00000000-0005-0000-0000-000036980000}"/>
    <cellStyle name="Bemærk! 2 4 9 2" xfId="6746" xr:uid="{00000000-0005-0000-0000-000037980000}"/>
    <cellStyle name="Bemærk! 2 4 9 2 2" xfId="14658" xr:uid="{00000000-0005-0000-0000-000038980000}"/>
    <cellStyle name="Bemærk! 2 4 9 2 2 2" xfId="30973" xr:uid="{00000000-0005-0000-0000-000039980000}"/>
    <cellStyle name="Bemærk! 2 4 9 2 2 3" xfId="45937" xr:uid="{00000000-0005-0000-0000-00003A980000}"/>
    <cellStyle name="Bemærk! 2 4 9 2 3" xfId="23951" xr:uid="{00000000-0005-0000-0000-00003B980000}"/>
    <cellStyle name="Bemærk! 2 4 9 2 4" xfId="38938" xr:uid="{00000000-0005-0000-0000-00003C980000}"/>
    <cellStyle name="Bemærk! 2 5" xfId="4862" xr:uid="{00000000-0005-0000-0000-00003D980000}"/>
    <cellStyle name="Bemærk! 2 5 2" xfId="4863" xr:uid="{00000000-0005-0000-0000-00003E980000}"/>
    <cellStyle name="Bemærk! 2 5 2 2" xfId="4864" xr:uid="{00000000-0005-0000-0000-00003F980000}"/>
    <cellStyle name="Bemærk! 2 5 2 2 2" xfId="7559" xr:uid="{00000000-0005-0000-0000-000040980000}"/>
    <cellStyle name="Bemærk! 2 5 2 2 2 2" xfId="15461" xr:uid="{00000000-0005-0000-0000-000041980000}"/>
    <cellStyle name="Bemærk! 2 5 2 2 2 2 2" xfId="31776" xr:uid="{00000000-0005-0000-0000-000042980000}"/>
    <cellStyle name="Bemærk! 2 5 2 2 2 2 3" xfId="46740" xr:uid="{00000000-0005-0000-0000-000043980000}"/>
    <cellStyle name="Bemærk! 2 5 2 2 2 3" xfId="24754" xr:uid="{00000000-0005-0000-0000-000044980000}"/>
    <cellStyle name="Bemærk! 2 5 2 2 2 4" xfId="39741" xr:uid="{00000000-0005-0000-0000-000045980000}"/>
    <cellStyle name="Bemærk! 2 5 2 2 3" xfId="57158" xr:uid="{00000000-0005-0000-0000-000046980000}"/>
    <cellStyle name="Bemærk! 2 5 2 3" xfId="53991" xr:uid="{00000000-0005-0000-0000-000047980000}"/>
    <cellStyle name="Bemærk! 2 5 3" xfId="4865" xr:uid="{00000000-0005-0000-0000-000048980000}"/>
    <cellStyle name="Bemærk! 2 5 3 2" xfId="4866" xr:uid="{00000000-0005-0000-0000-000049980000}"/>
    <cellStyle name="Bemærk! 2 5 3 2 2" xfId="8663" xr:uid="{00000000-0005-0000-0000-00004A980000}"/>
    <cellStyle name="Bemærk! 2 5 3 2 2 2" xfId="16544" xr:uid="{00000000-0005-0000-0000-00004B980000}"/>
    <cellStyle name="Bemærk! 2 5 3 2 2 2 2" xfId="32859" xr:uid="{00000000-0005-0000-0000-00004C980000}"/>
    <cellStyle name="Bemærk! 2 5 3 2 2 2 3" xfId="47823" xr:uid="{00000000-0005-0000-0000-00004D980000}"/>
    <cellStyle name="Bemærk! 2 5 3 2 2 3" xfId="25837" xr:uid="{00000000-0005-0000-0000-00004E980000}"/>
    <cellStyle name="Bemærk! 2 5 3 2 2 4" xfId="40824" xr:uid="{00000000-0005-0000-0000-00004F980000}"/>
    <cellStyle name="Bemærk! 2 5 3 3" xfId="6140" xr:uid="{00000000-0005-0000-0000-000050980000}"/>
    <cellStyle name="Bemærk! 2 5 3 3 2" xfId="14058" xr:uid="{00000000-0005-0000-0000-000051980000}"/>
    <cellStyle name="Bemærk! 2 5 3 3 2 2" xfId="30373" xr:uid="{00000000-0005-0000-0000-000052980000}"/>
    <cellStyle name="Bemærk! 2 5 3 3 2 3" xfId="45337" xr:uid="{00000000-0005-0000-0000-000053980000}"/>
    <cellStyle name="Bemærk! 2 5 3 3 3" xfId="23351" xr:uid="{00000000-0005-0000-0000-000054980000}"/>
    <cellStyle name="Bemærk! 2 5 3 3 4" xfId="38338" xr:uid="{00000000-0005-0000-0000-000055980000}"/>
    <cellStyle name="Bemærk! 2 5 3 4" xfId="56535" xr:uid="{00000000-0005-0000-0000-000056980000}"/>
    <cellStyle name="Bemærk! 2 5 4" xfId="4867" xr:uid="{00000000-0005-0000-0000-000057980000}"/>
    <cellStyle name="Bemærk! 2 5 4 2" xfId="6789" xr:uid="{00000000-0005-0000-0000-000058980000}"/>
    <cellStyle name="Bemærk! 2 5 4 2 2" xfId="14701" xr:uid="{00000000-0005-0000-0000-000059980000}"/>
    <cellStyle name="Bemærk! 2 5 4 2 2 2" xfId="31016" xr:uid="{00000000-0005-0000-0000-00005A980000}"/>
    <cellStyle name="Bemærk! 2 5 4 2 2 3" xfId="45980" xr:uid="{00000000-0005-0000-0000-00005B980000}"/>
    <cellStyle name="Bemærk! 2 5 4 2 3" xfId="23994" xr:uid="{00000000-0005-0000-0000-00005C980000}"/>
    <cellStyle name="Bemærk! 2 5 4 2 4" xfId="38981" xr:uid="{00000000-0005-0000-0000-00005D980000}"/>
    <cellStyle name="Bemærk! 2 5 5" xfId="53354" xr:uid="{00000000-0005-0000-0000-00005E980000}"/>
    <cellStyle name="Bemærk! 2 6" xfId="4868" xr:uid="{00000000-0005-0000-0000-00005F980000}"/>
    <cellStyle name="Bemærk! 2 6 2" xfId="4869" xr:uid="{00000000-0005-0000-0000-000060980000}"/>
    <cellStyle name="Bemærk! 2 6 2 2" xfId="4870" xr:uid="{00000000-0005-0000-0000-000061980000}"/>
    <cellStyle name="Bemærk! 2 6 2 2 2" xfId="7773" xr:uid="{00000000-0005-0000-0000-000062980000}"/>
    <cellStyle name="Bemærk! 2 6 2 2 2 2" xfId="15675" xr:uid="{00000000-0005-0000-0000-000063980000}"/>
    <cellStyle name="Bemærk! 2 6 2 2 2 2 2" xfId="31990" xr:uid="{00000000-0005-0000-0000-000064980000}"/>
    <cellStyle name="Bemærk! 2 6 2 2 2 2 3" xfId="46954" xr:uid="{00000000-0005-0000-0000-000065980000}"/>
    <cellStyle name="Bemærk! 2 6 2 2 2 3" xfId="24968" xr:uid="{00000000-0005-0000-0000-000066980000}"/>
    <cellStyle name="Bemærk! 2 6 2 2 2 4" xfId="39955" xr:uid="{00000000-0005-0000-0000-000067980000}"/>
    <cellStyle name="Bemærk! 2 6 3" xfId="4871" xr:uid="{00000000-0005-0000-0000-000068980000}"/>
    <cellStyle name="Bemærk! 2 6 3 2" xfId="4872" xr:uid="{00000000-0005-0000-0000-000069980000}"/>
    <cellStyle name="Bemærk! 2 6 3 2 2" xfId="8381" xr:uid="{00000000-0005-0000-0000-00006A980000}"/>
    <cellStyle name="Bemærk! 2 6 3 2 2 2" xfId="16274" xr:uid="{00000000-0005-0000-0000-00006B980000}"/>
    <cellStyle name="Bemærk! 2 6 3 2 2 2 2" xfId="32589" xr:uid="{00000000-0005-0000-0000-00006C980000}"/>
    <cellStyle name="Bemærk! 2 6 3 2 2 2 3" xfId="47553" xr:uid="{00000000-0005-0000-0000-00006D980000}"/>
    <cellStyle name="Bemærk! 2 6 3 2 2 3" xfId="25567" xr:uid="{00000000-0005-0000-0000-00006E980000}"/>
    <cellStyle name="Bemærk! 2 6 3 2 2 4" xfId="40554" xr:uid="{00000000-0005-0000-0000-00006F980000}"/>
    <cellStyle name="Bemærk! 2 6 3 3" xfId="6322" xr:uid="{00000000-0005-0000-0000-000070980000}"/>
    <cellStyle name="Bemærk! 2 6 3 3 2" xfId="14237" xr:uid="{00000000-0005-0000-0000-000071980000}"/>
    <cellStyle name="Bemærk! 2 6 3 3 2 2" xfId="30552" xr:uid="{00000000-0005-0000-0000-000072980000}"/>
    <cellStyle name="Bemærk! 2 6 3 3 2 3" xfId="45516" xr:uid="{00000000-0005-0000-0000-000073980000}"/>
    <cellStyle name="Bemærk! 2 6 3 3 3" xfId="23530" xr:uid="{00000000-0005-0000-0000-000074980000}"/>
    <cellStyle name="Bemærk! 2 6 3 3 4" xfId="38517" xr:uid="{00000000-0005-0000-0000-000075980000}"/>
    <cellStyle name="Bemærk! 2 6 4" xfId="4873" xr:uid="{00000000-0005-0000-0000-000076980000}"/>
    <cellStyle name="Bemærk! 2 6 4 2" xfId="7004" xr:uid="{00000000-0005-0000-0000-000077980000}"/>
    <cellStyle name="Bemærk! 2 6 4 2 2" xfId="14916" xr:uid="{00000000-0005-0000-0000-000078980000}"/>
    <cellStyle name="Bemærk! 2 6 4 2 2 2" xfId="31231" xr:uid="{00000000-0005-0000-0000-000079980000}"/>
    <cellStyle name="Bemærk! 2 6 4 2 2 3" xfId="46195" xr:uid="{00000000-0005-0000-0000-00007A980000}"/>
    <cellStyle name="Bemærk! 2 6 4 2 3" xfId="24209" xr:uid="{00000000-0005-0000-0000-00007B980000}"/>
    <cellStyle name="Bemærk! 2 6 4 2 4" xfId="39196" xr:uid="{00000000-0005-0000-0000-00007C980000}"/>
    <cellStyle name="Bemærk! 2 6 5" xfId="53355" xr:uid="{00000000-0005-0000-0000-00007D980000}"/>
    <cellStyle name="Bemærk! 2 7" xfId="4874" xr:uid="{00000000-0005-0000-0000-00007E980000}"/>
    <cellStyle name="Bemærk! 2 7 2" xfId="4875" xr:uid="{00000000-0005-0000-0000-00007F980000}"/>
    <cellStyle name="Bemærk! 2 7 2 2" xfId="4876" xr:uid="{00000000-0005-0000-0000-000080980000}"/>
    <cellStyle name="Bemærk! 2 7 2 2 2" xfId="7797" xr:uid="{00000000-0005-0000-0000-000081980000}"/>
    <cellStyle name="Bemærk! 2 7 2 2 2 2" xfId="15699" xr:uid="{00000000-0005-0000-0000-000082980000}"/>
    <cellStyle name="Bemærk! 2 7 2 2 2 2 2" xfId="32014" xr:uid="{00000000-0005-0000-0000-000083980000}"/>
    <cellStyle name="Bemærk! 2 7 2 2 2 2 3" xfId="46978" xr:uid="{00000000-0005-0000-0000-000084980000}"/>
    <cellStyle name="Bemærk! 2 7 2 2 2 3" xfId="24992" xr:uid="{00000000-0005-0000-0000-000085980000}"/>
    <cellStyle name="Bemærk! 2 7 2 2 2 4" xfId="39979" xr:uid="{00000000-0005-0000-0000-000086980000}"/>
    <cellStyle name="Bemærk! 2 7 2 2 3" xfId="57159" xr:uid="{00000000-0005-0000-0000-000087980000}"/>
    <cellStyle name="Bemærk! 2 7 2 3" xfId="53992" xr:uid="{00000000-0005-0000-0000-000088980000}"/>
    <cellStyle name="Bemærk! 2 7 3" xfId="4877" xr:uid="{00000000-0005-0000-0000-000089980000}"/>
    <cellStyle name="Bemærk! 2 7 3 2" xfId="4878" xr:uid="{00000000-0005-0000-0000-00008A980000}"/>
    <cellStyle name="Bemærk! 2 7 3 2 2" xfId="8686" xr:uid="{00000000-0005-0000-0000-00008B980000}"/>
    <cellStyle name="Bemærk! 2 7 3 2 2 2" xfId="16566" xr:uid="{00000000-0005-0000-0000-00008C980000}"/>
    <cellStyle name="Bemærk! 2 7 3 2 2 2 2" xfId="32881" xr:uid="{00000000-0005-0000-0000-00008D980000}"/>
    <cellStyle name="Bemærk! 2 7 3 2 2 2 3" xfId="47845" xr:uid="{00000000-0005-0000-0000-00008E980000}"/>
    <cellStyle name="Bemærk! 2 7 3 2 2 3" xfId="25859" xr:uid="{00000000-0005-0000-0000-00008F980000}"/>
    <cellStyle name="Bemærk! 2 7 3 2 2 4" xfId="40846" xr:uid="{00000000-0005-0000-0000-000090980000}"/>
    <cellStyle name="Bemærk! 2 7 3 3" xfId="6342" xr:uid="{00000000-0005-0000-0000-000091980000}"/>
    <cellStyle name="Bemærk! 2 7 3 3 2" xfId="14257" xr:uid="{00000000-0005-0000-0000-000092980000}"/>
    <cellStyle name="Bemærk! 2 7 3 3 2 2" xfId="30572" xr:uid="{00000000-0005-0000-0000-000093980000}"/>
    <cellStyle name="Bemærk! 2 7 3 3 2 3" xfId="45536" xr:uid="{00000000-0005-0000-0000-000094980000}"/>
    <cellStyle name="Bemærk! 2 7 3 3 3" xfId="23550" xr:uid="{00000000-0005-0000-0000-000095980000}"/>
    <cellStyle name="Bemærk! 2 7 3 3 4" xfId="38537" xr:uid="{00000000-0005-0000-0000-000096980000}"/>
    <cellStyle name="Bemærk! 2 7 3 4" xfId="56536" xr:uid="{00000000-0005-0000-0000-000097980000}"/>
    <cellStyle name="Bemærk! 2 7 4" xfId="4879" xr:uid="{00000000-0005-0000-0000-000098980000}"/>
    <cellStyle name="Bemærk! 2 7 4 2" xfId="7073" xr:uid="{00000000-0005-0000-0000-000099980000}"/>
    <cellStyle name="Bemærk! 2 7 4 2 2" xfId="14984" xr:uid="{00000000-0005-0000-0000-00009A980000}"/>
    <cellStyle name="Bemærk! 2 7 4 2 2 2" xfId="31299" xr:uid="{00000000-0005-0000-0000-00009B980000}"/>
    <cellStyle name="Bemærk! 2 7 4 2 2 3" xfId="46263" xr:uid="{00000000-0005-0000-0000-00009C980000}"/>
    <cellStyle name="Bemærk! 2 7 4 2 3" xfId="24277" xr:uid="{00000000-0005-0000-0000-00009D980000}"/>
    <cellStyle name="Bemærk! 2 7 4 2 4" xfId="39264" xr:uid="{00000000-0005-0000-0000-00009E980000}"/>
    <cellStyle name="Bemærk! 2 7 5" xfId="53356" xr:uid="{00000000-0005-0000-0000-00009F980000}"/>
    <cellStyle name="Bemærk! 2 8" xfId="4880" xr:uid="{00000000-0005-0000-0000-0000A0980000}"/>
    <cellStyle name="Bemærk! 2 8 2" xfId="4881" xr:uid="{00000000-0005-0000-0000-0000A1980000}"/>
    <cellStyle name="Bemærk! 2 8 2 2" xfId="4882" xr:uid="{00000000-0005-0000-0000-0000A2980000}"/>
    <cellStyle name="Bemærk! 2 8 2 2 2" xfId="7914" xr:uid="{00000000-0005-0000-0000-0000A3980000}"/>
    <cellStyle name="Bemærk! 2 8 2 2 2 2" xfId="15816" xr:uid="{00000000-0005-0000-0000-0000A4980000}"/>
    <cellStyle name="Bemærk! 2 8 2 2 2 2 2" xfId="32131" xr:uid="{00000000-0005-0000-0000-0000A5980000}"/>
    <cellStyle name="Bemærk! 2 8 2 2 2 2 3" xfId="47095" xr:uid="{00000000-0005-0000-0000-0000A6980000}"/>
    <cellStyle name="Bemærk! 2 8 2 2 2 3" xfId="25109" xr:uid="{00000000-0005-0000-0000-0000A7980000}"/>
    <cellStyle name="Bemærk! 2 8 2 2 2 4" xfId="40096" xr:uid="{00000000-0005-0000-0000-0000A8980000}"/>
    <cellStyle name="Bemærk! 2 8 2 3" xfId="57152" xr:uid="{00000000-0005-0000-0000-0000A9980000}"/>
    <cellStyle name="Bemærk! 2 8 3" xfId="4883" xr:uid="{00000000-0005-0000-0000-0000AA980000}"/>
    <cellStyle name="Bemærk! 2 8 3 2" xfId="4884" xr:uid="{00000000-0005-0000-0000-0000AB980000}"/>
    <cellStyle name="Bemærk! 2 8 3 2 2" xfId="8648" xr:uid="{00000000-0005-0000-0000-0000AC980000}"/>
    <cellStyle name="Bemærk! 2 8 3 2 2 2" xfId="16529" xr:uid="{00000000-0005-0000-0000-0000AD980000}"/>
    <cellStyle name="Bemærk! 2 8 3 2 2 2 2" xfId="32844" xr:uid="{00000000-0005-0000-0000-0000AE980000}"/>
    <cellStyle name="Bemærk! 2 8 3 2 2 2 3" xfId="47808" xr:uid="{00000000-0005-0000-0000-0000AF980000}"/>
    <cellStyle name="Bemærk! 2 8 3 2 2 3" xfId="25822" xr:uid="{00000000-0005-0000-0000-0000B0980000}"/>
    <cellStyle name="Bemærk! 2 8 3 2 2 4" xfId="40809" xr:uid="{00000000-0005-0000-0000-0000B1980000}"/>
    <cellStyle name="Bemærk! 2 8 3 3" xfId="6441" xr:uid="{00000000-0005-0000-0000-0000B2980000}"/>
    <cellStyle name="Bemærk! 2 8 3 3 2" xfId="14356" xr:uid="{00000000-0005-0000-0000-0000B3980000}"/>
    <cellStyle name="Bemærk! 2 8 3 3 2 2" xfId="30671" xr:uid="{00000000-0005-0000-0000-0000B4980000}"/>
    <cellStyle name="Bemærk! 2 8 3 3 2 3" xfId="45635" xr:uid="{00000000-0005-0000-0000-0000B5980000}"/>
    <cellStyle name="Bemærk! 2 8 3 3 3" xfId="23649" xr:uid="{00000000-0005-0000-0000-0000B6980000}"/>
    <cellStyle name="Bemærk! 2 8 3 3 4" xfId="38636" xr:uid="{00000000-0005-0000-0000-0000B7980000}"/>
    <cellStyle name="Bemærk! 2 8 4" xfId="4885" xr:uid="{00000000-0005-0000-0000-0000B8980000}"/>
    <cellStyle name="Bemærk! 2 8 4 2" xfId="7190" xr:uid="{00000000-0005-0000-0000-0000B9980000}"/>
    <cellStyle name="Bemærk! 2 8 4 2 2" xfId="15101" xr:uid="{00000000-0005-0000-0000-0000BA980000}"/>
    <cellStyle name="Bemærk! 2 8 4 2 2 2" xfId="31416" xr:uid="{00000000-0005-0000-0000-0000BB980000}"/>
    <cellStyle name="Bemærk! 2 8 4 2 2 3" xfId="46380" xr:uid="{00000000-0005-0000-0000-0000BC980000}"/>
    <cellStyle name="Bemærk! 2 8 4 2 3" xfId="24394" xr:uid="{00000000-0005-0000-0000-0000BD980000}"/>
    <cellStyle name="Bemærk! 2 8 4 2 4" xfId="39381" xr:uid="{00000000-0005-0000-0000-0000BE980000}"/>
    <cellStyle name="Bemærk! 2 8 5" xfId="53985" xr:uid="{00000000-0005-0000-0000-0000BF980000}"/>
    <cellStyle name="Bemærk! 2 9" xfId="4886" xr:uid="{00000000-0005-0000-0000-0000C0980000}"/>
    <cellStyle name="Bemærk! 2 9 2" xfId="4887" xr:uid="{00000000-0005-0000-0000-0000C1980000}"/>
    <cellStyle name="Bemærk! 2 9 2 2" xfId="4888" xr:uid="{00000000-0005-0000-0000-0000C2980000}"/>
    <cellStyle name="Bemærk! 2 9 2 2 2" xfId="8127" xr:uid="{00000000-0005-0000-0000-0000C3980000}"/>
    <cellStyle name="Bemærk! 2 9 2 2 2 2" xfId="16029" xr:uid="{00000000-0005-0000-0000-0000C4980000}"/>
    <cellStyle name="Bemærk! 2 9 2 2 2 2 2" xfId="32344" xr:uid="{00000000-0005-0000-0000-0000C5980000}"/>
    <cellStyle name="Bemærk! 2 9 2 2 2 2 3" xfId="47308" xr:uid="{00000000-0005-0000-0000-0000C6980000}"/>
    <cellStyle name="Bemærk! 2 9 2 2 2 3" xfId="25322" xr:uid="{00000000-0005-0000-0000-0000C7980000}"/>
    <cellStyle name="Bemærk! 2 9 2 2 2 4" xfId="40309" xr:uid="{00000000-0005-0000-0000-0000C8980000}"/>
    <cellStyle name="Bemærk! 2 9 3" xfId="4889" xr:uid="{00000000-0005-0000-0000-0000C9980000}"/>
    <cellStyle name="Bemærk! 2 9 3 2" xfId="4890" xr:uid="{00000000-0005-0000-0000-0000CA980000}"/>
    <cellStyle name="Bemærk! 2 9 3 2 2" xfId="8739" xr:uid="{00000000-0005-0000-0000-0000CB980000}"/>
    <cellStyle name="Bemærk! 2 9 3 2 2 2" xfId="16616" xr:uid="{00000000-0005-0000-0000-0000CC980000}"/>
    <cellStyle name="Bemærk! 2 9 3 2 2 2 2" xfId="32931" xr:uid="{00000000-0005-0000-0000-0000CD980000}"/>
    <cellStyle name="Bemærk! 2 9 3 2 2 2 3" xfId="47895" xr:uid="{00000000-0005-0000-0000-0000CE980000}"/>
    <cellStyle name="Bemærk! 2 9 3 2 2 3" xfId="25909" xr:uid="{00000000-0005-0000-0000-0000CF980000}"/>
    <cellStyle name="Bemærk! 2 9 3 2 2 4" xfId="40896" xr:uid="{00000000-0005-0000-0000-0000D0980000}"/>
    <cellStyle name="Bemærk! 2 9 3 3" xfId="6620" xr:uid="{00000000-0005-0000-0000-0000D1980000}"/>
    <cellStyle name="Bemærk! 2 9 3 3 2" xfId="14535" xr:uid="{00000000-0005-0000-0000-0000D2980000}"/>
    <cellStyle name="Bemærk! 2 9 3 3 2 2" xfId="30850" xr:uid="{00000000-0005-0000-0000-0000D3980000}"/>
    <cellStyle name="Bemærk! 2 9 3 3 2 3" xfId="45814" xr:uid="{00000000-0005-0000-0000-0000D4980000}"/>
    <cellStyle name="Bemærk! 2 9 3 3 3" xfId="23828" xr:uid="{00000000-0005-0000-0000-0000D5980000}"/>
    <cellStyle name="Bemærk! 2 9 3 3 4" xfId="38815" xr:uid="{00000000-0005-0000-0000-0000D6980000}"/>
    <cellStyle name="Bemærk! 2 9 4" xfId="4891" xr:uid="{00000000-0005-0000-0000-0000D7980000}"/>
    <cellStyle name="Bemærk! 2 9 4 2" xfId="7404" xr:uid="{00000000-0005-0000-0000-0000D8980000}"/>
    <cellStyle name="Bemærk! 2 9 4 2 2" xfId="15315" xr:uid="{00000000-0005-0000-0000-0000D9980000}"/>
    <cellStyle name="Bemærk! 2 9 4 2 2 2" xfId="31630" xr:uid="{00000000-0005-0000-0000-0000DA980000}"/>
    <cellStyle name="Bemærk! 2 9 4 2 2 3" xfId="46594" xr:uid="{00000000-0005-0000-0000-0000DB980000}"/>
    <cellStyle name="Bemærk! 2 9 4 2 3" xfId="24608" xr:uid="{00000000-0005-0000-0000-0000DC980000}"/>
    <cellStyle name="Bemærk! 2 9 4 2 4" xfId="39595" xr:uid="{00000000-0005-0000-0000-0000DD980000}"/>
    <cellStyle name="Bemærk! 2 9 5" xfId="56529" xr:uid="{00000000-0005-0000-0000-0000DE980000}"/>
    <cellStyle name="Bemærk! 3" xfId="4892" xr:uid="{00000000-0005-0000-0000-0000DF980000}"/>
    <cellStyle name="Bemærk! 3 10" xfId="4893" xr:uid="{00000000-0005-0000-0000-0000E0980000}"/>
    <cellStyle name="Bemærk! 3 10 2" xfId="4894" xr:uid="{00000000-0005-0000-0000-0000E1980000}"/>
    <cellStyle name="Bemærk! 3 10 2 2" xfId="8410" xr:uid="{00000000-0005-0000-0000-0000E2980000}"/>
    <cellStyle name="Bemærk! 3 10 2 2 2" xfId="16302" xr:uid="{00000000-0005-0000-0000-0000E3980000}"/>
    <cellStyle name="Bemærk! 3 10 2 2 2 2" xfId="32617" xr:uid="{00000000-0005-0000-0000-0000E4980000}"/>
    <cellStyle name="Bemærk! 3 10 2 2 2 3" xfId="47581" xr:uid="{00000000-0005-0000-0000-0000E5980000}"/>
    <cellStyle name="Bemærk! 3 10 2 2 3" xfId="25595" xr:uid="{00000000-0005-0000-0000-0000E6980000}"/>
    <cellStyle name="Bemærk! 3 10 2 2 4" xfId="40582" xr:uid="{00000000-0005-0000-0000-0000E7980000}"/>
    <cellStyle name="Bemærk! 3 10 3" xfId="6042" xr:uid="{00000000-0005-0000-0000-0000E8980000}"/>
    <cellStyle name="Bemærk! 3 10 3 2" xfId="13960" xr:uid="{00000000-0005-0000-0000-0000E9980000}"/>
    <cellStyle name="Bemærk! 3 10 3 2 2" xfId="30275" xr:uid="{00000000-0005-0000-0000-0000EA980000}"/>
    <cellStyle name="Bemærk! 3 10 3 2 3" xfId="45239" xr:uid="{00000000-0005-0000-0000-0000EB980000}"/>
    <cellStyle name="Bemærk! 3 10 3 3" xfId="23253" xr:uid="{00000000-0005-0000-0000-0000EC980000}"/>
    <cellStyle name="Bemærk! 3 10 3 4" xfId="38240" xr:uid="{00000000-0005-0000-0000-0000ED980000}"/>
    <cellStyle name="Bemærk! 3 11" xfId="4895" xr:uid="{00000000-0005-0000-0000-0000EE980000}"/>
    <cellStyle name="Bemærk! 3 11 2" xfId="6666" xr:uid="{00000000-0005-0000-0000-0000EF980000}"/>
    <cellStyle name="Bemærk! 3 11 2 2" xfId="14579" xr:uid="{00000000-0005-0000-0000-0000F0980000}"/>
    <cellStyle name="Bemærk! 3 11 2 2 2" xfId="30894" xr:uid="{00000000-0005-0000-0000-0000F1980000}"/>
    <cellStyle name="Bemærk! 3 11 2 2 3" xfId="45858" xr:uid="{00000000-0005-0000-0000-0000F2980000}"/>
    <cellStyle name="Bemærk! 3 11 2 3" xfId="23872" xr:uid="{00000000-0005-0000-0000-0000F3980000}"/>
    <cellStyle name="Bemærk! 3 11 2 4" xfId="38859" xr:uid="{00000000-0005-0000-0000-0000F4980000}"/>
    <cellStyle name="Bemærk! 3 12" xfId="53357" xr:uid="{00000000-0005-0000-0000-0000F5980000}"/>
    <cellStyle name="Bemærk! 3 2" xfId="4896" xr:uid="{00000000-0005-0000-0000-0000F6980000}"/>
    <cellStyle name="Bemærk! 3 2 2" xfId="4897" xr:uid="{00000000-0005-0000-0000-0000F7980000}"/>
    <cellStyle name="Bemærk! 3 2 2 2" xfId="4898" xr:uid="{00000000-0005-0000-0000-0000F8980000}"/>
    <cellStyle name="Bemærk! 3 2 2 2 2" xfId="4899" xr:uid="{00000000-0005-0000-0000-0000F9980000}"/>
    <cellStyle name="Bemærk! 3 2 2 2 2 2" xfId="7599" xr:uid="{00000000-0005-0000-0000-0000FA980000}"/>
    <cellStyle name="Bemærk! 3 2 2 2 2 2 2" xfId="15501" xr:uid="{00000000-0005-0000-0000-0000FB980000}"/>
    <cellStyle name="Bemærk! 3 2 2 2 2 2 2 2" xfId="31816" xr:uid="{00000000-0005-0000-0000-0000FC980000}"/>
    <cellStyle name="Bemærk! 3 2 2 2 2 2 2 3" xfId="46780" xr:uid="{00000000-0005-0000-0000-0000FD980000}"/>
    <cellStyle name="Bemærk! 3 2 2 2 2 2 3" xfId="24794" xr:uid="{00000000-0005-0000-0000-0000FE980000}"/>
    <cellStyle name="Bemærk! 3 2 2 2 2 2 4" xfId="39781" xr:uid="{00000000-0005-0000-0000-0000FF980000}"/>
    <cellStyle name="Bemærk! 3 2 2 3" xfId="4900" xr:uid="{00000000-0005-0000-0000-000000990000}"/>
    <cellStyle name="Bemærk! 3 2 2 3 2" xfId="4901" xr:uid="{00000000-0005-0000-0000-000001990000}"/>
    <cellStyle name="Bemærk! 3 2 2 3 2 2" xfId="8687" xr:uid="{00000000-0005-0000-0000-000002990000}"/>
    <cellStyle name="Bemærk! 3 2 2 3 2 2 2" xfId="16567" xr:uid="{00000000-0005-0000-0000-000003990000}"/>
    <cellStyle name="Bemærk! 3 2 2 3 2 2 2 2" xfId="32882" xr:uid="{00000000-0005-0000-0000-000004990000}"/>
    <cellStyle name="Bemærk! 3 2 2 3 2 2 2 3" xfId="47846" xr:uid="{00000000-0005-0000-0000-000005990000}"/>
    <cellStyle name="Bemærk! 3 2 2 3 2 2 3" xfId="25860" xr:uid="{00000000-0005-0000-0000-000006990000}"/>
    <cellStyle name="Bemærk! 3 2 2 3 2 2 4" xfId="40847" xr:uid="{00000000-0005-0000-0000-000007990000}"/>
    <cellStyle name="Bemærk! 3 2 2 3 3" xfId="6174" xr:uid="{00000000-0005-0000-0000-000008990000}"/>
    <cellStyle name="Bemærk! 3 2 2 3 3 2" xfId="14092" xr:uid="{00000000-0005-0000-0000-000009990000}"/>
    <cellStyle name="Bemærk! 3 2 2 3 3 2 2" xfId="30407" xr:uid="{00000000-0005-0000-0000-00000A990000}"/>
    <cellStyle name="Bemærk! 3 2 2 3 3 2 3" xfId="45371" xr:uid="{00000000-0005-0000-0000-00000B990000}"/>
    <cellStyle name="Bemærk! 3 2 2 3 3 3" xfId="23385" xr:uid="{00000000-0005-0000-0000-00000C990000}"/>
    <cellStyle name="Bemærk! 3 2 2 3 3 4" xfId="38372" xr:uid="{00000000-0005-0000-0000-00000D990000}"/>
    <cellStyle name="Bemærk! 3 2 2 4" xfId="4902" xr:uid="{00000000-0005-0000-0000-00000E990000}"/>
    <cellStyle name="Bemærk! 3 2 2 4 2" xfId="6829" xr:uid="{00000000-0005-0000-0000-00000F990000}"/>
    <cellStyle name="Bemærk! 3 2 2 4 2 2" xfId="14741" xr:uid="{00000000-0005-0000-0000-000010990000}"/>
    <cellStyle name="Bemærk! 3 2 2 4 2 2 2" xfId="31056" xr:uid="{00000000-0005-0000-0000-000011990000}"/>
    <cellStyle name="Bemærk! 3 2 2 4 2 2 3" xfId="46020" xr:uid="{00000000-0005-0000-0000-000012990000}"/>
    <cellStyle name="Bemærk! 3 2 2 4 2 3" xfId="24034" xr:uid="{00000000-0005-0000-0000-000013990000}"/>
    <cellStyle name="Bemærk! 3 2 2 4 2 4" xfId="39021" xr:uid="{00000000-0005-0000-0000-000014990000}"/>
    <cellStyle name="Bemærk! 3 2 3" xfId="4903" xr:uid="{00000000-0005-0000-0000-000015990000}"/>
    <cellStyle name="Bemærk! 3 2 3 2" xfId="4904" xr:uid="{00000000-0005-0000-0000-000016990000}"/>
    <cellStyle name="Bemærk! 3 2 3 2 2" xfId="4905" xr:uid="{00000000-0005-0000-0000-000017990000}"/>
    <cellStyle name="Bemærk! 3 2 3 2 2 2" xfId="7780" xr:uid="{00000000-0005-0000-0000-000018990000}"/>
    <cellStyle name="Bemærk! 3 2 3 2 2 2 2" xfId="15682" xr:uid="{00000000-0005-0000-0000-000019990000}"/>
    <cellStyle name="Bemærk! 3 2 3 2 2 2 2 2" xfId="31997" xr:uid="{00000000-0005-0000-0000-00001A990000}"/>
    <cellStyle name="Bemærk! 3 2 3 2 2 2 2 3" xfId="46961" xr:uid="{00000000-0005-0000-0000-00001B990000}"/>
    <cellStyle name="Bemærk! 3 2 3 2 2 2 3" xfId="24975" xr:uid="{00000000-0005-0000-0000-00001C990000}"/>
    <cellStyle name="Bemærk! 3 2 3 2 2 2 4" xfId="39962" xr:uid="{00000000-0005-0000-0000-00001D990000}"/>
    <cellStyle name="Bemærk! 3 2 3 3" xfId="4906" xr:uid="{00000000-0005-0000-0000-00001E990000}"/>
    <cellStyle name="Bemærk! 3 2 3 3 2" xfId="4907" xr:uid="{00000000-0005-0000-0000-00001F990000}"/>
    <cellStyle name="Bemærk! 3 2 3 3 2 2" xfId="6639" xr:uid="{00000000-0005-0000-0000-000020990000}"/>
    <cellStyle name="Bemærk! 3 2 3 3 2 2 2" xfId="14553" xr:uid="{00000000-0005-0000-0000-000021990000}"/>
    <cellStyle name="Bemærk! 3 2 3 3 2 2 2 2" xfId="30868" xr:uid="{00000000-0005-0000-0000-000022990000}"/>
    <cellStyle name="Bemærk! 3 2 3 3 2 2 2 3" xfId="45832" xr:uid="{00000000-0005-0000-0000-000023990000}"/>
    <cellStyle name="Bemærk! 3 2 3 3 2 2 3" xfId="23846" xr:uid="{00000000-0005-0000-0000-000024990000}"/>
    <cellStyle name="Bemærk! 3 2 3 3 2 2 4" xfId="38833" xr:uid="{00000000-0005-0000-0000-000025990000}"/>
    <cellStyle name="Bemærk! 3 2 3 3 3" xfId="6329" xr:uid="{00000000-0005-0000-0000-000026990000}"/>
    <cellStyle name="Bemærk! 3 2 3 3 3 2" xfId="14244" xr:uid="{00000000-0005-0000-0000-000027990000}"/>
    <cellStyle name="Bemærk! 3 2 3 3 3 2 2" xfId="30559" xr:uid="{00000000-0005-0000-0000-000028990000}"/>
    <cellStyle name="Bemærk! 3 2 3 3 3 2 3" xfId="45523" xr:uid="{00000000-0005-0000-0000-000029990000}"/>
    <cellStyle name="Bemærk! 3 2 3 3 3 3" xfId="23537" xr:uid="{00000000-0005-0000-0000-00002A990000}"/>
    <cellStyle name="Bemærk! 3 2 3 3 3 4" xfId="38524" xr:uid="{00000000-0005-0000-0000-00002B990000}"/>
    <cellStyle name="Bemærk! 3 2 3 4" xfId="4908" xr:uid="{00000000-0005-0000-0000-00002C990000}"/>
    <cellStyle name="Bemærk! 3 2 3 4 2" xfId="7011" xr:uid="{00000000-0005-0000-0000-00002D990000}"/>
    <cellStyle name="Bemærk! 3 2 3 4 2 2" xfId="14923" xr:uid="{00000000-0005-0000-0000-00002E990000}"/>
    <cellStyle name="Bemærk! 3 2 3 4 2 2 2" xfId="31238" xr:uid="{00000000-0005-0000-0000-00002F990000}"/>
    <cellStyle name="Bemærk! 3 2 3 4 2 2 3" xfId="46202" xr:uid="{00000000-0005-0000-0000-000030990000}"/>
    <cellStyle name="Bemærk! 3 2 3 4 2 3" xfId="24216" xr:uid="{00000000-0005-0000-0000-000031990000}"/>
    <cellStyle name="Bemærk! 3 2 3 4 2 4" xfId="39203" xr:uid="{00000000-0005-0000-0000-000032990000}"/>
    <cellStyle name="Bemærk! 3 2 4" xfId="4909" xr:uid="{00000000-0005-0000-0000-000033990000}"/>
    <cellStyle name="Bemærk! 3 2 4 2" xfId="4910" xr:uid="{00000000-0005-0000-0000-000034990000}"/>
    <cellStyle name="Bemærk! 3 2 4 2 2" xfId="4911" xr:uid="{00000000-0005-0000-0000-000035990000}"/>
    <cellStyle name="Bemærk! 3 2 4 2 2 2" xfId="7837" xr:uid="{00000000-0005-0000-0000-000036990000}"/>
    <cellStyle name="Bemærk! 3 2 4 2 2 2 2" xfId="15739" xr:uid="{00000000-0005-0000-0000-000037990000}"/>
    <cellStyle name="Bemærk! 3 2 4 2 2 2 2 2" xfId="32054" xr:uid="{00000000-0005-0000-0000-000038990000}"/>
    <cellStyle name="Bemærk! 3 2 4 2 2 2 2 3" xfId="47018" xr:uid="{00000000-0005-0000-0000-000039990000}"/>
    <cellStyle name="Bemærk! 3 2 4 2 2 2 3" xfId="25032" xr:uid="{00000000-0005-0000-0000-00003A990000}"/>
    <cellStyle name="Bemærk! 3 2 4 2 2 2 4" xfId="40019" xr:uid="{00000000-0005-0000-0000-00003B990000}"/>
    <cellStyle name="Bemærk! 3 2 4 3" xfId="4912" xr:uid="{00000000-0005-0000-0000-00003C990000}"/>
    <cellStyle name="Bemærk! 3 2 4 3 2" xfId="4913" xr:uid="{00000000-0005-0000-0000-00003D990000}"/>
    <cellStyle name="Bemærk! 3 2 4 3 2 2" xfId="8170" xr:uid="{00000000-0005-0000-0000-00003E990000}"/>
    <cellStyle name="Bemærk! 3 2 4 3 2 2 2" xfId="16068" xr:uid="{00000000-0005-0000-0000-00003F990000}"/>
    <cellStyle name="Bemærk! 3 2 4 3 2 2 2 2" xfId="32383" xr:uid="{00000000-0005-0000-0000-000040990000}"/>
    <cellStyle name="Bemærk! 3 2 4 3 2 2 2 3" xfId="47347" xr:uid="{00000000-0005-0000-0000-000041990000}"/>
    <cellStyle name="Bemærk! 3 2 4 3 2 2 3" xfId="25361" xr:uid="{00000000-0005-0000-0000-000042990000}"/>
    <cellStyle name="Bemærk! 3 2 4 3 2 2 4" xfId="40348" xr:uid="{00000000-0005-0000-0000-000043990000}"/>
    <cellStyle name="Bemærk! 3 2 4 3 3" xfId="6376" xr:uid="{00000000-0005-0000-0000-000044990000}"/>
    <cellStyle name="Bemærk! 3 2 4 3 3 2" xfId="14291" xr:uid="{00000000-0005-0000-0000-000045990000}"/>
    <cellStyle name="Bemærk! 3 2 4 3 3 2 2" xfId="30606" xr:uid="{00000000-0005-0000-0000-000046990000}"/>
    <cellStyle name="Bemærk! 3 2 4 3 3 2 3" xfId="45570" xr:uid="{00000000-0005-0000-0000-000047990000}"/>
    <cellStyle name="Bemærk! 3 2 4 3 3 3" xfId="23584" xr:uid="{00000000-0005-0000-0000-000048990000}"/>
    <cellStyle name="Bemærk! 3 2 4 3 3 4" xfId="38571" xr:uid="{00000000-0005-0000-0000-000049990000}"/>
    <cellStyle name="Bemærk! 3 2 4 4" xfId="4914" xr:uid="{00000000-0005-0000-0000-00004A990000}"/>
    <cellStyle name="Bemærk! 3 2 4 4 2" xfId="7113" xr:uid="{00000000-0005-0000-0000-00004B990000}"/>
    <cellStyle name="Bemærk! 3 2 4 4 2 2" xfId="15024" xr:uid="{00000000-0005-0000-0000-00004C990000}"/>
    <cellStyle name="Bemærk! 3 2 4 4 2 2 2" xfId="31339" xr:uid="{00000000-0005-0000-0000-00004D990000}"/>
    <cellStyle name="Bemærk! 3 2 4 4 2 2 3" xfId="46303" xr:uid="{00000000-0005-0000-0000-00004E990000}"/>
    <cellStyle name="Bemærk! 3 2 4 4 2 3" xfId="24317" xr:uid="{00000000-0005-0000-0000-00004F990000}"/>
    <cellStyle name="Bemærk! 3 2 4 4 2 4" xfId="39304" xr:uid="{00000000-0005-0000-0000-000050990000}"/>
    <cellStyle name="Bemærk! 3 2 5" xfId="4915" xr:uid="{00000000-0005-0000-0000-000051990000}"/>
    <cellStyle name="Bemærk! 3 2 5 2" xfId="4916" xr:uid="{00000000-0005-0000-0000-000052990000}"/>
    <cellStyle name="Bemærk! 3 2 5 2 2" xfId="4917" xr:uid="{00000000-0005-0000-0000-000053990000}"/>
    <cellStyle name="Bemærk! 3 2 5 2 2 2" xfId="7954" xr:uid="{00000000-0005-0000-0000-000054990000}"/>
    <cellStyle name="Bemærk! 3 2 5 2 2 2 2" xfId="15856" xr:uid="{00000000-0005-0000-0000-000055990000}"/>
    <cellStyle name="Bemærk! 3 2 5 2 2 2 2 2" xfId="32171" xr:uid="{00000000-0005-0000-0000-000056990000}"/>
    <cellStyle name="Bemærk! 3 2 5 2 2 2 2 3" xfId="47135" xr:uid="{00000000-0005-0000-0000-000057990000}"/>
    <cellStyle name="Bemærk! 3 2 5 2 2 2 3" xfId="25149" xr:uid="{00000000-0005-0000-0000-000058990000}"/>
    <cellStyle name="Bemærk! 3 2 5 2 2 2 4" xfId="40136" xr:uid="{00000000-0005-0000-0000-000059990000}"/>
    <cellStyle name="Bemærk! 3 2 5 3" xfId="4918" xr:uid="{00000000-0005-0000-0000-00005A990000}"/>
    <cellStyle name="Bemærk! 3 2 5 3 2" xfId="4919" xr:uid="{00000000-0005-0000-0000-00005B990000}"/>
    <cellStyle name="Bemærk! 3 2 5 3 2 2" xfId="8684" xr:uid="{00000000-0005-0000-0000-00005C990000}"/>
    <cellStyle name="Bemærk! 3 2 5 3 2 2 2" xfId="16564" xr:uid="{00000000-0005-0000-0000-00005D990000}"/>
    <cellStyle name="Bemærk! 3 2 5 3 2 2 2 2" xfId="32879" xr:uid="{00000000-0005-0000-0000-00005E990000}"/>
    <cellStyle name="Bemærk! 3 2 5 3 2 2 2 3" xfId="47843" xr:uid="{00000000-0005-0000-0000-00005F990000}"/>
    <cellStyle name="Bemærk! 3 2 5 3 2 2 3" xfId="25857" xr:uid="{00000000-0005-0000-0000-000060990000}"/>
    <cellStyle name="Bemærk! 3 2 5 3 2 2 4" xfId="40844" xr:uid="{00000000-0005-0000-0000-000061990000}"/>
    <cellStyle name="Bemærk! 3 2 5 3 3" xfId="6475" xr:uid="{00000000-0005-0000-0000-000062990000}"/>
    <cellStyle name="Bemærk! 3 2 5 3 3 2" xfId="14390" xr:uid="{00000000-0005-0000-0000-000063990000}"/>
    <cellStyle name="Bemærk! 3 2 5 3 3 2 2" xfId="30705" xr:uid="{00000000-0005-0000-0000-000064990000}"/>
    <cellStyle name="Bemærk! 3 2 5 3 3 2 3" xfId="45669" xr:uid="{00000000-0005-0000-0000-000065990000}"/>
    <cellStyle name="Bemærk! 3 2 5 3 3 3" xfId="23683" xr:uid="{00000000-0005-0000-0000-000066990000}"/>
    <cellStyle name="Bemærk! 3 2 5 3 3 4" xfId="38670" xr:uid="{00000000-0005-0000-0000-000067990000}"/>
    <cellStyle name="Bemærk! 3 2 5 4" xfId="4920" xr:uid="{00000000-0005-0000-0000-000068990000}"/>
    <cellStyle name="Bemærk! 3 2 5 4 2" xfId="7230" xr:uid="{00000000-0005-0000-0000-000069990000}"/>
    <cellStyle name="Bemærk! 3 2 5 4 2 2" xfId="15141" xr:uid="{00000000-0005-0000-0000-00006A990000}"/>
    <cellStyle name="Bemærk! 3 2 5 4 2 2 2" xfId="31456" xr:uid="{00000000-0005-0000-0000-00006B990000}"/>
    <cellStyle name="Bemærk! 3 2 5 4 2 2 3" xfId="46420" xr:uid="{00000000-0005-0000-0000-00006C990000}"/>
    <cellStyle name="Bemærk! 3 2 5 4 2 3" xfId="24434" xr:uid="{00000000-0005-0000-0000-00006D990000}"/>
    <cellStyle name="Bemærk! 3 2 5 4 2 4" xfId="39421" xr:uid="{00000000-0005-0000-0000-00006E990000}"/>
    <cellStyle name="Bemærk! 3 2 6" xfId="4921" xr:uid="{00000000-0005-0000-0000-00006F990000}"/>
    <cellStyle name="Bemærk! 3 2 6 2" xfId="4922" xr:uid="{00000000-0005-0000-0000-000070990000}"/>
    <cellStyle name="Bemærk! 3 2 6 2 2" xfId="4923" xr:uid="{00000000-0005-0000-0000-000071990000}"/>
    <cellStyle name="Bemærk! 3 2 6 2 2 2" xfId="8134" xr:uid="{00000000-0005-0000-0000-000072990000}"/>
    <cellStyle name="Bemærk! 3 2 6 2 2 2 2" xfId="16036" xr:uid="{00000000-0005-0000-0000-000073990000}"/>
    <cellStyle name="Bemærk! 3 2 6 2 2 2 2 2" xfId="32351" xr:uid="{00000000-0005-0000-0000-000074990000}"/>
    <cellStyle name="Bemærk! 3 2 6 2 2 2 2 3" xfId="47315" xr:uid="{00000000-0005-0000-0000-000075990000}"/>
    <cellStyle name="Bemærk! 3 2 6 2 2 2 3" xfId="25329" xr:uid="{00000000-0005-0000-0000-000076990000}"/>
    <cellStyle name="Bemærk! 3 2 6 2 2 2 4" xfId="40316" xr:uid="{00000000-0005-0000-0000-000077990000}"/>
    <cellStyle name="Bemærk! 3 2 6 3" xfId="4924" xr:uid="{00000000-0005-0000-0000-000078990000}"/>
    <cellStyle name="Bemærk! 3 2 6 3 2" xfId="4925" xr:uid="{00000000-0005-0000-0000-000079990000}"/>
    <cellStyle name="Bemærk! 3 2 6 3 2 2" xfId="8746" xr:uid="{00000000-0005-0000-0000-00007A990000}"/>
    <cellStyle name="Bemærk! 3 2 6 3 2 2 2" xfId="16623" xr:uid="{00000000-0005-0000-0000-00007B990000}"/>
    <cellStyle name="Bemærk! 3 2 6 3 2 2 2 2" xfId="32938" xr:uid="{00000000-0005-0000-0000-00007C990000}"/>
    <cellStyle name="Bemærk! 3 2 6 3 2 2 2 3" xfId="47902" xr:uid="{00000000-0005-0000-0000-00007D990000}"/>
    <cellStyle name="Bemærk! 3 2 6 3 2 2 3" xfId="25916" xr:uid="{00000000-0005-0000-0000-00007E990000}"/>
    <cellStyle name="Bemærk! 3 2 6 3 2 2 4" xfId="40903" xr:uid="{00000000-0005-0000-0000-00007F990000}"/>
    <cellStyle name="Bemærk! 3 2 6 3 3" xfId="6627" xr:uid="{00000000-0005-0000-0000-000080990000}"/>
    <cellStyle name="Bemærk! 3 2 6 3 3 2" xfId="14542" xr:uid="{00000000-0005-0000-0000-000081990000}"/>
    <cellStyle name="Bemærk! 3 2 6 3 3 2 2" xfId="30857" xr:uid="{00000000-0005-0000-0000-000082990000}"/>
    <cellStyle name="Bemærk! 3 2 6 3 3 2 3" xfId="45821" xr:uid="{00000000-0005-0000-0000-000083990000}"/>
    <cellStyle name="Bemærk! 3 2 6 3 3 3" xfId="23835" xr:uid="{00000000-0005-0000-0000-000084990000}"/>
    <cellStyle name="Bemærk! 3 2 6 3 3 4" xfId="38822" xr:uid="{00000000-0005-0000-0000-000085990000}"/>
    <cellStyle name="Bemærk! 3 2 6 4" xfId="4926" xr:uid="{00000000-0005-0000-0000-000086990000}"/>
    <cellStyle name="Bemærk! 3 2 6 4 2" xfId="7411" xr:uid="{00000000-0005-0000-0000-000087990000}"/>
    <cellStyle name="Bemærk! 3 2 6 4 2 2" xfId="15322" xr:uid="{00000000-0005-0000-0000-000088990000}"/>
    <cellStyle name="Bemærk! 3 2 6 4 2 2 2" xfId="31637" xr:uid="{00000000-0005-0000-0000-000089990000}"/>
    <cellStyle name="Bemærk! 3 2 6 4 2 2 3" xfId="46601" xr:uid="{00000000-0005-0000-0000-00008A990000}"/>
    <cellStyle name="Bemærk! 3 2 6 4 2 3" xfId="24615" xr:uid="{00000000-0005-0000-0000-00008B990000}"/>
    <cellStyle name="Bemærk! 3 2 6 4 2 4" xfId="39602" xr:uid="{00000000-0005-0000-0000-00008C990000}"/>
    <cellStyle name="Bemærk! 3 2 7" xfId="4927" xr:uid="{00000000-0005-0000-0000-00008D990000}"/>
    <cellStyle name="Bemærk! 3 2 7 2" xfId="4928" xr:uid="{00000000-0005-0000-0000-00008E990000}"/>
    <cellStyle name="Bemærk! 3 2 7 2 2" xfId="7480" xr:uid="{00000000-0005-0000-0000-00008F990000}"/>
    <cellStyle name="Bemærk! 3 2 7 2 2 2" xfId="15382" xr:uid="{00000000-0005-0000-0000-000090990000}"/>
    <cellStyle name="Bemærk! 3 2 7 2 2 2 2" xfId="31697" xr:uid="{00000000-0005-0000-0000-000091990000}"/>
    <cellStyle name="Bemærk! 3 2 7 2 2 2 3" xfId="46661" xr:uid="{00000000-0005-0000-0000-000092990000}"/>
    <cellStyle name="Bemærk! 3 2 7 2 2 3" xfId="24675" xr:uid="{00000000-0005-0000-0000-000093990000}"/>
    <cellStyle name="Bemærk! 3 2 7 2 2 4" xfId="39662" xr:uid="{00000000-0005-0000-0000-000094990000}"/>
    <cellStyle name="Bemærk! 3 2 8" xfId="4929" xr:uid="{00000000-0005-0000-0000-000095990000}"/>
    <cellStyle name="Bemærk! 3 2 8 2" xfId="4930" xr:uid="{00000000-0005-0000-0000-000096990000}"/>
    <cellStyle name="Bemærk! 3 2 8 2 2" xfId="7017" xr:uid="{00000000-0005-0000-0000-000097990000}"/>
    <cellStyle name="Bemærk! 3 2 8 2 2 2" xfId="14929" xr:uid="{00000000-0005-0000-0000-000098990000}"/>
    <cellStyle name="Bemærk! 3 2 8 2 2 2 2" xfId="31244" xr:uid="{00000000-0005-0000-0000-000099990000}"/>
    <cellStyle name="Bemærk! 3 2 8 2 2 2 3" xfId="46208" xr:uid="{00000000-0005-0000-0000-00009A990000}"/>
    <cellStyle name="Bemærk! 3 2 8 2 2 3" xfId="24222" xr:uid="{00000000-0005-0000-0000-00009B990000}"/>
    <cellStyle name="Bemærk! 3 2 8 2 2 4" xfId="39209" xr:uid="{00000000-0005-0000-0000-00009C990000}"/>
    <cellStyle name="Bemærk! 3 2 8 3" xfId="6075" xr:uid="{00000000-0005-0000-0000-00009D990000}"/>
    <cellStyle name="Bemærk! 3 2 8 3 2" xfId="13993" xr:uid="{00000000-0005-0000-0000-00009E990000}"/>
    <cellStyle name="Bemærk! 3 2 8 3 2 2" xfId="30308" xr:uid="{00000000-0005-0000-0000-00009F990000}"/>
    <cellStyle name="Bemærk! 3 2 8 3 2 3" xfId="45272" xr:uid="{00000000-0005-0000-0000-0000A0990000}"/>
    <cellStyle name="Bemærk! 3 2 8 3 3" xfId="23286" xr:uid="{00000000-0005-0000-0000-0000A1990000}"/>
    <cellStyle name="Bemærk! 3 2 8 3 4" xfId="38273" xr:uid="{00000000-0005-0000-0000-0000A2990000}"/>
    <cellStyle name="Bemærk! 3 2 9" xfId="4931" xr:uid="{00000000-0005-0000-0000-0000A3990000}"/>
    <cellStyle name="Bemærk! 3 2 9 2" xfId="6708" xr:uid="{00000000-0005-0000-0000-0000A4990000}"/>
    <cellStyle name="Bemærk! 3 2 9 2 2" xfId="14620" xr:uid="{00000000-0005-0000-0000-0000A5990000}"/>
    <cellStyle name="Bemærk! 3 2 9 2 2 2" xfId="30935" xr:uid="{00000000-0005-0000-0000-0000A6990000}"/>
    <cellStyle name="Bemærk! 3 2 9 2 2 3" xfId="45899" xr:uid="{00000000-0005-0000-0000-0000A7990000}"/>
    <cellStyle name="Bemærk! 3 2 9 2 3" xfId="23913" xr:uid="{00000000-0005-0000-0000-0000A8990000}"/>
    <cellStyle name="Bemærk! 3 2 9 2 4" xfId="38900" xr:uid="{00000000-0005-0000-0000-0000A9990000}"/>
    <cellStyle name="Bemærk! 3 3" xfId="4932" xr:uid="{00000000-0005-0000-0000-0000AA990000}"/>
    <cellStyle name="Bemærk! 3 3 2" xfId="4933" xr:uid="{00000000-0005-0000-0000-0000AB990000}"/>
    <cellStyle name="Bemærk! 3 3 2 2" xfId="4934" xr:uid="{00000000-0005-0000-0000-0000AC990000}"/>
    <cellStyle name="Bemærk! 3 3 2 2 2" xfId="4935" xr:uid="{00000000-0005-0000-0000-0000AD990000}"/>
    <cellStyle name="Bemærk! 3 3 2 2 2 2" xfId="7638" xr:uid="{00000000-0005-0000-0000-0000AE990000}"/>
    <cellStyle name="Bemærk! 3 3 2 2 2 2 2" xfId="15540" xr:uid="{00000000-0005-0000-0000-0000AF990000}"/>
    <cellStyle name="Bemærk! 3 3 2 2 2 2 2 2" xfId="31855" xr:uid="{00000000-0005-0000-0000-0000B0990000}"/>
    <cellStyle name="Bemærk! 3 3 2 2 2 2 2 3" xfId="46819" xr:uid="{00000000-0005-0000-0000-0000B1990000}"/>
    <cellStyle name="Bemærk! 3 3 2 2 2 2 3" xfId="24833" xr:uid="{00000000-0005-0000-0000-0000B2990000}"/>
    <cellStyle name="Bemærk! 3 3 2 2 2 2 4" xfId="39820" xr:uid="{00000000-0005-0000-0000-0000B3990000}"/>
    <cellStyle name="Bemærk! 3 3 2 3" xfId="4936" xr:uid="{00000000-0005-0000-0000-0000B4990000}"/>
    <cellStyle name="Bemærk! 3 3 2 3 2" xfId="4937" xr:uid="{00000000-0005-0000-0000-0000B5990000}"/>
    <cellStyle name="Bemærk! 3 3 2 3 2 2" xfId="8538" xr:uid="{00000000-0005-0000-0000-0000B6990000}"/>
    <cellStyle name="Bemærk! 3 3 2 3 2 2 2" xfId="16425" xr:uid="{00000000-0005-0000-0000-0000B7990000}"/>
    <cellStyle name="Bemærk! 3 3 2 3 2 2 2 2" xfId="32740" xr:uid="{00000000-0005-0000-0000-0000B8990000}"/>
    <cellStyle name="Bemærk! 3 3 2 3 2 2 2 3" xfId="47704" xr:uid="{00000000-0005-0000-0000-0000B9990000}"/>
    <cellStyle name="Bemærk! 3 3 2 3 2 2 3" xfId="25718" xr:uid="{00000000-0005-0000-0000-0000BA990000}"/>
    <cellStyle name="Bemærk! 3 3 2 3 2 2 4" xfId="40705" xr:uid="{00000000-0005-0000-0000-0000BB990000}"/>
    <cellStyle name="Bemærk! 3 3 2 3 3" xfId="6207" xr:uid="{00000000-0005-0000-0000-0000BC990000}"/>
    <cellStyle name="Bemærk! 3 3 2 3 3 2" xfId="14125" xr:uid="{00000000-0005-0000-0000-0000BD990000}"/>
    <cellStyle name="Bemærk! 3 3 2 3 3 2 2" xfId="30440" xr:uid="{00000000-0005-0000-0000-0000BE990000}"/>
    <cellStyle name="Bemærk! 3 3 2 3 3 2 3" xfId="45404" xr:uid="{00000000-0005-0000-0000-0000BF990000}"/>
    <cellStyle name="Bemærk! 3 3 2 3 3 3" xfId="23418" xr:uid="{00000000-0005-0000-0000-0000C0990000}"/>
    <cellStyle name="Bemærk! 3 3 2 3 3 4" xfId="38405" xr:uid="{00000000-0005-0000-0000-0000C1990000}"/>
    <cellStyle name="Bemærk! 3 3 2 4" xfId="4938" xr:uid="{00000000-0005-0000-0000-0000C2990000}"/>
    <cellStyle name="Bemærk! 3 3 2 4 2" xfId="6868" xr:uid="{00000000-0005-0000-0000-0000C3990000}"/>
    <cellStyle name="Bemærk! 3 3 2 4 2 2" xfId="14780" xr:uid="{00000000-0005-0000-0000-0000C4990000}"/>
    <cellStyle name="Bemærk! 3 3 2 4 2 2 2" xfId="31095" xr:uid="{00000000-0005-0000-0000-0000C5990000}"/>
    <cellStyle name="Bemærk! 3 3 2 4 2 2 3" xfId="46059" xr:uid="{00000000-0005-0000-0000-0000C6990000}"/>
    <cellStyle name="Bemærk! 3 3 2 4 2 3" xfId="24073" xr:uid="{00000000-0005-0000-0000-0000C7990000}"/>
    <cellStyle name="Bemærk! 3 3 2 4 2 4" xfId="39060" xr:uid="{00000000-0005-0000-0000-0000C8990000}"/>
    <cellStyle name="Bemærk! 3 3 3" xfId="4939" xr:uid="{00000000-0005-0000-0000-0000C9990000}"/>
    <cellStyle name="Bemærk! 3 3 3 2" xfId="4940" xr:uid="{00000000-0005-0000-0000-0000CA990000}"/>
    <cellStyle name="Bemærk! 3 3 3 2 2" xfId="4941" xr:uid="{00000000-0005-0000-0000-0000CB990000}"/>
    <cellStyle name="Bemærk! 3 3 3 2 2 2" xfId="7781" xr:uid="{00000000-0005-0000-0000-0000CC990000}"/>
    <cellStyle name="Bemærk! 3 3 3 2 2 2 2" xfId="15683" xr:uid="{00000000-0005-0000-0000-0000CD990000}"/>
    <cellStyle name="Bemærk! 3 3 3 2 2 2 2 2" xfId="31998" xr:uid="{00000000-0005-0000-0000-0000CE990000}"/>
    <cellStyle name="Bemærk! 3 3 3 2 2 2 2 3" xfId="46962" xr:uid="{00000000-0005-0000-0000-0000CF990000}"/>
    <cellStyle name="Bemærk! 3 3 3 2 2 2 3" xfId="24976" xr:uid="{00000000-0005-0000-0000-0000D0990000}"/>
    <cellStyle name="Bemærk! 3 3 3 2 2 2 4" xfId="39963" xr:uid="{00000000-0005-0000-0000-0000D1990000}"/>
    <cellStyle name="Bemærk! 3 3 3 3" xfId="4942" xr:uid="{00000000-0005-0000-0000-0000D2990000}"/>
    <cellStyle name="Bemærk! 3 3 3 3 2" xfId="4943" xr:uid="{00000000-0005-0000-0000-0000D3990000}"/>
    <cellStyle name="Bemærk! 3 3 3 3 2 2" xfId="8474" xr:uid="{00000000-0005-0000-0000-0000D4990000}"/>
    <cellStyle name="Bemærk! 3 3 3 3 2 2 2" xfId="16363" xr:uid="{00000000-0005-0000-0000-0000D5990000}"/>
    <cellStyle name="Bemærk! 3 3 3 3 2 2 2 2" xfId="32678" xr:uid="{00000000-0005-0000-0000-0000D6990000}"/>
    <cellStyle name="Bemærk! 3 3 3 3 2 2 2 3" xfId="47642" xr:uid="{00000000-0005-0000-0000-0000D7990000}"/>
    <cellStyle name="Bemærk! 3 3 3 3 2 2 3" xfId="25656" xr:uid="{00000000-0005-0000-0000-0000D8990000}"/>
    <cellStyle name="Bemærk! 3 3 3 3 2 2 4" xfId="40643" xr:uid="{00000000-0005-0000-0000-0000D9990000}"/>
    <cellStyle name="Bemærk! 3 3 3 3 3" xfId="6330" xr:uid="{00000000-0005-0000-0000-0000DA990000}"/>
    <cellStyle name="Bemærk! 3 3 3 3 3 2" xfId="14245" xr:uid="{00000000-0005-0000-0000-0000DB990000}"/>
    <cellStyle name="Bemærk! 3 3 3 3 3 2 2" xfId="30560" xr:uid="{00000000-0005-0000-0000-0000DC990000}"/>
    <cellStyle name="Bemærk! 3 3 3 3 3 2 3" xfId="45524" xr:uid="{00000000-0005-0000-0000-0000DD990000}"/>
    <cellStyle name="Bemærk! 3 3 3 3 3 3" xfId="23538" xr:uid="{00000000-0005-0000-0000-0000DE990000}"/>
    <cellStyle name="Bemærk! 3 3 3 3 3 4" xfId="38525" xr:uid="{00000000-0005-0000-0000-0000DF990000}"/>
    <cellStyle name="Bemærk! 3 3 3 4" xfId="4944" xr:uid="{00000000-0005-0000-0000-0000E0990000}"/>
    <cellStyle name="Bemærk! 3 3 3 4 2" xfId="7012" xr:uid="{00000000-0005-0000-0000-0000E1990000}"/>
    <cellStyle name="Bemærk! 3 3 3 4 2 2" xfId="14924" xr:uid="{00000000-0005-0000-0000-0000E2990000}"/>
    <cellStyle name="Bemærk! 3 3 3 4 2 2 2" xfId="31239" xr:uid="{00000000-0005-0000-0000-0000E3990000}"/>
    <cellStyle name="Bemærk! 3 3 3 4 2 2 3" xfId="46203" xr:uid="{00000000-0005-0000-0000-0000E4990000}"/>
    <cellStyle name="Bemærk! 3 3 3 4 2 3" xfId="24217" xr:uid="{00000000-0005-0000-0000-0000E5990000}"/>
    <cellStyle name="Bemærk! 3 3 3 4 2 4" xfId="39204" xr:uid="{00000000-0005-0000-0000-0000E6990000}"/>
    <cellStyle name="Bemærk! 3 3 4" xfId="4945" xr:uid="{00000000-0005-0000-0000-0000E7990000}"/>
    <cellStyle name="Bemærk! 3 3 4 2" xfId="4946" xr:uid="{00000000-0005-0000-0000-0000E8990000}"/>
    <cellStyle name="Bemærk! 3 3 4 2 2" xfId="4947" xr:uid="{00000000-0005-0000-0000-0000E9990000}"/>
    <cellStyle name="Bemærk! 3 3 4 2 2 2" xfId="7876" xr:uid="{00000000-0005-0000-0000-0000EA990000}"/>
    <cellStyle name="Bemærk! 3 3 4 2 2 2 2" xfId="15778" xr:uid="{00000000-0005-0000-0000-0000EB990000}"/>
    <cellStyle name="Bemærk! 3 3 4 2 2 2 2 2" xfId="32093" xr:uid="{00000000-0005-0000-0000-0000EC990000}"/>
    <cellStyle name="Bemærk! 3 3 4 2 2 2 2 3" xfId="47057" xr:uid="{00000000-0005-0000-0000-0000ED990000}"/>
    <cellStyle name="Bemærk! 3 3 4 2 2 2 3" xfId="25071" xr:uid="{00000000-0005-0000-0000-0000EE990000}"/>
    <cellStyle name="Bemærk! 3 3 4 2 2 2 4" xfId="40058" xr:uid="{00000000-0005-0000-0000-0000EF990000}"/>
    <cellStyle name="Bemærk! 3 3 4 3" xfId="4948" xr:uid="{00000000-0005-0000-0000-0000F0990000}"/>
    <cellStyle name="Bemærk! 3 3 4 3 2" xfId="4949" xr:uid="{00000000-0005-0000-0000-0000F1990000}"/>
    <cellStyle name="Bemærk! 3 3 4 3 2 2" xfId="8323" xr:uid="{00000000-0005-0000-0000-0000F2990000}"/>
    <cellStyle name="Bemærk! 3 3 4 3 2 2 2" xfId="16218" xr:uid="{00000000-0005-0000-0000-0000F3990000}"/>
    <cellStyle name="Bemærk! 3 3 4 3 2 2 2 2" xfId="32533" xr:uid="{00000000-0005-0000-0000-0000F4990000}"/>
    <cellStyle name="Bemærk! 3 3 4 3 2 2 2 3" xfId="47497" xr:uid="{00000000-0005-0000-0000-0000F5990000}"/>
    <cellStyle name="Bemærk! 3 3 4 3 2 2 3" xfId="25511" xr:uid="{00000000-0005-0000-0000-0000F6990000}"/>
    <cellStyle name="Bemærk! 3 3 4 3 2 2 4" xfId="40498" xr:uid="{00000000-0005-0000-0000-0000F7990000}"/>
    <cellStyle name="Bemærk! 3 3 4 3 3" xfId="6409" xr:uid="{00000000-0005-0000-0000-0000F8990000}"/>
    <cellStyle name="Bemærk! 3 3 4 3 3 2" xfId="14324" xr:uid="{00000000-0005-0000-0000-0000F9990000}"/>
    <cellStyle name="Bemærk! 3 3 4 3 3 2 2" xfId="30639" xr:uid="{00000000-0005-0000-0000-0000FA990000}"/>
    <cellStyle name="Bemærk! 3 3 4 3 3 2 3" xfId="45603" xr:uid="{00000000-0005-0000-0000-0000FB990000}"/>
    <cellStyle name="Bemærk! 3 3 4 3 3 3" xfId="23617" xr:uid="{00000000-0005-0000-0000-0000FC990000}"/>
    <cellStyle name="Bemærk! 3 3 4 3 3 4" xfId="38604" xr:uid="{00000000-0005-0000-0000-0000FD990000}"/>
    <cellStyle name="Bemærk! 3 3 4 4" xfId="4950" xr:uid="{00000000-0005-0000-0000-0000FE990000}"/>
    <cellStyle name="Bemærk! 3 3 4 4 2" xfId="7152" xr:uid="{00000000-0005-0000-0000-0000FF990000}"/>
    <cellStyle name="Bemærk! 3 3 4 4 2 2" xfId="15063" xr:uid="{00000000-0005-0000-0000-0000009A0000}"/>
    <cellStyle name="Bemærk! 3 3 4 4 2 2 2" xfId="31378" xr:uid="{00000000-0005-0000-0000-0000019A0000}"/>
    <cellStyle name="Bemærk! 3 3 4 4 2 2 3" xfId="46342" xr:uid="{00000000-0005-0000-0000-0000029A0000}"/>
    <cellStyle name="Bemærk! 3 3 4 4 2 3" xfId="24356" xr:uid="{00000000-0005-0000-0000-0000039A0000}"/>
    <cellStyle name="Bemærk! 3 3 4 4 2 4" xfId="39343" xr:uid="{00000000-0005-0000-0000-0000049A0000}"/>
    <cellStyle name="Bemærk! 3 3 5" xfId="4951" xr:uid="{00000000-0005-0000-0000-0000059A0000}"/>
    <cellStyle name="Bemærk! 3 3 5 2" xfId="4952" xr:uid="{00000000-0005-0000-0000-0000069A0000}"/>
    <cellStyle name="Bemærk! 3 3 5 2 2" xfId="4953" xr:uid="{00000000-0005-0000-0000-0000079A0000}"/>
    <cellStyle name="Bemærk! 3 3 5 2 2 2" xfId="7993" xr:uid="{00000000-0005-0000-0000-0000089A0000}"/>
    <cellStyle name="Bemærk! 3 3 5 2 2 2 2" xfId="15895" xr:uid="{00000000-0005-0000-0000-0000099A0000}"/>
    <cellStyle name="Bemærk! 3 3 5 2 2 2 2 2" xfId="32210" xr:uid="{00000000-0005-0000-0000-00000A9A0000}"/>
    <cellStyle name="Bemærk! 3 3 5 2 2 2 2 3" xfId="47174" xr:uid="{00000000-0005-0000-0000-00000B9A0000}"/>
    <cellStyle name="Bemærk! 3 3 5 2 2 2 3" xfId="25188" xr:uid="{00000000-0005-0000-0000-00000C9A0000}"/>
    <cellStyle name="Bemærk! 3 3 5 2 2 2 4" xfId="40175" xr:uid="{00000000-0005-0000-0000-00000D9A0000}"/>
    <cellStyle name="Bemærk! 3 3 5 3" xfId="4954" xr:uid="{00000000-0005-0000-0000-00000E9A0000}"/>
    <cellStyle name="Bemærk! 3 3 5 3 2" xfId="4955" xr:uid="{00000000-0005-0000-0000-00000F9A0000}"/>
    <cellStyle name="Bemærk! 3 3 5 3 2 2" xfId="7013" xr:uid="{00000000-0005-0000-0000-0000109A0000}"/>
    <cellStyle name="Bemærk! 3 3 5 3 2 2 2" xfId="14925" xr:uid="{00000000-0005-0000-0000-0000119A0000}"/>
    <cellStyle name="Bemærk! 3 3 5 3 2 2 2 2" xfId="31240" xr:uid="{00000000-0005-0000-0000-0000129A0000}"/>
    <cellStyle name="Bemærk! 3 3 5 3 2 2 2 3" xfId="46204" xr:uid="{00000000-0005-0000-0000-0000139A0000}"/>
    <cellStyle name="Bemærk! 3 3 5 3 2 2 3" xfId="24218" xr:uid="{00000000-0005-0000-0000-0000149A0000}"/>
    <cellStyle name="Bemærk! 3 3 5 3 2 2 4" xfId="39205" xr:uid="{00000000-0005-0000-0000-0000159A0000}"/>
    <cellStyle name="Bemærk! 3 3 5 3 3" xfId="6508" xr:uid="{00000000-0005-0000-0000-0000169A0000}"/>
    <cellStyle name="Bemærk! 3 3 5 3 3 2" xfId="14423" xr:uid="{00000000-0005-0000-0000-0000179A0000}"/>
    <cellStyle name="Bemærk! 3 3 5 3 3 2 2" xfId="30738" xr:uid="{00000000-0005-0000-0000-0000189A0000}"/>
    <cellStyle name="Bemærk! 3 3 5 3 3 2 3" xfId="45702" xr:uid="{00000000-0005-0000-0000-0000199A0000}"/>
    <cellStyle name="Bemærk! 3 3 5 3 3 3" xfId="23716" xr:uid="{00000000-0005-0000-0000-00001A9A0000}"/>
    <cellStyle name="Bemærk! 3 3 5 3 3 4" xfId="38703" xr:uid="{00000000-0005-0000-0000-00001B9A0000}"/>
    <cellStyle name="Bemærk! 3 3 5 4" xfId="4956" xr:uid="{00000000-0005-0000-0000-00001C9A0000}"/>
    <cellStyle name="Bemærk! 3 3 5 4 2" xfId="7269" xr:uid="{00000000-0005-0000-0000-00001D9A0000}"/>
    <cellStyle name="Bemærk! 3 3 5 4 2 2" xfId="15180" xr:uid="{00000000-0005-0000-0000-00001E9A0000}"/>
    <cellStyle name="Bemærk! 3 3 5 4 2 2 2" xfId="31495" xr:uid="{00000000-0005-0000-0000-00001F9A0000}"/>
    <cellStyle name="Bemærk! 3 3 5 4 2 2 3" xfId="46459" xr:uid="{00000000-0005-0000-0000-0000209A0000}"/>
    <cellStyle name="Bemærk! 3 3 5 4 2 3" xfId="24473" xr:uid="{00000000-0005-0000-0000-0000219A0000}"/>
    <cellStyle name="Bemærk! 3 3 5 4 2 4" xfId="39460" xr:uid="{00000000-0005-0000-0000-0000229A0000}"/>
    <cellStyle name="Bemærk! 3 3 6" xfId="4957" xr:uid="{00000000-0005-0000-0000-0000239A0000}"/>
    <cellStyle name="Bemærk! 3 3 6 2" xfId="4958" xr:uid="{00000000-0005-0000-0000-0000249A0000}"/>
    <cellStyle name="Bemærk! 3 3 6 2 2" xfId="4959" xr:uid="{00000000-0005-0000-0000-0000259A0000}"/>
    <cellStyle name="Bemærk! 3 3 6 2 2 2" xfId="8135" xr:uid="{00000000-0005-0000-0000-0000269A0000}"/>
    <cellStyle name="Bemærk! 3 3 6 2 2 2 2" xfId="16037" xr:uid="{00000000-0005-0000-0000-0000279A0000}"/>
    <cellStyle name="Bemærk! 3 3 6 2 2 2 2 2" xfId="32352" xr:uid="{00000000-0005-0000-0000-0000289A0000}"/>
    <cellStyle name="Bemærk! 3 3 6 2 2 2 2 3" xfId="47316" xr:uid="{00000000-0005-0000-0000-0000299A0000}"/>
    <cellStyle name="Bemærk! 3 3 6 2 2 2 3" xfId="25330" xr:uid="{00000000-0005-0000-0000-00002A9A0000}"/>
    <cellStyle name="Bemærk! 3 3 6 2 2 2 4" xfId="40317" xr:uid="{00000000-0005-0000-0000-00002B9A0000}"/>
    <cellStyle name="Bemærk! 3 3 6 3" xfId="4960" xr:uid="{00000000-0005-0000-0000-00002C9A0000}"/>
    <cellStyle name="Bemærk! 3 3 6 3 2" xfId="4961" xr:uid="{00000000-0005-0000-0000-00002D9A0000}"/>
    <cellStyle name="Bemærk! 3 3 6 3 2 2" xfId="8747" xr:uid="{00000000-0005-0000-0000-00002E9A0000}"/>
    <cellStyle name="Bemærk! 3 3 6 3 2 2 2" xfId="16624" xr:uid="{00000000-0005-0000-0000-00002F9A0000}"/>
    <cellStyle name="Bemærk! 3 3 6 3 2 2 2 2" xfId="32939" xr:uid="{00000000-0005-0000-0000-0000309A0000}"/>
    <cellStyle name="Bemærk! 3 3 6 3 2 2 2 3" xfId="47903" xr:uid="{00000000-0005-0000-0000-0000319A0000}"/>
    <cellStyle name="Bemærk! 3 3 6 3 2 2 3" xfId="25917" xr:uid="{00000000-0005-0000-0000-0000329A0000}"/>
    <cellStyle name="Bemærk! 3 3 6 3 2 2 4" xfId="40904" xr:uid="{00000000-0005-0000-0000-0000339A0000}"/>
    <cellStyle name="Bemærk! 3 3 6 3 3" xfId="6628" xr:uid="{00000000-0005-0000-0000-0000349A0000}"/>
    <cellStyle name="Bemærk! 3 3 6 3 3 2" xfId="14543" xr:uid="{00000000-0005-0000-0000-0000359A0000}"/>
    <cellStyle name="Bemærk! 3 3 6 3 3 2 2" xfId="30858" xr:uid="{00000000-0005-0000-0000-0000369A0000}"/>
    <cellStyle name="Bemærk! 3 3 6 3 3 2 3" xfId="45822" xr:uid="{00000000-0005-0000-0000-0000379A0000}"/>
    <cellStyle name="Bemærk! 3 3 6 3 3 3" xfId="23836" xr:uid="{00000000-0005-0000-0000-0000389A0000}"/>
    <cellStyle name="Bemærk! 3 3 6 3 3 4" xfId="38823" xr:uid="{00000000-0005-0000-0000-0000399A0000}"/>
    <cellStyle name="Bemærk! 3 3 6 4" xfId="4962" xr:uid="{00000000-0005-0000-0000-00003A9A0000}"/>
    <cellStyle name="Bemærk! 3 3 6 4 2" xfId="7412" xr:uid="{00000000-0005-0000-0000-00003B9A0000}"/>
    <cellStyle name="Bemærk! 3 3 6 4 2 2" xfId="15323" xr:uid="{00000000-0005-0000-0000-00003C9A0000}"/>
    <cellStyle name="Bemærk! 3 3 6 4 2 2 2" xfId="31638" xr:uid="{00000000-0005-0000-0000-00003D9A0000}"/>
    <cellStyle name="Bemærk! 3 3 6 4 2 2 3" xfId="46602" xr:uid="{00000000-0005-0000-0000-00003E9A0000}"/>
    <cellStyle name="Bemærk! 3 3 6 4 2 3" xfId="24616" xr:uid="{00000000-0005-0000-0000-00003F9A0000}"/>
    <cellStyle name="Bemærk! 3 3 6 4 2 4" xfId="39603" xr:uid="{00000000-0005-0000-0000-0000409A0000}"/>
    <cellStyle name="Bemærk! 3 3 7" xfId="4963" xr:uid="{00000000-0005-0000-0000-0000419A0000}"/>
    <cellStyle name="Bemærk! 3 3 7 2" xfId="4964" xr:uid="{00000000-0005-0000-0000-0000429A0000}"/>
    <cellStyle name="Bemærk! 3 3 7 2 2" xfId="7519" xr:uid="{00000000-0005-0000-0000-0000439A0000}"/>
    <cellStyle name="Bemærk! 3 3 7 2 2 2" xfId="15421" xr:uid="{00000000-0005-0000-0000-0000449A0000}"/>
    <cellStyle name="Bemærk! 3 3 7 2 2 2 2" xfId="31736" xr:uid="{00000000-0005-0000-0000-0000459A0000}"/>
    <cellStyle name="Bemærk! 3 3 7 2 2 2 3" xfId="46700" xr:uid="{00000000-0005-0000-0000-0000469A0000}"/>
    <cellStyle name="Bemærk! 3 3 7 2 2 3" xfId="24714" xr:uid="{00000000-0005-0000-0000-0000479A0000}"/>
    <cellStyle name="Bemærk! 3 3 7 2 2 4" xfId="39701" xr:uid="{00000000-0005-0000-0000-0000489A0000}"/>
    <cellStyle name="Bemærk! 3 3 8" xfId="4965" xr:uid="{00000000-0005-0000-0000-0000499A0000}"/>
    <cellStyle name="Bemærk! 3 3 8 2" xfId="4966" xr:uid="{00000000-0005-0000-0000-00004A9A0000}"/>
    <cellStyle name="Bemærk! 3 3 8 2 2" xfId="8341" xr:uid="{00000000-0005-0000-0000-00004B9A0000}"/>
    <cellStyle name="Bemærk! 3 3 8 2 2 2" xfId="16235" xr:uid="{00000000-0005-0000-0000-00004C9A0000}"/>
    <cellStyle name="Bemærk! 3 3 8 2 2 2 2" xfId="32550" xr:uid="{00000000-0005-0000-0000-00004D9A0000}"/>
    <cellStyle name="Bemærk! 3 3 8 2 2 2 3" xfId="47514" xr:uid="{00000000-0005-0000-0000-00004E9A0000}"/>
    <cellStyle name="Bemærk! 3 3 8 2 2 3" xfId="25528" xr:uid="{00000000-0005-0000-0000-00004F9A0000}"/>
    <cellStyle name="Bemærk! 3 3 8 2 2 4" xfId="40515" xr:uid="{00000000-0005-0000-0000-0000509A0000}"/>
    <cellStyle name="Bemærk! 3 3 8 3" xfId="6108" xr:uid="{00000000-0005-0000-0000-0000519A0000}"/>
    <cellStyle name="Bemærk! 3 3 8 3 2" xfId="14026" xr:uid="{00000000-0005-0000-0000-0000529A0000}"/>
    <cellStyle name="Bemærk! 3 3 8 3 2 2" xfId="30341" xr:uid="{00000000-0005-0000-0000-0000539A0000}"/>
    <cellStyle name="Bemærk! 3 3 8 3 2 3" xfId="45305" xr:uid="{00000000-0005-0000-0000-0000549A0000}"/>
    <cellStyle name="Bemærk! 3 3 8 3 3" xfId="23319" xr:uid="{00000000-0005-0000-0000-0000559A0000}"/>
    <cellStyle name="Bemærk! 3 3 8 3 4" xfId="38306" xr:uid="{00000000-0005-0000-0000-0000569A0000}"/>
    <cellStyle name="Bemærk! 3 3 9" xfId="4967" xr:uid="{00000000-0005-0000-0000-0000579A0000}"/>
    <cellStyle name="Bemærk! 3 3 9 2" xfId="6747" xr:uid="{00000000-0005-0000-0000-0000589A0000}"/>
    <cellStyle name="Bemærk! 3 3 9 2 2" xfId="14659" xr:uid="{00000000-0005-0000-0000-0000599A0000}"/>
    <cellStyle name="Bemærk! 3 3 9 2 2 2" xfId="30974" xr:uid="{00000000-0005-0000-0000-00005A9A0000}"/>
    <cellStyle name="Bemærk! 3 3 9 2 2 3" xfId="45938" xr:uid="{00000000-0005-0000-0000-00005B9A0000}"/>
    <cellStyle name="Bemærk! 3 3 9 2 3" xfId="23952" xr:uid="{00000000-0005-0000-0000-00005C9A0000}"/>
    <cellStyle name="Bemærk! 3 3 9 2 4" xfId="38939" xr:uid="{00000000-0005-0000-0000-00005D9A0000}"/>
    <cellStyle name="Bemærk! 3 4" xfId="4968" xr:uid="{00000000-0005-0000-0000-00005E9A0000}"/>
    <cellStyle name="Bemærk! 3 4 2" xfId="4969" xr:uid="{00000000-0005-0000-0000-00005F9A0000}"/>
    <cellStyle name="Bemærk! 3 4 2 2" xfId="4970" xr:uid="{00000000-0005-0000-0000-0000609A0000}"/>
    <cellStyle name="Bemærk! 3 4 2 2 2" xfId="7560" xr:uid="{00000000-0005-0000-0000-0000619A0000}"/>
    <cellStyle name="Bemærk! 3 4 2 2 2 2" xfId="15462" xr:uid="{00000000-0005-0000-0000-0000629A0000}"/>
    <cellStyle name="Bemærk! 3 4 2 2 2 2 2" xfId="31777" xr:uid="{00000000-0005-0000-0000-0000639A0000}"/>
    <cellStyle name="Bemærk! 3 4 2 2 2 2 3" xfId="46741" xr:uid="{00000000-0005-0000-0000-0000649A0000}"/>
    <cellStyle name="Bemærk! 3 4 2 2 2 3" xfId="24755" xr:uid="{00000000-0005-0000-0000-0000659A0000}"/>
    <cellStyle name="Bemærk! 3 4 2 2 2 4" xfId="39742" xr:uid="{00000000-0005-0000-0000-0000669A0000}"/>
    <cellStyle name="Bemærk! 3 4 3" xfId="4971" xr:uid="{00000000-0005-0000-0000-0000679A0000}"/>
    <cellStyle name="Bemærk! 3 4 3 2" xfId="4972" xr:uid="{00000000-0005-0000-0000-0000689A0000}"/>
    <cellStyle name="Bemærk! 3 4 3 2 2" xfId="8388" xr:uid="{00000000-0005-0000-0000-0000699A0000}"/>
    <cellStyle name="Bemærk! 3 4 3 2 2 2" xfId="16281" xr:uid="{00000000-0005-0000-0000-00006A9A0000}"/>
    <cellStyle name="Bemærk! 3 4 3 2 2 2 2" xfId="32596" xr:uid="{00000000-0005-0000-0000-00006B9A0000}"/>
    <cellStyle name="Bemærk! 3 4 3 2 2 2 3" xfId="47560" xr:uid="{00000000-0005-0000-0000-00006C9A0000}"/>
    <cellStyle name="Bemærk! 3 4 3 2 2 3" xfId="25574" xr:uid="{00000000-0005-0000-0000-00006D9A0000}"/>
    <cellStyle name="Bemærk! 3 4 3 2 2 4" xfId="40561" xr:uid="{00000000-0005-0000-0000-00006E9A0000}"/>
    <cellStyle name="Bemærk! 3 4 3 3" xfId="6141" xr:uid="{00000000-0005-0000-0000-00006F9A0000}"/>
    <cellStyle name="Bemærk! 3 4 3 3 2" xfId="14059" xr:uid="{00000000-0005-0000-0000-0000709A0000}"/>
    <cellStyle name="Bemærk! 3 4 3 3 2 2" xfId="30374" xr:uid="{00000000-0005-0000-0000-0000719A0000}"/>
    <cellStyle name="Bemærk! 3 4 3 3 2 3" xfId="45338" xr:uid="{00000000-0005-0000-0000-0000729A0000}"/>
    <cellStyle name="Bemærk! 3 4 3 3 3" xfId="23352" xr:uid="{00000000-0005-0000-0000-0000739A0000}"/>
    <cellStyle name="Bemærk! 3 4 3 3 4" xfId="38339" xr:uid="{00000000-0005-0000-0000-0000749A0000}"/>
    <cellStyle name="Bemærk! 3 4 4" xfId="4973" xr:uid="{00000000-0005-0000-0000-0000759A0000}"/>
    <cellStyle name="Bemærk! 3 4 4 2" xfId="6790" xr:uid="{00000000-0005-0000-0000-0000769A0000}"/>
    <cellStyle name="Bemærk! 3 4 4 2 2" xfId="14702" xr:uid="{00000000-0005-0000-0000-0000779A0000}"/>
    <cellStyle name="Bemærk! 3 4 4 2 2 2" xfId="31017" xr:uid="{00000000-0005-0000-0000-0000789A0000}"/>
    <cellStyle name="Bemærk! 3 4 4 2 2 3" xfId="45981" xr:uid="{00000000-0005-0000-0000-0000799A0000}"/>
    <cellStyle name="Bemærk! 3 4 4 2 3" xfId="23995" xr:uid="{00000000-0005-0000-0000-00007A9A0000}"/>
    <cellStyle name="Bemærk! 3 4 4 2 4" xfId="38982" xr:uid="{00000000-0005-0000-0000-00007B9A0000}"/>
    <cellStyle name="Bemærk! 3 5" xfId="4974" xr:uid="{00000000-0005-0000-0000-00007C9A0000}"/>
    <cellStyle name="Bemærk! 3 5 2" xfId="4975" xr:uid="{00000000-0005-0000-0000-00007D9A0000}"/>
    <cellStyle name="Bemærk! 3 5 2 2" xfId="4976" xr:uid="{00000000-0005-0000-0000-00007E9A0000}"/>
    <cellStyle name="Bemærk! 3 5 2 2 2" xfId="7779" xr:uid="{00000000-0005-0000-0000-00007F9A0000}"/>
    <cellStyle name="Bemærk! 3 5 2 2 2 2" xfId="15681" xr:uid="{00000000-0005-0000-0000-0000809A0000}"/>
    <cellStyle name="Bemærk! 3 5 2 2 2 2 2" xfId="31996" xr:uid="{00000000-0005-0000-0000-0000819A0000}"/>
    <cellStyle name="Bemærk! 3 5 2 2 2 2 3" xfId="46960" xr:uid="{00000000-0005-0000-0000-0000829A0000}"/>
    <cellStyle name="Bemærk! 3 5 2 2 2 3" xfId="24974" xr:uid="{00000000-0005-0000-0000-0000839A0000}"/>
    <cellStyle name="Bemærk! 3 5 2 2 2 4" xfId="39961" xr:uid="{00000000-0005-0000-0000-0000849A0000}"/>
    <cellStyle name="Bemærk! 3 5 3" xfId="4977" xr:uid="{00000000-0005-0000-0000-0000859A0000}"/>
    <cellStyle name="Bemærk! 3 5 3 2" xfId="4978" xr:uid="{00000000-0005-0000-0000-0000869A0000}"/>
    <cellStyle name="Bemærk! 3 5 3 2 2" xfId="8174" xr:uid="{00000000-0005-0000-0000-0000879A0000}"/>
    <cellStyle name="Bemærk! 3 5 3 2 2 2" xfId="16072" xr:uid="{00000000-0005-0000-0000-0000889A0000}"/>
    <cellStyle name="Bemærk! 3 5 3 2 2 2 2" xfId="32387" xr:uid="{00000000-0005-0000-0000-0000899A0000}"/>
    <cellStyle name="Bemærk! 3 5 3 2 2 2 3" xfId="47351" xr:uid="{00000000-0005-0000-0000-00008A9A0000}"/>
    <cellStyle name="Bemærk! 3 5 3 2 2 3" xfId="25365" xr:uid="{00000000-0005-0000-0000-00008B9A0000}"/>
    <cellStyle name="Bemærk! 3 5 3 2 2 4" xfId="40352" xr:uid="{00000000-0005-0000-0000-00008C9A0000}"/>
    <cellStyle name="Bemærk! 3 5 3 3" xfId="6328" xr:uid="{00000000-0005-0000-0000-00008D9A0000}"/>
    <cellStyle name="Bemærk! 3 5 3 3 2" xfId="14243" xr:uid="{00000000-0005-0000-0000-00008E9A0000}"/>
    <cellStyle name="Bemærk! 3 5 3 3 2 2" xfId="30558" xr:uid="{00000000-0005-0000-0000-00008F9A0000}"/>
    <cellStyle name="Bemærk! 3 5 3 3 2 3" xfId="45522" xr:uid="{00000000-0005-0000-0000-0000909A0000}"/>
    <cellStyle name="Bemærk! 3 5 3 3 3" xfId="23536" xr:uid="{00000000-0005-0000-0000-0000919A0000}"/>
    <cellStyle name="Bemærk! 3 5 3 3 4" xfId="38523" xr:uid="{00000000-0005-0000-0000-0000929A0000}"/>
    <cellStyle name="Bemærk! 3 5 4" xfId="4979" xr:uid="{00000000-0005-0000-0000-0000939A0000}"/>
    <cellStyle name="Bemærk! 3 5 4 2" xfId="7010" xr:uid="{00000000-0005-0000-0000-0000949A0000}"/>
    <cellStyle name="Bemærk! 3 5 4 2 2" xfId="14922" xr:uid="{00000000-0005-0000-0000-0000959A0000}"/>
    <cellStyle name="Bemærk! 3 5 4 2 2 2" xfId="31237" xr:uid="{00000000-0005-0000-0000-0000969A0000}"/>
    <cellStyle name="Bemærk! 3 5 4 2 2 3" xfId="46201" xr:uid="{00000000-0005-0000-0000-0000979A0000}"/>
    <cellStyle name="Bemærk! 3 5 4 2 3" xfId="24215" xr:uid="{00000000-0005-0000-0000-0000989A0000}"/>
    <cellStyle name="Bemærk! 3 5 4 2 4" xfId="39202" xr:uid="{00000000-0005-0000-0000-0000999A0000}"/>
    <cellStyle name="Bemærk! 3 6" xfId="4980" xr:uid="{00000000-0005-0000-0000-00009A9A0000}"/>
    <cellStyle name="Bemærk! 3 6 2" xfId="4981" xr:uid="{00000000-0005-0000-0000-00009B9A0000}"/>
    <cellStyle name="Bemærk! 3 6 2 2" xfId="4982" xr:uid="{00000000-0005-0000-0000-00009C9A0000}"/>
    <cellStyle name="Bemærk! 3 6 2 2 2" xfId="7798" xr:uid="{00000000-0005-0000-0000-00009D9A0000}"/>
    <cellStyle name="Bemærk! 3 6 2 2 2 2" xfId="15700" xr:uid="{00000000-0005-0000-0000-00009E9A0000}"/>
    <cellStyle name="Bemærk! 3 6 2 2 2 2 2" xfId="32015" xr:uid="{00000000-0005-0000-0000-00009F9A0000}"/>
    <cellStyle name="Bemærk! 3 6 2 2 2 2 3" xfId="46979" xr:uid="{00000000-0005-0000-0000-0000A09A0000}"/>
    <cellStyle name="Bemærk! 3 6 2 2 2 3" xfId="24993" xr:uid="{00000000-0005-0000-0000-0000A19A0000}"/>
    <cellStyle name="Bemærk! 3 6 2 2 2 4" xfId="39980" xr:uid="{00000000-0005-0000-0000-0000A29A0000}"/>
    <cellStyle name="Bemærk! 3 6 3" xfId="4983" xr:uid="{00000000-0005-0000-0000-0000A39A0000}"/>
    <cellStyle name="Bemærk! 3 6 3 2" xfId="4984" xr:uid="{00000000-0005-0000-0000-0000A49A0000}"/>
    <cellStyle name="Bemærk! 3 6 3 2 2" xfId="8409" xr:uid="{00000000-0005-0000-0000-0000A59A0000}"/>
    <cellStyle name="Bemærk! 3 6 3 2 2 2" xfId="16301" xr:uid="{00000000-0005-0000-0000-0000A69A0000}"/>
    <cellStyle name="Bemærk! 3 6 3 2 2 2 2" xfId="32616" xr:uid="{00000000-0005-0000-0000-0000A79A0000}"/>
    <cellStyle name="Bemærk! 3 6 3 2 2 2 3" xfId="47580" xr:uid="{00000000-0005-0000-0000-0000A89A0000}"/>
    <cellStyle name="Bemærk! 3 6 3 2 2 3" xfId="25594" xr:uid="{00000000-0005-0000-0000-0000A99A0000}"/>
    <cellStyle name="Bemærk! 3 6 3 2 2 4" xfId="40581" xr:uid="{00000000-0005-0000-0000-0000AA9A0000}"/>
    <cellStyle name="Bemærk! 3 6 3 3" xfId="6343" xr:uid="{00000000-0005-0000-0000-0000AB9A0000}"/>
    <cellStyle name="Bemærk! 3 6 3 3 2" xfId="14258" xr:uid="{00000000-0005-0000-0000-0000AC9A0000}"/>
    <cellStyle name="Bemærk! 3 6 3 3 2 2" xfId="30573" xr:uid="{00000000-0005-0000-0000-0000AD9A0000}"/>
    <cellStyle name="Bemærk! 3 6 3 3 2 3" xfId="45537" xr:uid="{00000000-0005-0000-0000-0000AE9A0000}"/>
    <cellStyle name="Bemærk! 3 6 3 3 3" xfId="23551" xr:uid="{00000000-0005-0000-0000-0000AF9A0000}"/>
    <cellStyle name="Bemærk! 3 6 3 3 4" xfId="38538" xr:uid="{00000000-0005-0000-0000-0000B09A0000}"/>
    <cellStyle name="Bemærk! 3 6 4" xfId="4985" xr:uid="{00000000-0005-0000-0000-0000B19A0000}"/>
    <cellStyle name="Bemærk! 3 6 4 2" xfId="7074" xr:uid="{00000000-0005-0000-0000-0000B29A0000}"/>
    <cellStyle name="Bemærk! 3 6 4 2 2" xfId="14985" xr:uid="{00000000-0005-0000-0000-0000B39A0000}"/>
    <cellStyle name="Bemærk! 3 6 4 2 2 2" xfId="31300" xr:uid="{00000000-0005-0000-0000-0000B49A0000}"/>
    <cellStyle name="Bemærk! 3 6 4 2 2 3" xfId="46264" xr:uid="{00000000-0005-0000-0000-0000B59A0000}"/>
    <cellStyle name="Bemærk! 3 6 4 2 3" xfId="24278" xr:uid="{00000000-0005-0000-0000-0000B69A0000}"/>
    <cellStyle name="Bemærk! 3 6 4 2 4" xfId="39265" xr:uid="{00000000-0005-0000-0000-0000B79A0000}"/>
    <cellStyle name="Bemærk! 3 7" xfId="4986" xr:uid="{00000000-0005-0000-0000-0000B89A0000}"/>
    <cellStyle name="Bemærk! 3 7 2" xfId="4987" xr:uid="{00000000-0005-0000-0000-0000B99A0000}"/>
    <cellStyle name="Bemærk! 3 7 2 2" xfId="4988" xr:uid="{00000000-0005-0000-0000-0000BA9A0000}"/>
    <cellStyle name="Bemærk! 3 7 2 2 2" xfId="7915" xr:uid="{00000000-0005-0000-0000-0000BB9A0000}"/>
    <cellStyle name="Bemærk! 3 7 2 2 2 2" xfId="15817" xr:uid="{00000000-0005-0000-0000-0000BC9A0000}"/>
    <cellStyle name="Bemærk! 3 7 2 2 2 2 2" xfId="32132" xr:uid="{00000000-0005-0000-0000-0000BD9A0000}"/>
    <cellStyle name="Bemærk! 3 7 2 2 2 2 3" xfId="47096" xr:uid="{00000000-0005-0000-0000-0000BE9A0000}"/>
    <cellStyle name="Bemærk! 3 7 2 2 2 3" xfId="25110" xr:uid="{00000000-0005-0000-0000-0000BF9A0000}"/>
    <cellStyle name="Bemærk! 3 7 2 2 2 4" xfId="40097" xr:uid="{00000000-0005-0000-0000-0000C09A0000}"/>
    <cellStyle name="Bemærk! 3 7 3" xfId="4989" xr:uid="{00000000-0005-0000-0000-0000C19A0000}"/>
    <cellStyle name="Bemærk! 3 7 3 2" xfId="4990" xr:uid="{00000000-0005-0000-0000-0000C29A0000}"/>
    <cellStyle name="Bemærk! 3 7 3 2 2" xfId="8373" xr:uid="{00000000-0005-0000-0000-0000C39A0000}"/>
    <cellStyle name="Bemærk! 3 7 3 2 2 2" xfId="16266" xr:uid="{00000000-0005-0000-0000-0000C49A0000}"/>
    <cellStyle name="Bemærk! 3 7 3 2 2 2 2" xfId="32581" xr:uid="{00000000-0005-0000-0000-0000C59A0000}"/>
    <cellStyle name="Bemærk! 3 7 3 2 2 2 3" xfId="47545" xr:uid="{00000000-0005-0000-0000-0000C69A0000}"/>
    <cellStyle name="Bemærk! 3 7 3 2 2 3" xfId="25559" xr:uid="{00000000-0005-0000-0000-0000C79A0000}"/>
    <cellStyle name="Bemærk! 3 7 3 2 2 4" xfId="40546" xr:uid="{00000000-0005-0000-0000-0000C89A0000}"/>
    <cellStyle name="Bemærk! 3 7 3 3" xfId="6442" xr:uid="{00000000-0005-0000-0000-0000C99A0000}"/>
    <cellStyle name="Bemærk! 3 7 3 3 2" xfId="14357" xr:uid="{00000000-0005-0000-0000-0000CA9A0000}"/>
    <cellStyle name="Bemærk! 3 7 3 3 2 2" xfId="30672" xr:uid="{00000000-0005-0000-0000-0000CB9A0000}"/>
    <cellStyle name="Bemærk! 3 7 3 3 2 3" xfId="45636" xr:uid="{00000000-0005-0000-0000-0000CC9A0000}"/>
    <cellStyle name="Bemærk! 3 7 3 3 3" xfId="23650" xr:uid="{00000000-0005-0000-0000-0000CD9A0000}"/>
    <cellStyle name="Bemærk! 3 7 3 3 4" xfId="38637" xr:uid="{00000000-0005-0000-0000-0000CE9A0000}"/>
    <cellStyle name="Bemærk! 3 7 4" xfId="4991" xr:uid="{00000000-0005-0000-0000-0000CF9A0000}"/>
    <cellStyle name="Bemærk! 3 7 4 2" xfId="7191" xr:uid="{00000000-0005-0000-0000-0000D09A0000}"/>
    <cellStyle name="Bemærk! 3 7 4 2 2" xfId="15102" xr:uid="{00000000-0005-0000-0000-0000D19A0000}"/>
    <cellStyle name="Bemærk! 3 7 4 2 2 2" xfId="31417" xr:uid="{00000000-0005-0000-0000-0000D29A0000}"/>
    <cellStyle name="Bemærk! 3 7 4 2 2 3" xfId="46381" xr:uid="{00000000-0005-0000-0000-0000D39A0000}"/>
    <cellStyle name="Bemærk! 3 7 4 2 3" xfId="24395" xr:uid="{00000000-0005-0000-0000-0000D49A0000}"/>
    <cellStyle name="Bemærk! 3 7 4 2 4" xfId="39382" xr:uid="{00000000-0005-0000-0000-0000D59A0000}"/>
    <cellStyle name="Bemærk! 3 8" xfId="4992" xr:uid="{00000000-0005-0000-0000-0000D69A0000}"/>
    <cellStyle name="Bemærk! 3 8 2" xfId="4993" xr:uid="{00000000-0005-0000-0000-0000D79A0000}"/>
    <cellStyle name="Bemærk! 3 8 2 2" xfId="4994" xr:uid="{00000000-0005-0000-0000-0000D89A0000}"/>
    <cellStyle name="Bemærk! 3 8 2 2 2" xfId="8133" xr:uid="{00000000-0005-0000-0000-0000D99A0000}"/>
    <cellStyle name="Bemærk! 3 8 2 2 2 2" xfId="16035" xr:uid="{00000000-0005-0000-0000-0000DA9A0000}"/>
    <cellStyle name="Bemærk! 3 8 2 2 2 2 2" xfId="32350" xr:uid="{00000000-0005-0000-0000-0000DB9A0000}"/>
    <cellStyle name="Bemærk! 3 8 2 2 2 2 3" xfId="47314" xr:uid="{00000000-0005-0000-0000-0000DC9A0000}"/>
    <cellStyle name="Bemærk! 3 8 2 2 2 3" xfId="25328" xr:uid="{00000000-0005-0000-0000-0000DD9A0000}"/>
    <cellStyle name="Bemærk! 3 8 2 2 2 4" xfId="40315" xr:uid="{00000000-0005-0000-0000-0000DE9A0000}"/>
    <cellStyle name="Bemærk! 3 8 3" xfId="4995" xr:uid="{00000000-0005-0000-0000-0000DF9A0000}"/>
    <cellStyle name="Bemærk! 3 8 3 2" xfId="4996" xr:uid="{00000000-0005-0000-0000-0000E09A0000}"/>
    <cellStyle name="Bemærk! 3 8 3 2 2" xfId="8745" xr:uid="{00000000-0005-0000-0000-0000E19A0000}"/>
    <cellStyle name="Bemærk! 3 8 3 2 2 2" xfId="16622" xr:uid="{00000000-0005-0000-0000-0000E29A0000}"/>
    <cellStyle name="Bemærk! 3 8 3 2 2 2 2" xfId="32937" xr:uid="{00000000-0005-0000-0000-0000E39A0000}"/>
    <cellStyle name="Bemærk! 3 8 3 2 2 2 3" xfId="47901" xr:uid="{00000000-0005-0000-0000-0000E49A0000}"/>
    <cellStyle name="Bemærk! 3 8 3 2 2 3" xfId="25915" xr:uid="{00000000-0005-0000-0000-0000E59A0000}"/>
    <cellStyle name="Bemærk! 3 8 3 2 2 4" xfId="40902" xr:uid="{00000000-0005-0000-0000-0000E69A0000}"/>
    <cellStyle name="Bemærk! 3 8 3 3" xfId="6626" xr:uid="{00000000-0005-0000-0000-0000E79A0000}"/>
    <cellStyle name="Bemærk! 3 8 3 3 2" xfId="14541" xr:uid="{00000000-0005-0000-0000-0000E89A0000}"/>
    <cellStyle name="Bemærk! 3 8 3 3 2 2" xfId="30856" xr:uid="{00000000-0005-0000-0000-0000E99A0000}"/>
    <cellStyle name="Bemærk! 3 8 3 3 2 3" xfId="45820" xr:uid="{00000000-0005-0000-0000-0000EA9A0000}"/>
    <cellStyle name="Bemærk! 3 8 3 3 3" xfId="23834" xr:uid="{00000000-0005-0000-0000-0000EB9A0000}"/>
    <cellStyle name="Bemærk! 3 8 3 3 4" xfId="38821" xr:uid="{00000000-0005-0000-0000-0000EC9A0000}"/>
    <cellStyle name="Bemærk! 3 8 4" xfId="4997" xr:uid="{00000000-0005-0000-0000-0000ED9A0000}"/>
    <cellStyle name="Bemærk! 3 8 4 2" xfId="7410" xr:uid="{00000000-0005-0000-0000-0000EE9A0000}"/>
    <cellStyle name="Bemærk! 3 8 4 2 2" xfId="15321" xr:uid="{00000000-0005-0000-0000-0000EF9A0000}"/>
    <cellStyle name="Bemærk! 3 8 4 2 2 2" xfId="31636" xr:uid="{00000000-0005-0000-0000-0000F09A0000}"/>
    <cellStyle name="Bemærk! 3 8 4 2 2 3" xfId="46600" xr:uid="{00000000-0005-0000-0000-0000F19A0000}"/>
    <cellStyle name="Bemærk! 3 8 4 2 3" xfId="24614" xr:uid="{00000000-0005-0000-0000-0000F29A0000}"/>
    <cellStyle name="Bemærk! 3 8 4 2 4" xfId="39601" xr:uid="{00000000-0005-0000-0000-0000F39A0000}"/>
    <cellStyle name="Bemærk! 3 9" xfId="4998" xr:uid="{00000000-0005-0000-0000-0000F49A0000}"/>
    <cellStyle name="Bemærk! 3 9 2" xfId="4999" xr:uid="{00000000-0005-0000-0000-0000F59A0000}"/>
    <cellStyle name="Bemærk! 3 9 2 2" xfId="7441" xr:uid="{00000000-0005-0000-0000-0000F69A0000}"/>
    <cellStyle name="Bemærk! 3 9 2 2 2" xfId="15343" xr:uid="{00000000-0005-0000-0000-0000F79A0000}"/>
    <cellStyle name="Bemærk! 3 9 2 2 2 2" xfId="31658" xr:uid="{00000000-0005-0000-0000-0000F89A0000}"/>
    <cellStyle name="Bemærk! 3 9 2 2 2 3" xfId="46622" xr:uid="{00000000-0005-0000-0000-0000F99A0000}"/>
    <cellStyle name="Bemærk! 3 9 2 2 3" xfId="24636" xr:uid="{00000000-0005-0000-0000-0000FA9A0000}"/>
    <cellStyle name="Bemærk! 3 9 2 2 4" xfId="39623" xr:uid="{00000000-0005-0000-0000-0000FB9A0000}"/>
    <cellStyle name="Bemærk! 4" xfId="53358" xr:uid="{00000000-0005-0000-0000-0000FC9A0000}"/>
    <cellStyle name="Bemærk! 4 2" xfId="53359" xr:uid="{00000000-0005-0000-0000-0000FD9A0000}"/>
    <cellStyle name="Bemærk! 4 2 2" xfId="53993" xr:uid="{00000000-0005-0000-0000-0000FE9A0000}"/>
    <cellStyle name="Bemærk! 4 2 2 2" xfId="57160" xr:uid="{00000000-0005-0000-0000-0000FF9A0000}"/>
    <cellStyle name="Bemærk! 4 2 3" xfId="56537" xr:uid="{00000000-0005-0000-0000-0000009B0000}"/>
    <cellStyle name="Bemærk! 5" xfId="53360" xr:uid="{00000000-0005-0000-0000-0000019B0000}"/>
    <cellStyle name="Bemærk! 6" xfId="53361" xr:uid="{00000000-0005-0000-0000-0000029B0000}"/>
    <cellStyle name="Bemærk! 6 2" xfId="53994" xr:uid="{00000000-0005-0000-0000-0000039B0000}"/>
    <cellStyle name="Bemærk! 6 2 2" xfId="57161" xr:uid="{00000000-0005-0000-0000-0000049B0000}"/>
    <cellStyle name="Bemærk! 6 3" xfId="56538" xr:uid="{00000000-0005-0000-0000-0000059B0000}"/>
    <cellStyle name="Beregning 2" xfId="5001" xr:uid="{00000000-0005-0000-0000-0000069B0000}"/>
    <cellStyle name="Beregning 3" xfId="5002" xr:uid="{00000000-0005-0000-0000-0000079B0000}"/>
    <cellStyle name="Beregning 4" xfId="5003" xr:uid="{00000000-0005-0000-0000-0000089B0000}"/>
    <cellStyle name="Beregning 5" xfId="5004" xr:uid="{00000000-0005-0000-0000-0000099B0000}"/>
    <cellStyle name="Beregning 5 2" xfId="8604" xr:uid="{00000000-0005-0000-0000-00000A9B0000}"/>
    <cellStyle name="Beregning 6" xfId="5319" xr:uid="{00000000-0005-0000-0000-00000B9B0000}"/>
    <cellStyle name="Beregning 7" xfId="5000" xr:uid="{00000000-0005-0000-0000-00000C9B0000}"/>
    <cellStyle name="Bold GHG Numbers (0.00)" xfId="25" xr:uid="{00000000-0005-0000-0000-00000D9B0000}"/>
    <cellStyle name="Bruger data" xfId="16686" xr:uid="{00000000-0005-0000-0000-00000E9B0000}"/>
    <cellStyle name="C01_Main head" xfId="53150" xr:uid="{00000000-0005-0000-0000-00000F9B0000}"/>
    <cellStyle name="C02_Column heads" xfId="53151" xr:uid="{00000000-0005-0000-0000-0000109B0000}"/>
    <cellStyle name="C03_Sub head bold" xfId="53152" xr:uid="{00000000-0005-0000-0000-0000119B0000}"/>
    <cellStyle name="C03a_Sub head" xfId="53153" xr:uid="{00000000-0005-0000-0000-0000129B0000}"/>
    <cellStyle name="C04_Total text white bold" xfId="53154" xr:uid="{00000000-0005-0000-0000-0000139B0000}"/>
    <cellStyle name="C04a_Total text black with rule" xfId="53155" xr:uid="{00000000-0005-0000-0000-0000149B0000}"/>
    <cellStyle name="C05_Main text" xfId="53156" xr:uid="{00000000-0005-0000-0000-0000159B0000}"/>
    <cellStyle name="C06_Figs" xfId="53157" xr:uid="{00000000-0005-0000-0000-0000169B0000}"/>
    <cellStyle name="C07_Figs 1 dec percent" xfId="53158" xr:uid="{00000000-0005-0000-0000-0000179B0000}"/>
    <cellStyle name="C08_Figs 1 decimal" xfId="53159" xr:uid="{00000000-0005-0000-0000-0000189B0000}"/>
    <cellStyle name="C09_Notes" xfId="53160" xr:uid="{00000000-0005-0000-0000-0000199B0000}"/>
    <cellStyle name="Calcolo" xfId="26" xr:uid="{00000000-0005-0000-0000-00001A9B0000}"/>
    <cellStyle name="Calcolo 2" xfId="9668" xr:uid="{00000000-0005-0000-0000-00001B9B0000}"/>
    <cellStyle name="Calcolo 3" xfId="51706" xr:uid="{00000000-0005-0000-0000-00001C9B0000}"/>
    <cellStyle name="Calculation" xfId="1126" builtinId="22" customBuiltin="1"/>
    <cellStyle name="Calculation 2" xfId="17890" xr:uid="{00000000-0005-0000-0000-00001E9B0000}"/>
    <cellStyle name="Calculation 2 2" xfId="53253" xr:uid="{00000000-0005-0000-0000-00001F9B0000}"/>
    <cellStyle name="Calculation 2 3" xfId="53161" xr:uid="{00000000-0005-0000-0000-0000209B0000}"/>
    <cellStyle name="Calculations" xfId="16687" xr:uid="{00000000-0005-0000-0000-0000219B0000}"/>
    <cellStyle name="Cella collegata" xfId="27" xr:uid="{00000000-0005-0000-0000-0000229B0000}"/>
    <cellStyle name="Cella da controllare" xfId="28" xr:uid="{00000000-0005-0000-0000-0000239B0000}"/>
    <cellStyle name="Check Cell" xfId="1128" builtinId="23" customBuiltin="1"/>
    <cellStyle name="Check Cell 2" xfId="53162" xr:uid="{00000000-0005-0000-0000-0000259B0000}"/>
    <cellStyle name="Colore 1" xfId="29" xr:uid="{00000000-0005-0000-0000-0000269B0000}"/>
    <cellStyle name="Colore 2" xfId="30" xr:uid="{00000000-0005-0000-0000-0000279B0000}"/>
    <cellStyle name="Colore 3" xfId="31" xr:uid="{00000000-0005-0000-0000-0000289B0000}"/>
    <cellStyle name="Colore 4" xfId="32" xr:uid="{00000000-0005-0000-0000-0000299B0000}"/>
    <cellStyle name="Colore 5" xfId="33" xr:uid="{00000000-0005-0000-0000-00002A9B0000}"/>
    <cellStyle name="Colore 6" xfId="34" xr:uid="{00000000-0005-0000-0000-00002B9B0000}"/>
    <cellStyle name="Comma" xfId="35" builtinId="3"/>
    <cellStyle name="Comma 10" xfId="49320" xr:uid="{00000000-0005-0000-0000-00002D9B0000}"/>
    <cellStyle name="Comma 10 2" xfId="53163" xr:uid="{00000000-0005-0000-0000-00002E9B0000}"/>
    <cellStyle name="Comma 11" xfId="49726" xr:uid="{00000000-0005-0000-0000-00002F9B0000}"/>
    <cellStyle name="Comma 12" xfId="50134" xr:uid="{00000000-0005-0000-0000-0000309B0000}"/>
    <cellStyle name="Comma 13" xfId="50548" xr:uid="{00000000-0005-0000-0000-0000319B0000}"/>
    <cellStyle name="Comma 14" xfId="51295" xr:uid="{00000000-0005-0000-0000-0000329B0000}"/>
    <cellStyle name="Comma 15" xfId="51707" xr:uid="{00000000-0005-0000-0000-0000339B0000}"/>
    <cellStyle name="Comma 2" xfId="36" xr:uid="{00000000-0005-0000-0000-0000349B0000}"/>
    <cellStyle name="Comma 2 10" xfId="33976" xr:uid="{00000000-0005-0000-0000-0000359B0000}"/>
    <cellStyle name="Comma 2 10 2" xfId="53111" xr:uid="{00000000-0005-0000-0000-0000369B0000}"/>
    <cellStyle name="Comma 2 11" xfId="48916" xr:uid="{00000000-0005-0000-0000-0000379B0000}"/>
    <cellStyle name="Comma 2 11 2" xfId="54589" xr:uid="{00000000-0005-0000-0000-0000389B0000}"/>
    <cellStyle name="Comma 2 12" xfId="49321" xr:uid="{00000000-0005-0000-0000-0000399B0000}"/>
    <cellStyle name="Comma 2 13" xfId="49727" xr:uid="{00000000-0005-0000-0000-00003A9B0000}"/>
    <cellStyle name="Comma 2 14" xfId="50135" xr:uid="{00000000-0005-0000-0000-00003B9B0000}"/>
    <cellStyle name="Comma 2 15" xfId="50549" xr:uid="{00000000-0005-0000-0000-00003C9B0000}"/>
    <cellStyle name="Comma 2 16" xfId="51296" xr:uid="{00000000-0005-0000-0000-00003D9B0000}"/>
    <cellStyle name="Comma 2 17" xfId="51708" xr:uid="{00000000-0005-0000-0000-00003E9B0000}"/>
    <cellStyle name="Comma 2 2" xfId="37" xr:uid="{00000000-0005-0000-0000-00003F9B0000}"/>
    <cellStyle name="Comma 2 2 10" xfId="50550" xr:uid="{00000000-0005-0000-0000-0000409B0000}"/>
    <cellStyle name="Comma 2 2 11" xfId="51297" xr:uid="{00000000-0005-0000-0000-0000419B0000}"/>
    <cellStyle name="Comma 2 2 12" xfId="51709" xr:uid="{00000000-0005-0000-0000-0000429B0000}"/>
    <cellStyle name="Comma 2 2 2" xfId="8905" xr:uid="{00000000-0005-0000-0000-0000439B0000}"/>
    <cellStyle name="Comma 2 2 2 2" xfId="17957" xr:uid="{00000000-0005-0000-0000-0000449B0000}"/>
    <cellStyle name="Comma 2 2 2 2 2" xfId="18920" xr:uid="{00000000-0005-0000-0000-0000459B0000}"/>
    <cellStyle name="Comma 2 2 2 3" xfId="18894" xr:uid="{00000000-0005-0000-0000-0000469B0000}"/>
    <cellStyle name="Comma 2 2 2 4" xfId="16688" xr:uid="{00000000-0005-0000-0000-0000479B0000}"/>
    <cellStyle name="Comma 2 2 3" xfId="9671" xr:uid="{00000000-0005-0000-0000-0000489B0000}"/>
    <cellStyle name="Comma 2 2 3 2" xfId="18893" xr:uid="{00000000-0005-0000-0000-0000499B0000}"/>
    <cellStyle name="Comma 2 2 3 3" xfId="26000" xr:uid="{00000000-0005-0000-0000-00004A9B0000}"/>
    <cellStyle name="Comma 2 2 3 4" xfId="40979" xr:uid="{00000000-0005-0000-0000-00004B9B0000}"/>
    <cellStyle name="Comma 2 2 4" xfId="18981" xr:uid="{00000000-0005-0000-0000-00004C9B0000}"/>
    <cellStyle name="Comma 2 2 4 2" xfId="53105" xr:uid="{00000000-0005-0000-0000-00004D9B0000}"/>
    <cellStyle name="Comma 2 2 5" xfId="33977" xr:uid="{00000000-0005-0000-0000-00004E9B0000}"/>
    <cellStyle name="Comma 2 2 5 2" xfId="56383" xr:uid="{00000000-0005-0000-0000-00004F9B0000}"/>
    <cellStyle name="Comma 2 2 5 3" xfId="53164" xr:uid="{00000000-0005-0000-0000-0000509B0000}"/>
    <cellStyle name="Comma 2 2 6" xfId="48917" xr:uid="{00000000-0005-0000-0000-0000519B0000}"/>
    <cellStyle name="Comma 2 2 7" xfId="49322" xr:uid="{00000000-0005-0000-0000-0000529B0000}"/>
    <cellStyle name="Comma 2 2 8" xfId="49728" xr:uid="{00000000-0005-0000-0000-0000539B0000}"/>
    <cellStyle name="Comma 2 2 9" xfId="50136" xr:uid="{00000000-0005-0000-0000-0000549B0000}"/>
    <cellStyle name="Comma 2 3" xfId="38" xr:uid="{00000000-0005-0000-0000-0000559B0000}"/>
    <cellStyle name="Comma 2 3 10" xfId="49323" xr:uid="{00000000-0005-0000-0000-0000569B0000}"/>
    <cellStyle name="Comma 2 3 11" xfId="49729" xr:uid="{00000000-0005-0000-0000-0000579B0000}"/>
    <cellStyle name="Comma 2 3 12" xfId="50137" xr:uid="{00000000-0005-0000-0000-0000589B0000}"/>
    <cellStyle name="Comma 2 3 13" xfId="50551" xr:uid="{00000000-0005-0000-0000-0000599B0000}"/>
    <cellStyle name="Comma 2 3 14" xfId="51298" xr:uid="{00000000-0005-0000-0000-00005A9B0000}"/>
    <cellStyle name="Comma 2 3 15" xfId="51710" xr:uid="{00000000-0005-0000-0000-00005B9B0000}"/>
    <cellStyle name="Comma 2 3 2" xfId="39" xr:uid="{00000000-0005-0000-0000-00005C9B0000}"/>
    <cellStyle name="Comma 2 3 2 10" xfId="50552" xr:uid="{00000000-0005-0000-0000-00005D9B0000}"/>
    <cellStyle name="Comma 2 3 2 11" xfId="51299" xr:uid="{00000000-0005-0000-0000-00005E9B0000}"/>
    <cellStyle name="Comma 2 3 2 12" xfId="51711" xr:uid="{00000000-0005-0000-0000-00005F9B0000}"/>
    <cellStyle name="Comma 2 3 2 2" xfId="8907" xr:uid="{00000000-0005-0000-0000-0000609B0000}"/>
    <cellStyle name="Comma 2 3 2 3" xfId="9673" xr:uid="{00000000-0005-0000-0000-0000619B0000}"/>
    <cellStyle name="Comma 2 3 2 3 2" xfId="26002" xr:uid="{00000000-0005-0000-0000-0000629B0000}"/>
    <cellStyle name="Comma 2 3 2 3 3" xfId="40981" xr:uid="{00000000-0005-0000-0000-0000639B0000}"/>
    <cellStyle name="Comma 2 3 2 4" xfId="18983" xr:uid="{00000000-0005-0000-0000-0000649B0000}"/>
    <cellStyle name="Comma 2 3 2 5" xfId="33979" xr:uid="{00000000-0005-0000-0000-0000659B0000}"/>
    <cellStyle name="Comma 2 3 2 6" xfId="48919" xr:uid="{00000000-0005-0000-0000-0000669B0000}"/>
    <cellStyle name="Comma 2 3 2 7" xfId="49324" xr:uid="{00000000-0005-0000-0000-0000679B0000}"/>
    <cellStyle name="Comma 2 3 2 8" xfId="49730" xr:uid="{00000000-0005-0000-0000-0000689B0000}"/>
    <cellStyle name="Comma 2 3 2 9" xfId="50138" xr:uid="{00000000-0005-0000-0000-0000699B0000}"/>
    <cellStyle name="Comma 2 3 3" xfId="8906" xr:uid="{00000000-0005-0000-0000-00006A9B0000}"/>
    <cellStyle name="Comma 2 3 3 2" xfId="17959" xr:uid="{00000000-0005-0000-0000-00006B9B0000}"/>
    <cellStyle name="Comma 2 3 3 2 2" xfId="18922" xr:uid="{00000000-0005-0000-0000-00006C9B0000}"/>
    <cellStyle name="Comma 2 3 3 3" xfId="18896" xr:uid="{00000000-0005-0000-0000-00006D9B0000}"/>
    <cellStyle name="Comma 2 3 3 4" xfId="16690" xr:uid="{00000000-0005-0000-0000-00006E9B0000}"/>
    <cellStyle name="Comma 2 3 4" xfId="9672" xr:uid="{00000000-0005-0000-0000-00006F9B0000}"/>
    <cellStyle name="Comma 2 3 4 2" xfId="18921" xr:uid="{00000000-0005-0000-0000-0000709B0000}"/>
    <cellStyle name="Comma 2 3 4 3" xfId="17958" xr:uid="{00000000-0005-0000-0000-0000719B0000}"/>
    <cellStyle name="Comma 2 3 4 4" xfId="26001" xr:uid="{00000000-0005-0000-0000-0000729B0000}"/>
    <cellStyle name="Comma 2 3 4 5" xfId="40980" xr:uid="{00000000-0005-0000-0000-0000739B0000}"/>
    <cellStyle name="Comma 2 3 5" xfId="18895" xr:uid="{00000000-0005-0000-0000-0000749B0000}"/>
    <cellStyle name="Comma 2 3 6" xfId="16689" xr:uid="{00000000-0005-0000-0000-0000759B0000}"/>
    <cellStyle name="Comma 2 3 7" xfId="18982" xr:uid="{00000000-0005-0000-0000-0000769B0000}"/>
    <cellStyle name="Comma 2 3 8" xfId="33978" xr:uid="{00000000-0005-0000-0000-0000779B0000}"/>
    <cellStyle name="Comma 2 3 9" xfId="48918" xr:uid="{00000000-0005-0000-0000-0000789B0000}"/>
    <cellStyle name="Comma 2 4" xfId="40" xr:uid="{00000000-0005-0000-0000-0000799B0000}"/>
    <cellStyle name="Comma 2 4 10" xfId="49731" xr:uid="{00000000-0005-0000-0000-00007A9B0000}"/>
    <cellStyle name="Comma 2 4 11" xfId="50139" xr:uid="{00000000-0005-0000-0000-00007B9B0000}"/>
    <cellStyle name="Comma 2 4 12" xfId="50553" xr:uid="{00000000-0005-0000-0000-00007C9B0000}"/>
    <cellStyle name="Comma 2 4 13" xfId="50949" xr:uid="{00000000-0005-0000-0000-00007D9B0000}"/>
    <cellStyle name="Comma 2 4 14" xfId="51300" xr:uid="{00000000-0005-0000-0000-00007E9B0000}"/>
    <cellStyle name="Comma 2 4 15" xfId="51712" xr:uid="{00000000-0005-0000-0000-00007F9B0000}"/>
    <cellStyle name="Comma 2 4 2" xfId="1194" xr:uid="{00000000-0005-0000-0000-0000809B0000}"/>
    <cellStyle name="Comma 2 4 2 10" xfId="50470" xr:uid="{00000000-0005-0000-0000-0000819B0000}"/>
    <cellStyle name="Comma 2 4 2 11" xfId="51030" xr:uid="{00000000-0005-0000-0000-0000829B0000}"/>
    <cellStyle name="Comma 2 4 2 12" xfId="50948" xr:uid="{00000000-0005-0000-0000-0000839B0000}"/>
    <cellStyle name="Comma 2 4 2 13" xfId="51631" xr:uid="{00000000-0005-0000-0000-0000849B0000}"/>
    <cellStyle name="Comma 2 4 2 14" xfId="52052" xr:uid="{00000000-0005-0000-0000-0000859B0000}"/>
    <cellStyle name="Comma 2 4 2 2" xfId="8895" xr:uid="{00000000-0005-0000-0000-0000869B0000}"/>
    <cellStyle name="Comma 2 4 2 2 2" xfId="16669" xr:uid="{00000000-0005-0000-0000-0000879B0000}"/>
    <cellStyle name="Comma 2 4 2 2 2 2" xfId="32983" xr:uid="{00000000-0005-0000-0000-0000889B0000}"/>
    <cellStyle name="Comma 2 4 2 2 2 3" xfId="47947" xr:uid="{00000000-0005-0000-0000-0000899B0000}"/>
    <cellStyle name="Comma 2 4 2 2 3" xfId="25961" xr:uid="{00000000-0005-0000-0000-00008A9B0000}"/>
    <cellStyle name="Comma 2 4 2 2 4" xfId="40948" xr:uid="{00000000-0005-0000-0000-00008B9B0000}"/>
    <cellStyle name="Comma 2 4 2 3" xfId="10009" xr:uid="{00000000-0005-0000-0000-00008C9B0000}"/>
    <cellStyle name="Comma 2 4 2 3 2" xfId="26330" xr:uid="{00000000-0005-0000-0000-00008D9B0000}"/>
    <cellStyle name="Comma 2 4 2 3 3" xfId="41298" xr:uid="{00000000-0005-0000-0000-00008E9B0000}"/>
    <cellStyle name="Comma 2 4 2 4" xfId="18897" xr:uid="{00000000-0005-0000-0000-00008F9B0000}"/>
    <cellStyle name="Comma 2 4 2 5" xfId="19309" xr:uid="{00000000-0005-0000-0000-0000909B0000}"/>
    <cellStyle name="Comma 2 4 2 6" xfId="34299" xr:uid="{00000000-0005-0000-0000-0000919B0000}"/>
    <cellStyle name="Comma 2 4 2 7" xfId="49251" xr:uid="{00000000-0005-0000-0000-0000929B0000}"/>
    <cellStyle name="Comma 2 4 2 8" xfId="49656" xr:uid="{00000000-0005-0000-0000-0000939B0000}"/>
    <cellStyle name="Comma 2 4 2 9" xfId="50065" xr:uid="{00000000-0005-0000-0000-0000949B0000}"/>
    <cellStyle name="Comma 2 4 3" xfId="8862" xr:uid="{00000000-0005-0000-0000-0000959B0000}"/>
    <cellStyle name="Comma 2 4 3 2" xfId="16638" xr:uid="{00000000-0005-0000-0000-0000969B0000}"/>
    <cellStyle name="Comma 2 4 3 2 2" xfId="32952" xr:uid="{00000000-0005-0000-0000-0000979B0000}"/>
    <cellStyle name="Comma 2 4 3 2 3" xfId="47916" xr:uid="{00000000-0005-0000-0000-0000989B0000}"/>
    <cellStyle name="Comma 2 4 3 3" xfId="25930" xr:uid="{00000000-0005-0000-0000-0000999B0000}"/>
    <cellStyle name="Comma 2 4 3 4" xfId="40917" xr:uid="{00000000-0005-0000-0000-00009A9B0000}"/>
    <cellStyle name="Comma 2 4 4" xfId="8908" xr:uid="{00000000-0005-0000-0000-00009B9B0000}"/>
    <cellStyle name="Comma 2 4 5" xfId="9674" xr:uid="{00000000-0005-0000-0000-00009C9B0000}"/>
    <cellStyle name="Comma 2 4 5 2" xfId="26003" xr:uid="{00000000-0005-0000-0000-00009D9B0000}"/>
    <cellStyle name="Comma 2 4 5 3" xfId="40982" xr:uid="{00000000-0005-0000-0000-00009E9B0000}"/>
    <cellStyle name="Comma 2 4 6" xfId="18984" xr:uid="{00000000-0005-0000-0000-00009F9B0000}"/>
    <cellStyle name="Comma 2 4 7" xfId="33980" xr:uid="{00000000-0005-0000-0000-0000A09B0000}"/>
    <cellStyle name="Comma 2 4 8" xfId="48920" xr:uid="{00000000-0005-0000-0000-0000A19B0000}"/>
    <cellStyle name="Comma 2 4 9" xfId="49325" xr:uid="{00000000-0005-0000-0000-0000A29B0000}"/>
    <cellStyle name="Comma 2 5" xfId="8904" xr:uid="{00000000-0005-0000-0000-0000A39B0000}"/>
    <cellStyle name="Comma 2 5 2" xfId="18898" xr:uid="{00000000-0005-0000-0000-0000A49B0000}"/>
    <cellStyle name="Comma 2 5 2 2" xfId="56327" xr:uid="{00000000-0005-0000-0000-0000A59B0000}"/>
    <cellStyle name="Comma 2 5 3" xfId="16691" xr:uid="{00000000-0005-0000-0000-0000A69B0000}"/>
    <cellStyle name="Comma 2 6" xfId="9670" xr:uid="{00000000-0005-0000-0000-0000A79B0000}"/>
    <cellStyle name="Comma 2 6 2" xfId="16693" xr:uid="{00000000-0005-0000-0000-0000A89B0000}"/>
    <cellStyle name="Comma 2 6 2 2" xfId="32999" xr:uid="{00000000-0005-0000-0000-0000A99B0000}"/>
    <cellStyle name="Comma 2 6 2 2 2" xfId="54656" xr:uid="{00000000-0005-0000-0000-0000AA9B0000}"/>
    <cellStyle name="Comma 2 6 2 3" xfId="47960" xr:uid="{00000000-0005-0000-0000-0000AB9B0000}"/>
    <cellStyle name="Comma 2 6 2 3 2" xfId="55406" xr:uid="{00000000-0005-0000-0000-0000AC9B0000}"/>
    <cellStyle name="Comma 2 6 2 4" xfId="52124" xr:uid="{00000000-0005-0000-0000-0000AD9B0000}"/>
    <cellStyle name="Comma 2 6 3" xfId="16692" xr:uid="{00000000-0005-0000-0000-0000AE9B0000}"/>
    <cellStyle name="Comma 2 6 3 2" xfId="32998" xr:uid="{00000000-0005-0000-0000-0000AF9B0000}"/>
    <cellStyle name="Comma 2 6 3 3" xfId="47959" xr:uid="{00000000-0005-0000-0000-0000B09B0000}"/>
    <cellStyle name="Comma 2 6 3 4" xfId="54655" xr:uid="{00000000-0005-0000-0000-0000B19B0000}"/>
    <cellStyle name="Comma 2 6 4" xfId="25999" xr:uid="{00000000-0005-0000-0000-0000B29B0000}"/>
    <cellStyle name="Comma 2 6 4 2" xfId="55405" xr:uid="{00000000-0005-0000-0000-0000B39B0000}"/>
    <cellStyle name="Comma 2 6 5" xfId="40978" xr:uid="{00000000-0005-0000-0000-0000B49B0000}"/>
    <cellStyle name="Comma 2 6 6" xfId="52123" xr:uid="{00000000-0005-0000-0000-0000B59B0000}"/>
    <cellStyle name="Comma 2 7" xfId="18941" xr:uid="{00000000-0005-0000-0000-0000B69B0000}"/>
    <cellStyle name="Comma 2 7 2" xfId="33942" xr:uid="{00000000-0005-0000-0000-0000B79B0000}"/>
    <cellStyle name="Comma 2 7 2 2" xfId="54654" xr:uid="{00000000-0005-0000-0000-0000B89B0000}"/>
    <cellStyle name="Comma 2 7 3" xfId="48903" xr:uid="{00000000-0005-0000-0000-0000B99B0000}"/>
    <cellStyle name="Comma 2 7 3 2" xfId="56350" xr:uid="{00000000-0005-0000-0000-0000BA9B0000}"/>
    <cellStyle name="Comma 2 7 4" xfId="53076" xr:uid="{00000000-0005-0000-0000-0000BB9B0000}"/>
    <cellStyle name="Comma 2 8" xfId="18892" xr:uid="{00000000-0005-0000-0000-0000BC9B0000}"/>
    <cellStyle name="Comma 2 9" xfId="18980" xr:uid="{00000000-0005-0000-0000-0000BD9B0000}"/>
    <cellStyle name="Comma 2 9 2" xfId="56376" xr:uid="{00000000-0005-0000-0000-0000BE9B0000}"/>
    <cellStyle name="Comma 2 9 3" xfId="53102" xr:uid="{00000000-0005-0000-0000-0000BF9B0000}"/>
    <cellStyle name="Comma 3" xfId="41" xr:uid="{00000000-0005-0000-0000-0000C09B0000}"/>
    <cellStyle name="Comma 3 10" xfId="49326" xr:uid="{00000000-0005-0000-0000-0000C19B0000}"/>
    <cellStyle name="Comma 3 11" xfId="49732" xr:uid="{00000000-0005-0000-0000-0000C29B0000}"/>
    <cellStyle name="Comma 3 12" xfId="50140" xr:uid="{00000000-0005-0000-0000-0000C39B0000}"/>
    <cellStyle name="Comma 3 13" xfId="50554" xr:uid="{00000000-0005-0000-0000-0000C49B0000}"/>
    <cellStyle name="Comma 3 14" xfId="51301" xr:uid="{00000000-0005-0000-0000-0000C59B0000}"/>
    <cellStyle name="Comma 3 15" xfId="51713" xr:uid="{00000000-0005-0000-0000-0000C69B0000}"/>
    <cellStyle name="Comma 3 2" xfId="1165" xr:uid="{00000000-0005-0000-0000-0000C79B0000}"/>
    <cellStyle name="Comma 3 2 2" xfId="16695" xr:uid="{00000000-0005-0000-0000-0000C89B0000}"/>
    <cellStyle name="Comma 3 2 2 2" xfId="18901" xr:uid="{00000000-0005-0000-0000-0000C99B0000}"/>
    <cellStyle name="Comma 3 2 3" xfId="18900" xr:uid="{00000000-0005-0000-0000-0000CA9B0000}"/>
    <cellStyle name="Comma 3 2 4" xfId="16694" xr:uid="{00000000-0005-0000-0000-0000CB9B0000}"/>
    <cellStyle name="Comma 3 2 4 2" xfId="56384" xr:uid="{00000000-0005-0000-0000-0000CC9B0000}"/>
    <cellStyle name="Comma 3 2 4 3" xfId="53165" xr:uid="{00000000-0005-0000-0000-0000CD9B0000}"/>
    <cellStyle name="Comma 3 3" xfId="1195" xr:uid="{00000000-0005-0000-0000-0000CE9B0000}"/>
    <cellStyle name="Comma 3 3 10" xfId="50471" xr:uid="{00000000-0005-0000-0000-0000CF9B0000}"/>
    <cellStyle name="Comma 3 3 11" xfId="51031" xr:uid="{00000000-0005-0000-0000-0000D09B0000}"/>
    <cellStyle name="Comma 3 3 12" xfId="51632" xr:uid="{00000000-0005-0000-0000-0000D19B0000}"/>
    <cellStyle name="Comma 3 3 13" xfId="52053" xr:uid="{00000000-0005-0000-0000-0000D29B0000}"/>
    <cellStyle name="Comma 3 3 14" xfId="52125" xr:uid="{00000000-0005-0000-0000-0000D39B0000}"/>
    <cellStyle name="Comma 3 3 2" xfId="10010" xr:uid="{00000000-0005-0000-0000-0000D49B0000}"/>
    <cellStyle name="Comma 3 3 2 2" xfId="18924" xr:uid="{00000000-0005-0000-0000-0000D59B0000}"/>
    <cellStyle name="Comma 3 3 2 2 2" xfId="33930" xr:uid="{00000000-0005-0000-0000-0000D69B0000}"/>
    <cellStyle name="Comma 3 3 2 2 2 2" xfId="56338" xr:uid="{00000000-0005-0000-0000-0000D79B0000}"/>
    <cellStyle name="Comma 3 3 2 2 3" xfId="48891" xr:uid="{00000000-0005-0000-0000-0000D89B0000}"/>
    <cellStyle name="Comma 3 3 2 2 4" xfId="53064" xr:uid="{00000000-0005-0000-0000-0000D99B0000}"/>
    <cellStyle name="Comma 3 3 2 3" xfId="17961" xr:uid="{00000000-0005-0000-0000-0000DA9B0000}"/>
    <cellStyle name="Comma 3 3 2 3 2" xfId="33611" xr:uid="{00000000-0005-0000-0000-0000DB9B0000}"/>
    <cellStyle name="Comma 3 3 2 3 3" xfId="48572" xr:uid="{00000000-0005-0000-0000-0000DC9B0000}"/>
    <cellStyle name="Comma 3 3 2 3 4" xfId="55096" xr:uid="{00000000-0005-0000-0000-0000DD9B0000}"/>
    <cellStyle name="Comma 3 3 2 4" xfId="26331" xr:uid="{00000000-0005-0000-0000-0000DE9B0000}"/>
    <cellStyle name="Comma 3 3 2 4 2" xfId="56018" xr:uid="{00000000-0005-0000-0000-0000DF9B0000}"/>
    <cellStyle name="Comma 3 3 2 5" xfId="41299" xr:uid="{00000000-0005-0000-0000-0000E09B0000}"/>
    <cellStyle name="Comma 3 3 2 6" xfId="52741" xr:uid="{00000000-0005-0000-0000-0000E19B0000}"/>
    <cellStyle name="Comma 3 3 3" xfId="18902" xr:uid="{00000000-0005-0000-0000-0000E29B0000}"/>
    <cellStyle name="Comma 3 3 3 2" xfId="33920" xr:uid="{00000000-0005-0000-0000-0000E39B0000}"/>
    <cellStyle name="Comma 3 3 3 2 2" xfId="56328" xr:uid="{00000000-0005-0000-0000-0000E49B0000}"/>
    <cellStyle name="Comma 3 3 3 3" xfId="48881" xr:uid="{00000000-0005-0000-0000-0000E59B0000}"/>
    <cellStyle name="Comma 3 3 3 4" xfId="53054" xr:uid="{00000000-0005-0000-0000-0000E69B0000}"/>
    <cellStyle name="Comma 3 3 4" xfId="16696" xr:uid="{00000000-0005-0000-0000-0000E79B0000}"/>
    <cellStyle name="Comma 3 3 4 2" xfId="33000" xr:uid="{00000000-0005-0000-0000-0000E89B0000}"/>
    <cellStyle name="Comma 3 3 4 3" xfId="47961" xr:uid="{00000000-0005-0000-0000-0000E99B0000}"/>
    <cellStyle name="Comma 3 3 4 4" xfId="54658" xr:uid="{00000000-0005-0000-0000-0000EA9B0000}"/>
    <cellStyle name="Comma 3 3 5" xfId="19310" xr:uid="{00000000-0005-0000-0000-0000EB9B0000}"/>
    <cellStyle name="Comma 3 3 5 2" xfId="55407" xr:uid="{00000000-0005-0000-0000-0000EC9B0000}"/>
    <cellStyle name="Comma 3 3 6" xfId="34300" xr:uid="{00000000-0005-0000-0000-0000ED9B0000}"/>
    <cellStyle name="Comma 3 3 7" xfId="49252" xr:uid="{00000000-0005-0000-0000-0000EE9B0000}"/>
    <cellStyle name="Comma 3 3 8" xfId="49657" xr:uid="{00000000-0005-0000-0000-0000EF9B0000}"/>
    <cellStyle name="Comma 3 3 9" xfId="50066" xr:uid="{00000000-0005-0000-0000-0000F09B0000}"/>
    <cellStyle name="Comma 3 4" xfId="9675" xr:uid="{00000000-0005-0000-0000-0000F19B0000}"/>
    <cellStyle name="Comma 3 4 2" xfId="18923" xr:uid="{00000000-0005-0000-0000-0000F29B0000}"/>
    <cellStyle name="Comma 3 4 3" xfId="17960" xr:uid="{00000000-0005-0000-0000-0000F39B0000}"/>
    <cellStyle name="Comma 3 4 4" xfId="26004" xr:uid="{00000000-0005-0000-0000-0000F49B0000}"/>
    <cellStyle name="Comma 3 4 5" xfId="40983" xr:uid="{00000000-0005-0000-0000-0000F59B0000}"/>
    <cellStyle name="Comma 3 5" xfId="18943" xr:uid="{00000000-0005-0000-0000-0000F69B0000}"/>
    <cellStyle name="Comma 3 5 2" xfId="33944" xr:uid="{00000000-0005-0000-0000-0000F79B0000}"/>
    <cellStyle name="Comma 3 5 2 2" xfId="54657" xr:uid="{00000000-0005-0000-0000-0000F89B0000}"/>
    <cellStyle name="Comma 3 5 3" xfId="48905" xr:uid="{00000000-0005-0000-0000-0000F99B0000}"/>
    <cellStyle name="Comma 3 5 3 2" xfId="56352" xr:uid="{00000000-0005-0000-0000-0000FA9B0000}"/>
    <cellStyle name="Comma 3 5 4" xfId="53078" xr:uid="{00000000-0005-0000-0000-0000FB9B0000}"/>
    <cellStyle name="Comma 3 6" xfId="18899" xr:uid="{00000000-0005-0000-0000-0000FC9B0000}"/>
    <cellStyle name="Comma 3 7" xfId="18985" xr:uid="{00000000-0005-0000-0000-0000FD9B0000}"/>
    <cellStyle name="Comma 3 7 2" xfId="56377" xr:uid="{00000000-0005-0000-0000-0000FE9B0000}"/>
    <cellStyle name="Comma 3 7 3" xfId="53103" xr:uid="{00000000-0005-0000-0000-0000FF9B0000}"/>
    <cellStyle name="Comma 3 8" xfId="33981" xr:uid="{00000000-0005-0000-0000-0000009C0000}"/>
    <cellStyle name="Comma 3 8 2" xfId="53110" xr:uid="{00000000-0005-0000-0000-0000019C0000}"/>
    <cellStyle name="Comma 3 9" xfId="48921" xr:uid="{00000000-0005-0000-0000-0000029C0000}"/>
    <cellStyle name="Comma 3 9 2" xfId="54590" xr:uid="{00000000-0005-0000-0000-0000039C0000}"/>
    <cellStyle name="Comma 4" xfId="42" xr:uid="{00000000-0005-0000-0000-0000049C0000}"/>
    <cellStyle name="Comma 4 2" xfId="1196" xr:uid="{00000000-0005-0000-0000-0000059C0000}"/>
    <cellStyle name="Comma 4 2 2" xfId="16699" xr:uid="{00000000-0005-0000-0000-0000069C0000}"/>
    <cellStyle name="Comma 4 2 2 2" xfId="18905" xr:uid="{00000000-0005-0000-0000-0000079C0000}"/>
    <cellStyle name="Comma 4 2 3" xfId="18904" xr:uid="{00000000-0005-0000-0000-0000089C0000}"/>
    <cellStyle name="Comma 4 2 4" xfId="16698" xr:uid="{00000000-0005-0000-0000-0000099C0000}"/>
    <cellStyle name="Comma 4 2 4 2" xfId="56385" xr:uid="{00000000-0005-0000-0000-00000A9C0000}"/>
    <cellStyle name="Comma 4 2 4 3" xfId="53166" xr:uid="{00000000-0005-0000-0000-00000B9C0000}"/>
    <cellStyle name="Comma 4 3" xfId="8909" xr:uid="{00000000-0005-0000-0000-00000C9C0000}"/>
    <cellStyle name="Comma 4 3 2" xfId="17963" xr:uid="{00000000-0005-0000-0000-00000D9C0000}"/>
    <cellStyle name="Comma 4 3 2 2" xfId="18926" xr:uid="{00000000-0005-0000-0000-00000E9C0000}"/>
    <cellStyle name="Comma 4 3 2 2 2" xfId="33931" xr:uid="{00000000-0005-0000-0000-00000F9C0000}"/>
    <cellStyle name="Comma 4 3 2 2 2 2" xfId="56339" xr:uid="{00000000-0005-0000-0000-0000109C0000}"/>
    <cellStyle name="Comma 4 3 2 2 3" xfId="48892" xr:uid="{00000000-0005-0000-0000-0000119C0000}"/>
    <cellStyle name="Comma 4 3 2 2 4" xfId="53065" xr:uid="{00000000-0005-0000-0000-0000129C0000}"/>
    <cellStyle name="Comma 4 3 2 3" xfId="33612" xr:uid="{00000000-0005-0000-0000-0000139C0000}"/>
    <cellStyle name="Comma 4 3 2 3 2" xfId="55097" xr:uid="{00000000-0005-0000-0000-0000149C0000}"/>
    <cellStyle name="Comma 4 3 2 4" xfId="48573" xr:uid="{00000000-0005-0000-0000-0000159C0000}"/>
    <cellStyle name="Comma 4 3 2 4 2" xfId="56019" xr:uid="{00000000-0005-0000-0000-0000169C0000}"/>
    <cellStyle name="Comma 4 3 2 5" xfId="52742" xr:uid="{00000000-0005-0000-0000-0000179C0000}"/>
    <cellStyle name="Comma 4 3 3" xfId="18906" xr:uid="{00000000-0005-0000-0000-0000189C0000}"/>
    <cellStyle name="Comma 4 3 3 2" xfId="33921" xr:uid="{00000000-0005-0000-0000-0000199C0000}"/>
    <cellStyle name="Comma 4 3 3 2 2" xfId="56329" xr:uid="{00000000-0005-0000-0000-00001A9C0000}"/>
    <cellStyle name="Comma 4 3 3 3" xfId="48882" xr:uid="{00000000-0005-0000-0000-00001B9C0000}"/>
    <cellStyle name="Comma 4 3 3 4" xfId="53055" xr:uid="{00000000-0005-0000-0000-00001C9C0000}"/>
    <cellStyle name="Comma 4 3 4" xfId="16700" xr:uid="{00000000-0005-0000-0000-00001D9C0000}"/>
    <cellStyle name="Comma 4 3 4 2" xfId="33001" xr:uid="{00000000-0005-0000-0000-00001E9C0000}"/>
    <cellStyle name="Comma 4 3 4 3" xfId="47962" xr:uid="{00000000-0005-0000-0000-00001F9C0000}"/>
    <cellStyle name="Comma 4 3 4 4" xfId="54659" xr:uid="{00000000-0005-0000-0000-0000209C0000}"/>
    <cellStyle name="Comma 4 3 5" xfId="55408" xr:uid="{00000000-0005-0000-0000-0000219C0000}"/>
    <cellStyle name="Comma 4 3 6" xfId="52126" xr:uid="{00000000-0005-0000-0000-0000229C0000}"/>
    <cellStyle name="Comma 4 4" xfId="9676" xr:uid="{00000000-0005-0000-0000-0000239C0000}"/>
    <cellStyle name="Comma 4 4 2" xfId="17964" xr:uid="{00000000-0005-0000-0000-0000249C0000}"/>
    <cellStyle name="Comma 4 4 2 2" xfId="18927" xr:uid="{00000000-0005-0000-0000-0000259C0000}"/>
    <cellStyle name="Comma 4 4 3" xfId="18907" xr:uid="{00000000-0005-0000-0000-0000269C0000}"/>
    <cellStyle name="Comma 4 4 4" xfId="16701" xr:uid="{00000000-0005-0000-0000-0000279C0000}"/>
    <cellStyle name="Comma 4 5" xfId="17962" xr:uid="{00000000-0005-0000-0000-0000289C0000}"/>
    <cellStyle name="Comma 4 5 2" xfId="18925" xr:uid="{00000000-0005-0000-0000-0000299C0000}"/>
    <cellStyle name="Comma 4 6" xfId="18903" xr:uid="{00000000-0005-0000-0000-00002A9C0000}"/>
    <cellStyle name="Comma 4 7" xfId="16697" xr:uid="{00000000-0005-0000-0000-00002B9C0000}"/>
    <cellStyle name="Comma 4 7 2" xfId="56378" xr:uid="{00000000-0005-0000-0000-00002C9C0000}"/>
    <cellStyle name="Comma 4 7 3" xfId="53104" xr:uid="{00000000-0005-0000-0000-00002D9C0000}"/>
    <cellStyle name="Comma 4 8" xfId="51151" xr:uid="{00000000-0005-0000-0000-00002E9C0000}"/>
    <cellStyle name="Comma 4 8 2" xfId="53112" xr:uid="{00000000-0005-0000-0000-00002F9C0000}"/>
    <cellStyle name="Comma 5" xfId="8781" xr:uid="{00000000-0005-0000-0000-0000309C0000}"/>
    <cellStyle name="Comma 5 2" xfId="16631" xr:uid="{00000000-0005-0000-0000-0000319C0000}"/>
    <cellStyle name="Comma 5 2 2" xfId="18928" xr:uid="{00000000-0005-0000-0000-0000329C0000}"/>
    <cellStyle name="Comma 5 2 3" xfId="17965" xr:uid="{00000000-0005-0000-0000-0000339C0000}"/>
    <cellStyle name="Comma 5 2 3 2" xfId="56386" xr:uid="{00000000-0005-0000-0000-0000349C0000}"/>
    <cellStyle name="Comma 5 2 3 3" xfId="53167" xr:uid="{00000000-0005-0000-0000-0000359C0000}"/>
    <cellStyle name="Comma 5 2 4" xfId="32946" xr:uid="{00000000-0005-0000-0000-0000369C0000}"/>
    <cellStyle name="Comma 5 2 5" xfId="47910" xr:uid="{00000000-0005-0000-0000-0000379C0000}"/>
    <cellStyle name="Comma 5 3" xfId="18908" xr:uid="{00000000-0005-0000-0000-0000389C0000}"/>
    <cellStyle name="Comma 5 4" xfId="16702" xr:uid="{00000000-0005-0000-0000-0000399C0000}"/>
    <cellStyle name="Comma 5 5" xfId="25924" xr:uid="{00000000-0005-0000-0000-00003A9C0000}"/>
    <cellStyle name="Comma 5 5 2" xfId="53113" xr:uid="{00000000-0005-0000-0000-00003B9C0000}"/>
    <cellStyle name="Comma 5 6" xfId="40911" xr:uid="{00000000-0005-0000-0000-00003C9C0000}"/>
    <cellStyle name="Comma 5 7" xfId="50947" xr:uid="{00000000-0005-0000-0000-00003D9C0000}"/>
    <cellStyle name="Comma 6" xfId="8910" xr:uid="{00000000-0005-0000-0000-00003E9C0000}"/>
    <cellStyle name="Comma 6 2" xfId="17966" xr:uid="{00000000-0005-0000-0000-00003F9C0000}"/>
    <cellStyle name="Comma 6 2 2" xfId="18929" xr:uid="{00000000-0005-0000-0000-0000409C0000}"/>
    <cellStyle name="Comma 6 2 3" xfId="53168" xr:uid="{00000000-0005-0000-0000-0000419C0000}"/>
    <cellStyle name="Comma 6 2 3 2" xfId="56387" xr:uid="{00000000-0005-0000-0000-0000429C0000}"/>
    <cellStyle name="Comma 6 3" xfId="18909" xr:uid="{00000000-0005-0000-0000-0000439C0000}"/>
    <cellStyle name="Comma 6 4" xfId="50946" xr:uid="{00000000-0005-0000-0000-0000449C0000}"/>
    <cellStyle name="Comma 6 4 2" xfId="53109" xr:uid="{00000000-0005-0000-0000-0000459C0000}"/>
    <cellStyle name="Comma 7" xfId="9669" xr:uid="{00000000-0005-0000-0000-0000469C0000}"/>
    <cellStyle name="Comma 7 2" xfId="18891" xr:uid="{00000000-0005-0000-0000-0000479C0000}"/>
    <cellStyle name="Comma 7 2 2" xfId="18938" xr:uid="{00000000-0005-0000-0000-0000489C0000}"/>
    <cellStyle name="Comma 7 2 2 2" xfId="33939" xr:uid="{00000000-0005-0000-0000-0000499C0000}"/>
    <cellStyle name="Comma 7 2 2 2 2" xfId="56347" xr:uid="{00000000-0005-0000-0000-00004A9C0000}"/>
    <cellStyle name="Comma 7 2 2 3" xfId="48900" xr:uid="{00000000-0005-0000-0000-00004B9C0000}"/>
    <cellStyle name="Comma 7 2 2 4" xfId="53073" xr:uid="{00000000-0005-0000-0000-00004C9C0000}"/>
    <cellStyle name="Comma 7 2 3" xfId="33919" xr:uid="{00000000-0005-0000-0000-00004D9C0000}"/>
    <cellStyle name="Comma 7 2 3 2" xfId="55404" xr:uid="{00000000-0005-0000-0000-00004E9C0000}"/>
    <cellStyle name="Comma 7 2 4" xfId="48880" xr:uid="{00000000-0005-0000-0000-00004F9C0000}"/>
    <cellStyle name="Comma 7 2 4 2" xfId="56326" xr:uid="{00000000-0005-0000-0000-0000509C0000}"/>
    <cellStyle name="Comma 7 2 5" xfId="53053" xr:uid="{00000000-0005-0000-0000-0000519C0000}"/>
    <cellStyle name="Comma 7 3" xfId="18919" xr:uid="{00000000-0005-0000-0000-0000529C0000}"/>
    <cellStyle name="Comma 7 3 2" xfId="33929" xr:uid="{00000000-0005-0000-0000-0000539C0000}"/>
    <cellStyle name="Comma 7 3 2 2" xfId="56337" xr:uid="{00000000-0005-0000-0000-0000549C0000}"/>
    <cellStyle name="Comma 7 3 3" xfId="48890" xr:uid="{00000000-0005-0000-0000-0000559C0000}"/>
    <cellStyle name="Comma 7 3 4" xfId="53063" xr:uid="{00000000-0005-0000-0000-0000569C0000}"/>
    <cellStyle name="Comma 7 4" xfId="17888" xr:uid="{00000000-0005-0000-0000-0000579C0000}"/>
    <cellStyle name="Comma 7 4 2" xfId="33550" xr:uid="{00000000-0005-0000-0000-0000589C0000}"/>
    <cellStyle name="Comma 7 4 2 2" xfId="56388" xr:uid="{00000000-0005-0000-0000-0000599C0000}"/>
    <cellStyle name="Comma 7 4 3" xfId="48511" xr:uid="{00000000-0005-0000-0000-00005A9C0000}"/>
    <cellStyle name="Comma 7 4 4" xfId="53169" xr:uid="{00000000-0005-0000-0000-00005B9C0000}"/>
    <cellStyle name="Comma 7 5" xfId="25998" xr:uid="{00000000-0005-0000-0000-00005C9C0000}"/>
    <cellStyle name="Comma 7 5 2" xfId="55035" xr:uid="{00000000-0005-0000-0000-00005D9C0000}"/>
    <cellStyle name="Comma 7 6" xfId="40977" xr:uid="{00000000-0005-0000-0000-00005E9C0000}"/>
    <cellStyle name="Comma 7 6 2" xfId="55957" xr:uid="{00000000-0005-0000-0000-00005F9C0000}"/>
    <cellStyle name="Comma 7 7" xfId="52680" xr:uid="{00000000-0005-0000-0000-0000609C0000}"/>
    <cellStyle name="Comma 8" xfId="18979" xr:uid="{00000000-0005-0000-0000-0000619C0000}"/>
    <cellStyle name="Comma 8 2" xfId="33975" xr:uid="{00000000-0005-0000-0000-0000629C0000}"/>
    <cellStyle name="Comma 8 2 2" xfId="56389" xr:uid="{00000000-0005-0000-0000-0000639C0000}"/>
    <cellStyle name="Comma 8 3" xfId="53170" xr:uid="{00000000-0005-0000-0000-0000649C0000}"/>
    <cellStyle name="Comma 9" xfId="48915" xr:uid="{00000000-0005-0000-0000-0000659C0000}"/>
    <cellStyle name="Comma 9 2" xfId="53197" xr:uid="{00000000-0005-0000-0000-0000669C0000}"/>
    <cellStyle name="Comma 9 2 2" xfId="53213" xr:uid="{00000000-0005-0000-0000-0000679C0000}"/>
    <cellStyle name="Comma 9 2 2 2" xfId="53859" xr:uid="{00000000-0005-0000-0000-0000689C0000}"/>
    <cellStyle name="Comma 9 2 2 2 2" xfId="57026" xr:uid="{00000000-0005-0000-0000-0000699C0000}"/>
    <cellStyle name="Comma 9 2 2 3" xfId="56415" xr:uid="{00000000-0005-0000-0000-00006A9C0000}"/>
    <cellStyle name="Comma 9 2 3" xfId="53229" xr:uid="{00000000-0005-0000-0000-00006B9C0000}"/>
    <cellStyle name="Comma 9 2 3 2" xfId="53875" xr:uid="{00000000-0005-0000-0000-00006C9C0000}"/>
    <cellStyle name="Comma 9 2 3 2 2" xfId="57042" xr:uid="{00000000-0005-0000-0000-00006D9C0000}"/>
    <cellStyle name="Comma 9 2 3 3" xfId="56431" xr:uid="{00000000-0005-0000-0000-00006E9C0000}"/>
    <cellStyle name="Comma 9 2 4" xfId="53843" xr:uid="{00000000-0005-0000-0000-00006F9C0000}"/>
    <cellStyle name="Comma 9 2 4 2" xfId="57010" xr:uid="{00000000-0005-0000-0000-0000709C0000}"/>
    <cellStyle name="Comma 9 2 5" xfId="56399" xr:uid="{00000000-0005-0000-0000-0000719C0000}"/>
    <cellStyle name="Comma 9 3" xfId="53205" xr:uid="{00000000-0005-0000-0000-0000729C0000}"/>
    <cellStyle name="Comma 9 3 2" xfId="53851" xr:uid="{00000000-0005-0000-0000-0000739C0000}"/>
    <cellStyle name="Comma 9 3 2 2" xfId="57018" xr:uid="{00000000-0005-0000-0000-0000749C0000}"/>
    <cellStyle name="Comma 9 3 3" xfId="56407" xr:uid="{00000000-0005-0000-0000-0000759C0000}"/>
    <cellStyle name="Comma 9 4" xfId="53221" xr:uid="{00000000-0005-0000-0000-0000769C0000}"/>
    <cellStyle name="Comma 9 4 2" xfId="53867" xr:uid="{00000000-0005-0000-0000-0000779C0000}"/>
    <cellStyle name="Comma 9 4 2 2" xfId="57034" xr:uid="{00000000-0005-0000-0000-0000789C0000}"/>
    <cellStyle name="Comma 9 4 3" xfId="56423" xr:uid="{00000000-0005-0000-0000-0000799C0000}"/>
    <cellStyle name="Comma 9 5" xfId="53249" xr:uid="{00000000-0005-0000-0000-00007A9C0000}"/>
    <cellStyle name="Comma 9 5 2" xfId="53885" xr:uid="{00000000-0005-0000-0000-00007B9C0000}"/>
    <cellStyle name="Comma 9 5 2 2" xfId="57052" xr:uid="{00000000-0005-0000-0000-00007C9C0000}"/>
    <cellStyle name="Comma 9 5 3" xfId="56441" xr:uid="{00000000-0005-0000-0000-00007D9C0000}"/>
    <cellStyle name="Comma 9 6" xfId="53835" xr:uid="{00000000-0005-0000-0000-00007E9C0000}"/>
    <cellStyle name="Comma 9 6 2" xfId="57002" xr:uid="{00000000-0005-0000-0000-00007F9C0000}"/>
    <cellStyle name="Comma 9 7" xfId="56390" xr:uid="{00000000-0005-0000-0000-0000809C0000}"/>
    <cellStyle name="Comma 9 8" xfId="53171" xr:uid="{00000000-0005-0000-0000-0000819C0000}"/>
    <cellStyle name="Comma0" xfId="5005" xr:uid="{00000000-0005-0000-0000-0000829C0000}"/>
    <cellStyle name="Comma0 - Type3" xfId="43" xr:uid="{00000000-0005-0000-0000-0000839C0000}"/>
    <cellStyle name="Comma0 - Typografi1" xfId="5006" xr:uid="{00000000-0005-0000-0000-0000849C0000}"/>
    <cellStyle name="Comma0 - Typografi1 2" xfId="5007" xr:uid="{00000000-0005-0000-0000-0000859C0000}"/>
    <cellStyle name="Comma0 - Typografi1 2 2" xfId="5008" xr:uid="{00000000-0005-0000-0000-0000869C0000}"/>
    <cellStyle name="Comma0 - Typografi1 2 2 2" xfId="8788" xr:uid="{00000000-0005-0000-0000-0000879C0000}"/>
    <cellStyle name="Comma0 - Typografi1 2 3" xfId="8787" xr:uid="{00000000-0005-0000-0000-0000889C0000}"/>
    <cellStyle name="Comma0 - Typografi1 3" xfId="5009" xr:uid="{00000000-0005-0000-0000-0000899C0000}"/>
    <cellStyle name="Comma0 - Typografi1 3 2" xfId="8789" xr:uid="{00000000-0005-0000-0000-00008A9C0000}"/>
    <cellStyle name="Comma0 - Typografi1 4" xfId="5010" xr:uid="{00000000-0005-0000-0000-00008B9C0000}"/>
    <cellStyle name="Comma0 - Typografi1 4 2" xfId="8790" xr:uid="{00000000-0005-0000-0000-00008C9C0000}"/>
    <cellStyle name="Comma0 - Typografi1 5" xfId="8786" xr:uid="{00000000-0005-0000-0000-00008D9C0000}"/>
    <cellStyle name="Comma0 10" xfId="8762" xr:uid="{00000000-0005-0000-0000-00008E9C0000}"/>
    <cellStyle name="Comma0 11" xfId="8770" xr:uid="{00000000-0005-0000-0000-00008F9C0000}"/>
    <cellStyle name="Comma0 12" xfId="8754" xr:uid="{00000000-0005-0000-0000-0000909C0000}"/>
    <cellStyle name="Comma0 13" xfId="6023" xr:uid="{00000000-0005-0000-0000-0000919C0000}"/>
    <cellStyle name="Comma0 14" xfId="8763" xr:uid="{00000000-0005-0000-0000-0000929C0000}"/>
    <cellStyle name="Comma0 15" xfId="8753" xr:uid="{00000000-0005-0000-0000-0000939C0000}"/>
    <cellStyle name="Comma0 16" xfId="8759" xr:uid="{00000000-0005-0000-0000-0000949C0000}"/>
    <cellStyle name="Comma0 2" xfId="7418" xr:uid="{00000000-0005-0000-0000-0000959C0000}"/>
    <cellStyle name="Comma0 3" xfId="8764" xr:uid="{00000000-0005-0000-0000-0000969C0000}"/>
    <cellStyle name="Comma0 4" xfId="8769" xr:uid="{00000000-0005-0000-0000-0000979C0000}"/>
    <cellStyle name="Comma0 5" xfId="8766" xr:uid="{00000000-0005-0000-0000-0000989C0000}"/>
    <cellStyle name="Comma0 6" xfId="8750" xr:uid="{00000000-0005-0000-0000-0000999C0000}"/>
    <cellStyle name="Comma0 7" xfId="8760" xr:uid="{00000000-0005-0000-0000-00009A9C0000}"/>
    <cellStyle name="Comma0 8" xfId="8758" xr:uid="{00000000-0005-0000-0000-00009B9C0000}"/>
    <cellStyle name="Comma0 9" xfId="8774" xr:uid="{00000000-0005-0000-0000-00009C9C0000}"/>
    <cellStyle name="Comma1 - Typografi1" xfId="5011" xr:uid="{00000000-0005-0000-0000-00009D9C0000}"/>
    <cellStyle name="Currency0" xfId="5012" xr:uid="{00000000-0005-0000-0000-00009E9C0000}"/>
    <cellStyle name="Currency0 2" xfId="7419" xr:uid="{00000000-0005-0000-0000-00009F9C0000}"/>
    <cellStyle name="CustomizationCells" xfId="44" xr:uid="{00000000-0005-0000-0000-0000A09C0000}"/>
    <cellStyle name="CustomizationCells 2" xfId="9677" xr:uid="{00000000-0005-0000-0000-0000A19C0000}"/>
    <cellStyle name="CustomizationCells 2 2" xfId="26005" xr:uid="{00000000-0005-0000-0000-0000A29C0000}"/>
    <cellStyle name="CustomizationCells 3" xfId="17849" xr:uid="{00000000-0005-0000-0000-0000A39C0000}"/>
    <cellStyle name="Date" xfId="5013" xr:uid="{00000000-0005-0000-0000-0000A49C0000}"/>
    <cellStyle name="Date - Typografi3" xfId="5014" xr:uid="{00000000-0005-0000-0000-0000A59C0000}"/>
    <cellStyle name="Date 10" xfId="8772" xr:uid="{00000000-0005-0000-0000-0000A69C0000}"/>
    <cellStyle name="Date 11" xfId="8757" xr:uid="{00000000-0005-0000-0000-0000A79C0000}"/>
    <cellStyle name="Date 12" xfId="8755" xr:uid="{00000000-0005-0000-0000-0000A89C0000}"/>
    <cellStyle name="Date 13" xfId="8752" xr:uid="{00000000-0005-0000-0000-0000A99C0000}"/>
    <cellStyle name="Date 14" xfId="8771" xr:uid="{00000000-0005-0000-0000-0000AA9C0000}"/>
    <cellStyle name="Date 15" xfId="8761" xr:uid="{00000000-0005-0000-0000-0000AB9C0000}"/>
    <cellStyle name="Date 16" xfId="8768" xr:uid="{00000000-0005-0000-0000-0000AC9C0000}"/>
    <cellStyle name="Date 2" xfId="7420" xr:uid="{00000000-0005-0000-0000-0000AD9C0000}"/>
    <cellStyle name="Date 3" xfId="8765" xr:uid="{00000000-0005-0000-0000-0000AE9C0000}"/>
    <cellStyle name="Date 4" xfId="8749" xr:uid="{00000000-0005-0000-0000-0000AF9C0000}"/>
    <cellStyle name="Date 5" xfId="8767" xr:uid="{00000000-0005-0000-0000-0000B09C0000}"/>
    <cellStyle name="Date 6" xfId="8751" xr:uid="{00000000-0005-0000-0000-0000B19C0000}"/>
    <cellStyle name="Date 7" xfId="8775" xr:uid="{00000000-0005-0000-0000-0000B29C0000}"/>
    <cellStyle name="Date 8" xfId="8756" xr:uid="{00000000-0005-0000-0000-0000B39C0000}"/>
    <cellStyle name="Date 9" xfId="8773" xr:uid="{00000000-0005-0000-0000-0000B49C0000}"/>
    <cellStyle name="Euro" xfId="45" xr:uid="{00000000-0005-0000-0000-0000B59C0000}"/>
    <cellStyle name="Euro 10" xfId="46" xr:uid="{00000000-0005-0000-0000-0000B69C0000}"/>
    <cellStyle name="Euro 10 2" xfId="47" xr:uid="{00000000-0005-0000-0000-0000B79C0000}"/>
    <cellStyle name="Euro 10 2 2" xfId="1197" xr:uid="{00000000-0005-0000-0000-0000B89C0000}"/>
    <cellStyle name="Euro 10 3" xfId="48" xr:uid="{00000000-0005-0000-0000-0000B99C0000}"/>
    <cellStyle name="Euro 10 3 2" xfId="49" xr:uid="{00000000-0005-0000-0000-0000BA9C0000}"/>
    <cellStyle name="Euro 10 3 3" xfId="16704" xr:uid="{00000000-0005-0000-0000-0000BB9C0000}"/>
    <cellStyle name="Euro 10 3 3 2" xfId="17968" xr:uid="{00000000-0005-0000-0000-0000BC9C0000}"/>
    <cellStyle name="Euro 10 3 4" xfId="17967" xr:uid="{00000000-0005-0000-0000-0000BD9C0000}"/>
    <cellStyle name="Euro 10 3 5" xfId="16703" xr:uid="{00000000-0005-0000-0000-0000BE9C0000}"/>
    <cellStyle name="Euro 10 4" xfId="8911" xr:uid="{00000000-0005-0000-0000-0000BF9C0000}"/>
    <cellStyle name="Euro 10 4 2" xfId="16706" xr:uid="{00000000-0005-0000-0000-0000C09C0000}"/>
    <cellStyle name="Euro 10 4 2 2" xfId="17970" xr:uid="{00000000-0005-0000-0000-0000C19C0000}"/>
    <cellStyle name="Euro 10 4 3" xfId="17969" xr:uid="{00000000-0005-0000-0000-0000C29C0000}"/>
    <cellStyle name="Euro 10 4 4" xfId="16705" xr:uid="{00000000-0005-0000-0000-0000C39C0000}"/>
    <cellStyle name="Euro 10 5" xfId="8912" xr:uid="{00000000-0005-0000-0000-0000C49C0000}"/>
    <cellStyle name="Euro 10 6" xfId="50945" xr:uid="{00000000-0005-0000-0000-0000C59C0000}"/>
    <cellStyle name="Euro 11" xfId="50" xr:uid="{00000000-0005-0000-0000-0000C69C0000}"/>
    <cellStyle name="Euro 11 2" xfId="51" xr:uid="{00000000-0005-0000-0000-0000C79C0000}"/>
    <cellStyle name="Euro 11 2 2" xfId="1198" xr:uid="{00000000-0005-0000-0000-0000C89C0000}"/>
    <cellStyle name="Euro 11 3" xfId="52" xr:uid="{00000000-0005-0000-0000-0000C99C0000}"/>
    <cellStyle name="Euro 11 3 2" xfId="53" xr:uid="{00000000-0005-0000-0000-0000CA9C0000}"/>
    <cellStyle name="Euro 11 3 3" xfId="16708" xr:uid="{00000000-0005-0000-0000-0000CB9C0000}"/>
    <cellStyle name="Euro 11 3 3 2" xfId="17972" xr:uid="{00000000-0005-0000-0000-0000CC9C0000}"/>
    <cellStyle name="Euro 11 3 4" xfId="17971" xr:uid="{00000000-0005-0000-0000-0000CD9C0000}"/>
    <cellStyle name="Euro 11 3 5" xfId="16707" xr:uid="{00000000-0005-0000-0000-0000CE9C0000}"/>
    <cellStyle name="Euro 11 4" xfId="8913" xr:uid="{00000000-0005-0000-0000-0000CF9C0000}"/>
    <cellStyle name="Euro 11 4 2" xfId="16710" xr:uid="{00000000-0005-0000-0000-0000D09C0000}"/>
    <cellStyle name="Euro 11 4 2 2" xfId="17974" xr:uid="{00000000-0005-0000-0000-0000D19C0000}"/>
    <cellStyle name="Euro 11 4 3" xfId="17973" xr:uid="{00000000-0005-0000-0000-0000D29C0000}"/>
    <cellStyle name="Euro 11 4 4" xfId="16709" xr:uid="{00000000-0005-0000-0000-0000D39C0000}"/>
    <cellStyle name="Euro 11 5" xfId="8914" xr:uid="{00000000-0005-0000-0000-0000D49C0000}"/>
    <cellStyle name="Euro 11 6" xfId="50944" xr:uid="{00000000-0005-0000-0000-0000D59C0000}"/>
    <cellStyle name="Euro 12" xfId="54" xr:uid="{00000000-0005-0000-0000-0000D69C0000}"/>
    <cellStyle name="Euro 12 2" xfId="55" xr:uid="{00000000-0005-0000-0000-0000D79C0000}"/>
    <cellStyle name="Euro 12 2 2" xfId="1199" xr:uid="{00000000-0005-0000-0000-0000D89C0000}"/>
    <cellStyle name="Euro 12 3" xfId="56" xr:uid="{00000000-0005-0000-0000-0000D99C0000}"/>
    <cellStyle name="Euro 12 3 2" xfId="57" xr:uid="{00000000-0005-0000-0000-0000DA9C0000}"/>
    <cellStyle name="Euro 12 3 3" xfId="16712" xr:uid="{00000000-0005-0000-0000-0000DB9C0000}"/>
    <cellStyle name="Euro 12 3 3 2" xfId="17976" xr:uid="{00000000-0005-0000-0000-0000DC9C0000}"/>
    <cellStyle name="Euro 12 3 4" xfId="17975" xr:uid="{00000000-0005-0000-0000-0000DD9C0000}"/>
    <cellStyle name="Euro 12 3 5" xfId="16711" xr:uid="{00000000-0005-0000-0000-0000DE9C0000}"/>
    <cellStyle name="Euro 12 4" xfId="8915" xr:uid="{00000000-0005-0000-0000-0000DF9C0000}"/>
    <cellStyle name="Euro 12 4 2" xfId="16714" xr:uid="{00000000-0005-0000-0000-0000E09C0000}"/>
    <cellStyle name="Euro 12 4 2 2" xfId="17978" xr:uid="{00000000-0005-0000-0000-0000E19C0000}"/>
    <cellStyle name="Euro 12 4 3" xfId="17977" xr:uid="{00000000-0005-0000-0000-0000E29C0000}"/>
    <cellStyle name="Euro 12 4 4" xfId="16713" xr:uid="{00000000-0005-0000-0000-0000E39C0000}"/>
    <cellStyle name="Euro 12 5" xfId="8916" xr:uid="{00000000-0005-0000-0000-0000E49C0000}"/>
    <cellStyle name="Euro 12 6" xfId="50943" xr:uid="{00000000-0005-0000-0000-0000E59C0000}"/>
    <cellStyle name="Euro 13" xfId="58" xr:uid="{00000000-0005-0000-0000-0000E69C0000}"/>
    <cellStyle name="Euro 13 2" xfId="59" xr:uid="{00000000-0005-0000-0000-0000E79C0000}"/>
    <cellStyle name="Euro 13 2 2" xfId="1200" xr:uid="{00000000-0005-0000-0000-0000E89C0000}"/>
    <cellStyle name="Euro 13 3" xfId="60" xr:uid="{00000000-0005-0000-0000-0000E99C0000}"/>
    <cellStyle name="Euro 13 3 2" xfId="61" xr:uid="{00000000-0005-0000-0000-0000EA9C0000}"/>
    <cellStyle name="Euro 13 3 3" xfId="16716" xr:uid="{00000000-0005-0000-0000-0000EB9C0000}"/>
    <cellStyle name="Euro 13 3 3 2" xfId="17980" xr:uid="{00000000-0005-0000-0000-0000EC9C0000}"/>
    <cellStyle name="Euro 13 3 4" xfId="17979" xr:uid="{00000000-0005-0000-0000-0000ED9C0000}"/>
    <cellStyle name="Euro 13 3 5" xfId="16715" xr:uid="{00000000-0005-0000-0000-0000EE9C0000}"/>
    <cellStyle name="Euro 13 4" xfId="8917" xr:uid="{00000000-0005-0000-0000-0000EF9C0000}"/>
    <cellStyle name="Euro 13 4 2" xfId="16718" xr:uid="{00000000-0005-0000-0000-0000F09C0000}"/>
    <cellStyle name="Euro 13 4 2 2" xfId="17982" xr:uid="{00000000-0005-0000-0000-0000F19C0000}"/>
    <cellStyle name="Euro 13 4 3" xfId="17981" xr:uid="{00000000-0005-0000-0000-0000F29C0000}"/>
    <cellStyle name="Euro 13 4 4" xfId="16717" xr:uid="{00000000-0005-0000-0000-0000F39C0000}"/>
    <cellStyle name="Euro 13 5" xfId="8918" xr:uid="{00000000-0005-0000-0000-0000F49C0000}"/>
    <cellStyle name="Euro 13 6" xfId="50942" xr:uid="{00000000-0005-0000-0000-0000F59C0000}"/>
    <cellStyle name="Euro 14" xfId="62" xr:uid="{00000000-0005-0000-0000-0000F69C0000}"/>
    <cellStyle name="Euro 14 2" xfId="63" xr:uid="{00000000-0005-0000-0000-0000F79C0000}"/>
    <cellStyle name="Euro 14 2 2" xfId="1201" xr:uid="{00000000-0005-0000-0000-0000F89C0000}"/>
    <cellStyle name="Euro 14 3" xfId="64" xr:uid="{00000000-0005-0000-0000-0000F99C0000}"/>
    <cellStyle name="Euro 14 3 2" xfId="65" xr:uid="{00000000-0005-0000-0000-0000FA9C0000}"/>
    <cellStyle name="Euro 14 3 3" xfId="16721" xr:uid="{00000000-0005-0000-0000-0000FB9C0000}"/>
    <cellStyle name="Euro 14 3 3 2" xfId="17984" xr:uid="{00000000-0005-0000-0000-0000FC9C0000}"/>
    <cellStyle name="Euro 14 3 4" xfId="17983" xr:uid="{00000000-0005-0000-0000-0000FD9C0000}"/>
    <cellStyle name="Euro 14 3 5" xfId="16720" xr:uid="{00000000-0005-0000-0000-0000FE9C0000}"/>
    <cellStyle name="Euro 14 4" xfId="8919" xr:uid="{00000000-0005-0000-0000-0000FF9C0000}"/>
    <cellStyle name="Euro 14 4 2" xfId="16723" xr:uid="{00000000-0005-0000-0000-0000009D0000}"/>
    <cellStyle name="Euro 14 4 2 2" xfId="17986" xr:uid="{00000000-0005-0000-0000-0000019D0000}"/>
    <cellStyle name="Euro 14 4 3" xfId="17985" xr:uid="{00000000-0005-0000-0000-0000029D0000}"/>
    <cellStyle name="Euro 14 4 4" xfId="16722" xr:uid="{00000000-0005-0000-0000-0000039D0000}"/>
    <cellStyle name="Euro 14 5" xfId="8920" xr:uid="{00000000-0005-0000-0000-0000049D0000}"/>
    <cellStyle name="Euro 14 6" xfId="51002" xr:uid="{00000000-0005-0000-0000-0000059D0000}"/>
    <cellStyle name="Euro 15" xfId="66" xr:uid="{00000000-0005-0000-0000-0000069D0000}"/>
    <cellStyle name="Euro 15 2" xfId="67" xr:uid="{00000000-0005-0000-0000-0000079D0000}"/>
    <cellStyle name="Euro 15 2 2" xfId="1202" xr:uid="{00000000-0005-0000-0000-0000089D0000}"/>
    <cellStyle name="Euro 15 3" xfId="68" xr:uid="{00000000-0005-0000-0000-0000099D0000}"/>
    <cellStyle name="Euro 15 3 2" xfId="69" xr:uid="{00000000-0005-0000-0000-00000A9D0000}"/>
    <cellStyle name="Euro 15 3 3" xfId="16725" xr:uid="{00000000-0005-0000-0000-00000B9D0000}"/>
    <cellStyle name="Euro 15 3 3 2" xfId="17988" xr:uid="{00000000-0005-0000-0000-00000C9D0000}"/>
    <cellStyle name="Euro 15 3 4" xfId="17987" xr:uid="{00000000-0005-0000-0000-00000D9D0000}"/>
    <cellStyle name="Euro 15 3 5" xfId="16724" xr:uid="{00000000-0005-0000-0000-00000E9D0000}"/>
    <cellStyle name="Euro 15 4" xfId="8921" xr:uid="{00000000-0005-0000-0000-00000F9D0000}"/>
    <cellStyle name="Euro 15 4 2" xfId="16727" xr:uid="{00000000-0005-0000-0000-0000109D0000}"/>
    <cellStyle name="Euro 15 4 2 2" xfId="17990" xr:uid="{00000000-0005-0000-0000-0000119D0000}"/>
    <cellStyle name="Euro 15 4 3" xfId="17989" xr:uid="{00000000-0005-0000-0000-0000129D0000}"/>
    <cellStyle name="Euro 15 4 4" xfId="16726" xr:uid="{00000000-0005-0000-0000-0000139D0000}"/>
    <cellStyle name="Euro 15 5" xfId="8922" xr:uid="{00000000-0005-0000-0000-0000149D0000}"/>
    <cellStyle name="Euro 15 6" xfId="50941" xr:uid="{00000000-0005-0000-0000-0000159D0000}"/>
    <cellStyle name="Euro 16" xfId="70" xr:uid="{00000000-0005-0000-0000-0000169D0000}"/>
    <cellStyle name="Euro 16 2" xfId="71" xr:uid="{00000000-0005-0000-0000-0000179D0000}"/>
    <cellStyle name="Euro 16 2 2" xfId="1203" xr:uid="{00000000-0005-0000-0000-0000189D0000}"/>
    <cellStyle name="Euro 16 3" xfId="72" xr:uid="{00000000-0005-0000-0000-0000199D0000}"/>
    <cellStyle name="Euro 16 3 2" xfId="73" xr:uid="{00000000-0005-0000-0000-00001A9D0000}"/>
    <cellStyle name="Euro 16 3 3" xfId="16729" xr:uid="{00000000-0005-0000-0000-00001B9D0000}"/>
    <cellStyle name="Euro 16 3 3 2" xfId="17992" xr:uid="{00000000-0005-0000-0000-00001C9D0000}"/>
    <cellStyle name="Euro 16 3 4" xfId="17991" xr:uid="{00000000-0005-0000-0000-00001D9D0000}"/>
    <cellStyle name="Euro 16 3 5" xfId="16728" xr:uid="{00000000-0005-0000-0000-00001E9D0000}"/>
    <cellStyle name="Euro 16 4" xfId="8923" xr:uid="{00000000-0005-0000-0000-00001F9D0000}"/>
    <cellStyle name="Euro 16 4 2" xfId="16731" xr:uid="{00000000-0005-0000-0000-0000209D0000}"/>
    <cellStyle name="Euro 16 4 2 2" xfId="17994" xr:uid="{00000000-0005-0000-0000-0000219D0000}"/>
    <cellStyle name="Euro 16 4 3" xfId="17993" xr:uid="{00000000-0005-0000-0000-0000229D0000}"/>
    <cellStyle name="Euro 16 4 4" xfId="16730" xr:uid="{00000000-0005-0000-0000-0000239D0000}"/>
    <cellStyle name="Euro 16 5" xfId="8924" xr:uid="{00000000-0005-0000-0000-0000249D0000}"/>
    <cellStyle name="Euro 16 6" xfId="51188" xr:uid="{00000000-0005-0000-0000-0000259D0000}"/>
    <cellStyle name="Euro 17" xfId="74" xr:uid="{00000000-0005-0000-0000-0000269D0000}"/>
    <cellStyle name="Euro 17 2" xfId="75" xr:uid="{00000000-0005-0000-0000-0000279D0000}"/>
    <cellStyle name="Euro 17 2 2" xfId="1204" xr:uid="{00000000-0005-0000-0000-0000289D0000}"/>
    <cellStyle name="Euro 17 3" xfId="76" xr:uid="{00000000-0005-0000-0000-0000299D0000}"/>
    <cellStyle name="Euro 17 3 2" xfId="77" xr:uid="{00000000-0005-0000-0000-00002A9D0000}"/>
    <cellStyle name="Euro 17 3 3" xfId="16733" xr:uid="{00000000-0005-0000-0000-00002B9D0000}"/>
    <cellStyle name="Euro 17 3 3 2" xfId="17996" xr:uid="{00000000-0005-0000-0000-00002C9D0000}"/>
    <cellStyle name="Euro 17 3 4" xfId="17995" xr:uid="{00000000-0005-0000-0000-00002D9D0000}"/>
    <cellStyle name="Euro 17 3 5" xfId="16732" xr:uid="{00000000-0005-0000-0000-00002E9D0000}"/>
    <cellStyle name="Euro 17 4" xfId="8925" xr:uid="{00000000-0005-0000-0000-00002F9D0000}"/>
    <cellStyle name="Euro 17 4 2" xfId="16735" xr:uid="{00000000-0005-0000-0000-0000309D0000}"/>
    <cellStyle name="Euro 17 4 2 2" xfId="17998" xr:uid="{00000000-0005-0000-0000-0000319D0000}"/>
    <cellStyle name="Euro 17 4 3" xfId="17997" xr:uid="{00000000-0005-0000-0000-0000329D0000}"/>
    <cellStyle name="Euro 17 4 4" xfId="16734" xr:uid="{00000000-0005-0000-0000-0000339D0000}"/>
    <cellStyle name="Euro 17 5" xfId="8926" xr:uid="{00000000-0005-0000-0000-0000349D0000}"/>
    <cellStyle name="Euro 17 6" xfId="51189" xr:uid="{00000000-0005-0000-0000-0000359D0000}"/>
    <cellStyle name="Euro 18" xfId="78" xr:uid="{00000000-0005-0000-0000-0000369D0000}"/>
    <cellStyle name="Euro 18 2" xfId="79" xr:uid="{00000000-0005-0000-0000-0000379D0000}"/>
    <cellStyle name="Euro 18 2 2" xfId="1205" xr:uid="{00000000-0005-0000-0000-0000389D0000}"/>
    <cellStyle name="Euro 18 3" xfId="80" xr:uid="{00000000-0005-0000-0000-0000399D0000}"/>
    <cellStyle name="Euro 18 3 2" xfId="81" xr:uid="{00000000-0005-0000-0000-00003A9D0000}"/>
    <cellStyle name="Euro 18 3 3" xfId="16737" xr:uid="{00000000-0005-0000-0000-00003B9D0000}"/>
    <cellStyle name="Euro 18 3 3 2" xfId="18000" xr:uid="{00000000-0005-0000-0000-00003C9D0000}"/>
    <cellStyle name="Euro 18 3 4" xfId="17999" xr:uid="{00000000-0005-0000-0000-00003D9D0000}"/>
    <cellStyle name="Euro 18 3 5" xfId="16736" xr:uid="{00000000-0005-0000-0000-00003E9D0000}"/>
    <cellStyle name="Euro 18 4" xfId="8927" xr:uid="{00000000-0005-0000-0000-00003F9D0000}"/>
    <cellStyle name="Euro 18 4 2" xfId="16739" xr:uid="{00000000-0005-0000-0000-0000409D0000}"/>
    <cellStyle name="Euro 18 4 2 2" xfId="18002" xr:uid="{00000000-0005-0000-0000-0000419D0000}"/>
    <cellStyle name="Euro 18 4 3" xfId="18001" xr:uid="{00000000-0005-0000-0000-0000429D0000}"/>
    <cellStyle name="Euro 18 4 4" xfId="16738" xr:uid="{00000000-0005-0000-0000-0000439D0000}"/>
    <cellStyle name="Euro 18 5" xfId="8928" xr:uid="{00000000-0005-0000-0000-0000449D0000}"/>
    <cellStyle name="Euro 18 6" xfId="51150" xr:uid="{00000000-0005-0000-0000-0000459D0000}"/>
    <cellStyle name="Euro 19" xfId="82" xr:uid="{00000000-0005-0000-0000-0000469D0000}"/>
    <cellStyle name="Euro 19 2" xfId="83" xr:uid="{00000000-0005-0000-0000-0000479D0000}"/>
    <cellStyle name="Euro 19 2 2" xfId="1206" xr:uid="{00000000-0005-0000-0000-0000489D0000}"/>
    <cellStyle name="Euro 19 3" xfId="84" xr:uid="{00000000-0005-0000-0000-0000499D0000}"/>
    <cellStyle name="Euro 19 3 2" xfId="85" xr:uid="{00000000-0005-0000-0000-00004A9D0000}"/>
    <cellStyle name="Euro 19 3 3" xfId="16741" xr:uid="{00000000-0005-0000-0000-00004B9D0000}"/>
    <cellStyle name="Euro 19 3 3 2" xfId="18004" xr:uid="{00000000-0005-0000-0000-00004C9D0000}"/>
    <cellStyle name="Euro 19 3 4" xfId="18003" xr:uid="{00000000-0005-0000-0000-00004D9D0000}"/>
    <cellStyle name="Euro 19 3 5" xfId="16740" xr:uid="{00000000-0005-0000-0000-00004E9D0000}"/>
    <cellStyle name="Euro 19 4" xfId="8929" xr:uid="{00000000-0005-0000-0000-00004F9D0000}"/>
    <cellStyle name="Euro 19 4 2" xfId="16743" xr:uid="{00000000-0005-0000-0000-0000509D0000}"/>
    <cellStyle name="Euro 19 4 2 2" xfId="18006" xr:uid="{00000000-0005-0000-0000-0000519D0000}"/>
    <cellStyle name="Euro 19 4 3" xfId="18005" xr:uid="{00000000-0005-0000-0000-0000529D0000}"/>
    <cellStyle name="Euro 19 4 4" xfId="16742" xr:uid="{00000000-0005-0000-0000-0000539D0000}"/>
    <cellStyle name="Euro 19 5" xfId="8930" xr:uid="{00000000-0005-0000-0000-0000549D0000}"/>
    <cellStyle name="Euro 19 6" xfId="51170" xr:uid="{00000000-0005-0000-0000-0000559D0000}"/>
    <cellStyle name="Euro 2" xfId="86" xr:uid="{00000000-0005-0000-0000-0000569D0000}"/>
    <cellStyle name="Euro 2 2" xfId="87" xr:uid="{00000000-0005-0000-0000-0000579D0000}"/>
    <cellStyle name="Euro 2 2 2" xfId="1207" xr:uid="{00000000-0005-0000-0000-0000589D0000}"/>
    <cellStyle name="Euro 2 3" xfId="88" xr:uid="{00000000-0005-0000-0000-0000599D0000}"/>
    <cellStyle name="Euro 2 3 2" xfId="89" xr:uid="{00000000-0005-0000-0000-00005A9D0000}"/>
    <cellStyle name="Euro 2 3 3" xfId="16745" xr:uid="{00000000-0005-0000-0000-00005B9D0000}"/>
    <cellStyle name="Euro 2 3 3 2" xfId="18008" xr:uid="{00000000-0005-0000-0000-00005C9D0000}"/>
    <cellStyle name="Euro 2 3 4" xfId="18007" xr:uid="{00000000-0005-0000-0000-00005D9D0000}"/>
    <cellStyle name="Euro 2 3 5" xfId="16744" xr:uid="{00000000-0005-0000-0000-00005E9D0000}"/>
    <cellStyle name="Euro 2 4" xfId="8791" xr:uid="{00000000-0005-0000-0000-00005F9D0000}"/>
    <cellStyle name="Euro 2 4 2" xfId="8931" xr:uid="{00000000-0005-0000-0000-0000609D0000}"/>
    <cellStyle name="Euro 2 4 2 2" xfId="18010" xr:uid="{00000000-0005-0000-0000-0000619D0000}"/>
    <cellStyle name="Euro 2 4 2 3" xfId="16747" xr:uid="{00000000-0005-0000-0000-0000629D0000}"/>
    <cellStyle name="Euro 2 4 3" xfId="16633" xr:uid="{00000000-0005-0000-0000-0000639D0000}"/>
    <cellStyle name="Euro 2 4 3 2" xfId="18009" xr:uid="{00000000-0005-0000-0000-0000649D0000}"/>
    <cellStyle name="Euro 2 4 4" xfId="16746" xr:uid="{00000000-0005-0000-0000-0000659D0000}"/>
    <cellStyle name="Euro 2 5" xfId="8932" xr:uid="{00000000-0005-0000-0000-0000669D0000}"/>
    <cellStyle name="Euro 2 6" xfId="50940" xr:uid="{00000000-0005-0000-0000-0000679D0000}"/>
    <cellStyle name="Euro 20" xfId="90" xr:uid="{00000000-0005-0000-0000-0000689D0000}"/>
    <cellStyle name="Euro 20 2" xfId="91" xr:uid="{00000000-0005-0000-0000-0000699D0000}"/>
    <cellStyle name="Euro 20 2 2" xfId="1208" xr:uid="{00000000-0005-0000-0000-00006A9D0000}"/>
    <cellStyle name="Euro 20 3" xfId="92" xr:uid="{00000000-0005-0000-0000-00006B9D0000}"/>
    <cellStyle name="Euro 20 3 2" xfId="93" xr:uid="{00000000-0005-0000-0000-00006C9D0000}"/>
    <cellStyle name="Euro 20 3 3" xfId="16749" xr:uid="{00000000-0005-0000-0000-00006D9D0000}"/>
    <cellStyle name="Euro 20 3 3 2" xfId="18012" xr:uid="{00000000-0005-0000-0000-00006E9D0000}"/>
    <cellStyle name="Euro 20 3 4" xfId="18011" xr:uid="{00000000-0005-0000-0000-00006F9D0000}"/>
    <cellStyle name="Euro 20 3 5" xfId="16748" xr:uid="{00000000-0005-0000-0000-0000709D0000}"/>
    <cellStyle name="Euro 20 4" xfId="8933" xr:uid="{00000000-0005-0000-0000-0000719D0000}"/>
    <cellStyle name="Euro 20 4 2" xfId="16751" xr:uid="{00000000-0005-0000-0000-0000729D0000}"/>
    <cellStyle name="Euro 20 4 2 2" xfId="18014" xr:uid="{00000000-0005-0000-0000-0000739D0000}"/>
    <cellStyle name="Euro 20 4 3" xfId="18013" xr:uid="{00000000-0005-0000-0000-0000749D0000}"/>
    <cellStyle name="Euro 20 4 4" xfId="16750" xr:uid="{00000000-0005-0000-0000-0000759D0000}"/>
    <cellStyle name="Euro 20 5" xfId="8934" xr:uid="{00000000-0005-0000-0000-0000769D0000}"/>
    <cellStyle name="Euro 20 6" xfId="50939" xr:uid="{00000000-0005-0000-0000-0000779D0000}"/>
    <cellStyle name="Euro 21" xfId="94" xr:uid="{00000000-0005-0000-0000-0000789D0000}"/>
    <cellStyle name="Euro 21 2" xfId="95" xr:uid="{00000000-0005-0000-0000-0000799D0000}"/>
    <cellStyle name="Euro 21 2 2" xfId="1209" xr:uid="{00000000-0005-0000-0000-00007A9D0000}"/>
    <cellStyle name="Euro 21 3" xfId="96" xr:uid="{00000000-0005-0000-0000-00007B9D0000}"/>
    <cellStyle name="Euro 21 3 2" xfId="97" xr:uid="{00000000-0005-0000-0000-00007C9D0000}"/>
    <cellStyle name="Euro 21 3 3" xfId="16753" xr:uid="{00000000-0005-0000-0000-00007D9D0000}"/>
    <cellStyle name="Euro 21 3 3 2" xfId="18016" xr:uid="{00000000-0005-0000-0000-00007E9D0000}"/>
    <cellStyle name="Euro 21 3 4" xfId="18015" xr:uid="{00000000-0005-0000-0000-00007F9D0000}"/>
    <cellStyle name="Euro 21 3 5" xfId="16752" xr:uid="{00000000-0005-0000-0000-0000809D0000}"/>
    <cellStyle name="Euro 21 4" xfId="8935" xr:uid="{00000000-0005-0000-0000-0000819D0000}"/>
    <cellStyle name="Euro 21 4 2" xfId="16755" xr:uid="{00000000-0005-0000-0000-0000829D0000}"/>
    <cellStyle name="Euro 21 4 2 2" xfId="18018" xr:uid="{00000000-0005-0000-0000-0000839D0000}"/>
    <cellStyle name="Euro 21 4 3" xfId="18017" xr:uid="{00000000-0005-0000-0000-0000849D0000}"/>
    <cellStyle name="Euro 21 4 4" xfId="16754" xr:uid="{00000000-0005-0000-0000-0000859D0000}"/>
    <cellStyle name="Euro 21 5" xfId="8936" xr:uid="{00000000-0005-0000-0000-0000869D0000}"/>
    <cellStyle name="Euro 21 6" xfId="50938" xr:uid="{00000000-0005-0000-0000-0000879D0000}"/>
    <cellStyle name="Euro 22" xfId="98" xr:uid="{00000000-0005-0000-0000-0000889D0000}"/>
    <cellStyle name="Euro 22 2" xfId="99" xr:uid="{00000000-0005-0000-0000-0000899D0000}"/>
    <cellStyle name="Euro 22 2 2" xfId="1210" xr:uid="{00000000-0005-0000-0000-00008A9D0000}"/>
    <cellStyle name="Euro 22 3" xfId="100" xr:uid="{00000000-0005-0000-0000-00008B9D0000}"/>
    <cellStyle name="Euro 22 3 2" xfId="101" xr:uid="{00000000-0005-0000-0000-00008C9D0000}"/>
    <cellStyle name="Euro 22 3 3" xfId="16757" xr:uid="{00000000-0005-0000-0000-00008D9D0000}"/>
    <cellStyle name="Euro 22 3 3 2" xfId="18020" xr:uid="{00000000-0005-0000-0000-00008E9D0000}"/>
    <cellStyle name="Euro 22 3 4" xfId="18019" xr:uid="{00000000-0005-0000-0000-00008F9D0000}"/>
    <cellStyle name="Euro 22 3 5" xfId="16756" xr:uid="{00000000-0005-0000-0000-0000909D0000}"/>
    <cellStyle name="Euro 22 4" xfId="8937" xr:uid="{00000000-0005-0000-0000-0000919D0000}"/>
    <cellStyle name="Euro 22 4 2" xfId="16759" xr:uid="{00000000-0005-0000-0000-0000929D0000}"/>
    <cellStyle name="Euro 22 4 2 2" xfId="18022" xr:uid="{00000000-0005-0000-0000-0000939D0000}"/>
    <cellStyle name="Euro 22 4 3" xfId="18021" xr:uid="{00000000-0005-0000-0000-0000949D0000}"/>
    <cellStyle name="Euro 22 4 4" xfId="16758" xr:uid="{00000000-0005-0000-0000-0000959D0000}"/>
    <cellStyle name="Euro 22 5" xfId="8938" xr:uid="{00000000-0005-0000-0000-0000969D0000}"/>
    <cellStyle name="Euro 22 6" xfId="50937" xr:uid="{00000000-0005-0000-0000-0000979D0000}"/>
    <cellStyle name="Euro 23" xfId="102" xr:uid="{00000000-0005-0000-0000-0000989D0000}"/>
    <cellStyle name="Euro 23 2" xfId="103" xr:uid="{00000000-0005-0000-0000-0000999D0000}"/>
    <cellStyle name="Euro 23 2 2" xfId="1211" xr:uid="{00000000-0005-0000-0000-00009A9D0000}"/>
    <cellStyle name="Euro 23 3" xfId="104" xr:uid="{00000000-0005-0000-0000-00009B9D0000}"/>
    <cellStyle name="Euro 23 3 2" xfId="105" xr:uid="{00000000-0005-0000-0000-00009C9D0000}"/>
    <cellStyle name="Euro 23 3 3" xfId="16761" xr:uid="{00000000-0005-0000-0000-00009D9D0000}"/>
    <cellStyle name="Euro 23 3 3 2" xfId="18024" xr:uid="{00000000-0005-0000-0000-00009E9D0000}"/>
    <cellStyle name="Euro 23 3 4" xfId="18023" xr:uid="{00000000-0005-0000-0000-00009F9D0000}"/>
    <cellStyle name="Euro 23 3 5" xfId="16760" xr:uid="{00000000-0005-0000-0000-0000A09D0000}"/>
    <cellStyle name="Euro 23 4" xfId="8939" xr:uid="{00000000-0005-0000-0000-0000A19D0000}"/>
    <cellStyle name="Euro 23 4 2" xfId="16763" xr:uid="{00000000-0005-0000-0000-0000A29D0000}"/>
    <cellStyle name="Euro 23 4 2 2" xfId="18026" xr:uid="{00000000-0005-0000-0000-0000A39D0000}"/>
    <cellStyle name="Euro 23 4 3" xfId="18025" xr:uid="{00000000-0005-0000-0000-0000A49D0000}"/>
    <cellStyle name="Euro 23 4 4" xfId="16762" xr:uid="{00000000-0005-0000-0000-0000A59D0000}"/>
    <cellStyle name="Euro 23 5" xfId="8940" xr:uid="{00000000-0005-0000-0000-0000A69D0000}"/>
    <cellStyle name="Euro 23 6" xfId="51001" xr:uid="{00000000-0005-0000-0000-0000A79D0000}"/>
    <cellStyle name="Euro 24" xfId="106" xr:uid="{00000000-0005-0000-0000-0000A89D0000}"/>
    <cellStyle name="Euro 24 2" xfId="107" xr:uid="{00000000-0005-0000-0000-0000A99D0000}"/>
    <cellStyle name="Euro 24 2 2" xfId="1212" xr:uid="{00000000-0005-0000-0000-0000AA9D0000}"/>
    <cellStyle name="Euro 24 3" xfId="108" xr:uid="{00000000-0005-0000-0000-0000AB9D0000}"/>
    <cellStyle name="Euro 24 3 2" xfId="109" xr:uid="{00000000-0005-0000-0000-0000AC9D0000}"/>
    <cellStyle name="Euro 24 3 3" xfId="16765" xr:uid="{00000000-0005-0000-0000-0000AD9D0000}"/>
    <cellStyle name="Euro 24 3 3 2" xfId="18028" xr:uid="{00000000-0005-0000-0000-0000AE9D0000}"/>
    <cellStyle name="Euro 24 3 4" xfId="18027" xr:uid="{00000000-0005-0000-0000-0000AF9D0000}"/>
    <cellStyle name="Euro 24 3 5" xfId="16764" xr:uid="{00000000-0005-0000-0000-0000B09D0000}"/>
    <cellStyle name="Euro 24 4" xfId="8941" xr:uid="{00000000-0005-0000-0000-0000B19D0000}"/>
    <cellStyle name="Euro 24 4 2" xfId="16767" xr:uid="{00000000-0005-0000-0000-0000B29D0000}"/>
    <cellStyle name="Euro 24 4 2 2" xfId="18030" xr:uid="{00000000-0005-0000-0000-0000B39D0000}"/>
    <cellStyle name="Euro 24 4 3" xfId="18029" xr:uid="{00000000-0005-0000-0000-0000B49D0000}"/>
    <cellStyle name="Euro 24 4 4" xfId="16766" xr:uid="{00000000-0005-0000-0000-0000B59D0000}"/>
    <cellStyle name="Euro 24 5" xfId="8942" xr:uid="{00000000-0005-0000-0000-0000B69D0000}"/>
    <cellStyle name="Euro 24 6" xfId="51190" xr:uid="{00000000-0005-0000-0000-0000B79D0000}"/>
    <cellStyle name="Euro 25" xfId="110" xr:uid="{00000000-0005-0000-0000-0000B89D0000}"/>
    <cellStyle name="Euro 25 2" xfId="111" xr:uid="{00000000-0005-0000-0000-0000B99D0000}"/>
    <cellStyle name="Euro 25 2 2" xfId="1213" xr:uid="{00000000-0005-0000-0000-0000BA9D0000}"/>
    <cellStyle name="Euro 25 3" xfId="112" xr:uid="{00000000-0005-0000-0000-0000BB9D0000}"/>
    <cellStyle name="Euro 25 3 2" xfId="113" xr:uid="{00000000-0005-0000-0000-0000BC9D0000}"/>
    <cellStyle name="Euro 25 3 3" xfId="16769" xr:uid="{00000000-0005-0000-0000-0000BD9D0000}"/>
    <cellStyle name="Euro 25 3 3 2" xfId="18032" xr:uid="{00000000-0005-0000-0000-0000BE9D0000}"/>
    <cellStyle name="Euro 25 3 4" xfId="18031" xr:uid="{00000000-0005-0000-0000-0000BF9D0000}"/>
    <cellStyle name="Euro 25 3 5" xfId="16768" xr:uid="{00000000-0005-0000-0000-0000C09D0000}"/>
    <cellStyle name="Euro 25 4" xfId="8943" xr:uid="{00000000-0005-0000-0000-0000C19D0000}"/>
    <cellStyle name="Euro 25 4 2" xfId="16771" xr:uid="{00000000-0005-0000-0000-0000C29D0000}"/>
    <cellStyle name="Euro 25 4 2 2" xfId="18034" xr:uid="{00000000-0005-0000-0000-0000C39D0000}"/>
    <cellStyle name="Euro 25 4 3" xfId="18033" xr:uid="{00000000-0005-0000-0000-0000C49D0000}"/>
    <cellStyle name="Euro 25 4 4" xfId="16770" xr:uid="{00000000-0005-0000-0000-0000C59D0000}"/>
    <cellStyle name="Euro 25 5" xfId="8944" xr:uid="{00000000-0005-0000-0000-0000C69D0000}"/>
    <cellStyle name="Euro 25 6" xfId="50936" xr:uid="{00000000-0005-0000-0000-0000C79D0000}"/>
    <cellStyle name="Euro 26" xfId="114" xr:uid="{00000000-0005-0000-0000-0000C89D0000}"/>
    <cellStyle name="Euro 26 2" xfId="115" xr:uid="{00000000-0005-0000-0000-0000C99D0000}"/>
    <cellStyle name="Euro 26 2 2" xfId="1214" xr:uid="{00000000-0005-0000-0000-0000CA9D0000}"/>
    <cellStyle name="Euro 26 3" xfId="116" xr:uid="{00000000-0005-0000-0000-0000CB9D0000}"/>
    <cellStyle name="Euro 26 3 2" xfId="117" xr:uid="{00000000-0005-0000-0000-0000CC9D0000}"/>
    <cellStyle name="Euro 26 3 3" xfId="16773" xr:uid="{00000000-0005-0000-0000-0000CD9D0000}"/>
    <cellStyle name="Euro 26 3 3 2" xfId="18036" xr:uid="{00000000-0005-0000-0000-0000CE9D0000}"/>
    <cellStyle name="Euro 26 3 4" xfId="18035" xr:uid="{00000000-0005-0000-0000-0000CF9D0000}"/>
    <cellStyle name="Euro 26 3 5" xfId="16772" xr:uid="{00000000-0005-0000-0000-0000D09D0000}"/>
    <cellStyle name="Euro 26 4" xfId="8945" xr:uid="{00000000-0005-0000-0000-0000D19D0000}"/>
    <cellStyle name="Euro 26 4 2" xfId="16775" xr:uid="{00000000-0005-0000-0000-0000D29D0000}"/>
    <cellStyle name="Euro 26 4 2 2" xfId="18038" xr:uid="{00000000-0005-0000-0000-0000D39D0000}"/>
    <cellStyle name="Euro 26 4 3" xfId="18037" xr:uid="{00000000-0005-0000-0000-0000D49D0000}"/>
    <cellStyle name="Euro 26 4 4" xfId="16774" xr:uid="{00000000-0005-0000-0000-0000D59D0000}"/>
    <cellStyle name="Euro 26 5" xfId="8946" xr:uid="{00000000-0005-0000-0000-0000D69D0000}"/>
    <cellStyle name="Euro 26 6" xfId="51149" xr:uid="{00000000-0005-0000-0000-0000D79D0000}"/>
    <cellStyle name="Euro 27" xfId="118" xr:uid="{00000000-0005-0000-0000-0000D89D0000}"/>
    <cellStyle name="Euro 27 2" xfId="119" xr:uid="{00000000-0005-0000-0000-0000D99D0000}"/>
    <cellStyle name="Euro 27 2 2" xfId="1215" xr:uid="{00000000-0005-0000-0000-0000DA9D0000}"/>
    <cellStyle name="Euro 27 3" xfId="120" xr:uid="{00000000-0005-0000-0000-0000DB9D0000}"/>
    <cellStyle name="Euro 27 3 2" xfId="121" xr:uid="{00000000-0005-0000-0000-0000DC9D0000}"/>
    <cellStyle name="Euro 27 3 3" xfId="16777" xr:uid="{00000000-0005-0000-0000-0000DD9D0000}"/>
    <cellStyle name="Euro 27 3 3 2" xfId="18040" xr:uid="{00000000-0005-0000-0000-0000DE9D0000}"/>
    <cellStyle name="Euro 27 3 4" xfId="18039" xr:uid="{00000000-0005-0000-0000-0000DF9D0000}"/>
    <cellStyle name="Euro 27 3 5" xfId="16776" xr:uid="{00000000-0005-0000-0000-0000E09D0000}"/>
    <cellStyle name="Euro 27 4" xfId="8947" xr:uid="{00000000-0005-0000-0000-0000E19D0000}"/>
    <cellStyle name="Euro 27 4 2" xfId="16779" xr:uid="{00000000-0005-0000-0000-0000E29D0000}"/>
    <cellStyle name="Euro 27 4 2 2" xfId="18042" xr:uid="{00000000-0005-0000-0000-0000E39D0000}"/>
    <cellStyle name="Euro 27 4 3" xfId="18041" xr:uid="{00000000-0005-0000-0000-0000E49D0000}"/>
    <cellStyle name="Euro 27 4 4" xfId="16778" xr:uid="{00000000-0005-0000-0000-0000E59D0000}"/>
    <cellStyle name="Euro 27 5" xfId="8948" xr:uid="{00000000-0005-0000-0000-0000E69D0000}"/>
    <cellStyle name="Euro 27 6" xfId="51148" xr:uid="{00000000-0005-0000-0000-0000E79D0000}"/>
    <cellStyle name="Euro 28" xfId="122" xr:uid="{00000000-0005-0000-0000-0000E89D0000}"/>
    <cellStyle name="Euro 28 2" xfId="123" xr:uid="{00000000-0005-0000-0000-0000E99D0000}"/>
    <cellStyle name="Euro 28 2 2" xfId="1216" xr:uid="{00000000-0005-0000-0000-0000EA9D0000}"/>
    <cellStyle name="Euro 28 3" xfId="124" xr:uid="{00000000-0005-0000-0000-0000EB9D0000}"/>
    <cellStyle name="Euro 28 3 2" xfId="125" xr:uid="{00000000-0005-0000-0000-0000EC9D0000}"/>
    <cellStyle name="Euro 28 3 3" xfId="16781" xr:uid="{00000000-0005-0000-0000-0000ED9D0000}"/>
    <cellStyle name="Euro 28 3 3 2" xfId="18044" xr:uid="{00000000-0005-0000-0000-0000EE9D0000}"/>
    <cellStyle name="Euro 28 3 4" xfId="18043" xr:uid="{00000000-0005-0000-0000-0000EF9D0000}"/>
    <cellStyle name="Euro 28 3 5" xfId="16780" xr:uid="{00000000-0005-0000-0000-0000F09D0000}"/>
    <cellStyle name="Euro 28 4" xfId="8949" xr:uid="{00000000-0005-0000-0000-0000F19D0000}"/>
    <cellStyle name="Euro 28 4 2" xfId="16783" xr:uid="{00000000-0005-0000-0000-0000F29D0000}"/>
    <cellStyle name="Euro 28 4 2 2" xfId="18046" xr:uid="{00000000-0005-0000-0000-0000F39D0000}"/>
    <cellStyle name="Euro 28 4 3" xfId="18045" xr:uid="{00000000-0005-0000-0000-0000F49D0000}"/>
    <cellStyle name="Euro 28 4 4" xfId="16782" xr:uid="{00000000-0005-0000-0000-0000F59D0000}"/>
    <cellStyle name="Euro 28 5" xfId="8950" xr:uid="{00000000-0005-0000-0000-0000F69D0000}"/>
    <cellStyle name="Euro 28 6" xfId="51171" xr:uid="{00000000-0005-0000-0000-0000F79D0000}"/>
    <cellStyle name="Euro 29" xfId="126" xr:uid="{00000000-0005-0000-0000-0000F89D0000}"/>
    <cellStyle name="Euro 29 2" xfId="127" xr:uid="{00000000-0005-0000-0000-0000F99D0000}"/>
    <cellStyle name="Euro 29 2 2" xfId="1217" xr:uid="{00000000-0005-0000-0000-0000FA9D0000}"/>
    <cellStyle name="Euro 29 3" xfId="128" xr:uid="{00000000-0005-0000-0000-0000FB9D0000}"/>
    <cellStyle name="Euro 29 3 2" xfId="129" xr:uid="{00000000-0005-0000-0000-0000FC9D0000}"/>
    <cellStyle name="Euro 29 3 3" xfId="16785" xr:uid="{00000000-0005-0000-0000-0000FD9D0000}"/>
    <cellStyle name="Euro 29 3 3 2" xfId="18048" xr:uid="{00000000-0005-0000-0000-0000FE9D0000}"/>
    <cellStyle name="Euro 29 3 4" xfId="18047" xr:uid="{00000000-0005-0000-0000-0000FF9D0000}"/>
    <cellStyle name="Euro 29 3 5" xfId="16784" xr:uid="{00000000-0005-0000-0000-0000009E0000}"/>
    <cellStyle name="Euro 29 4" xfId="8951" xr:uid="{00000000-0005-0000-0000-0000019E0000}"/>
    <cellStyle name="Euro 29 4 2" xfId="16787" xr:uid="{00000000-0005-0000-0000-0000029E0000}"/>
    <cellStyle name="Euro 29 4 2 2" xfId="18050" xr:uid="{00000000-0005-0000-0000-0000039E0000}"/>
    <cellStyle name="Euro 29 4 3" xfId="18049" xr:uid="{00000000-0005-0000-0000-0000049E0000}"/>
    <cellStyle name="Euro 29 4 4" xfId="16786" xr:uid="{00000000-0005-0000-0000-0000059E0000}"/>
    <cellStyle name="Euro 29 5" xfId="8952" xr:uid="{00000000-0005-0000-0000-0000069E0000}"/>
    <cellStyle name="Euro 29 6" xfId="50935" xr:uid="{00000000-0005-0000-0000-0000079E0000}"/>
    <cellStyle name="Euro 3" xfId="130" xr:uid="{00000000-0005-0000-0000-0000089E0000}"/>
    <cellStyle name="Euro 3 2" xfId="131" xr:uid="{00000000-0005-0000-0000-0000099E0000}"/>
    <cellStyle name="Euro 3 2 2" xfId="1218" xr:uid="{00000000-0005-0000-0000-00000A9E0000}"/>
    <cellStyle name="Euro 3 3" xfId="132" xr:uid="{00000000-0005-0000-0000-00000B9E0000}"/>
    <cellStyle name="Euro 3 3 2" xfId="133" xr:uid="{00000000-0005-0000-0000-00000C9E0000}"/>
    <cellStyle name="Euro 3 3 3" xfId="16789" xr:uid="{00000000-0005-0000-0000-00000D9E0000}"/>
    <cellStyle name="Euro 3 3 3 2" xfId="18052" xr:uid="{00000000-0005-0000-0000-00000E9E0000}"/>
    <cellStyle name="Euro 3 3 4" xfId="18051" xr:uid="{00000000-0005-0000-0000-00000F9E0000}"/>
    <cellStyle name="Euro 3 3 5" xfId="16788" xr:uid="{00000000-0005-0000-0000-0000109E0000}"/>
    <cellStyle name="Euro 3 4" xfId="8953" xr:uid="{00000000-0005-0000-0000-0000119E0000}"/>
    <cellStyle name="Euro 3 4 2" xfId="16791" xr:uid="{00000000-0005-0000-0000-0000129E0000}"/>
    <cellStyle name="Euro 3 4 2 2" xfId="18054" xr:uid="{00000000-0005-0000-0000-0000139E0000}"/>
    <cellStyle name="Euro 3 4 3" xfId="18053" xr:uid="{00000000-0005-0000-0000-0000149E0000}"/>
    <cellStyle name="Euro 3 4 4" xfId="16790" xr:uid="{00000000-0005-0000-0000-0000159E0000}"/>
    <cellStyle name="Euro 3 5" xfId="8954" xr:uid="{00000000-0005-0000-0000-0000169E0000}"/>
    <cellStyle name="Euro 3 6" xfId="50934" xr:uid="{00000000-0005-0000-0000-0000179E0000}"/>
    <cellStyle name="Euro 30" xfId="134" xr:uid="{00000000-0005-0000-0000-0000189E0000}"/>
    <cellStyle name="Euro 30 2" xfId="135" xr:uid="{00000000-0005-0000-0000-0000199E0000}"/>
    <cellStyle name="Euro 30 2 2" xfId="1219" xr:uid="{00000000-0005-0000-0000-00001A9E0000}"/>
    <cellStyle name="Euro 30 3" xfId="136" xr:uid="{00000000-0005-0000-0000-00001B9E0000}"/>
    <cellStyle name="Euro 30 3 2" xfId="137" xr:uid="{00000000-0005-0000-0000-00001C9E0000}"/>
    <cellStyle name="Euro 30 3 3" xfId="16793" xr:uid="{00000000-0005-0000-0000-00001D9E0000}"/>
    <cellStyle name="Euro 30 3 3 2" xfId="18056" xr:uid="{00000000-0005-0000-0000-00001E9E0000}"/>
    <cellStyle name="Euro 30 3 4" xfId="18055" xr:uid="{00000000-0005-0000-0000-00001F9E0000}"/>
    <cellStyle name="Euro 30 3 5" xfId="16792" xr:uid="{00000000-0005-0000-0000-0000209E0000}"/>
    <cellStyle name="Euro 30 4" xfId="8955" xr:uid="{00000000-0005-0000-0000-0000219E0000}"/>
    <cellStyle name="Euro 30 4 2" xfId="16795" xr:uid="{00000000-0005-0000-0000-0000229E0000}"/>
    <cellStyle name="Euro 30 4 2 2" xfId="18058" xr:uid="{00000000-0005-0000-0000-0000239E0000}"/>
    <cellStyle name="Euro 30 4 3" xfId="18057" xr:uid="{00000000-0005-0000-0000-0000249E0000}"/>
    <cellStyle name="Euro 30 4 4" xfId="16794" xr:uid="{00000000-0005-0000-0000-0000259E0000}"/>
    <cellStyle name="Euro 30 5" xfId="8956" xr:uid="{00000000-0005-0000-0000-0000269E0000}"/>
    <cellStyle name="Euro 30 6" xfId="50933" xr:uid="{00000000-0005-0000-0000-0000279E0000}"/>
    <cellStyle name="Euro 31" xfId="138" xr:uid="{00000000-0005-0000-0000-0000289E0000}"/>
    <cellStyle name="Euro 31 2" xfId="139" xr:uid="{00000000-0005-0000-0000-0000299E0000}"/>
    <cellStyle name="Euro 31 2 2" xfId="1220" xr:uid="{00000000-0005-0000-0000-00002A9E0000}"/>
    <cellStyle name="Euro 31 3" xfId="140" xr:uid="{00000000-0005-0000-0000-00002B9E0000}"/>
    <cellStyle name="Euro 31 3 2" xfId="141" xr:uid="{00000000-0005-0000-0000-00002C9E0000}"/>
    <cellStyle name="Euro 31 3 3" xfId="16797" xr:uid="{00000000-0005-0000-0000-00002D9E0000}"/>
    <cellStyle name="Euro 31 3 3 2" xfId="18060" xr:uid="{00000000-0005-0000-0000-00002E9E0000}"/>
    <cellStyle name="Euro 31 3 4" xfId="18059" xr:uid="{00000000-0005-0000-0000-00002F9E0000}"/>
    <cellStyle name="Euro 31 3 5" xfId="16796" xr:uid="{00000000-0005-0000-0000-0000309E0000}"/>
    <cellStyle name="Euro 31 4" xfId="8957" xr:uid="{00000000-0005-0000-0000-0000319E0000}"/>
    <cellStyle name="Euro 31 4 2" xfId="16799" xr:uid="{00000000-0005-0000-0000-0000329E0000}"/>
    <cellStyle name="Euro 31 4 2 2" xfId="18062" xr:uid="{00000000-0005-0000-0000-0000339E0000}"/>
    <cellStyle name="Euro 31 4 3" xfId="18061" xr:uid="{00000000-0005-0000-0000-0000349E0000}"/>
    <cellStyle name="Euro 31 4 4" xfId="16798" xr:uid="{00000000-0005-0000-0000-0000359E0000}"/>
    <cellStyle name="Euro 31 5" xfId="8958" xr:uid="{00000000-0005-0000-0000-0000369E0000}"/>
    <cellStyle name="Euro 31 6" xfId="51191" xr:uid="{00000000-0005-0000-0000-0000379E0000}"/>
    <cellStyle name="Euro 32" xfId="142" xr:uid="{00000000-0005-0000-0000-0000389E0000}"/>
    <cellStyle name="Euro 32 2" xfId="143" xr:uid="{00000000-0005-0000-0000-0000399E0000}"/>
    <cellStyle name="Euro 32 2 2" xfId="1221" xr:uid="{00000000-0005-0000-0000-00003A9E0000}"/>
    <cellStyle name="Euro 32 3" xfId="144" xr:uid="{00000000-0005-0000-0000-00003B9E0000}"/>
    <cellStyle name="Euro 32 3 2" xfId="145" xr:uid="{00000000-0005-0000-0000-00003C9E0000}"/>
    <cellStyle name="Euro 32 3 3" xfId="16801" xr:uid="{00000000-0005-0000-0000-00003D9E0000}"/>
    <cellStyle name="Euro 32 3 3 2" xfId="18064" xr:uid="{00000000-0005-0000-0000-00003E9E0000}"/>
    <cellStyle name="Euro 32 3 4" xfId="18063" xr:uid="{00000000-0005-0000-0000-00003F9E0000}"/>
    <cellStyle name="Euro 32 3 5" xfId="16800" xr:uid="{00000000-0005-0000-0000-0000409E0000}"/>
    <cellStyle name="Euro 32 4" xfId="8959" xr:uid="{00000000-0005-0000-0000-0000419E0000}"/>
    <cellStyle name="Euro 32 4 2" xfId="16803" xr:uid="{00000000-0005-0000-0000-0000429E0000}"/>
    <cellStyle name="Euro 32 4 2 2" xfId="18066" xr:uid="{00000000-0005-0000-0000-0000439E0000}"/>
    <cellStyle name="Euro 32 4 3" xfId="18065" xr:uid="{00000000-0005-0000-0000-0000449E0000}"/>
    <cellStyle name="Euro 32 4 4" xfId="16802" xr:uid="{00000000-0005-0000-0000-0000459E0000}"/>
    <cellStyle name="Euro 32 5" xfId="8960" xr:uid="{00000000-0005-0000-0000-0000469E0000}"/>
    <cellStyle name="Euro 32 6" xfId="51169" xr:uid="{00000000-0005-0000-0000-0000479E0000}"/>
    <cellStyle name="Euro 33" xfId="146" xr:uid="{00000000-0005-0000-0000-0000489E0000}"/>
    <cellStyle name="Euro 33 2" xfId="147" xr:uid="{00000000-0005-0000-0000-0000499E0000}"/>
    <cellStyle name="Euro 33 2 2" xfId="1222" xr:uid="{00000000-0005-0000-0000-00004A9E0000}"/>
    <cellStyle name="Euro 33 3" xfId="148" xr:uid="{00000000-0005-0000-0000-00004B9E0000}"/>
    <cellStyle name="Euro 33 3 2" xfId="149" xr:uid="{00000000-0005-0000-0000-00004C9E0000}"/>
    <cellStyle name="Euro 33 3 3" xfId="16805" xr:uid="{00000000-0005-0000-0000-00004D9E0000}"/>
    <cellStyle name="Euro 33 3 3 2" xfId="18068" xr:uid="{00000000-0005-0000-0000-00004E9E0000}"/>
    <cellStyle name="Euro 33 3 4" xfId="18067" xr:uid="{00000000-0005-0000-0000-00004F9E0000}"/>
    <cellStyle name="Euro 33 3 5" xfId="16804" xr:uid="{00000000-0005-0000-0000-0000509E0000}"/>
    <cellStyle name="Euro 33 4" xfId="8961" xr:uid="{00000000-0005-0000-0000-0000519E0000}"/>
    <cellStyle name="Euro 33 4 2" xfId="16807" xr:uid="{00000000-0005-0000-0000-0000529E0000}"/>
    <cellStyle name="Euro 33 4 2 2" xfId="18070" xr:uid="{00000000-0005-0000-0000-0000539E0000}"/>
    <cellStyle name="Euro 33 4 3" xfId="18069" xr:uid="{00000000-0005-0000-0000-0000549E0000}"/>
    <cellStyle name="Euro 33 4 4" xfId="16806" xr:uid="{00000000-0005-0000-0000-0000559E0000}"/>
    <cellStyle name="Euro 33 5" xfId="8962" xr:uid="{00000000-0005-0000-0000-0000569E0000}"/>
    <cellStyle name="Euro 33 6" xfId="50932" xr:uid="{00000000-0005-0000-0000-0000579E0000}"/>
    <cellStyle name="Euro 34" xfId="150" xr:uid="{00000000-0005-0000-0000-0000589E0000}"/>
    <cellStyle name="Euro 34 2" xfId="151" xr:uid="{00000000-0005-0000-0000-0000599E0000}"/>
    <cellStyle name="Euro 34 2 2" xfId="1223" xr:uid="{00000000-0005-0000-0000-00005A9E0000}"/>
    <cellStyle name="Euro 34 3" xfId="152" xr:uid="{00000000-0005-0000-0000-00005B9E0000}"/>
    <cellStyle name="Euro 34 3 2" xfId="153" xr:uid="{00000000-0005-0000-0000-00005C9E0000}"/>
    <cellStyle name="Euro 34 3 3" xfId="16809" xr:uid="{00000000-0005-0000-0000-00005D9E0000}"/>
    <cellStyle name="Euro 34 3 3 2" xfId="18072" xr:uid="{00000000-0005-0000-0000-00005E9E0000}"/>
    <cellStyle name="Euro 34 3 4" xfId="18071" xr:uid="{00000000-0005-0000-0000-00005F9E0000}"/>
    <cellStyle name="Euro 34 3 5" xfId="16808" xr:uid="{00000000-0005-0000-0000-0000609E0000}"/>
    <cellStyle name="Euro 34 4" xfId="8963" xr:uid="{00000000-0005-0000-0000-0000619E0000}"/>
    <cellStyle name="Euro 34 4 2" xfId="16811" xr:uid="{00000000-0005-0000-0000-0000629E0000}"/>
    <cellStyle name="Euro 34 4 2 2" xfId="18074" xr:uid="{00000000-0005-0000-0000-0000639E0000}"/>
    <cellStyle name="Euro 34 4 3" xfId="18073" xr:uid="{00000000-0005-0000-0000-0000649E0000}"/>
    <cellStyle name="Euro 34 4 4" xfId="16810" xr:uid="{00000000-0005-0000-0000-0000659E0000}"/>
    <cellStyle name="Euro 34 5" xfId="8964" xr:uid="{00000000-0005-0000-0000-0000669E0000}"/>
    <cellStyle name="Euro 34 6" xfId="50931" xr:uid="{00000000-0005-0000-0000-0000679E0000}"/>
    <cellStyle name="Euro 35" xfId="154" xr:uid="{00000000-0005-0000-0000-0000689E0000}"/>
    <cellStyle name="Euro 35 2" xfId="155" xr:uid="{00000000-0005-0000-0000-0000699E0000}"/>
    <cellStyle name="Euro 35 2 2" xfId="1224" xr:uid="{00000000-0005-0000-0000-00006A9E0000}"/>
    <cellStyle name="Euro 35 3" xfId="156" xr:uid="{00000000-0005-0000-0000-00006B9E0000}"/>
    <cellStyle name="Euro 35 3 2" xfId="157" xr:uid="{00000000-0005-0000-0000-00006C9E0000}"/>
    <cellStyle name="Euro 35 3 3" xfId="16813" xr:uid="{00000000-0005-0000-0000-00006D9E0000}"/>
    <cellStyle name="Euro 35 3 3 2" xfId="18076" xr:uid="{00000000-0005-0000-0000-00006E9E0000}"/>
    <cellStyle name="Euro 35 3 4" xfId="18075" xr:uid="{00000000-0005-0000-0000-00006F9E0000}"/>
    <cellStyle name="Euro 35 3 5" xfId="16812" xr:uid="{00000000-0005-0000-0000-0000709E0000}"/>
    <cellStyle name="Euro 35 4" xfId="8965" xr:uid="{00000000-0005-0000-0000-0000719E0000}"/>
    <cellStyle name="Euro 35 4 2" xfId="16815" xr:uid="{00000000-0005-0000-0000-0000729E0000}"/>
    <cellStyle name="Euro 35 4 2 2" xfId="18078" xr:uid="{00000000-0005-0000-0000-0000739E0000}"/>
    <cellStyle name="Euro 35 4 3" xfId="18077" xr:uid="{00000000-0005-0000-0000-0000749E0000}"/>
    <cellStyle name="Euro 35 4 4" xfId="16814" xr:uid="{00000000-0005-0000-0000-0000759E0000}"/>
    <cellStyle name="Euro 35 5" xfId="8966" xr:uid="{00000000-0005-0000-0000-0000769E0000}"/>
    <cellStyle name="Euro 35 6" xfId="51147" xr:uid="{00000000-0005-0000-0000-0000779E0000}"/>
    <cellStyle name="Euro 36" xfId="158" xr:uid="{00000000-0005-0000-0000-0000789E0000}"/>
    <cellStyle name="Euro 36 2" xfId="159" xr:uid="{00000000-0005-0000-0000-0000799E0000}"/>
    <cellStyle name="Euro 36 2 2" xfId="1225" xr:uid="{00000000-0005-0000-0000-00007A9E0000}"/>
    <cellStyle name="Euro 36 3" xfId="160" xr:uid="{00000000-0005-0000-0000-00007B9E0000}"/>
    <cellStyle name="Euro 36 3 2" xfId="161" xr:uid="{00000000-0005-0000-0000-00007C9E0000}"/>
    <cellStyle name="Euro 36 3 3" xfId="16817" xr:uid="{00000000-0005-0000-0000-00007D9E0000}"/>
    <cellStyle name="Euro 36 3 3 2" xfId="18080" xr:uid="{00000000-0005-0000-0000-00007E9E0000}"/>
    <cellStyle name="Euro 36 3 4" xfId="18079" xr:uid="{00000000-0005-0000-0000-00007F9E0000}"/>
    <cellStyle name="Euro 36 3 5" xfId="16816" xr:uid="{00000000-0005-0000-0000-0000809E0000}"/>
    <cellStyle name="Euro 36 4" xfId="8967" xr:uid="{00000000-0005-0000-0000-0000819E0000}"/>
    <cellStyle name="Euro 36 4 2" xfId="16819" xr:uid="{00000000-0005-0000-0000-0000829E0000}"/>
    <cellStyle name="Euro 36 4 2 2" xfId="18082" xr:uid="{00000000-0005-0000-0000-0000839E0000}"/>
    <cellStyle name="Euro 36 4 3" xfId="18081" xr:uid="{00000000-0005-0000-0000-0000849E0000}"/>
    <cellStyle name="Euro 36 4 4" xfId="16818" xr:uid="{00000000-0005-0000-0000-0000859E0000}"/>
    <cellStyle name="Euro 36 5" xfId="8968" xr:uid="{00000000-0005-0000-0000-0000869E0000}"/>
    <cellStyle name="Euro 36 6" xfId="51146" xr:uid="{00000000-0005-0000-0000-0000879E0000}"/>
    <cellStyle name="Euro 37" xfId="162" xr:uid="{00000000-0005-0000-0000-0000889E0000}"/>
    <cellStyle name="Euro 37 2" xfId="163" xr:uid="{00000000-0005-0000-0000-0000899E0000}"/>
    <cellStyle name="Euro 37 2 2" xfId="1226" xr:uid="{00000000-0005-0000-0000-00008A9E0000}"/>
    <cellStyle name="Euro 37 3" xfId="164" xr:uid="{00000000-0005-0000-0000-00008B9E0000}"/>
    <cellStyle name="Euro 37 3 2" xfId="165" xr:uid="{00000000-0005-0000-0000-00008C9E0000}"/>
    <cellStyle name="Euro 37 3 3" xfId="16821" xr:uid="{00000000-0005-0000-0000-00008D9E0000}"/>
    <cellStyle name="Euro 37 3 3 2" xfId="18084" xr:uid="{00000000-0005-0000-0000-00008E9E0000}"/>
    <cellStyle name="Euro 37 3 4" xfId="18083" xr:uid="{00000000-0005-0000-0000-00008F9E0000}"/>
    <cellStyle name="Euro 37 3 5" xfId="16820" xr:uid="{00000000-0005-0000-0000-0000909E0000}"/>
    <cellStyle name="Euro 37 4" xfId="8969" xr:uid="{00000000-0005-0000-0000-0000919E0000}"/>
    <cellStyle name="Euro 37 4 2" xfId="16823" xr:uid="{00000000-0005-0000-0000-0000929E0000}"/>
    <cellStyle name="Euro 37 4 2 2" xfId="18086" xr:uid="{00000000-0005-0000-0000-0000939E0000}"/>
    <cellStyle name="Euro 37 4 3" xfId="18085" xr:uid="{00000000-0005-0000-0000-0000949E0000}"/>
    <cellStyle name="Euro 37 4 4" xfId="16822" xr:uid="{00000000-0005-0000-0000-0000959E0000}"/>
    <cellStyle name="Euro 37 5" xfId="8970" xr:uid="{00000000-0005-0000-0000-0000969E0000}"/>
    <cellStyle name="Euro 37 6" xfId="51153" xr:uid="{00000000-0005-0000-0000-0000979E0000}"/>
    <cellStyle name="Euro 38" xfId="166" xr:uid="{00000000-0005-0000-0000-0000989E0000}"/>
    <cellStyle name="Euro 38 2" xfId="167" xr:uid="{00000000-0005-0000-0000-0000999E0000}"/>
    <cellStyle name="Euro 38 2 2" xfId="1227" xr:uid="{00000000-0005-0000-0000-00009A9E0000}"/>
    <cellStyle name="Euro 38 3" xfId="168" xr:uid="{00000000-0005-0000-0000-00009B9E0000}"/>
    <cellStyle name="Euro 38 3 2" xfId="169" xr:uid="{00000000-0005-0000-0000-00009C9E0000}"/>
    <cellStyle name="Euro 38 3 3" xfId="16825" xr:uid="{00000000-0005-0000-0000-00009D9E0000}"/>
    <cellStyle name="Euro 38 3 3 2" xfId="18088" xr:uid="{00000000-0005-0000-0000-00009E9E0000}"/>
    <cellStyle name="Euro 38 3 4" xfId="18087" xr:uid="{00000000-0005-0000-0000-00009F9E0000}"/>
    <cellStyle name="Euro 38 3 5" xfId="16824" xr:uid="{00000000-0005-0000-0000-0000A09E0000}"/>
    <cellStyle name="Euro 38 4" xfId="8971" xr:uid="{00000000-0005-0000-0000-0000A19E0000}"/>
    <cellStyle name="Euro 38 4 2" xfId="16827" xr:uid="{00000000-0005-0000-0000-0000A29E0000}"/>
    <cellStyle name="Euro 38 4 2 2" xfId="18090" xr:uid="{00000000-0005-0000-0000-0000A39E0000}"/>
    <cellStyle name="Euro 38 4 3" xfId="18089" xr:uid="{00000000-0005-0000-0000-0000A49E0000}"/>
    <cellStyle name="Euro 38 4 4" xfId="16826" xr:uid="{00000000-0005-0000-0000-0000A59E0000}"/>
    <cellStyle name="Euro 38 5" xfId="8972" xr:uid="{00000000-0005-0000-0000-0000A69E0000}"/>
    <cellStyle name="Euro 38 6" xfId="50930" xr:uid="{00000000-0005-0000-0000-0000A79E0000}"/>
    <cellStyle name="Euro 39" xfId="170" xr:uid="{00000000-0005-0000-0000-0000A89E0000}"/>
    <cellStyle name="Euro 39 2" xfId="171" xr:uid="{00000000-0005-0000-0000-0000A99E0000}"/>
    <cellStyle name="Euro 39 2 2" xfId="1228" xr:uid="{00000000-0005-0000-0000-0000AA9E0000}"/>
    <cellStyle name="Euro 39 3" xfId="172" xr:uid="{00000000-0005-0000-0000-0000AB9E0000}"/>
    <cellStyle name="Euro 39 3 2" xfId="173" xr:uid="{00000000-0005-0000-0000-0000AC9E0000}"/>
    <cellStyle name="Euro 39 3 3" xfId="16829" xr:uid="{00000000-0005-0000-0000-0000AD9E0000}"/>
    <cellStyle name="Euro 39 3 3 2" xfId="18092" xr:uid="{00000000-0005-0000-0000-0000AE9E0000}"/>
    <cellStyle name="Euro 39 3 4" xfId="18091" xr:uid="{00000000-0005-0000-0000-0000AF9E0000}"/>
    <cellStyle name="Euro 39 3 5" xfId="16828" xr:uid="{00000000-0005-0000-0000-0000B09E0000}"/>
    <cellStyle name="Euro 39 4" xfId="8973" xr:uid="{00000000-0005-0000-0000-0000B19E0000}"/>
    <cellStyle name="Euro 39 4 2" xfId="16831" xr:uid="{00000000-0005-0000-0000-0000B29E0000}"/>
    <cellStyle name="Euro 39 4 2 2" xfId="18094" xr:uid="{00000000-0005-0000-0000-0000B39E0000}"/>
    <cellStyle name="Euro 39 4 3" xfId="18093" xr:uid="{00000000-0005-0000-0000-0000B49E0000}"/>
    <cellStyle name="Euro 39 4 4" xfId="16830" xr:uid="{00000000-0005-0000-0000-0000B59E0000}"/>
    <cellStyle name="Euro 39 5" xfId="8974" xr:uid="{00000000-0005-0000-0000-0000B69E0000}"/>
    <cellStyle name="Euro 39 6" xfId="51192" xr:uid="{00000000-0005-0000-0000-0000B79E0000}"/>
    <cellStyle name="Euro 4" xfId="174" xr:uid="{00000000-0005-0000-0000-0000B89E0000}"/>
    <cellStyle name="Euro 4 2" xfId="175" xr:uid="{00000000-0005-0000-0000-0000B99E0000}"/>
    <cellStyle name="Euro 4 2 2" xfId="1229" xr:uid="{00000000-0005-0000-0000-0000BA9E0000}"/>
    <cellStyle name="Euro 4 3" xfId="176" xr:uid="{00000000-0005-0000-0000-0000BB9E0000}"/>
    <cellStyle name="Euro 4 3 2" xfId="177" xr:uid="{00000000-0005-0000-0000-0000BC9E0000}"/>
    <cellStyle name="Euro 4 3 3" xfId="16833" xr:uid="{00000000-0005-0000-0000-0000BD9E0000}"/>
    <cellStyle name="Euro 4 3 3 2" xfId="18096" xr:uid="{00000000-0005-0000-0000-0000BE9E0000}"/>
    <cellStyle name="Euro 4 3 4" xfId="18095" xr:uid="{00000000-0005-0000-0000-0000BF9E0000}"/>
    <cellStyle name="Euro 4 3 5" xfId="16832" xr:uid="{00000000-0005-0000-0000-0000C09E0000}"/>
    <cellStyle name="Euro 4 4" xfId="8975" xr:uid="{00000000-0005-0000-0000-0000C19E0000}"/>
    <cellStyle name="Euro 4 4 2" xfId="16835" xr:uid="{00000000-0005-0000-0000-0000C29E0000}"/>
    <cellStyle name="Euro 4 4 2 2" xfId="18098" xr:uid="{00000000-0005-0000-0000-0000C39E0000}"/>
    <cellStyle name="Euro 4 4 3" xfId="18097" xr:uid="{00000000-0005-0000-0000-0000C49E0000}"/>
    <cellStyle name="Euro 4 4 4" xfId="16834" xr:uid="{00000000-0005-0000-0000-0000C59E0000}"/>
    <cellStyle name="Euro 4 5" xfId="8976" xr:uid="{00000000-0005-0000-0000-0000C69E0000}"/>
    <cellStyle name="Euro 4 6" xfId="51193" xr:uid="{00000000-0005-0000-0000-0000C79E0000}"/>
    <cellStyle name="Euro 40" xfId="178" xr:uid="{00000000-0005-0000-0000-0000C89E0000}"/>
    <cellStyle name="Euro 40 2" xfId="179" xr:uid="{00000000-0005-0000-0000-0000C99E0000}"/>
    <cellStyle name="Euro 40 2 2" xfId="1230" xr:uid="{00000000-0005-0000-0000-0000CA9E0000}"/>
    <cellStyle name="Euro 40 3" xfId="180" xr:uid="{00000000-0005-0000-0000-0000CB9E0000}"/>
    <cellStyle name="Euro 40 3 2" xfId="181" xr:uid="{00000000-0005-0000-0000-0000CC9E0000}"/>
    <cellStyle name="Euro 40 3 3" xfId="16837" xr:uid="{00000000-0005-0000-0000-0000CD9E0000}"/>
    <cellStyle name="Euro 40 3 3 2" xfId="18100" xr:uid="{00000000-0005-0000-0000-0000CE9E0000}"/>
    <cellStyle name="Euro 40 3 4" xfId="18099" xr:uid="{00000000-0005-0000-0000-0000CF9E0000}"/>
    <cellStyle name="Euro 40 3 5" xfId="16836" xr:uid="{00000000-0005-0000-0000-0000D09E0000}"/>
    <cellStyle name="Euro 40 4" xfId="8977" xr:uid="{00000000-0005-0000-0000-0000D19E0000}"/>
    <cellStyle name="Euro 40 4 2" xfId="16839" xr:uid="{00000000-0005-0000-0000-0000D29E0000}"/>
    <cellStyle name="Euro 40 4 2 2" xfId="18102" xr:uid="{00000000-0005-0000-0000-0000D39E0000}"/>
    <cellStyle name="Euro 40 4 3" xfId="18101" xr:uid="{00000000-0005-0000-0000-0000D49E0000}"/>
    <cellStyle name="Euro 40 4 4" xfId="16838" xr:uid="{00000000-0005-0000-0000-0000D59E0000}"/>
    <cellStyle name="Euro 40 5" xfId="8978" xr:uid="{00000000-0005-0000-0000-0000D69E0000}"/>
    <cellStyle name="Euro 40 6" xfId="50929" xr:uid="{00000000-0005-0000-0000-0000D79E0000}"/>
    <cellStyle name="Euro 41" xfId="182" xr:uid="{00000000-0005-0000-0000-0000D89E0000}"/>
    <cellStyle name="Euro 41 2" xfId="183" xr:uid="{00000000-0005-0000-0000-0000D99E0000}"/>
    <cellStyle name="Euro 41 2 2" xfId="1231" xr:uid="{00000000-0005-0000-0000-0000DA9E0000}"/>
    <cellStyle name="Euro 41 3" xfId="184" xr:uid="{00000000-0005-0000-0000-0000DB9E0000}"/>
    <cellStyle name="Euro 41 3 2" xfId="185" xr:uid="{00000000-0005-0000-0000-0000DC9E0000}"/>
    <cellStyle name="Euro 41 3 3" xfId="16841" xr:uid="{00000000-0005-0000-0000-0000DD9E0000}"/>
    <cellStyle name="Euro 41 3 3 2" xfId="18104" xr:uid="{00000000-0005-0000-0000-0000DE9E0000}"/>
    <cellStyle name="Euro 41 3 4" xfId="18103" xr:uid="{00000000-0005-0000-0000-0000DF9E0000}"/>
    <cellStyle name="Euro 41 3 5" xfId="16840" xr:uid="{00000000-0005-0000-0000-0000E09E0000}"/>
    <cellStyle name="Euro 41 4" xfId="8979" xr:uid="{00000000-0005-0000-0000-0000E19E0000}"/>
    <cellStyle name="Euro 41 4 2" xfId="16843" xr:uid="{00000000-0005-0000-0000-0000E29E0000}"/>
    <cellStyle name="Euro 41 4 2 2" xfId="18106" xr:uid="{00000000-0005-0000-0000-0000E39E0000}"/>
    <cellStyle name="Euro 41 4 3" xfId="18105" xr:uid="{00000000-0005-0000-0000-0000E49E0000}"/>
    <cellStyle name="Euro 41 4 4" xfId="16842" xr:uid="{00000000-0005-0000-0000-0000E59E0000}"/>
    <cellStyle name="Euro 41 5" xfId="8980" xr:uid="{00000000-0005-0000-0000-0000E69E0000}"/>
    <cellStyle name="Euro 41 6" xfId="51003" xr:uid="{00000000-0005-0000-0000-0000E79E0000}"/>
    <cellStyle name="Euro 42" xfId="186" xr:uid="{00000000-0005-0000-0000-0000E89E0000}"/>
    <cellStyle name="Euro 42 2" xfId="187" xr:uid="{00000000-0005-0000-0000-0000E99E0000}"/>
    <cellStyle name="Euro 42 2 2" xfId="1232" xr:uid="{00000000-0005-0000-0000-0000EA9E0000}"/>
    <cellStyle name="Euro 42 3" xfId="188" xr:uid="{00000000-0005-0000-0000-0000EB9E0000}"/>
    <cellStyle name="Euro 42 3 2" xfId="189" xr:uid="{00000000-0005-0000-0000-0000EC9E0000}"/>
    <cellStyle name="Euro 42 3 3" xfId="16845" xr:uid="{00000000-0005-0000-0000-0000ED9E0000}"/>
    <cellStyle name="Euro 42 3 3 2" xfId="18108" xr:uid="{00000000-0005-0000-0000-0000EE9E0000}"/>
    <cellStyle name="Euro 42 3 4" xfId="18107" xr:uid="{00000000-0005-0000-0000-0000EF9E0000}"/>
    <cellStyle name="Euro 42 3 5" xfId="16844" xr:uid="{00000000-0005-0000-0000-0000F09E0000}"/>
    <cellStyle name="Euro 42 4" xfId="8981" xr:uid="{00000000-0005-0000-0000-0000F19E0000}"/>
    <cellStyle name="Euro 42 4 2" xfId="16847" xr:uid="{00000000-0005-0000-0000-0000F29E0000}"/>
    <cellStyle name="Euro 42 4 2 2" xfId="18110" xr:uid="{00000000-0005-0000-0000-0000F39E0000}"/>
    <cellStyle name="Euro 42 4 3" xfId="18109" xr:uid="{00000000-0005-0000-0000-0000F49E0000}"/>
    <cellStyle name="Euro 42 4 4" xfId="16846" xr:uid="{00000000-0005-0000-0000-0000F59E0000}"/>
    <cellStyle name="Euro 42 5" xfId="8982" xr:uid="{00000000-0005-0000-0000-0000F69E0000}"/>
    <cellStyle name="Euro 42 6" xfId="50928" xr:uid="{00000000-0005-0000-0000-0000F79E0000}"/>
    <cellStyle name="Euro 43" xfId="190" xr:uid="{00000000-0005-0000-0000-0000F89E0000}"/>
    <cellStyle name="Euro 43 2" xfId="191" xr:uid="{00000000-0005-0000-0000-0000F99E0000}"/>
    <cellStyle name="Euro 43 2 2" xfId="1233" xr:uid="{00000000-0005-0000-0000-0000FA9E0000}"/>
    <cellStyle name="Euro 43 3" xfId="192" xr:uid="{00000000-0005-0000-0000-0000FB9E0000}"/>
    <cellStyle name="Euro 43 3 2" xfId="193" xr:uid="{00000000-0005-0000-0000-0000FC9E0000}"/>
    <cellStyle name="Euro 43 3 3" xfId="16849" xr:uid="{00000000-0005-0000-0000-0000FD9E0000}"/>
    <cellStyle name="Euro 43 3 3 2" xfId="18112" xr:uid="{00000000-0005-0000-0000-0000FE9E0000}"/>
    <cellStyle name="Euro 43 3 4" xfId="18111" xr:uid="{00000000-0005-0000-0000-0000FF9E0000}"/>
    <cellStyle name="Euro 43 3 5" xfId="16848" xr:uid="{00000000-0005-0000-0000-0000009F0000}"/>
    <cellStyle name="Euro 43 4" xfId="8983" xr:uid="{00000000-0005-0000-0000-0000019F0000}"/>
    <cellStyle name="Euro 43 4 2" xfId="16851" xr:uid="{00000000-0005-0000-0000-0000029F0000}"/>
    <cellStyle name="Euro 43 4 2 2" xfId="18114" xr:uid="{00000000-0005-0000-0000-0000039F0000}"/>
    <cellStyle name="Euro 43 4 3" xfId="18113" xr:uid="{00000000-0005-0000-0000-0000049F0000}"/>
    <cellStyle name="Euro 43 4 4" xfId="16850" xr:uid="{00000000-0005-0000-0000-0000059F0000}"/>
    <cellStyle name="Euro 43 5" xfId="8984" xr:uid="{00000000-0005-0000-0000-0000069F0000}"/>
    <cellStyle name="Euro 43 6" xfId="51175" xr:uid="{00000000-0005-0000-0000-0000079F0000}"/>
    <cellStyle name="Euro 44" xfId="194" xr:uid="{00000000-0005-0000-0000-0000089F0000}"/>
    <cellStyle name="Euro 44 2" xfId="195" xr:uid="{00000000-0005-0000-0000-0000099F0000}"/>
    <cellStyle name="Euro 44 2 2" xfId="1234" xr:uid="{00000000-0005-0000-0000-00000A9F0000}"/>
    <cellStyle name="Euro 44 3" xfId="196" xr:uid="{00000000-0005-0000-0000-00000B9F0000}"/>
    <cellStyle name="Euro 44 3 2" xfId="197" xr:uid="{00000000-0005-0000-0000-00000C9F0000}"/>
    <cellStyle name="Euro 44 3 3" xfId="16853" xr:uid="{00000000-0005-0000-0000-00000D9F0000}"/>
    <cellStyle name="Euro 44 3 3 2" xfId="18116" xr:uid="{00000000-0005-0000-0000-00000E9F0000}"/>
    <cellStyle name="Euro 44 3 4" xfId="18115" xr:uid="{00000000-0005-0000-0000-00000F9F0000}"/>
    <cellStyle name="Euro 44 3 5" xfId="16852" xr:uid="{00000000-0005-0000-0000-0000109F0000}"/>
    <cellStyle name="Euro 44 4" xfId="8985" xr:uid="{00000000-0005-0000-0000-0000119F0000}"/>
    <cellStyle name="Euro 44 4 2" xfId="16855" xr:uid="{00000000-0005-0000-0000-0000129F0000}"/>
    <cellStyle name="Euro 44 4 2 2" xfId="18118" xr:uid="{00000000-0005-0000-0000-0000139F0000}"/>
    <cellStyle name="Euro 44 4 3" xfId="18117" xr:uid="{00000000-0005-0000-0000-0000149F0000}"/>
    <cellStyle name="Euro 44 4 4" xfId="16854" xr:uid="{00000000-0005-0000-0000-0000159F0000}"/>
    <cellStyle name="Euro 44 5" xfId="8986" xr:uid="{00000000-0005-0000-0000-0000169F0000}"/>
    <cellStyle name="Euro 44 6" xfId="51194" xr:uid="{00000000-0005-0000-0000-0000179F0000}"/>
    <cellStyle name="Euro 45" xfId="198" xr:uid="{00000000-0005-0000-0000-0000189F0000}"/>
    <cellStyle name="Euro 45 2" xfId="1235" xr:uid="{00000000-0005-0000-0000-0000199F0000}"/>
    <cellStyle name="Euro 45 2 2" xfId="18120" xr:uid="{00000000-0005-0000-0000-00001A9F0000}"/>
    <cellStyle name="Euro 45 2 3" xfId="16856" xr:uid="{00000000-0005-0000-0000-00001B9F0000}"/>
    <cellStyle name="Euro 45 3" xfId="18119" xr:uid="{00000000-0005-0000-0000-00001C9F0000}"/>
    <cellStyle name="Euro 45 4" xfId="54660" xr:uid="{00000000-0005-0000-0000-00001D9F0000}"/>
    <cellStyle name="Euro 46" xfId="199" xr:uid="{00000000-0005-0000-0000-00001E9F0000}"/>
    <cellStyle name="Euro 46 2" xfId="1236" xr:uid="{00000000-0005-0000-0000-00001F9F0000}"/>
    <cellStyle name="Euro 47" xfId="200" xr:uid="{00000000-0005-0000-0000-0000209F0000}"/>
    <cellStyle name="Euro 47 2" xfId="201" xr:uid="{00000000-0005-0000-0000-0000219F0000}"/>
    <cellStyle name="Euro 47 3" xfId="16858" xr:uid="{00000000-0005-0000-0000-0000229F0000}"/>
    <cellStyle name="Euro 47 3 2" xfId="18122" xr:uid="{00000000-0005-0000-0000-0000239F0000}"/>
    <cellStyle name="Euro 47 4" xfId="18121" xr:uid="{00000000-0005-0000-0000-0000249F0000}"/>
    <cellStyle name="Euro 47 5" xfId="16857" xr:uid="{00000000-0005-0000-0000-0000259F0000}"/>
    <cellStyle name="Euro 48" xfId="202" xr:uid="{00000000-0005-0000-0000-0000269F0000}"/>
    <cellStyle name="Euro 48 2" xfId="1237" xr:uid="{00000000-0005-0000-0000-0000279F0000}"/>
    <cellStyle name="Euro 49" xfId="1157" xr:uid="{00000000-0005-0000-0000-0000289F0000}"/>
    <cellStyle name="Euro 49 2" xfId="8987" xr:uid="{00000000-0005-0000-0000-0000299F0000}"/>
    <cellStyle name="Euro 49 2 2" xfId="18124" xr:uid="{00000000-0005-0000-0000-00002A9F0000}"/>
    <cellStyle name="Euro 49 2 3" xfId="16860" xr:uid="{00000000-0005-0000-0000-00002B9F0000}"/>
    <cellStyle name="Euro 49 3" xfId="9994" xr:uid="{00000000-0005-0000-0000-00002C9F0000}"/>
    <cellStyle name="Euro 49 3 2" xfId="18123" xr:uid="{00000000-0005-0000-0000-00002D9F0000}"/>
    <cellStyle name="Euro 49 4" xfId="16859" xr:uid="{00000000-0005-0000-0000-00002E9F0000}"/>
    <cellStyle name="Euro 5" xfId="203" xr:uid="{00000000-0005-0000-0000-00002F9F0000}"/>
    <cellStyle name="Euro 5 2" xfId="204" xr:uid="{00000000-0005-0000-0000-0000309F0000}"/>
    <cellStyle name="Euro 5 2 2" xfId="1238" xr:uid="{00000000-0005-0000-0000-0000319F0000}"/>
    <cellStyle name="Euro 5 3" xfId="205" xr:uid="{00000000-0005-0000-0000-0000329F0000}"/>
    <cellStyle name="Euro 5 3 2" xfId="206" xr:uid="{00000000-0005-0000-0000-0000339F0000}"/>
    <cellStyle name="Euro 5 3 3" xfId="16862" xr:uid="{00000000-0005-0000-0000-0000349F0000}"/>
    <cellStyle name="Euro 5 3 3 2" xfId="18126" xr:uid="{00000000-0005-0000-0000-0000359F0000}"/>
    <cellStyle name="Euro 5 3 4" xfId="18125" xr:uid="{00000000-0005-0000-0000-0000369F0000}"/>
    <cellStyle name="Euro 5 3 5" xfId="16861" xr:uid="{00000000-0005-0000-0000-0000379F0000}"/>
    <cellStyle name="Euro 5 4" xfId="8988" xr:uid="{00000000-0005-0000-0000-0000389F0000}"/>
    <cellStyle name="Euro 5 4 2" xfId="16864" xr:uid="{00000000-0005-0000-0000-0000399F0000}"/>
    <cellStyle name="Euro 5 4 2 2" xfId="18128" xr:uid="{00000000-0005-0000-0000-00003A9F0000}"/>
    <cellStyle name="Euro 5 4 3" xfId="18127" xr:uid="{00000000-0005-0000-0000-00003B9F0000}"/>
    <cellStyle name="Euro 5 4 4" xfId="16863" xr:uid="{00000000-0005-0000-0000-00003C9F0000}"/>
    <cellStyle name="Euro 5 5" xfId="8989" xr:uid="{00000000-0005-0000-0000-00003D9F0000}"/>
    <cellStyle name="Euro 5 6" xfId="51000" xr:uid="{00000000-0005-0000-0000-00003E9F0000}"/>
    <cellStyle name="Euro 50" xfId="1161" xr:uid="{00000000-0005-0000-0000-00003F9F0000}"/>
    <cellStyle name="Euro 50 2" xfId="8881" xr:uid="{00000000-0005-0000-0000-0000409F0000}"/>
    <cellStyle name="Euro 50 3" xfId="8990" xr:uid="{00000000-0005-0000-0000-0000419F0000}"/>
    <cellStyle name="Euro 50 4" xfId="9995" xr:uid="{00000000-0005-0000-0000-0000429F0000}"/>
    <cellStyle name="Euro 51" xfId="16865" xr:uid="{00000000-0005-0000-0000-0000439F0000}"/>
    <cellStyle name="Euro 51 2" xfId="18129" xr:uid="{00000000-0005-0000-0000-0000449F0000}"/>
    <cellStyle name="Euro 51 3" xfId="51195" xr:uid="{00000000-0005-0000-0000-0000459F0000}"/>
    <cellStyle name="Euro 6" xfId="207" xr:uid="{00000000-0005-0000-0000-0000469F0000}"/>
    <cellStyle name="Euro 6 2" xfId="208" xr:uid="{00000000-0005-0000-0000-0000479F0000}"/>
    <cellStyle name="Euro 6 2 2" xfId="1239" xr:uid="{00000000-0005-0000-0000-0000489F0000}"/>
    <cellStyle name="Euro 6 3" xfId="209" xr:uid="{00000000-0005-0000-0000-0000499F0000}"/>
    <cellStyle name="Euro 6 3 2" xfId="210" xr:uid="{00000000-0005-0000-0000-00004A9F0000}"/>
    <cellStyle name="Euro 6 3 3" xfId="16867" xr:uid="{00000000-0005-0000-0000-00004B9F0000}"/>
    <cellStyle name="Euro 6 3 3 2" xfId="18131" xr:uid="{00000000-0005-0000-0000-00004C9F0000}"/>
    <cellStyle name="Euro 6 3 4" xfId="18130" xr:uid="{00000000-0005-0000-0000-00004D9F0000}"/>
    <cellStyle name="Euro 6 3 5" xfId="16866" xr:uid="{00000000-0005-0000-0000-00004E9F0000}"/>
    <cellStyle name="Euro 6 4" xfId="8991" xr:uid="{00000000-0005-0000-0000-00004F9F0000}"/>
    <cellStyle name="Euro 6 4 2" xfId="16869" xr:uid="{00000000-0005-0000-0000-0000509F0000}"/>
    <cellStyle name="Euro 6 4 2 2" xfId="18133" xr:uid="{00000000-0005-0000-0000-0000519F0000}"/>
    <cellStyle name="Euro 6 4 3" xfId="18132" xr:uid="{00000000-0005-0000-0000-0000529F0000}"/>
    <cellStyle name="Euro 6 4 4" xfId="16868" xr:uid="{00000000-0005-0000-0000-0000539F0000}"/>
    <cellStyle name="Euro 6 5" xfId="8992" xr:uid="{00000000-0005-0000-0000-0000549F0000}"/>
    <cellStyle name="Euro 6 6" xfId="51168" xr:uid="{00000000-0005-0000-0000-0000559F0000}"/>
    <cellStyle name="Euro 7" xfId="211" xr:uid="{00000000-0005-0000-0000-0000569F0000}"/>
    <cellStyle name="Euro 7 2" xfId="212" xr:uid="{00000000-0005-0000-0000-0000579F0000}"/>
    <cellStyle name="Euro 7 2 2" xfId="1240" xr:uid="{00000000-0005-0000-0000-0000589F0000}"/>
    <cellStyle name="Euro 7 3" xfId="213" xr:uid="{00000000-0005-0000-0000-0000599F0000}"/>
    <cellStyle name="Euro 7 3 2" xfId="214" xr:uid="{00000000-0005-0000-0000-00005A9F0000}"/>
    <cellStyle name="Euro 7 3 3" xfId="16871" xr:uid="{00000000-0005-0000-0000-00005B9F0000}"/>
    <cellStyle name="Euro 7 3 3 2" xfId="18135" xr:uid="{00000000-0005-0000-0000-00005C9F0000}"/>
    <cellStyle name="Euro 7 3 4" xfId="18134" xr:uid="{00000000-0005-0000-0000-00005D9F0000}"/>
    <cellStyle name="Euro 7 3 5" xfId="16870" xr:uid="{00000000-0005-0000-0000-00005E9F0000}"/>
    <cellStyle name="Euro 7 4" xfId="8993" xr:uid="{00000000-0005-0000-0000-00005F9F0000}"/>
    <cellStyle name="Euro 7 4 2" xfId="16873" xr:uid="{00000000-0005-0000-0000-0000609F0000}"/>
    <cellStyle name="Euro 7 4 2 2" xfId="18137" xr:uid="{00000000-0005-0000-0000-0000619F0000}"/>
    <cellStyle name="Euro 7 4 3" xfId="18136" xr:uid="{00000000-0005-0000-0000-0000629F0000}"/>
    <cellStyle name="Euro 7 4 4" xfId="16872" xr:uid="{00000000-0005-0000-0000-0000639F0000}"/>
    <cellStyle name="Euro 7 5" xfId="8994" xr:uid="{00000000-0005-0000-0000-0000649F0000}"/>
    <cellStyle name="Euro 7 6" xfId="50927" xr:uid="{00000000-0005-0000-0000-0000659F0000}"/>
    <cellStyle name="Euro 8" xfId="215" xr:uid="{00000000-0005-0000-0000-0000669F0000}"/>
    <cellStyle name="Euro 8 2" xfId="216" xr:uid="{00000000-0005-0000-0000-0000679F0000}"/>
    <cellStyle name="Euro 8 2 2" xfId="1241" xr:uid="{00000000-0005-0000-0000-0000689F0000}"/>
    <cellStyle name="Euro 8 3" xfId="217" xr:uid="{00000000-0005-0000-0000-0000699F0000}"/>
    <cellStyle name="Euro 8 3 2" xfId="218" xr:uid="{00000000-0005-0000-0000-00006A9F0000}"/>
    <cellStyle name="Euro 8 3 3" xfId="16875" xr:uid="{00000000-0005-0000-0000-00006B9F0000}"/>
    <cellStyle name="Euro 8 3 3 2" xfId="18139" xr:uid="{00000000-0005-0000-0000-00006C9F0000}"/>
    <cellStyle name="Euro 8 3 4" xfId="18138" xr:uid="{00000000-0005-0000-0000-00006D9F0000}"/>
    <cellStyle name="Euro 8 3 5" xfId="16874" xr:uid="{00000000-0005-0000-0000-00006E9F0000}"/>
    <cellStyle name="Euro 8 4" xfId="8995" xr:uid="{00000000-0005-0000-0000-00006F9F0000}"/>
    <cellStyle name="Euro 8 4 2" xfId="16877" xr:uid="{00000000-0005-0000-0000-0000709F0000}"/>
    <cellStyle name="Euro 8 4 2 2" xfId="18141" xr:uid="{00000000-0005-0000-0000-0000719F0000}"/>
    <cellStyle name="Euro 8 4 3" xfId="18140" xr:uid="{00000000-0005-0000-0000-0000729F0000}"/>
    <cellStyle name="Euro 8 4 4" xfId="16876" xr:uid="{00000000-0005-0000-0000-0000739F0000}"/>
    <cellStyle name="Euro 8 5" xfId="8996" xr:uid="{00000000-0005-0000-0000-0000749F0000}"/>
    <cellStyle name="Euro 8 6" xfId="50926" xr:uid="{00000000-0005-0000-0000-0000759F0000}"/>
    <cellStyle name="Euro 9" xfId="219" xr:uid="{00000000-0005-0000-0000-0000769F0000}"/>
    <cellStyle name="Euro 9 2" xfId="220" xr:uid="{00000000-0005-0000-0000-0000779F0000}"/>
    <cellStyle name="Euro 9 2 2" xfId="1242" xr:uid="{00000000-0005-0000-0000-0000789F0000}"/>
    <cellStyle name="Euro 9 3" xfId="221" xr:uid="{00000000-0005-0000-0000-0000799F0000}"/>
    <cellStyle name="Euro 9 3 2" xfId="222" xr:uid="{00000000-0005-0000-0000-00007A9F0000}"/>
    <cellStyle name="Euro 9 3 3" xfId="16879" xr:uid="{00000000-0005-0000-0000-00007B9F0000}"/>
    <cellStyle name="Euro 9 3 3 2" xfId="18143" xr:uid="{00000000-0005-0000-0000-00007C9F0000}"/>
    <cellStyle name="Euro 9 3 4" xfId="18142" xr:uid="{00000000-0005-0000-0000-00007D9F0000}"/>
    <cellStyle name="Euro 9 3 5" xfId="16878" xr:uid="{00000000-0005-0000-0000-00007E9F0000}"/>
    <cellStyle name="Euro 9 4" xfId="8997" xr:uid="{00000000-0005-0000-0000-00007F9F0000}"/>
    <cellStyle name="Euro 9 4 2" xfId="16881" xr:uid="{00000000-0005-0000-0000-0000809F0000}"/>
    <cellStyle name="Euro 9 4 2 2" xfId="18145" xr:uid="{00000000-0005-0000-0000-0000819F0000}"/>
    <cellStyle name="Euro 9 4 3" xfId="18144" xr:uid="{00000000-0005-0000-0000-0000829F0000}"/>
    <cellStyle name="Euro 9 4 4" xfId="16880" xr:uid="{00000000-0005-0000-0000-0000839F0000}"/>
    <cellStyle name="Euro 9 5" xfId="8998" xr:uid="{00000000-0005-0000-0000-0000849F0000}"/>
    <cellStyle name="Euro 9 6" xfId="50999" xr:uid="{00000000-0005-0000-0000-0000859F0000}"/>
    <cellStyle name="Explanatory Text" xfId="223" builtinId="53" customBuiltin="1"/>
    <cellStyle name="Explanatory Text 2" xfId="53172" xr:uid="{00000000-0005-0000-0000-0000879F0000}"/>
    <cellStyle name="Fixed" xfId="5015" xr:uid="{00000000-0005-0000-0000-0000889F0000}"/>
    <cellStyle name="Fixed 2" xfId="7421" xr:uid="{00000000-0005-0000-0000-0000899F0000}"/>
    <cellStyle name="Fixed2 - Type2" xfId="224" xr:uid="{00000000-0005-0000-0000-00008A9F0000}"/>
    <cellStyle name="Format 1" xfId="1184" xr:uid="{00000000-0005-0000-0000-00008B9F0000}"/>
    <cellStyle name="God 2" xfId="1185" xr:uid="{00000000-0005-0000-0000-00008C9F0000}"/>
    <cellStyle name="God 2 2" xfId="5017" xr:uid="{00000000-0005-0000-0000-00008D9F0000}"/>
    <cellStyle name="God 3" xfId="5018" xr:uid="{00000000-0005-0000-0000-00008E9F0000}"/>
    <cellStyle name="God 4" xfId="5019" xr:uid="{00000000-0005-0000-0000-00008F9F0000}"/>
    <cellStyle name="God 5" xfId="5020" xr:uid="{00000000-0005-0000-0000-0000909F0000}"/>
    <cellStyle name="God 5 2" xfId="8693" xr:uid="{00000000-0005-0000-0000-0000919F0000}"/>
    <cellStyle name="God 6" xfId="5314" xr:uid="{00000000-0005-0000-0000-0000929F0000}"/>
    <cellStyle name="God 7" xfId="5016" xr:uid="{00000000-0005-0000-0000-0000939F0000}"/>
    <cellStyle name="Good" xfId="1124" builtinId="26" customBuiltin="1"/>
    <cellStyle name="Good 2" xfId="53173" xr:uid="{00000000-0005-0000-0000-0000959F0000}"/>
    <cellStyle name="Heading 1" xfId="1120" builtinId="16" customBuiltin="1"/>
    <cellStyle name="Heading 1 2" xfId="5022" xr:uid="{00000000-0005-0000-0000-0000979F0000}"/>
    <cellStyle name="Heading 1 2 2" xfId="8141" xr:uid="{00000000-0005-0000-0000-0000989F0000}"/>
    <cellStyle name="Heading 1 2 3" xfId="50925" xr:uid="{00000000-0005-0000-0000-0000999F0000}"/>
    <cellStyle name="Heading 1 2 4" xfId="53174" xr:uid="{00000000-0005-0000-0000-00009A9F0000}"/>
    <cellStyle name="Heading 1 3" xfId="7422" xr:uid="{00000000-0005-0000-0000-00009B9F0000}"/>
    <cellStyle name="Heading 1 4" xfId="5021" xr:uid="{00000000-0005-0000-0000-00009C9F0000}"/>
    <cellStyle name="Heading 2" xfId="1121" builtinId="17" customBuiltin="1"/>
    <cellStyle name="Heading 2 2" xfId="5024" xr:uid="{00000000-0005-0000-0000-00009E9F0000}"/>
    <cellStyle name="Heading 2 2 2" xfId="8142" xr:uid="{00000000-0005-0000-0000-00009F9F0000}"/>
    <cellStyle name="Heading 2 2 3" xfId="53175" xr:uid="{00000000-0005-0000-0000-0000A09F0000}"/>
    <cellStyle name="Heading 2 3" xfId="7423" xr:uid="{00000000-0005-0000-0000-0000A19F0000}"/>
    <cellStyle name="Heading 2 4" xfId="5023" xr:uid="{00000000-0005-0000-0000-0000A29F0000}"/>
    <cellStyle name="Heading 3" xfId="1122" builtinId="18" customBuiltin="1"/>
    <cellStyle name="Heading 3 2" xfId="53176" xr:uid="{00000000-0005-0000-0000-0000A49F0000}"/>
    <cellStyle name="Heading 4" xfId="1123" builtinId="19" customBuiltin="1"/>
    <cellStyle name="Heading 4 2" xfId="53177" xr:uid="{00000000-0005-0000-0000-0000A69F0000}"/>
    <cellStyle name="Headline" xfId="225" xr:uid="{00000000-0005-0000-0000-0000A79F0000}"/>
    <cellStyle name="Hyperlink" xfId="51701" builtinId="8"/>
    <cellStyle name="Hyperlink 2" xfId="16882" xr:uid="{00000000-0005-0000-0000-0000A99F0000}"/>
    <cellStyle name="Hyperlink 2 2" xfId="53178" xr:uid="{00000000-0005-0000-0000-0000AA9F0000}"/>
    <cellStyle name="Hyperlink 3" xfId="51196" xr:uid="{00000000-0005-0000-0000-0000AB9F0000}"/>
    <cellStyle name="Hyperlink 3 2" xfId="53179" xr:uid="{00000000-0005-0000-0000-0000AC9F0000}"/>
    <cellStyle name="Hyperlink 4" xfId="50924" xr:uid="{00000000-0005-0000-0000-0000AD9F0000}"/>
    <cellStyle name="Hyperlink 5" xfId="51700" xr:uid="{00000000-0005-0000-0000-0000AE9F0000}"/>
    <cellStyle name="Hyperlink 6" xfId="52122" xr:uid="{00000000-0005-0000-0000-0000AF9F0000}"/>
    <cellStyle name="Input" xfId="226" builtinId="20" customBuiltin="1"/>
    <cellStyle name="Input 10" xfId="51702" xr:uid="{00000000-0005-0000-0000-0000B19F0000}"/>
    <cellStyle name="Input 2" xfId="227" xr:uid="{00000000-0005-0000-0000-0000B29F0000}"/>
    <cellStyle name="Input 2 2" xfId="5026" xr:uid="{00000000-0005-0000-0000-0000B39F0000}"/>
    <cellStyle name="Input 2 2 2" xfId="53254" xr:uid="{00000000-0005-0000-0000-0000B49F0000}"/>
    <cellStyle name="Input 2 3" xfId="9679" xr:uid="{00000000-0005-0000-0000-0000B59F0000}"/>
    <cellStyle name="Input 2 4" xfId="51714" xr:uid="{00000000-0005-0000-0000-0000B69F0000}"/>
    <cellStyle name="Input 3" xfId="1162" xr:uid="{00000000-0005-0000-0000-0000B79F0000}"/>
    <cellStyle name="Input 3 2" xfId="5027" xr:uid="{00000000-0005-0000-0000-0000B89F0000}"/>
    <cellStyle name="Input 4" xfId="5028" xr:uid="{00000000-0005-0000-0000-0000B99F0000}"/>
    <cellStyle name="Input 5" xfId="5029" xr:uid="{00000000-0005-0000-0000-0000BA9F0000}"/>
    <cellStyle name="Input 5 2" xfId="8643" xr:uid="{00000000-0005-0000-0000-0000BB9F0000}"/>
    <cellStyle name="Input 6" xfId="5317" xr:uid="{00000000-0005-0000-0000-0000BC9F0000}"/>
    <cellStyle name="Input 7" xfId="5025" xr:uid="{00000000-0005-0000-0000-0000BD9F0000}"/>
    <cellStyle name="Input 8" xfId="9678" xr:uid="{00000000-0005-0000-0000-0000BE9F0000}"/>
    <cellStyle name="Input 9" xfId="18986" xr:uid="{00000000-0005-0000-0000-0000BF9F0000}"/>
    <cellStyle name="InputCell" xfId="1155" xr:uid="{00000000-0005-0000-0000-0000C09F0000}"/>
    <cellStyle name="InputCells" xfId="228" xr:uid="{00000000-0005-0000-0000-0000C19F0000}"/>
    <cellStyle name="Komma 10" xfId="8783" xr:uid="{00000000-0005-0000-0000-0000C29F0000}"/>
    <cellStyle name="Komma 10 2" xfId="16632" xr:uid="{00000000-0005-0000-0000-0000C39F0000}"/>
    <cellStyle name="Komma 10 2 2" xfId="32947" xr:uid="{00000000-0005-0000-0000-0000C49F0000}"/>
    <cellStyle name="Komma 10 2 2 2" xfId="57046" xr:uid="{00000000-0005-0000-0000-0000C59F0000}"/>
    <cellStyle name="Komma 10 2 3" xfId="47911" xr:uid="{00000000-0005-0000-0000-0000C69F0000}"/>
    <cellStyle name="Komma 10 2 4" xfId="53879" xr:uid="{00000000-0005-0000-0000-0000C79F0000}"/>
    <cellStyle name="Komma 10 3" xfId="25925" xr:uid="{00000000-0005-0000-0000-0000C89F0000}"/>
    <cellStyle name="Komma 10 3 2" xfId="56435" xr:uid="{00000000-0005-0000-0000-0000C99F0000}"/>
    <cellStyle name="Komma 10 4" xfId="40912" xr:uid="{00000000-0005-0000-0000-0000CA9F0000}"/>
    <cellStyle name="Komma 10 5" xfId="53234" xr:uid="{00000000-0005-0000-0000-0000CB9F0000}"/>
    <cellStyle name="Komma 11" xfId="53106" xr:uid="{00000000-0005-0000-0000-0000CC9F0000}"/>
    <cellStyle name="Komma 2" xfId="1156" xr:uid="{00000000-0005-0000-0000-0000CD9F0000}"/>
    <cellStyle name="Komma 2 2" xfId="1183" xr:uid="{00000000-0005-0000-0000-0000CE9F0000}"/>
    <cellStyle name="Komma 2 2 2" xfId="8794" xr:uid="{00000000-0005-0000-0000-0000CF9F0000}"/>
    <cellStyle name="Komma 2 2 2 2" xfId="16634" xr:uid="{00000000-0005-0000-0000-0000D09F0000}"/>
    <cellStyle name="Komma 2 2 2 2 2" xfId="32948" xr:uid="{00000000-0005-0000-0000-0000D19F0000}"/>
    <cellStyle name="Komma 2 2 2 2 3" xfId="47912" xr:uid="{00000000-0005-0000-0000-0000D29F0000}"/>
    <cellStyle name="Komma 2 2 2 3" xfId="18911" xr:uid="{00000000-0005-0000-0000-0000D39F0000}"/>
    <cellStyle name="Komma 2 2 2 4" xfId="25926" xr:uid="{00000000-0005-0000-0000-0000D49F0000}"/>
    <cellStyle name="Komma 2 2 2 5" xfId="40913" xr:uid="{00000000-0005-0000-0000-0000D59F0000}"/>
    <cellStyle name="Komma 2 2 3" xfId="5032" xr:uid="{00000000-0005-0000-0000-0000D69F0000}"/>
    <cellStyle name="Komma 2 2 3 2" xfId="13198" xr:uid="{00000000-0005-0000-0000-0000D79F0000}"/>
    <cellStyle name="Komma 2 2 3 2 2" xfId="29518" xr:uid="{00000000-0005-0000-0000-0000D89F0000}"/>
    <cellStyle name="Komma 2 2 3 2 3" xfId="44483" xr:uid="{00000000-0005-0000-0000-0000D99F0000}"/>
    <cellStyle name="Komma 2 2 3 3" xfId="22496" xr:uid="{00000000-0005-0000-0000-0000DA9F0000}"/>
    <cellStyle name="Komma 2 2 3 4" xfId="37484" xr:uid="{00000000-0005-0000-0000-0000DB9F0000}"/>
    <cellStyle name="Komma 2 2 3 5" xfId="53237" xr:uid="{00000000-0005-0000-0000-0000DC9F0000}"/>
    <cellStyle name="Komma 2 2 4" xfId="16883" xr:uid="{00000000-0005-0000-0000-0000DD9F0000}"/>
    <cellStyle name="Komma 2 3" xfId="5033" xr:uid="{00000000-0005-0000-0000-0000DE9F0000}"/>
    <cellStyle name="Komma 2 3 2" xfId="8795" xr:uid="{00000000-0005-0000-0000-0000DF9F0000}"/>
    <cellStyle name="Komma 2 3 2 2" xfId="16635" xr:uid="{00000000-0005-0000-0000-0000E09F0000}"/>
    <cellStyle name="Komma 2 3 2 2 2" xfId="32949" xr:uid="{00000000-0005-0000-0000-0000E19F0000}"/>
    <cellStyle name="Komma 2 3 2 2 3" xfId="47913" xr:uid="{00000000-0005-0000-0000-0000E29F0000}"/>
    <cellStyle name="Komma 2 3 2 3" xfId="25927" xr:uid="{00000000-0005-0000-0000-0000E39F0000}"/>
    <cellStyle name="Komma 2 3 2 4" xfId="40914" xr:uid="{00000000-0005-0000-0000-0000E49F0000}"/>
    <cellStyle name="Komma 2 3 2 5" xfId="53362" xr:uid="{00000000-0005-0000-0000-0000E59F0000}"/>
    <cellStyle name="Komma 2 3 3" xfId="13199" xr:uid="{00000000-0005-0000-0000-0000E69F0000}"/>
    <cellStyle name="Komma 2 3 3 2" xfId="29519" xr:uid="{00000000-0005-0000-0000-0000E79F0000}"/>
    <cellStyle name="Komma 2 3 3 3" xfId="44484" xr:uid="{00000000-0005-0000-0000-0000E89F0000}"/>
    <cellStyle name="Komma 2 3 3 4" xfId="54661" xr:uid="{00000000-0005-0000-0000-0000E99F0000}"/>
    <cellStyle name="Komma 2 3 4" xfId="18942" xr:uid="{00000000-0005-0000-0000-0000EA9F0000}"/>
    <cellStyle name="Komma 2 3 4 2" xfId="33943" xr:uid="{00000000-0005-0000-0000-0000EB9F0000}"/>
    <cellStyle name="Komma 2 3 4 3" xfId="48904" xr:uid="{00000000-0005-0000-0000-0000EC9F0000}"/>
    <cellStyle name="Komma 2 3 4 4" xfId="56351" xr:uid="{00000000-0005-0000-0000-0000ED9F0000}"/>
    <cellStyle name="Komma 2 3 5" xfId="22497" xr:uid="{00000000-0005-0000-0000-0000EE9F0000}"/>
    <cellStyle name="Komma 2 3 6" xfId="37485" xr:uid="{00000000-0005-0000-0000-0000EF9F0000}"/>
    <cellStyle name="Komma 2 3 7" xfId="53077" xr:uid="{00000000-0005-0000-0000-0000F09F0000}"/>
    <cellStyle name="Komma 2 4" xfId="5034" xr:uid="{00000000-0005-0000-0000-0000F19F0000}"/>
    <cellStyle name="Komma 2 4 2" xfId="18910" xr:uid="{00000000-0005-0000-0000-0000F29F0000}"/>
    <cellStyle name="Komma 2 4 2 2" xfId="57049" xr:uid="{00000000-0005-0000-0000-0000F39F0000}"/>
    <cellStyle name="Komma 2 4 2 3" xfId="53882" xr:uid="{00000000-0005-0000-0000-0000F49F0000}"/>
    <cellStyle name="Komma 2 4 3" xfId="53246" xr:uid="{00000000-0005-0000-0000-0000F59F0000}"/>
    <cellStyle name="Komma 2 4 3 2" xfId="56438" xr:uid="{00000000-0005-0000-0000-0000F69F0000}"/>
    <cellStyle name="Komma 2 5" xfId="5035" xr:uid="{00000000-0005-0000-0000-0000F79F0000}"/>
    <cellStyle name="Komma 2 5 2" xfId="5036" xr:uid="{00000000-0005-0000-0000-0000F89F0000}"/>
    <cellStyle name="Komma 2 5 2 2" xfId="5037" xr:uid="{00000000-0005-0000-0000-0000F99F0000}"/>
    <cellStyle name="Komma 2 5 2 2 2" xfId="8137" xr:uid="{00000000-0005-0000-0000-0000FA9F0000}"/>
    <cellStyle name="Komma 2 5 2 2 2 2" xfId="16039" xr:uid="{00000000-0005-0000-0000-0000FB9F0000}"/>
    <cellStyle name="Komma 2 5 2 2 2 2 2" xfId="32354" xr:uid="{00000000-0005-0000-0000-0000FC9F0000}"/>
    <cellStyle name="Komma 2 5 2 2 2 2 3" xfId="47318" xr:uid="{00000000-0005-0000-0000-0000FD9F0000}"/>
    <cellStyle name="Komma 2 5 2 2 2 3" xfId="25332" xr:uid="{00000000-0005-0000-0000-0000FE9F0000}"/>
    <cellStyle name="Komma 2 5 2 2 2 4" xfId="40319" xr:uid="{00000000-0005-0000-0000-0000FF9F0000}"/>
    <cellStyle name="Komma 2 5 3" xfId="5038" xr:uid="{00000000-0005-0000-0000-000000A00000}"/>
    <cellStyle name="Komma 2 5 3 2" xfId="5039" xr:uid="{00000000-0005-0000-0000-000001A00000}"/>
    <cellStyle name="Komma 2 5 3 2 2" xfId="8748" xr:uid="{00000000-0005-0000-0000-000002A00000}"/>
    <cellStyle name="Komma 2 5 3 2 2 2" xfId="16625" xr:uid="{00000000-0005-0000-0000-000003A00000}"/>
    <cellStyle name="Komma 2 5 3 2 2 2 2" xfId="32940" xr:uid="{00000000-0005-0000-0000-000004A00000}"/>
    <cellStyle name="Komma 2 5 3 2 2 2 3" xfId="47904" xr:uid="{00000000-0005-0000-0000-000005A00000}"/>
    <cellStyle name="Komma 2 5 3 2 2 3" xfId="25918" xr:uid="{00000000-0005-0000-0000-000006A00000}"/>
    <cellStyle name="Komma 2 5 3 2 2 4" xfId="40905" xr:uid="{00000000-0005-0000-0000-000007A00000}"/>
    <cellStyle name="Komma 2 5 3 3" xfId="6629" xr:uid="{00000000-0005-0000-0000-000008A00000}"/>
    <cellStyle name="Komma 2 5 3 3 2" xfId="14544" xr:uid="{00000000-0005-0000-0000-000009A00000}"/>
    <cellStyle name="Komma 2 5 3 3 2 2" xfId="30859" xr:uid="{00000000-0005-0000-0000-00000AA00000}"/>
    <cellStyle name="Komma 2 5 3 3 2 3" xfId="45823" xr:uid="{00000000-0005-0000-0000-00000BA00000}"/>
    <cellStyle name="Komma 2 5 3 3 3" xfId="23837" xr:uid="{00000000-0005-0000-0000-00000CA00000}"/>
    <cellStyle name="Komma 2 5 3 3 4" xfId="38824" xr:uid="{00000000-0005-0000-0000-00000DA00000}"/>
    <cellStyle name="Komma 2 5 4" xfId="5040" xr:uid="{00000000-0005-0000-0000-00000EA00000}"/>
    <cellStyle name="Komma 2 5 4 2" xfId="7414" xr:uid="{00000000-0005-0000-0000-00000FA00000}"/>
    <cellStyle name="Komma 2 5 4 2 2" xfId="15325" xr:uid="{00000000-0005-0000-0000-000010A00000}"/>
    <cellStyle name="Komma 2 5 4 2 2 2" xfId="31640" xr:uid="{00000000-0005-0000-0000-000011A00000}"/>
    <cellStyle name="Komma 2 5 4 2 2 3" xfId="46604" xr:uid="{00000000-0005-0000-0000-000012A00000}"/>
    <cellStyle name="Komma 2 5 4 2 3" xfId="24618" xr:uid="{00000000-0005-0000-0000-000013A00000}"/>
    <cellStyle name="Komma 2 5 4 2 4" xfId="39605" xr:uid="{00000000-0005-0000-0000-000014A00000}"/>
    <cellStyle name="Komma 2 5 5" xfId="53123" xr:uid="{00000000-0005-0000-0000-000015A00000}"/>
    <cellStyle name="Komma 2 6" xfId="5041" xr:uid="{00000000-0005-0000-0000-000016A00000}"/>
    <cellStyle name="Komma 2 6 2" xfId="54591" xr:uid="{00000000-0005-0000-0000-000017A00000}"/>
    <cellStyle name="Komma 2 7" xfId="8793" xr:uid="{00000000-0005-0000-0000-000018A00000}"/>
    <cellStyle name="Komma 2 8" xfId="5031" xr:uid="{00000000-0005-0000-0000-000019A00000}"/>
    <cellStyle name="Komma 3" xfId="1164" xr:uid="{00000000-0005-0000-0000-00001AA00000}"/>
    <cellStyle name="Komma 3 10" xfId="53121" xr:uid="{00000000-0005-0000-0000-00001BA00000}"/>
    <cellStyle name="Komma 3 10 2" xfId="56381" xr:uid="{00000000-0005-0000-0000-00001CA00000}"/>
    <cellStyle name="Komma 3 11" xfId="54592" xr:uid="{00000000-0005-0000-0000-00001DA00000}"/>
    <cellStyle name="Komma 3 12" xfId="55409" xr:uid="{00000000-0005-0000-0000-00001EA00000}"/>
    <cellStyle name="Komma 3 13" xfId="52127" xr:uid="{00000000-0005-0000-0000-00001FA00000}"/>
    <cellStyle name="Komma 3 2" xfId="1189" xr:uid="{00000000-0005-0000-0000-000020A00000}"/>
    <cellStyle name="Komma 3 2 2" xfId="5043" xr:uid="{00000000-0005-0000-0000-000021A00000}"/>
    <cellStyle name="Komma 3 2 2 2" xfId="53365" xr:uid="{00000000-0005-0000-0000-000022A00000}"/>
    <cellStyle name="Komma 3 2 2 2 2" xfId="53997" xr:uid="{00000000-0005-0000-0000-000023A00000}"/>
    <cellStyle name="Komma 3 2 2 2 2 2" xfId="57164" xr:uid="{00000000-0005-0000-0000-000024A00000}"/>
    <cellStyle name="Komma 3 2 2 2 3" xfId="56541" xr:uid="{00000000-0005-0000-0000-000025A00000}"/>
    <cellStyle name="Komma 3 2 2 3" xfId="53857" xr:uid="{00000000-0005-0000-0000-000026A00000}"/>
    <cellStyle name="Komma 3 2 2 3 2" xfId="57024" xr:uid="{00000000-0005-0000-0000-000027A00000}"/>
    <cellStyle name="Komma 3 2 2 4" xfId="56413" xr:uid="{00000000-0005-0000-0000-000028A00000}"/>
    <cellStyle name="Komma 3 2 2 5" xfId="53211" xr:uid="{00000000-0005-0000-0000-000029A00000}"/>
    <cellStyle name="Komma 3 2 3" xfId="16885" xr:uid="{00000000-0005-0000-0000-00002AA00000}"/>
    <cellStyle name="Komma 3 2 3 2" xfId="33003" xr:uid="{00000000-0005-0000-0000-00002BA00000}"/>
    <cellStyle name="Komma 3 2 3 2 2" xfId="53998" xr:uid="{00000000-0005-0000-0000-00002CA00000}"/>
    <cellStyle name="Komma 3 2 3 2 2 2" xfId="57165" xr:uid="{00000000-0005-0000-0000-00002DA00000}"/>
    <cellStyle name="Komma 3 2 3 2 3" xfId="56542" xr:uid="{00000000-0005-0000-0000-00002EA00000}"/>
    <cellStyle name="Komma 3 2 3 2 4" xfId="53366" xr:uid="{00000000-0005-0000-0000-00002FA00000}"/>
    <cellStyle name="Komma 3 2 3 3" xfId="47964" xr:uid="{00000000-0005-0000-0000-000030A00000}"/>
    <cellStyle name="Komma 3 2 3 3 2" xfId="57040" xr:uid="{00000000-0005-0000-0000-000031A00000}"/>
    <cellStyle name="Komma 3 2 3 3 3" xfId="53873" xr:uid="{00000000-0005-0000-0000-000032A00000}"/>
    <cellStyle name="Komma 3 2 3 4" xfId="56429" xr:uid="{00000000-0005-0000-0000-000033A00000}"/>
    <cellStyle name="Komma 3 2 3 5" xfId="53227" xr:uid="{00000000-0005-0000-0000-000034A00000}"/>
    <cellStyle name="Komma 3 2 4" xfId="53364" xr:uid="{00000000-0005-0000-0000-000035A00000}"/>
    <cellStyle name="Komma 3 2 4 2" xfId="53996" xr:uid="{00000000-0005-0000-0000-000036A00000}"/>
    <cellStyle name="Komma 3 2 4 2 2" xfId="57163" xr:uid="{00000000-0005-0000-0000-000037A00000}"/>
    <cellStyle name="Komma 3 2 4 3" xfId="56540" xr:uid="{00000000-0005-0000-0000-000038A00000}"/>
    <cellStyle name="Komma 3 2 5" xfId="53841" xr:uid="{00000000-0005-0000-0000-000039A00000}"/>
    <cellStyle name="Komma 3 2 5 2" xfId="57008" xr:uid="{00000000-0005-0000-0000-00003AA00000}"/>
    <cellStyle name="Komma 3 2 6" xfId="53195" xr:uid="{00000000-0005-0000-0000-00003BA00000}"/>
    <cellStyle name="Komma 3 2 6 2" xfId="56397" xr:uid="{00000000-0005-0000-0000-00003CA00000}"/>
    <cellStyle name="Komma 3 2 7" xfId="54663" xr:uid="{00000000-0005-0000-0000-00003DA00000}"/>
    <cellStyle name="Komma 3 2 8" xfId="55410" xr:uid="{00000000-0005-0000-0000-00003EA00000}"/>
    <cellStyle name="Komma 3 2 9" xfId="52128" xr:uid="{00000000-0005-0000-0000-00003FA00000}"/>
    <cellStyle name="Komma 3 3" xfId="5044" xr:uid="{00000000-0005-0000-0000-000040A00000}"/>
    <cellStyle name="Komma 3 3 2" xfId="53367" xr:uid="{00000000-0005-0000-0000-000041A00000}"/>
    <cellStyle name="Komma 3 3 2 2" xfId="53999" xr:uid="{00000000-0005-0000-0000-000042A00000}"/>
    <cellStyle name="Komma 3 3 2 2 2" xfId="57166" xr:uid="{00000000-0005-0000-0000-000043A00000}"/>
    <cellStyle name="Komma 3 3 2 3" xfId="56543" xr:uid="{00000000-0005-0000-0000-000044A00000}"/>
    <cellStyle name="Komma 3 3 3" xfId="53849" xr:uid="{00000000-0005-0000-0000-000045A00000}"/>
    <cellStyle name="Komma 3 3 3 2" xfId="57016" xr:uid="{00000000-0005-0000-0000-000046A00000}"/>
    <cellStyle name="Komma 3 3 4" xfId="54662" xr:uid="{00000000-0005-0000-0000-000047A00000}"/>
    <cellStyle name="Komma 3 3 5" xfId="56405" xr:uid="{00000000-0005-0000-0000-000048A00000}"/>
    <cellStyle name="Komma 3 3 6" xfId="53203" xr:uid="{00000000-0005-0000-0000-000049A00000}"/>
    <cellStyle name="Komma 3 4" xfId="8796" xr:uid="{00000000-0005-0000-0000-00004AA00000}"/>
    <cellStyle name="Komma 3 4 2" xfId="16636" xr:uid="{00000000-0005-0000-0000-00004BA00000}"/>
    <cellStyle name="Komma 3 4 2 2" xfId="32950" xr:uid="{00000000-0005-0000-0000-00004CA00000}"/>
    <cellStyle name="Komma 3 4 2 2 2" xfId="57167" xr:uid="{00000000-0005-0000-0000-00004DA00000}"/>
    <cellStyle name="Komma 3 4 2 2 3" xfId="54000" xr:uid="{00000000-0005-0000-0000-00004EA00000}"/>
    <cellStyle name="Komma 3 4 2 3" xfId="47914" xr:uid="{00000000-0005-0000-0000-00004FA00000}"/>
    <cellStyle name="Komma 3 4 2 3 2" xfId="56544" xr:uid="{00000000-0005-0000-0000-000050A00000}"/>
    <cellStyle name="Komma 3 4 2 4" xfId="53368" xr:uid="{00000000-0005-0000-0000-000051A00000}"/>
    <cellStyle name="Komma 3 4 3" xfId="25928" xr:uid="{00000000-0005-0000-0000-000052A00000}"/>
    <cellStyle name="Komma 3 4 3 2" xfId="57032" xr:uid="{00000000-0005-0000-0000-000053A00000}"/>
    <cellStyle name="Komma 3 4 3 3" xfId="53865" xr:uid="{00000000-0005-0000-0000-000054A00000}"/>
    <cellStyle name="Komma 3 4 4" xfId="40915" xr:uid="{00000000-0005-0000-0000-000055A00000}"/>
    <cellStyle name="Komma 3 4 4 2" xfId="56421" xr:uid="{00000000-0005-0000-0000-000056A00000}"/>
    <cellStyle name="Komma 3 4 5" xfId="53219" xr:uid="{00000000-0005-0000-0000-000057A00000}"/>
    <cellStyle name="Komma 3 5" xfId="5042" xr:uid="{00000000-0005-0000-0000-000058A00000}"/>
    <cellStyle name="Komma 3 5 2" xfId="13200" xr:uid="{00000000-0005-0000-0000-000059A00000}"/>
    <cellStyle name="Komma 3 5 2 2" xfId="29520" xr:uid="{00000000-0005-0000-0000-00005AA00000}"/>
    <cellStyle name="Komma 3 5 2 2 2" xfId="57168" xr:uid="{00000000-0005-0000-0000-00005BA00000}"/>
    <cellStyle name="Komma 3 5 2 3" xfId="44485" xr:uid="{00000000-0005-0000-0000-00005CA00000}"/>
    <cellStyle name="Komma 3 5 2 4" xfId="54001" xr:uid="{00000000-0005-0000-0000-00005DA00000}"/>
    <cellStyle name="Komma 3 5 3" xfId="22498" xr:uid="{00000000-0005-0000-0000-00005EA00000}"/>
    <cellStyle name="Komma 3 5 3 2" xfId="56545" xr:uid="{00000000-0005-0000-0000-00005FA00000}"/>
    <cellStyle name="Komma 3 5 4" xfId="37486" xr:uid="{00000000-0005-0000-0000-000060A00000}"/>
    <cellStyle name="Komma 3 5 5" xfId="53369" xr:uid="{00000000-0005-0000-0000-000061A00000}"/>
    <cellStyle name="Komma 3 6" xfId="8882" xr:uid="{00000000-0005-0000-0000-000062A00000}"/>
    <cellStyle name="Komma 3 7" xfId="16884" xr:uid="{00000000-0005-0000-0000-000063A00000}"/>
    <cellStyle name="Komma 3 7 2" xfId="33002" xr:uid="{00000000-0005-0000-0000-000064A00000}"/>
    <cellStyle name="Komma 3 7 2 2" xfId="57162" xr:uid="{00000000-0005-0000-0000-000065A00000}"/>
    <cellStyle name="Komma 3 7 2 3" xfId="53995" xr:uid="{00000000-0005-0000-0000-000066A00000}"/>
    <cellStyle name="Komma 3 7 3" xfId="47963" xr:uid="{00000000-0005-0000-0000-000067A00000}"/>
    <cellStyle name="Komma 3 7 3 2" xfId="56539" xr:uid="{00000000-0005-0000-0000-000068A00000}"/>
    <cellStyle name="Komma 3 7 4" xfId="53363" xr:uid="{00000000-0005-0000-0000-000069A00000}"/>
    <cellStyle name="Komma 3 8" xfId="53240" xr:uid="{00000000-0005-0000-0000-00006AA00000}"/>
    <cellStyle name="Komma 3 9" xfId="53833" xr:uid="{00000000-0005-0000-0000-00006BA00000}"/>
    <cellStyle name="Komma 3 9 2" xfId="57000" xr:uid="{00000000-0005-0000-0000-00006CA00000}"/>
    <cellStyle name="Komma 4" xfId="1190" xr:uid="{00000000-0005-0000-0000-00006DA00000}"/>
    <cellStyle name="Komma 4 10" xfId="49249" xr:uid="{00000000-0005-0000-0000-00006EA00000}"/>
    <cellStyle name="Komma 4 10 2" xfId="55411" xr:uid="{00000000-0005-0000-0000-00006FA00000}"/>
    <cellStyle name="Komma 4 11" xfId="49654" xr:uid="{00000000-0005-0000-0000-000070A00000}"/>
    <cellStyle name="Komma 4 12" xfId="50063" xr:uid="{00000000-0005-0000-0000-000071A00000}"/>
    <cellStyle name="Komma 4 13" xfId="50468" xr:uid="{00000000-0005-0000-0000-000072A00000}"/>
    <cellStyle name="Komma 4 14" xfId="51028" xr:uid="{00000000-0005-0000-0000-000073A00000}"/>
    <cellStyle name="Komma 4 15" xfId="51629" xr:uid="{00000000-0005-0000-0000-000074A00000}"/>
    <cellStyle name="Komma 4 16" xfId="52050" xr:uid="{00000000-0005-0000-0000-000075A00000}"/>
    <cellStyle name="Komma 4 17" xfId="52129" xr:uid="{00000000-0005-0000-0000-000076A00000}"/>
    <cellStyle name="Komma 4 2" xfId="5046" xr:uid="{00000000-0005-0000-0000-000077A00000}"/>
    <cellStyle name="Komma 4 2 2" xfId="8798" xr:uid="{00000000-0005-0000-0000-000078A00000}"/>
    <cellStyle name="Komma 4 2 2 2" xfId="18930" xr:uid="{00000000-0005-0000-0000-000079A00000}"/>
    <cellStyle name="Komma 4 2 2 2 2" xfId="33932" xr:uid="{00000000-0005-0000-0000-00007AA00000}"/>
    <cellStyle name="Komma 4 2 2 2 2 2" xfId="57171" xr:uid="{00000000-0005-0000-0000-00007BA00000}"/>
    <cellStyle name="Komma 4 2 2 2 3" xfId="48893" xr:uid="{00000000-0005-0000-0000-00007CA00000}"/>
    <cellStyle name="Komma 4 2 2 2 4" xfId="54004" xr:uid="{00000000-0005-0000-0000-00007DA00000}"/>
    <cellStyle name="Komma 4 2 2 3" xfId="53372" xr:uid="{00000000-0005-0000-0000-00007EA00000}"/>
    <cellStyle name="Komma 4 2 2 3 2" xfId="56548" xr:uid="{00000000-0005-0000-0000-00007FA00000}"/>
    <cellStyle name="Komma 4 2 2 4" xfId="56340" xr:uid="{00000000-0005-0000-0000-000080A00000}"/>
    <cellStyle name="Komma 4 2 2 5" xfId="53066" xr:uid="{00000000-0005-0000-0000-000081A00000}"/>
    <cellStyle name="Komma 4 2 3" xfId="18146" xr:uid="{00000000-0005-0000-0000-000082A00000}"/>
    <cellStyle name="Komma 4 2 3 2" xfId="33613" xr:uid="{00000000-0005-0000-0000-000083A00000}"/>
    <cellStyle name="Komma 4 2 3 2 2" xfId="57172" xr:uid="{00000000-0005-0000-0000-000084A00000}"/>
    <cellStyle name="Komma 4 2 3 2 3" xfId="54005" xr:uid="{00000000-0005-0000-0000-000085A00000}"/>
    <cellStyle name="Komma 4 2 3 3" xfId="48574" xr:uid="{00000000-0005-0000-0000-000086A00000}"/>
    <cellStyle name="Komma 4 2 3 3 2" xfId="56549" xr:uid="{00000000-0005-0000-0000-000087A00000}"/>
    <cellStyle name="Komma 4 2 3 4" xfId="53373" xr:uid="{00000000-0005-0000-0000-000088A00000}"/>
    <cellStyle name="Komma 4 2 4" xfId="53374" xr:uid="{00000000-0005-0000-0000-000089A00000}"/>
    <cellStyle name="Komma 4 2 4 2" xfId="54006" xr:uid="{00000000-0005-0000-0000-00008AA00000}"/>
    <cellStyle name="Komma 4 2 4 2 2" xfId="57173" xr:uid="{00000000-0005-0000-0000-00008BA00000}"/>
    <cellStyle name="Komma 4 2 4 3" xfId="56550" xr:uid="{00000000-0005-0000-0000-00008CA00000}"/>
    <cellStyle name="Komma 4 2 5" xfId="54003" xr:uid="{00000000-0005-0000-0000-00008DA00000}"/>
    <cellStyle name="Komma 4 2 5 2" xfId="57170" xr:uid="{00000000-0005-0000-0000-00008EA00000}"/>
    <cellStyle name="Komma 4 2 6" xfId="53371" xr:uid="{00000000-0005-0000-0000-00008FA00000}"/>
    <cellStyle name="Komma 4 2 6 2" xfId="56547" xr:uid="{00000000-0005-0000-0000-000090A00000}"/>
    <cellStyle name="Komma 4 2 7" xfId="55098" xr:uid="{00000000-0005-0000-0000-000091A00000}"/>
    <cellStyle name="Komma 4 2 8" xfId="56020" xr:uid="{00000000-0005-0000-0000-000092A00000}"/>
    <cellStyle name="Komma 4 2 9" xfId="52743" xr:uid="{00000000-0005-0000-0000-000093A00000}"/>
    <cellStyle name="Komma 4 3" xfId="8797" xr:uid="{00000000-0005-0000-0000-000094A00000}"/>
    <cellStyle name="Komma 4 3 2" xfId="18912" xr:uid="{00000000-0005-0000-0000-000095A00000}"/>
    <cellStyle name="Komma 4 3 2 2" xfId="33922" xr:uid="{00000000-0005-0000-0000-000096A00000}"/>
    <cellStyle name="Komma 4 3 2 2 2" xfId="57175" xr:uid="{00000000-0005-0000-0000-000097A00000}"/>
    <cellStyle name="Komma 4 3 2 2 3" xfId="54008" xr:uid="{00000000-0005-0000-0000-000098A00000}"/>
    <cellStyle name="Komma 4 3 2 3" xfId="48883" xr:uid="{00000000-0005-0000-0000-000099A00000}"/>
    <cellStyle name="Komma 4 3 2 3 2" xfId="56552" xr:uid="{00000000-0005-0000-0000-00009AA00000}"/>
    <cellStyle name="Komma 4 3 2 4" xfId="53376" xr:uid="{00000000-0005-0000-0000-00009BA00000}"/>
    <cellStyle name="Komma 4 3 3" xfId="53377" xr:uid="{00000000-0005-0000-0000-00009CA00000}"/>
    <cellStyle name="Komma 4 3 3 2" xfId="54009" xr:uid="{00000000-0005-0000-0000-00009DA00000}"/>
    <cellStyle name="Komma 4 3 3 2 2" xfId="57176" xr:uid="{00000000-0005-0000-0000-00009EA00000}"/>
    <cellStyle name="Komma 4 3 3 3" xfId="56553" xr:uid="{00000000-0005-0000-0000-00009FA00000}"/>
    <cellStyle name="Komma 4 3 4" xfId="54007" xr:uid="{00000000-0005-0000-0000-0000A0A00000}"/>
    <cellStyle name="Komma 4 3 4 2" xfId="57174" xr:uid="{00000000-0005-0000-0000-0000A1A00000}"/>
    <cellStyle name="Komma 4 3 5" xfId="53375" xr:uid="{00000000-0005-0000-0000-0000A2A00000}"/>
    <cellStyle name="Komma 4 3 5 2" xfId="56551" xr:uid="{00000000-0005-0000-0000-0000A3A00000}"/>
    <cellStyle name="Komma 4 3 6" xfId="56330" xr:uid="{00000000-0005-0000-0000-0000A4A00000}"/>
    <cellStyle name="Komma 4 3 7" xfId="53056" xr:uid="{00000000-0005-0000-0000-0000A5A00000}"/>
    <cellStyle name="Komma 4 4" xfId="5045" xr:uid="{00000000-0005-0000-0000-0000A6A00000}"/>
    <cellStyle name="Komma 4 4 2" xfId="54010" xr:uid="{00000000-0005-0000-0000-0000A7A00000}"/>
    <cellStyle name="Komma 4 4 2 2" xfId="57177" xr:uid="{00000000-0005-0000-0000-0000A8A00000}"/>
    <cellStyle name="Komma 4 4 3" xfId="56554" xr:uid="{00000000-0005-0000-0000-0000A9A00000}"/>
    <cellStyle name="Komma 4 4 4" xfId="53378" xr:uid="{00000000-0005-0000-0000-0000AAA00000}"/>
    <cellStyle name="Komma 4 5" xfId="8893" xr:uid="{00000000-0005-0000-0000-0000ABA00000}"/>
    <cellStyle name="Komma 4 5 2" xfId="16667" xr:uid="{00000000-0005-0000-0000-0000ACA00000}"/>
    <cellStyle name="Komma 4 5 2 2" xfId="32981" xr:uid="{00000000-0005-0000-0000-0000ADA00000}"/>
    <cellStyle name="Komma 4 5 2 2 2" xfId="57178" xr:uid="{00000000-0005-0000-0000-0000AEA00000}"/>
    <cellStyle name="Komma 4 5 2 3" xfId="47945" xr:uid="{00000000-0005-0000-0000-0000AFA00000}"/>
    <cellStyle name="Komma 4 5 2 4" xfId="54011" xr:uid="{00000000-0005-0000-0000-0000B0A00000}"/>
    <cellStyle name="Komma 4 5 3" xfId="25959" xr:uid="{00000000-0005-0000-0000-0000B1A00000}"/>
    <cellStyle name="Komma 4 5 3 2" xfId="56555" xr:uid="{00000000-0005-0000-0000-0000B2A00000}"/>
    <cellStyle name="Komma 4 5 4" xfId="40946" xr:uid="{00000000-0005-0000-0000-0000B3A00000}"/>
    <cellStyle name="Komma 4 5 5" xfId="53379" xr:uid="{00000000-0005-0000-0000-0000B4A00000}"/>
    <cellStyle name="Komma 4 6" xfId="10007" xr:uid="{00000000-0005-0000-0000-0000B5A00000}"/>
    <cellStyle name="Komma 4 6 2" xfId="26328" xr:uid="{00000000-0005-0000-0000-0000B6A00000}"/>
    <cellStyle name="Komma 4 6 2 2" xfId="57179" xr:uid="{00000000-0005-0000-0000-0000B7A00000}"/>
    <cellStyle name="Komma 4 6 2 3" xfId="54012" xr:uid="{00000000-0005-0000-0000-0000B8A00000}"/>
    <cellStyle name="Komma 4 6 3" xfId="41296" xr:uid="{00000000-0005-0000-0000-0000B9A00000}"/>
    <cellStyle name="Komma 4 6 3 2" xfId="56556" xr:uid="{00000000-0005-0000-0000-0000BAA00000}"/>
    <cellStyle name="Komma 4 6 4" xfId="53380" xr:uid="{00000000-0005-0000-0000-0000BBA00000}"/>
    <cellStyle name="Komma 4 7" xfId="16886" xr:uid="{00000000-0005-0000-0000-0000BCA00000}"/>
    <cellStyle name="Komma 4 7 2" xfId="33004" xr:uid="{00000000-0005-0000-0000-0000BDA00000}"/>
    <cellStyle name="Komma 4 7 2 2" xfId="57169" xr:uid="{00000000-0005-0000-0000-0000BEA00000}"/>
    <cellStyle name="Komma 4 7 3" xfId="47965" xr:uid="{00000000-0005-0000-0000-0000BFA00000}"/>
    <cellStyle name="Komma 4 7 4" xfId="54002" xr:uid="{00000000-0005-0000-0000-0000C0A00000}"/>
    <cellStyle name="Komma 4 8" xfId="19307" xr:uid="{00000000-0005-0000-0000-0000C1A00000}"/>
    <cellStyle name="Komma 4 8 2" xfId="56546" xr:uid="{00000000-0005-0000-0000-0000C2A00000}"/>
    <cellStyle name="Komma 4 8 3" xfId="53370" xr:uid="{00000000-0005-0000-0000-0000C3A00000}"/>
    <cellStyle name="Komma 4 9" xfId="34297" xr:uid="{00000000-0005-0000-0000-0000C4A00000}"/>
    <cellStyle name="Komma 4 9 2" xfId="54664" xr:uid="{00000000-0005-0000-0000-0000C5A00000}"/>
    <cellStyle name="Komma 5" xfId="1180" xr:uid="{00000000-0005-0000-0000-0000C6A00000}"/>
    <cellStyle name="Komma 5 2" xfId="8799" xr:uid="{00000000-0005-0000-0000-0000C7A00000}"/>
    <cellStyle name="Komma 5 2 2" xfId="18931" xr:uid="{00000000-0005-0000-0000-0000C8A00000}"/>
    <cellStyle name="Komma 5 2 2 2" xfId="54015" xr:uid="{00000000-0005-0000-0000-0000C9A00000}"/>
    <cellStyle name="Komma 5 2 2 2 2" xfId="57182" xr:uid="{00000000-0005-0000-0000-0000CAA00000}"/>
    <cellStyle name="Komma 5 2 2 3" xfId="53383" xr:uid="{00000000-0005-0000-0000-0000CBA00000}"/>
    <cellStyle name="Komma 5 2 2 3 2" xfId="56559" xr:uid="{00000000-0005-0000-0000-0000CCA00000}"/>
    <cellStyle name="Komma 5 2 3" xfId="53384" xr:uid="{00000000-0005-0000-0000-0000CDA00000}"/>
    <cellStyle name="Komma 5 2 3 2" xfId="54016" xr:uid="{00000000-0005-0000-0000-0000CEA00000}"/>
    <cellStyle name="Komma 5 2 3 2 2" xfId="57183" xr:uid="{00000000-0005-0000-0000-0000CFA00000}"/>
    <cellStyle name="Komma 5 2 3 3" xfId="56560" xr:uid="{00000000-0005-0000-0000-0000D0A00000}"/>
    <cellStyle name="Komma 5 2 4" xfId="54014" xr:uid="{00000000-0005-0000-0000-0000D1A00000}"/>
    <cellStyle name="Komma 5 2 4 2" xfId="57181" xr:uid="{00000000-0005-0000-0000-0000D2A00000}"/>
    <cellStyle name="Komma 5 2 5" xfId="53382" xr:uid="{00000000-0005-0000-0000-0000D3A00000}"/>
    <cellStyle name="Komma 5 2 5 2" xfId="56558" xr:uid="{00000000-0005-0000-0000-0000D4A00000}"/>
    <cellStyle name="Komma 5 3" xfId="5047" xr:uid="{00000000-0005-0000-0000-0000D5A00000}"/>
    <cellStyle name="Komma 5 3 2" xfId="54017" xr:uid="{00000000-0005-0000-0000-0000D6A00000}"/>
    <cellStyle name="Komma 5 3 2 2" xfId="57184" xr:uid="{00000000-0005-0000-0000-0000D7A00000}"/>
    <cellStyle name="Komma 5 3 3" xfId="53385" xr:uid="{00000000-0005-0000-0000-0000D8A00000}"/>
    <cellStyle name="Komma 5 3 3 2" xfId="56561" xr:uid="{00000000-0005-0000-0000-0000D9A00000}"/>
    <cellStyle name="Komma 5 4" xfId="53386" xr:uid="{00000000-0005-0000-0000-0000DAA00000}"/>
    <cellStyle name="Komma 5 4 2" xfId="54018" xr:uid="{00000000-0005-0000-0000-0000DBA00000}"/>
    <cellStyle name="Komma 5 4 2 2" xfId="57185" xr:uid="{00000000-0005-0000-0000-0000DCA00000}"/>
    <cellStyle name="Komma 5 4 3" xfId="56562" xr:uid="{00000000-0005-0000-0000-0000DDA00000}"/>
    <cellStyle name="Komma 5 5" xfId="53387" xr:uid="{00000000-0005-0000-0000-0000DEA00000}"/>
    <cellStyle name="Komma 5 5 2" xfId="54019" xr:uid="{00000000-0005-0000-0000-0000DFA00000}"/>
    <cellStyle name="Komma 5 5 2 2" xfId="57186" xr:uid="{00000000-0005-0000-0000-0000E0A00000}"/>
    <cellStyle name="Komma 5 5 3" xfId="56563" xr:uid="{00000000-0005-0000-0000-0000E1A00000}"/>
    <cellStyle name="Komma 5 6" xfId="54013" xr:uid="{00000000-0005-0000-0000-0000E2A00000}"/>
    <cellStyle name="Komma 5 6 2" xfId="57180" xr:uid="{00000000-0005-0000-0000-0000E3A00000}"/>
    <cellStyle name="Komma 5 7" xfId="53381" xr:uid="{00000000-0005-0000-0000-0000E4A00000}"/>
    <cellStyle name="Komma 5 7 2" xfId="56557" xr:uid="{00000000-0005-0000-0000-0000E5A00000}"/>
    <cellStyle name="Komma 6" xfId="5048" xr:uid="{00000000-0005-0000-0000-0000E6A00000}"/>
    <cellStyle name="Komma 6 2" xfId="53388" xr:uid="{00000000-0005-0000-0000-0000E7A00000}"/>
    <cellStyle name="Komma 6 2 2" xfId="53389" xr:uid="{00000000-0005-0000-0000-0000E8A00000}"/>
    <cellStyle name="Komma 6 2 2 2" xfId="54022" xr:uid="{00000000-0005-0000-0000-0000E9A00000}"/>
    <cellStyle name="Komma 6 2 2 2 2" xfId="57189" xr:uid="{00000000-0005-0000-0000-0000EAA00000}"/>
    <cellStyle name="Komma 6 2 2 3" xfId="56565" xr:uid="{00000000-0005-0000-0000-0000EBA00000}"/>
    <cellStyle name="Komma 6 2 3" xfId="53390" xr:uid="{00000000-0005-0000-0000-0000ECA00000}"/>
    <cellStyle name="Komma 6 2 3 2" xfId="54023" xr:uid="{00000000-0005-0000-0000-0000EDA00000}"/>
    <cellStyle name="Komma 6 2 3 2 2" xfId="57190" xr:uid="{00000000-0005-0000-0000-0000EEA00000}"/>
    <cellStyle name="Komma 6 2 3 3" xfId="56566" xr:uid="{00000000-0005-0000-0000-0000EFA00000}"/>
    <cellStyle name="Komma 6 2 4" xfId="54021" xr:uid="{00000000-0005-0000-0000-0000F0A00000}"/>
    <cellStyle name="Komma 6 2 4 2" xfId="57188" xr:uid="{00000000-0005-0000-0000-0000F1A00000}"/>
    <cellStyle name="Komma 6 2 5" xfId="56564" xr:uid="{00000000-0005-0000-0000-0000F2A00000}"/>
    <cellStyle name="Komma 6 3" xfId="53391" xr:uid="{00000000-0005-0000-0000-0000F3A00000}"/>
    <cellStyle name="Komma 6 3 2" xfId="54024" xr:uid="{00000000-0005-0000-0000-0000F4A00000}"/>
    <cellStyle name="Komma 6 3 2 2" xfId="57191" xr:uid="{00000000-0005-0000-0000-0000F5A00000}"/>
    <cellStyle name="Komma 6 3 3" xfId="56567" xr:uid="{00000000-0005-0000-0000-0000F6A00000}"/>
    <cellStyle name="Komma 6 4" xfId="53392" xr:uid="{00000000-0005-0000-0000-0000F7A00000}"/>
    <cellStyle name="Komma 6 4 2" xfId="54025" xr:uid="{00000000-0005-0000-0000-0000F8A00000}"/>
    <cellStyle name="Komma 6 4 2 2" xfId="57192" xr:uid="{00000000-0005-0000-0000-0000F9A00000}"/>
    <cellStyle name="Komma 6 4 3" xfId="56568" xr:uid="{00000000-0005-0000-0000-0000FAA00000}"/>
    <cellStyle name="Komma 6 5" xfId="53393" xr:uid="{00000000-0005-0000-0000-0000FBA00000}"/>
    <cellStyle name="Komma 6 5 2" xfId="54026" xr:uid="{00000000-0005-0000-0000-0000FCA00000}"/>
    <cellStyle name="Komma 6 5 2 2" xfId="57193" xr:uid="{00000000-0005-0000-0000-0000FDA00000}"/>
    <cellStyle name="Komma 6 5 3" xfId="56569" xr:uid="{00000000-0005-0000-0000-0000FEA00000}"/>
    <cellStyle name="Komma 6 6" xfId="54020" xr:uid="{00000000-0005-0000-0000-0000FFA00000}"/>
    <cellStyle name="Komma 6 6 2" xfId="57187" xr:uid="{00000000-0005-0000-0000-000000A10000}"/>
    <cellStyle name="Komma 6 7" xfId="56374" xr:uid="{00000000-0005-0000-0000-000001A10000}"/>
    <cellStyle name="Komma 6 8" xfId="53100" xr:uid="{00000000-0005-0000-0000-000002A10000}"/>
    <cellStyle name="Komma 7" xfId="5049" xr:uid="{00000000-0005-0000-0000-000003A10000}"/>
    <cellStyle name="Komma 7 2" xfId="8800" xr:uid="{00000000-0005-0000-0000-000004A10000}"/>
    <cellStyle name="Komma 7 2 2" xfId="53396" xr:uid="{00000000-0005-0000-0000-000005A10000}"/>
    <cellStyle name="Komma 7 2 2 2" xfId="54029" xr:uid="{00000000-0005-0000-0000-000006A10000}"/>
    <cellStyle name="Komma 7 2 2 2 2" xfId="57196" xr:uid="{00000000-0005-0000-0000-000007A10000}"/>
    <cellStyle name="Komma 7 2 2 3" xfId="56572" xr:uid="{00000000-0005-0000-0000-000008A10000}"/>
    <cellStyle name="Komma 7 2 3" xfId="53397" xr:uid="{00000000-0005-0000-0000-000009A10000}"/>
    <cellStyle name="Komma 7 2 3 2" xfId="54030" xr:uid="{00000000-0005-0000-0000-00000AA10000}"/>
    <cellStyle name="Komma 7 2 3 2 2" xfId="57197" xr:uid="{00000000-0005-0000-0000-00000BA10000}"/>
    <cellStyle name="Komma 7 2 3 3" xfId="56573" xr:uid="{00000000-0005-0000-0000-00000CA10000}"/>
    <cellStyle name="Komma 7 2 4" xfId="54028" xr:uid="{00000000-0005-0000-0000-00000DA10000}"/>
    <cellStyle name="Komma 7 2 4 2" xfId="57195" xr:uid="{00000000-0005-0000-0000-00000EA10000}"/>
    <cellStyle name="Komma 7 2 5" xfId="56571" xr:uid="{00000000-0005-0000-0000-00000FA10000}"/>
    <cellStyle name="Komma 7 2 6" xfId="53395" xr:uid="{00000000-0005-0000-0000-000010A10000}"/>
    <cellStyle name="Komma 7 3" xfId="53398" xr:uid="{00000000-0005-0000-0000-000011A10000}"/>
    <cellStyle name="Komma 7 3 2" xfId="54031" xr:uid="{00000000-0005-0000-0000-000012A10000}"/>
    <cellStyle name="Komma 7 3 2 2" xfId="57198" xr:uid="{00000000-0005-0000-0000-000013A10000}"/>
    <cellStyle name="Komma 7 3 3" xfId="56574" xr:uid="{00000000-0005-0000-0000-000014A10000}"/>
    <cellStyle name="Komma 7 4" xfId="53399" xr:uid="{00000000-0005-0000-0000-000015A10000}"/>
    <cellStyle name="Komma 7 4 2" xfId="54032" xr:uid="{00000000-0005-0000-0000-000016A10000}"/>
    <cellStyle name="Komma 7 4 2 2" xfId="57199" xr:uid="{00000000-0005-0000-0000-000017A10000}"/>
    <cellStyle name="Komma 7 4 3" xfId="56575" xr:uid="{00000000-0005-0000-0000-000018A10000}"/>
    <cellStyle name="Komma 7 5" xfId="54027" xr:uid="{00000000-0005-0000-0000-000019A10000}"/>
    <cellStyle name="Komma 7 5 2" xfId="57194" xr:uid="{00000000-0005-0000-0000-00001AA10000}"/>
    <cellStyle name="Komma 7 6" xfId="56570" xr:uid="{00000000-0005-0000-0000-00001BA10000}"/>
    <cellStyle name="Komma 7 7" xfId="53394" xr:uid="{00000000-0005-0000-0000-00001CA10000}"/>
    <cellStyle name="Komma 8" xfId="5030" xr:uid="{00000000-0005-0000-0000-00001DA10000}"/>
    <cellStyle name="Komma 8 2" xfId="8792" xr:uid="{00000000-0005-0000-0000-00001EA10000}"/>
    <cellStyle name="Komma 8 2 2" xfId="54034" xr:uid="{00000000-0005-0000-0000-00001FA10000}"/>
    <cellStyle name="Komma 8 2 2 2" xfId="57201" xr:uid="{00000000-0005-0000-0000-000020A10000}"/>
    <cellStyle name="Komma 8 2 3" xfId="56577" xr:uid="{00000000-0005-0000-0000-000021A10000}"/>
    <cellStyle name="Komma 8 2 4" xfId="53401" xr:uid="{00000000-0005-0000-0000-000022A10000}"/>
    <cellStyle name="Komma 8 3" xfId="53402" xr:uid="{00000000-0005-0000-0000-000023A10000}"/>
    <cellStyle name="Komma 8 3 2" xfId="54035" xr:uid="{00000000-0005-0000-0000-000024A10000}"/>
    <cellStyle name="Komma 8 3 2 2" xfId="57202" xr:uid="{00000000-0005-0000-0000-000025A10000}"/>
    <cellStyle name="Komma 8 3 3" xfId="56578" xr:uid="{00000000-0005-0000-0000-000026A10000}"/>
    <cellStyle name="Komma 8 4" xfId="54033" xr:uid="{00000000-0005-0000-0000-000027A10000}"/>
    <cellStyle name="Komma 8 4 2" xfId="57200" xr:uid="{00000000-0005-0000-0000-000028A10000}"/>
    <cellStyle name="Komma 8 5" xfId="56576" xr:uid="{00000000-0005-0000-0000-000029A10000}"/>
    <cellStyle name="Komma 8 6" xfId="53400" xr:uid="{00000000-0005-0000-0000-00002AA10000}"/>
    <cellStyle name="Komma 9" xfId="1519" xr:uid="{00000000-0005-0000-0000-00002BA10000}"/>
    <cellStyle name="Komma 9 2" xfId="8859" xr:uid="{00000000-0005-0000-0000-00002CA10000}"/>
    <cellStyle name="Komma 9 2 2" xfId="16637" xr:uid="{00000000-0005-0000-0000-00002DA10000}"/>
    <cellStyle name="Komma 9 2 2 2" xfId="32951" xr:uid="{00000000-0005-0000-0000-00002EA10000}"/>
    <cellStyle name="Komma 9 2 2 3" xfId="47915" xr:uid="{00000000-0005-0000-0000-00002FA10000}"/>
    <cellStyle name="Komma 9 2 2 4" xfId="57203" xr:uid="{00000000-0005-0000-0000-000030A10000}"/>
    <cellStyle name="Komma 9 2 3" xfId="25929" xr:uid="{00000000-0005-0000-0000-000031A10000}"/>
    <cellStyle name="Komma 9 2 4" xfId="40916" xr:uid="{00000000-0005-0000-0000-000032A10000}"/>
    <cellStyle name="Komma 9 2 5" xfId="54036" xr:uid="{00000000-0005-0000-0000-000033A10000}"/>
    <cellStyle name="Komma 9 3" xfId="10084" xr:uid="{00000000-0005-0000-0000-000034A10000}"/>
    <cellStyle name="Komma 9 3 2" xfId="26404" xr:uid="{00000000-0005-0000-0000-000035A10000}"/>
    <cellStyle name="Komma 9 3 3" xfId="41370" xr:uid="{00000000-0005-0000-0000-000036A10000}"/>
    <cellStyle name="Komma 9 3 4" xfId="56579" xr:uid="{00000000-0005-0000-0000-000037A10000}"/>
    <cellStyle name="Komma 9 4" xfId="19382" xr:uid="{00000000-0005-0000-0000-000038A10000}"/>
    <cellStyle name="Komma 9 5" xfId="34371" xr:uid="{00000000-0005-0000-0000-000039A10000}"/>
    <cellStyle name="Komma 9 6" xfId="53403" xr:uid="{00000000-0005-0000-0000-00003AA10000}"/>
    <cellStyle name="Link 2" xfId="1182" xr:uid="{00000000-0005-0000-0000-00003BA10000}"/>
    <cellStyle name="Link 2 2" xfId="5052" xr:uid="{00000000-0005-0000-0000-00003CA10000}"/>
    <cellStyle name="Link 2 3" xfId="5051" xr:uid="{00000000-0005-0000-0000-00003DA10000}"/>
    <cellStyle name="Link 2 3 2" xfId="53405" xr:uid="{00000000-0005-0000-0000-00003EA10000}"/>
    <cellStyle name="Link 2 4" xfId="16887" xr:uid="{00000000-0005-0000-0000-00003FA10000}"/>
    <cellStyle name="Link 2 5" xfId="53236" xr:uid="{00000000-0005-0000-0000-000040A10000}"/>
    <cellStyle name="Link 3" xfId="1187" xr:uid="{00000000-0005-0000-0000-000041A10000}"/>
    <cellStyle name="Link 3 2" xfId="5053" xr:uid="{00000000-0005-0000-0000-000042A10000}"/>
    <cellStyle name="Link 3 2 2" xfId="53406" xr:uid="{00000000-0005-0000-0000-000043A10000}"/>
    <cellStyle name="Link 3 3" xfId="16888" xr:uid="{00000000-0005-0000-0000-000044A10000}"/>
    <cellStyle name="Link 4" xfId="5054" xr:uid="{00000000-0005-0000-0000-000045A10000}"/>
    <cellStyle name="Link 4 2" xfId="53404" xr:uid="{00000000-0005-0000-0000-000046A10000}"/>
    <cellStyle name="Link 5" xfId="5055" xr:uid="{00000000-0005-0000-0000-000047A10000}"/>
    <cellStyle name="Link 5 2" xfId="53242" xr:uid="{00000000-0005-0000-0000-000048A10000}"/>
    <cellStyle name="Link 6" xfId="5050" xr:uid="{00000000-0005-0000-0000-000049A10000}"/>
    <cellStyle name="Link 6 2" xfId="54457" xr:uid="{00000000-0005-0000-0000-00004AA10000}"/>
    <cellStyle name="Linked Cell" xfId="1127" builtinId="24" customBuiltin="1"/>
    <cellStyle name="Linked Cell 2" xfId="53180" xr:uid="{00000000-0005-0000-0000-00004CA10000}"/>
    <cellStyle name="Markeringsfarve1 2" xfId="5057" xr:uid="{00000000-0005-0000-0000-00004DA10000}"/>
    <cellStyle name="Markeringsfarve1 3" xfId="5058" xr:uid="{00000000-0005-0000-0000-00004EA10000}"/>
    <cellStyle name="Markeringsfarve1 4" xfId="5059" xr:uid="{00000000-0005-0000-0000-00004FA10000}"/>
    <cellStyle name="Markeringsfarve1 5" xfId="5060" xr:uid="{00000000-0005-0000-0000-000050A10000}"/>
    <cellStyle name="Markeringsfarve1 5 2" xfId="8207" xr:uid="{00000000-0005-0000-0000-000051A10000}"/>
    <cellStyle name="Markeringsfarve1 6" xfId="5322" xr:uid="{00000000-0005-0000-0000-000052A10000}"/>
    <cellStyle name="Markeringsfarve1 7" xfId="5056" xr:uid="{00000000-0005-0000-0000-000053A10000}"/>
    <cellStyle name="Markeringsfarve2 2" xfId="5062" xr:uid="{00000000-0005-0000-0000-000054A10000}"/>
    <cellStyle name="Markeringsfarve2 3" xfId="5063" xr:uid="{00000000-0005-0000-0000-000055A10000}"/>
    <cellStyle name="Markeringsfarve2 4" xfId="5064" xr:uid="{00000000-0005-0000-0000-000056A10000}"/>
    <cellStyle name="Markeringsfarve2 5" xfId="5065" xr:uid="{00000000-0005-0000-0000-000057A10000}"/>
    <cellStyle name="Markeringsfarve2 5 2" xfId="8692" xr:uid="{00000000-0005-0000-0000-000058A10000}"/>
    <cellStyle name="Markeringsfarve2 6" xfId="5326" xr:uid="{00000000-0005-0000-0000-000059A10000}"/>
    <cellStyle name="Markeringsfarve2 7" xfId="5061" xr:uid="{00000000-0005-0000-0000-00005AA10000}"/>
    <cellStyle name="Markeringsfarve3 2" xfId="5067" xr:uid="{00000000-0005-0000-0000-00005BA10000}"/>
    <cellStyle name="Markeringsfarve3 3" xfId="5068" xr:uid="{00000000-0005-0000-0000-00005CA10000}"/>
    <cellStyle name="Markeringsfarve3 4" xfId="5069" xr:uid="{00000000-0005-0000-0000-00005DA10000}"/>
    <cellStyle name="Markeringsfarve3 5" xfId="5070" xr:uid="{00000000-0005-0000-0000-00005EA10000}"/>
    <cellStyle name="Markeringsfarve3 5 2" xfId="8396" xr:uid="{00000000-0005-0000-0000-00005FA10000}"/>
    <cellStyle name="Markeringsfarve3 6" xfId="5330" xr:uid="{00000000-0005-0000-0000-000060A10000}"/>
    <cellStyle name="Markeringsfarve3 7" xfId="5066" xr:uid="{00000000-0005-0000-0000-000061A10000}"/>
    <cellStyle name="Markeringsfarve4 2" xfId="5072" xr:uid="{00000000-0005-0000-0000-000062A10000}"/>
    <cellStyle name="Markeringsfarve4 3" xfId="5073" xr:uid="{00000000-0005-0000-0000-000063A10000}"/>
    <cellStyle name="Markeringsfarve4 4" xfId="5074" xr:uid="{00000000-0005-0000-0000-000064A10000}"/>
    <cellStyle name="Markeringsfarve4 5" xfId="5075" xr:uid="{00000000-0005-0000-0000-000065A10000}"/>
    <cellStyle name="Markeringsfarve4 5 2" xfId="8209" xr:uid="{00000000-0005-0000-0000-000066A10000}"/>
    <cellStyle name="Markeringsfarve4 6" xfId="5334" xr:uid="{00000000-0005-0000-0000-000067A10000}"/>
    <cellStyle name="Markeringsfarve4 7" xfId="5071" xr:uid="{00000000-0005-0000-0000-000068A10000}"/>
    <cellStyle name="Markeringsfarve6 2" xfId="5077" xr:uid="{00000000-0005-0000-0000-000069A10000}"/>
    <cellStyle name="Markeringsfarve6 3" xfId="5078" xr:uid="{00000000-0005-0000-0000-00006AA10000}"/>
    <cellStyle name="Markeringsfarve6 4" xfId="5079" xr:uid="{00000000-0005-0000-0000-00006BA10000}"/>
    <cellStyle name="Markeringsfarve6 5" xfId="5080" xr:uid="{00000000-0005-0000-0000-00006CA10000}"/>
    <cellStyle name="Markeringsfarve6 5 2" xfId="8412" xr:uid="{00000000-0005-0000-0000-00006DA10000}"/>
    <cellStyle name="Markeringsfarve6 6" xfId="5341" xr:uid="{00000000-0005-0000-0000-00006EA10000}"/>
    <cellStyle name="Markeringsfarve6 7" xfId="5076" xr:uid="{00000000-0005-0000-0000-00006FA10000}"/>
    <cellStyle name="Migliaia [0] 10" xfId="229" xr:uid="{00000000-0005-0000-0000-000070A10000}"/>
    <cellStyle name="Migliaia [0] 10 10" xfId="50141" xr:uid="{00000000-0005-0000-0000-000071A10000}"/>
    <cellStyle name="Migliaia [0] 10 11" xfId="50583" xr:uid="{00000000-0005-0000-0000-000072A10000}"/>
    <cellStyle name="Migliaia [0] 10 12" xfId="51302" xr:uid="{00000000-0005-0000-0000-000073A10000}"/>
    <cellStyle name="Migliaia [0] 10 13" xfId="51715" xr:uid="{00000000-0005-0000-0000-000074A10000}"/>
    <cellStyle name="Migliaia [0] 10 14" xfId="52130" xr:uid="{00000000-0005-0000-0000-000075A10000}"/>
    <cellStyle name="Migliaia [0] 10 2" xfId="8999" xr:uid="{00000000-0005-0000-0000-000076A10000}"/>
    <cellStyle name="Migliaia [0] 10 2 2" xfId="17891" xr:uid="{00000000-0005-0000-0000-000077A10000}"/>
    <cellStyle name="Migliaia [0] 10 2 2 2" xfId="33551" xr:uid="{00000000-0005-0000-0000-000078A10000}"/>
    <cellStyle name="Migliaia [0] 10 2 2 3" xfId="48512" xr:uid="{00000000-0005-0000-0000-000079A10000}"/>
    <cellStyle name="Migliaia [0] 10 2 2 4" xfId="55036" xr:uid="{00000000-0005-0000-0000-00007AA10000}"/>
    <cellStyle name="Migliaia [0] 10 2 3" xfId="55958" xr:uid="{00000000-0005-0000-0000-00007BA10000}"/>
    <cellStyle name="Migliaia [0] 10 2 4" xfId="52681" xr:uid="{00000000-0005-0000-0000-00007CA10000}"/>
    <cellStyle name="Migliaia [0] 10 3" xfId="9680" xr:uid="{00000000-0005-0000-0000-00007DA10000}"/>
    <cellStyle name="Migliaia [0] 10 3 2" xfId="26006" xr:uid="{00000000-0005-0000-0000-00007EA10000}"/>
    <cellStyle name="Migliaia [0] 10 3 3" xfId="40984" xr:uid="{00000000-0005-0000-0000-00007FA10000}"/>
    <cellStyle name="Migliaia [0] 10 3 4" xfId="54468" xr:uid="{00000000-0005-0000-0000-000080A10000}"/>
    <cellStyle name="Migliaia [0] 10 4" xfId="16889" xr:uid="{00000000-0005-0000-0000-000081A10000}"/>
    <cellStyle name="Migliaia [0] 10 4 2" xfId="33005" xr:uid="{00000000-0005-0000-0000-000082A10000}"/>
    <cellStyle name="Migliaia [0] 10 4 3" xfId="47966" xr:uid="{00000000-0005-0000-0000-000083A10000}"/>
    <cellStyle name="Migliaia [0] 10 4 4" xfId="55412" xr:uid="{00000000-0005-0000-0000-000084A10000}"/>
    <cellStyle name="Migliaia [0] 10 5" xfId="18987" xr:uid="{00000000-0005-0000-0000-000085A10000}"/>
    <cellStyle name="Migliaia [0] 10 6" xfId="33982" xr:uid="{00000000-0005-0000-0000-000086A10000}"/>
    <cellStyle name="Migliaia [0] 10 7" xfId="48922" xr:uid="{00000000-0005-0000-0000-000087A10000}"/>
    <cellStyle name="Migliaia [0] 10 8" xfId="49327" xr:uid="{00000000-0005-0000-0000-000088A10000}"/>
    <cellStyle name="Migliaia [0] 10 9" xfId="49733" xr:uid="{00000000-0005-0000-0000-000089A10000}"/>
    <cellStyle name="Migliaia [0] 11" xfId="230" xr:uid="{00000000-0005-0000-0000-00008AA10000}"/>
    <cellStyle name="Migliaia [0] 11 10" xfId="50142" xr:uid="{00000000-0005-0000-0000-00008BA10000}"/>
    <cellStyle name="Migliaia [0] 11 11" xfId="50584" xr:uid="{00000000-0005-0000-0000-00008CA10000}"/>
    <cellStyle name="Migliaia [0] 11 12" xfId="51303" xr:uid="{00000000-0005-0000-0000-00008DA10000}"/>
    <cellStyle name="Migliaia [0] 11 13" xfId="51716" xr:uid="{00000000-0005-0000-0000-00008EA10000}"/>
    <cellStyle name="Migliaia [0] 11 14" xfId="52131" xr:uid="{00000000-0005-0000-0000-00008FA10000}"/>
    <cellStyle name="Migliaia [0] 11 2" xfId="9000" xr:uid="{00000000-0005-0000-0000-000090A10000}"/>
    <cellStyle name="Migliaia [0] 11 2 2" xfId="17892" xr:uid="{00000000-0005-0000-0000-000091A10000}"/>
    <cellStyle name="Migliaia [0] 11 2 2 2" xfId="33552" xr:uid="{00000000-0005-0000-0000-000092A10000}"/>
    <cellStyle name="Migliaia [0] 11 2 2 3" xfId="48513" xr:uid="{00000000-0005-0000-0000-000093A10000}"/>
    <cellStyle name="Migliaia [0] 11 2 2 4" xfId="55037" xr:uid="{00000000-0005-0000-0000-000094A10000}"/>
    <cellStyle name="Migliaia [0] 11 2 3" xfId="55959" xr:uid="{00000000-0005-0000-0000-000095A10000}"/>
    <cellStyle name="Migliaia [0] 11 2 4" xfId="52682" xr:uid="{00000000-0005-0000-0000-000096A10000}"/>
    <cellStyle name="Migliaia [0] 11 3" xfId="9681" xr:uid="{00000000-0005-0000-0000-000097A10000}"/>
    <cellStyle name="Migliaia [0] 11 3 2" xfId="26007" xr:uid="{00000000-0005-0000-0000-000098A10000}"/>
    <cellStyle name="Migliaia [0] 11 3 3" xfId="40985" xr:uid="{00000000-0005-0000-0000-000099A10000}"/>
    <cellStyle name="Migliaia [0] 11 3 4" xfId="54469" xr:uid="{00000000-0005-0000-0000-00009AA10000}"/>
    <cellStyle name="Migliaia [0] 11 4" xfId="16890" xr:uid="{00000000-0005-0000-0000-00009BA10000}"/>
    <cellStyle name="Migliaia [0] 11 4 2" xfId="33006" xr:uid="{00000000-0005-0000-0000-00009CA10000}"/>
    <cellStyle name="Migliaia [0] 11 4 3" xfId="47967" xr:uid="{00000000-0005-0000-0000-00009DA10000}"/>
    <cellStyle name="Migliaia [0] 11 4 4" xfId="55413" xr:uid="{00000000-0005-0000-0000-00009EA10000}"/>
    <cellStyle name="Migliaia [0] 11 5" xfId="18988" xr:uid="{00000000-0005-0000-0000-00009FA10000}"/>
    <cellStyle name="Migliaia [0] 11 6" xfId="33983" xr:uid="{00000000-0005-0000-0000-0000A0A10000}"/>
    <cellStyle name="Migliaia [0] 11 7" xfId="48923" xr:uid="{00000000-0005-0000-0000-0000A1A10000}"/>
    <cellStyle name="Migliaia [0] 11 8" xfId="49328" xr:uid="{00000000-0005-0000-0000-0000A2A10000}"/>
    <cellStyle name="Migliaia [0] 11 9" xfId="49734" xr:uid="{00000000-0005-0000-0000-0000A3A10000}"/>
    <cellStyle name="Migliaia [0] 12" xfId="231" xr:uid="{00000000-0005-0000-0000-0000A4A10000}"/>
    <cellStyle name="Migliaia [0] 12 10" xfId="50143" xr:uid="{00000000-0005-0000-0000-0000A5A10000}"/>
    <cellStyle name="Migliaia [0] 12 11" xfId="50585" xr:uid="{00000000-0005-0000-0000-0000A6A10000}"/>
    <cellStyle name="Migliaia [0] 12 12" xfId="51304" xr:uid="{00000000-0005-0000-0000-0000A7A10000}"/>
    <cellStyle name="Migliaia [0] 12 13" xfId="51717" xr:uid="{00000000-0005-0000-0000-0000A8A10000}"/>
    <cellStyle name="Migliaia [0] 12 14" xfId="52132" xr:uid="{00000000-0005-0000-0000-0000A9A10000}"/>
    <cellStyle name="Migliaia [0] 12 2" xfId="9001" xr:uid="{00000000-0005-0000-0000-0000AAA10000}"/>
    <cellStyle name="Migliaia [0] 12 2 2" xfId="17893" xr:uid="{00000000-0005-0000-0000-0000ABA10000}"/>
    <cellStyle name="Migliaia [0] 12 2 2 2" xfId="33553" xr:uid="{00000000-0005-0000-0000-0000ACA10000}"/>
    <cellStyle name="Migliaia [0] 12 2 2 3" xfId="48514" xr:uid="{00000000-0005-0000-0000-0000ADA10000}"/>
    <cellStyle name="Migliaia [0] 12 2 2 4" xfId="55038" xr:uid="{00000000-0005-0000-0000-0000AEA10000}"/>
    <cellStyle name="Migliaia [0] 12 2 3" xfId="55960" xr:uid="{00000000-0005-0000-0000-0000AFA10000}"/>
    <cellStyle name="Migliaia [0] 12 2 4" xfId="52683" xr:uid="{00000000-0005-0000-0000-0000B0A10000}"/>
    <cellStyle name="Migliaia [0] 12 3" xfId="9682" xr:uid="{00000000-0005-0000-0000-0000B1A10000}"/>
    <cellStyle name="Migliaia [0] 12 3 2" xfId="26008" xr:uid="{00000000-0005-0000-0000-0000B2A10000}"/>
    <cellStyle name="Migliaia [0] 12 3 3" xfId="40986" xr:uid="{00000000-0005-0000-0000-0000B3A10000}"/>
    <cellStyle name="Migliaia [0] 12 3 4" xfId="54470" xr:uid="{00000000-0005-0000-0000-0000B4A10000}"/>
    <cellStyle name="Migliaia [0] 12 4" xfId="16891" xr:uid="{00000000-0005-0000-0000-0000B5A10000}"/>
    <cellStyle name="Migliaia [0] 12 4 2" xfId="33007" xr:uid="{00000000-0005-0000-0000-0000B6A10000}"/>
    <cellStyle name="Migliaia [0] 12 4 3" xfId="47968" xr:uid="{00000000-0005-0000-0000-0000B7A10000}"/>
    <cellStyle name="Migliaia [0] 12 4 4" xfId="55414" xr:uid="{00000000-0005-0000-0000-0000B8A10000}"/>
    <cellStyle name="Migliaia [0] 12 5" xfId="18989" xr:uid="{00000000-0005-0000-0000-0000B9A10000}"/>
    <cellStyle name="Migliaia [0] 12 6" xfId="33984" xr:uid="{00000000-0005-0000-0000-0000BAA10000}"/>
    <cellStyle name="Migliaia [0] 12 7" xfId="48924" xr:uid="{00000000-0005-0000-0000-0000BBA10000}"/>
    <cellStyle name="Migliaia [0] 12 8" xfId="49329" xr:uid="{00000000-0005-0000-0000-0000BCA10000}"/>
    <cellStyle name="Migliaia [0] 12 9" xfId="49735" xr:uid="{00000000-0005-0000-0000-0000BDA10000}"/>
    <cellStyle name="Migliaia [0] 13" xfId="232" xr:uid="{00000000-0005-0000-0000-0000BEA10000}"/>
    <cellStyle name="Migliaia [0] 13 10" xfId="50144" xr:uid="{00000000-0005-0000-0000-0000BFA10000}"/>
    <cellStyle name="Migliaia [0] 13 11" xfId="50586" xr:uid="{00000000-0005-0000-0000-0000C0A10000}"/>
    <cellStyle name="Migliaia [0] 13 12" xfId="51305" xr:uid="{00000000-0005-0000-0000-0000C1A10000}"/>
    <cellStyle name="Migliaia [0] 13 13" xfId="51718" xr:uid="{00000000-0005-0000-0000-0000C2A10000}"/>
    <cellStyle name="Migliaia [0] 13 14" xfId="52133" xr:uid="{00000000-0005-0000-0000-0000C3A10000}"/>
    <cellStyle name="Migliaia [0] 13 2" xfId="9002" xr:uid="{00000000-0005-0000-0000-0000C4A10000}"/>
    <cellStyle name="Migliaia [0] 13 2 2" xfId="17894" xr:uid="{00000000-0005-0000-0000-0000C5A10000}"/>
    <cellStyle name="Migliaia [0] 13 2 2 2" xfId="33554" xr:uid="{00000000-0005-0000-0000-0000C6A10000}"/>
    <cellStyle name="Migliaia [0] 13 2 2 3" xfId="48515" xr:uid="{00000000-0005-0000-0000-0000C7A10000}"/>
    <cellStyle name="Migliaia [0] 13 2 2 4" xfId="55039" xr:uid="{00000000-0005-0000-0000-0000C8A10000}"/>
    <cellStyle name="Migliaia [0] 13 2 3" xfId="55961" xr:uid="{00000000-0005-0000-0000-0000C9A10000}"/>
    <cellStyle name="Migliaia [0] 13 2 4" xfId="52684" xr:uid="{00000000-0005-0000-0000-0000CAA10000}"/>
    <cellStyle name="Migliaia [0] 13 3" xfId="9683" xr:uid="{00000000-0005-0000-0000-0000CBA10000}"/>
    <cellStyle name="Migliaia [0] 13 3 2" xfId="26009" xr:uid="{00000000-0005-0000-0000-0000CCA10000}"/>
    <cellStyle name="Migliaia [0] 13 3 3" xfId="40987" xr:uid="{00000000-0005-0000-0000-0000CDA10000}"/>
    <cellStyle name="Migliaia [0] 13 3 4" xfId="54471" xr:uid="{00000000-0005-0000-0000-0000CEA10000}"/>
    <cellStyle name="Migliaia [0] 13 4" xfId="16892" xr:uid="{00000000-0005-0000-0000-0000CFA10000}"/>
    <cellStyle name="Migliaia [0] 13 4 2" xfId="33008" xr:uid="{00000000-0005-0000-0000-0000D0A10000}"/>
    <cellStyle name="Migliaia [0] 13 4 3" xfId="47969" xr:uid="{00000000-0005-0000-0000-0000D1A10000}"/>
    <cellStyle name="Migliaia [0] 13 4 4" xfId="55415" xr:uid="{00000000-0005-0000-0000-0000D2A10000}"/>
    <cellStyle name="Migliaia [0] 13 5" xfId="18990" xr:uid="{00000000-0005-0000-0000-0000D3A10000}"/>
    <cellStyle name="Migliaia [0] 13 6" xfId="33985" xr:uid="{00000000-0005-0000-0000-0000D4A10000}"/>
    <cellStyle name="Migliaia [0] 13 7" xfId="48925" xr:uid="{00000000-0005-0000-0000-0000D5A10000}"/>
    <cellStyle name="Migliaia [0] 13 8" xfId="49330" xr:uid="{00000000-0005-0000-0000-0000D6A10000}"/>
    <cellStyle name="Migliaia [0] 13 9" xfId="49736" xr:uid="{00000000-0005-0000-0000-0000D7A10000}"/>
    <cellStyle name="Migliaia [0] 14" xfId="233" xr:uid="{00000000-0005-0000-0000-0000D8A10000}"/>
    <cellStyle name="Migliaia [0] 14 10" xfId="50145" xr:uid="{00000000-0005-0000-0000-0000D9A10000}"/>
    <cellStyle name="Migliaia [0] 14 11" xfId="50587" xr:uid="{00000000-0005-0000-0000-0000DAA10000}"/>
    <cellStyle name="Migliaia [0] 14 12" xfId="51306" xr:uid="{00000000-0005-0000-0000-0000DBA10000}"/>
    <cellStyle name="Migliaia [0] 14 13" xfId="51719" xr:uid="{00000000-0005-0000-0000-0000DCA10000}"/>
    <cellStyle name="Migliaia [0] 14 14" xfId="52134" xr:uid="{00000000-0005-0000-0000-0000DDA10000}"/>
    <cellStyle name="Migliaia [0] 14 2" xfId="9003" xr:uid="{00000000-0005-0000-0000-0000DEA10000}"/>
    <cellStyle name="Migliaia [0] 14 2 2" xfId="17895" xr:uid="{00000000-0005-0000-0000-0000DFA10000}"/>
    <cellStyle name="Migliaia [0] 14 2 2 2" xfId="33555" xr:uid="{00000000-0005-0000-0000-0000E0A10000}"/>
    <cellStyle name="Migliaia [0] 14 2 2 3" xfId="48516" xr:uid="{00000000-0005-0000-0000-0000E1A10000}"/>
    <cellStyle name="Migliaia [0] 14 2 2 4" xfId="55040" xr:uid="{00000000-0005-0000-0000-0000E2A10000}"/>
    <cellStyle name="Migliaia [0] 14 2 3" xfId="55962" xr:uid="{00000000-0005-0000-0000-0000E3A10000}"/>
    <cellStyle name="Migliaia [0] 14 2 4" xfId="52685" xr:uid="{00000000-0005-0000-0000-0000E4A10000}"/>
    <cellStyle name="Migliaia [0] 14 3" xfId="9684" xr:uid="{00000000-0005-0000-0000-0000E5A10000}"/>
    <cellStyle name="Migliaia [0] 14 3 2" xfId="26010" xr:uid="{00000000-0005-0000-0000-0000E6A10000}"/>
    <cellStyle name="Migliaia [0] 14 3 3" xfId="40988" xr:uid="{00000000-0005-0000-0000-0000E7A10000}"/>
    <cellStyle name="Migliaia [0] 14 3 4" xfId="54472" xr:uid="{00000000-0005-0000-0000-0000E8A10000}"/>
    <cellStyle name="Migliaia [0] 14 4" xfId="16893" xr:uid="{00000000-0005-0000-0000-0000E9A10000}"/>
    <cellStyle name="Migliaia [0] 14 4 2" xfId="33009" xr:uid="{00000000-0005-0000-0000-0000EAA10000}"/>
    <cellStyle name="Migliaia [0] 14 4 3" xfId="47970" xr:uid="{00000000-0005-0000-0000-0000EBA10000}"/>
    <cellStyle name="Migliaia [0] 14 4 4" xfId="55416" xr:uid="{00000000-0005-0000-0000-0000ECA10000}"/>
    <cellStyle name="Migliaia [0] 14 5" xfId="18991" xr:uid="{00000000-0005-0000-0000-0000EDA10000}"/>
    <cellStyle name="Migliaia [0] 14 6" xfId="33986" xr:uid="{00000000-0005-0000-0000-0000EEA10000}"/>
    <cellStyle name="Migliaia [0] 14 7" xfId="48926" xr:uid="{00000000-0005-0000-0000-0000EFA10000}"/>
    <cellStyle name="Migliaia [0] 14 8" xfId="49331" xr:uid="{00000000-0005-0000-0000-0000F0A10000}"/>
    <cellStyle name="Migliaia [0] 14 9" xfId="49737" xr:uid="{00000000-0005-0000-0000-0000F1A10000}"/>
    <cellStyle name="Migliaia [0] 15" xfId="234" xr:uid="{00000000-0005-0000-0000-0000F2A10000}"/>
    <cellStyle name="Migliaia [0] 15 10" xfId="50146" xr:uid="{00000000-0005-0000-0000-0000F3A10000}"/>
    <cellStyle name="Migliaia [0] 15 11" xfId="50588" xr:uid="{00000000-0005-0000-0000-0000F4A10000}"/>
    <cellStyle name="Migliaia [0] 15 12" xfId="51307" xr:uid="{00000000-0005-0000-0000-0000F5A10000}"/>
    <cellStyle name="Migliaia [0] 15 13" xfId="51720" xr:uid="{00000000-0005-0000-0000-0000F6A10000}"/>
    <cellStyle name="Migliaia [0] 15 14" xfId="52135" xr:uid="{00000000-0005-0000-0000-0000F7A10000}"/>
    <cellStyle name="Migliaia [0] 15 2" xfId="9004" xr:uid="{00000000-0005-0000-0000-0000F8A10000}"/>
    <cellStyle name="Migliaia [0] 15 2 2" xfId="17896" xr:uid="{00000000-0005-0000-0000-0000F9A10000}"/>
    <cellStyle name="Migliaia [0] 15 2 2 2" xfId="33556" xr:uid="{00000000-0005-0000-0000-0000FAA10000}"/>
    <cellStyle name="Migliaia [0] 15 2 2 3" xfId="48517" xr:uid="{00000000-0005-0000-0000-0000FBA10000}"/>
    <cellStyle name="Migliaia [0] 15 2 2 4" xfId="55041" xr:uid="{00000000-0005-0000-0000-0000FCA10000}"/>
    <cellStyle name="Migliaia [0] 15 2 3" xfId="55963" xr:uid="{00000000-0005-0000-0000-0000FDA10000}"/>
    <cellStyle name="Migliaia [0] 15 2 4" xfId="52686" xr:uid="{00000000-0005-0000-0000-0000FEA10000}"/>
    <cellStyle name="Migliaia [0] 15 3" xfId="9685" xr:uid="{00000000-0005-0000-0000-0000FFA10000}"/>
    <cellStyle name="Migliaia [0] 15 3 2" xfId="26011" xr:uid="{00000000-0005-0000-0000-000000A20000}"/>
    <cellStyle name="Migliaia [0] 15 3 3" xfId="40989" xr:uid="{00000000-0005-0000-0000-000001A20000}"/>
    <cellStyle name="Migliaia [0] 15 3 4" xfId="54473" xr:uid="{00000000-0005-0000-0000-000002A20000}"/>
    <cellStyle name="Migliaia [0] 15 4" xfId="16894" xr:uid="{00000000-0005-0000-0000-000003A20000}"/>
    <cellStyle name="Migliaia [0] 15 4 2" xfId="33010" xr:uid="{00000000-0005-0000-0000-000004A20000}"/>
    <cellStyle name="Migliaia [0] 15 4 3" xfId="47971" xr:uid="{00000000-0005-0000-0000-000005A20000}"/>
    <cellStyle name="Migliaia [0] 15 4 4" xfId="55417" xr:uid="{00000000-0005-0000-0000-000006A20000}"/>
    <cellStyle name="Migliaia [0] 15 5" xfId="18992" xr:uid="{00000000-0005-0000-0000-000007A20000}"/>
    <cellStyle name="Migliaia [0] 15 6" xfId="33987" xr:uid="{00000000-0005-0000-0000-000008A20000}"/>
    <cellStyle name="Migliaia [0] 15 7" xfId="48927" xr:uid="{00000000-0005-0000-0000-000009A20000}"/>
    <cellStyle name="Migliaia [0] 15 8" xfId="49332" xr:uid="{00000000-0005-0000-0000-00000AA20000}"/>
    <cellStyle name="Migliaia [0] 15 9" xfId="49738" xr:uid="{00000000-0005-0000-0000-00000BA20000}"/>
    <cellStyle name="Migliaia [0] 16" xfId="235" xr:uid="{00000000-0005-0000-0000-00000CA20000}"/>
    <cellStyle name="Migliaia [0] 16 10" xfId="50147" xr:uid="{00000000-0005-0000-0000-00000DA20000}"/>
    <cellStyle name="Migliaia [0] 16 11" xfId="50589" xr:uid="{00000000-0005-0000-0000-00000EA20000}"/>
    <cellStyle name="Migliaia [0] 16 12" xfId="51308" xr:uid="{00000000-0005-0000-0000-00000FA20000}"/>
    <cellStyle name="Migliaia [0] 16 13" xfId="51721" xr:uid="{00000000-0005-0000-0000-000010A20000}"/>
    <cellStyle name="Migliaia [0] 16 14" xfId="52136" xr:uid="{00000000-0005-0000-0000-000011A20000}"/>
    <cellStyle name="Migliaia [0] 16 2" xfId="9005" xr:uid="{00000000-0005-0000-0000-000012A20000}"/>
    <cellStyle name="Migliaia [0] 16 2 2" xfId="17897" xr:uid="{00000000-0005-0000-0000-000013A20000}"/>
    <cellStyle name="Migliaia [0] 16 2 2 2" xfId="33557" xr:uid="{00000000-0005-0000-0000-000014A20000}"/>
    <cellStyle name="Migliaia [0] 16 2 2 3" xfId="48518" xr:uid="{00000000-0005-0000-0000-000015A20000}"/>
    <cellStyle name="Migliaia [0] 16 2 2 4" xfId="55042" xr:uid="{00000000-0005-0000-0000-000016A20000}"/>
    <cellStyle name="Migliaia [0] 16 2 3" xfId="55964" xr:uid="{00000000-0005-0000-0000-000017A20000}"/>
    <cellStyle name="Migliaia [0] 16 2 4" xfId="52687" xr:uid="{00000000-0005-0000-0000-000018A20000}"/>
    <cellStyle name="Migliaia [0] 16 3" xfId="9686" xr:uid="{00000000-0005-0000-0000-000019A20000}"/>
    <cellStyle name="Migliaia [0] 16 3 2" xfId="26012" xr:uid="{00000000-0005-0000-0000-00001AA20000}"/>
    <cellStyle name="Migliaia [0] 16 3 3" xfId="40990" xr:uid="{00000000-0005-0000-0000-00001BA20000}"/>
    <cellStyle name="Migliaia [0] 16 3 4" xfId="54474" xr:uid="{00000000-0005-0000-0000-00001CA20000}"/>
    <cellStyle name="Migliaia [0] 16 4" xfId="16895" xr:uid="{00000000-0005-0000-0000-00001DA20000}"/>
    <cellStyle name="Migliaia [0] 16 4 2" xfId="33011" xr:uid="{00000000-0005-0000-0000-00001EA20000}"/>
    <cellStyle name="Migliaia [0] 16 4 3" xfId="47972" xr:uid="{00000000-0005-0000-0000-00001FA20000}"/>
    <cellStyle name="Migliaia [0] 16 4 4" xfId="55418" xr:uid="{00000000-0005-0000-0000-000020A20000}"/>
    <cellStyle name="Migliaia [0] 16 5" xfId="18993" xr:uid="{00000000-0005-0000-0000-000021A20000}"/>
    <cellStyle name="Migliaia [0] 16 6" xfId="33988" xr:uid="{00000000-0005-0000-0000-000022A20000}"/>
    <cellStyle name="Migliaia [0] 16 7" xfId="48928" xr:uid="{00000000-0005-0000-0000-000023A20000}"/>
    <cellStyle name="Migliaia [0] 16 8" xfId="49333" xr:uid="{00000000-0005-0000-0000-000024A20000}"/>
    <cellStyle name="Migliaia [0] 16 9" xfId="49739" xr:uid="{00000000-0005-0000-0000-000025A20000}"/>
    <cellStyle name="Migliaia [0] 17" xfId="236" xr:uid="{00000000-0005-0000-0000-000026A20000}"/>
    <cellStyle name="Migliaia [0] 17 10" xfId="50148" xr:uid="{00000000-0005-0000-0000-000027A20000}"/>
    <cellStyle name="Migliaia [0] 17 11" xfId="50590" xr:uid="{00000000-0005-0000-0000-000028A20000}"/>
    <cellStyle name="Migliaia [0] 17 12" xfId="51309" xr:uid="{00000000-0005-0000-0000-000029A20000}"/>
    <cellStyle name="Migliaia [0] 17 13" xfId="51722" xr:uid="{00000000-0005-0000-0000-00002AA20000}"/>
    <cellStyle name="Migliaia [0] 17 14" xfId="52137" xr:uid="{00000000-0005-0000-0000-00002BA20000}"/>
    <cellStyle name="Migliaia [0] 17 2" xfId="9006" xr:uid="{00000000-0005-0000-0000-00002CA20000}"/>
    <cellStyle name="Migliaia [0] 17 2 2" xfId="17898" xr:uid="{00000000-0005-0000-0000-00002DA20000}"/>
    <cellStyle name="Migliaia [0] 17 2 2 2" xfId="33558" xr:uid="{00000000-0005-0000-0000-00002EA20000}"/>
    <cellStyle name="Migliaia [0] 17 2 2 3" xfId="48519" xr:uid="{00000000-0005-0000-0000-00002FA20000}"/>
    <cellStyle name="Migliaia [0] 17 2 2 4" xfId="55043" xr:uid="{00000000-0005-0000-0000-000030A20000}"/>
    <cellStyle name="Migliaia [0] 17 2 3" xfId="55965" xr:uid="{00000000-0005-0000-0000-000031A20000}"/>
    <cellStyle name="Migliaia [0] 17 2 4" xfId="52688" xr:uid="{00000000-0005-0000-0000-000032A20000}"/>
    <cellStyle name="Migliaia [0] 17 3" xfId="9687" xr:uid="{00000000-0005-0000-0000-000033A20000}"/>
    <cellStyle name="Migliaia [0] 17 3 2" xfId="26013" xr:uid="{00000000-0005-0000-0000-000034A20000}"/>
    <cellStyle name="Migliaia [0] 17 3 3" xfId="40991" xr:uid="{00000000-0005-0000-0000-000035A20000}"/>
    <cellStyle name="Migliaia [0] 17 3 4" xfId="54475" xr:uid="{00000000-0005-0000-0000-000036A20000}"/>
    <cellStyle name="Migliaia [0] 17 4" xfId="16896" xr:uid="{00000000-0005-0000-0000-000037A20000}"/>
    <cellStyle name="Migliaia [0] 17 4 2" xfId="33012" xr:uid="{00000000-0005-0000-0000-000038A20000}"/>
    <cellStyle name="Migliaia [0] 17 4 3" xfId="47973" xr:uid="{00000000-0005-0000-0000-000039A20000}"/>
    <cellStyle name="Migliaia [0] 17 4 4" xfId="55419" xr:uid="{00000000-0005-0000-0000-00003AA20000}"/>
    <cellStyle name="Migliaia [0] 17 5" xfId="18994" xr:uid="{00000000-0005-0000-0000-00003BA20000}"/>
    <cellStyle name="Migliaia [0] 17 6" xfId="33989" xr:uid="{00000000-0005-0000-0000-00003CA20000}"/>
    <cellStyle name="Migliaia [0] 17 7" xfId="48929" xr:uid="{00000000-0005-0000-0000-00003DA20000}"/>
    <cellStyle name="Migliaia [0] 17 8" xfId="49334" xr:uid="{00000000-0005-0000-0000-00003EA20000}"/>
    <cellStyle name="Migliaia [0] 17 9" xfId="49740" xr:uid="{00000000-0005-0000-0000-00003FA20000}"/>
    <cellStyle name="Migliaia [0] 18" xfId="237" xr:uid="{00000000-0005-0000-0000-000040A20000}"/>
    <cellStyle name="Migliaia [0] 18 10" xfId="50149" xr:uid="{00000000-0005-0000-0000-000041A20000}"/>
    <cellStyle name="Migliaia [0] 18 11" xfId="50591" xr:uid="{00000000-0005-0000-0000-000042A20000}"/>
    <cellStyle name="Migliaia [0] 18 12" xfId="51310" xr:uid="{00000000-0005-0000-0000-000043A20000}"/>
    <cellStyle name="Migliaia [0] 18 13" xfId="51723" xr:uid="{00000000-0005-0000-0000-000044A20000}"/>
    <cellStyle name="Migliaia [0] 18 14" xfId="52138" xr:uid="{00000000-0005-0000-0000-000045A20000}"/>
    <cellStyle name="Migliaia [0] 18 2" xfId="9007" xr:uid="{00000000-0005-0000-0000-000046A20000}"/>
    <cellStyle name="Migliaia [0] 18 2 2" xfId="17899" xr:uid="{00000000-0005-0000-0000-000047A20000}"/>
    <cellStyle name="Migliaia [0] 18 2 2 2" xfId="33559" xr:uid="{00000000-0005-0000-0000-000048A20000}"/>
    <cellStyle name="Migliaia [0] 18 2 2 3" xfId="48520" xr:uid="{00000000-0005-0000-0000-000049A20000}"/>
    <cellStyle name="Migliaia [0] 18 2 2 4" xfId="55044" xr:uid="{00000000-0005-0000-0000-00004AA20000}"/>
    <cellStyle name="Migliaia [0] 18 2 3" xfId="55966" xr:uid="{00000000-0005-0000-0000-00004BA20000}"/>
    <cellStyle name="Migliaia [0] 18 2 4" xfId="52689" xr:uid="{00000000-0005-0000-0000-00004CA20000}"/>
    <cellStyle name="Migliaia [0] 18 3" xfId="9688" xr:uid="{00000000-0005-0000-0000-00004DA20000}"/>
    <cellStyle name="Migliaia [0] 18 3 2" xfId="26014" xr:uid="{00000000-0005-0000-0000-00004EA20000}"/>
    <cellStyle name="Migliaia [0] 18 3 3" xfId="40992" xr:uid="{00000000-0005-0000-0000-00004FA20000}"/>
    <cellStyle name="Migliaia [0] 18 3 4" xfId="54476" xr:uid="{00000000-0005-0000-0000-000050A20000}"/>
    <cellStyle name="Migliaia [0] 18 4" xfId="16897" xr:uid="{00000000-0005-0000-0000-000051A20000}"/>
    <cellStyle name="Migliaia [0] 18 4 2" xfId="33013" xr:uid="{00000000-0005-0000-0000-000052A20000}"/>
    <cellStyle name="Migliaia [0] 18 4 3" xfId="47974" xr:uid="{00000000-0005-0000-0000-000053A20000}"/>
    <cellStyle name="Migliaia [0] 18 4 4" xfId="55420" xr:uid="{00000000-0005-0000-0000-000054A20000}"/>
    <cellStyle name="Migliaia [0] 18 5" xfId="18995" xr:uid="{00000000-0005-0000-0000-000055A20000}"/>
    <cellStyle name="Migliaia [0] 18 6" xfId="33990" xr:uid="{00000000-0005-0000-0000-000056A20000}"/>
    <cellStyle name="Migliaia [0] 18 7" xfId="48930" xr:uid="{00000000-0005-0000-0000-000057A20000}"/>
    <cellStyle name="Migliaia [0] 18 8" xfId="49335" xr:uid="{00000000-0005-0000-0000-000058A20000}"/>
    <cellStyle name="Migliaia [0] 18 9" xfId="49741" xr:uid="{00000000-0005-0000-0000-000059A20000}"/>
    <cellStyle name="Migliaia [0] 19" xfId="238" xr:uid="{00000000-0005-0000-0000-00005AA20000}"/>
    <cellStyle name="Migliaia [0] 19 10" xfId="50150" xr:uid="{00000000-0005-0000-0000-00005BA20000}"/>
    <cellStyle name="Migliaia [0] 19 11" xfId="50592" xr:uid="{00000000-0005-0000-0000-00005CA20000}"/>
    <cellStyle name="Migliaia [0] 19 12" xfId="51311" xr:uid="{00000000-0005-0000-0000-00005DA20000}"/>
    <cellStyle name="Migliaia [0] 19 13" xfId="51724" xr:uid="{00000000-0005-0000-0000-00005EA20000}"/>
    <cellStyle name="Migliaia [0] 19 14" xfId="52139" xr:uid="{00000000-0005-0000-0000-00005FA20000}"/>
    <cellStyle name="Migliaia [0] 19 2" xfId="9008" xr:uid="{00000000-0005-0000-0000-000060A20000}"/>
    <cellStyle name="Migliaia [0] 19 2 2" xfId="17900" xr:uid="{00000000-0005-0000-0000-000061A20000}"/>
    <cellStyle name="Migliaia [0] 19 2 2 2" xfId="33560" xr:uid="{00000000-0005-0000-0000-000062A20000}"/>
    <cellStyle name="Migliaia [0] 19 2 2 3" xfId="48521" xr:uid="{00000000-0005-0000-0000-000063A20000}"/>
    <cellStyle name="Migliaia [0] 19 2 2 4" xfId="55045" xr:uid="{00000000-0005-0000-0000-000064A20000}"/>
    <cellStyle name="Migliaia [0] 19 2 3" xfId="55967" xr:uid="{00000000-0005-0000-0000-000065A20000}"/>
    <cellStyle name="Migliaia [0] 19 2 4" xfId="52690" xr:uid="{00000000-0005-0000-0000-000066A20000}"/>
    <cellStyle name="Migliaia [0] 19 3" xfId="9689" xr:uid="{00000000-0005-0000-0000-000067A20000}"/>
    <cellStyle name="Migliaia [0] 19 3 2" xfId="26015" xr:uid="{00000000-0005-0000-0000-000068A20000}"/>
    <cellStyle name="Migliaia [0] 19 3 3" xfId="40993" xr:uid="{00000000-0005-0000-0000-000069A20000}"/>
    <cellStyle name="Migliaia [0] 19 3 4" xfId="54477" xr:uid="{00000000-0005-0000-0000-00006AA20000}"/>
    <cellStyle name="Migliaia [0] 19 4" xfId="16898" xr:uid="{00000000-0005-0000-0000-00006BA20000}"/>
    <cellStyle name="Migliaia [0] 19 4 2" xfId="33014" xr:uid="{00000000-0005-0000-0000-00006CA20000}"/>
    <cellStyle name="Migliaia [0] 19 4 3" xfId="47975" xr:uid="{00000000-0005-0000-0000-00006DA20000}"/>
    <cellStyle name="Migliaia [0] 19 4 4" xfId="55421" xr:uid="{00000000-0005-0000-0000-00006EA20000}"/>
    <cellStyle name="Migliaia [0] 19 5" xfId="18996" xr:uid="{00000000-0005-0000-0000-00006FA20000}"/>
    <cellStyle name="Migliaia [0] 19 6" xfId="33991" xr:uid="{00000000-0005-0000-0000-000070A20000}"/>
    <cellStyle name="Migliaia [0] 19 7" xfId="48931" xr:uid="{00000000-0005-0000-0000-000071A20000}"/>
    <cellStyle name="Migliaia [0] 19 8" xfId="49336" xr:uid="{00000000-0005-0000-0000-000072A20000}"/>
    <cellStyle name="Migliaia [0] 19 9" xfId="49742" xr:uid="{00000000-0005-0000-0000-000073A20000}"/>
    <cellStyle name="Migliaia [0] 2" xfId="239" xr:uid="{00000000-0005-0000-0000-000074A20000}"/>
    <cellStyle name="Migliaia [0] 2 10" xfId="50151" xr:uid="{00000000-0005-0000-0000-000075A20000}"/>
    <cellStyle name="Migliaia [0] 2 11" xfId="50593" xr:uid="{00000000-0005-0000-0000-000076A20000}"/>
    <cellStyle name="Migliaia [0] 2 12" xfId="51312" xr:uid="{00000000-0005-0000-0000-000077A20000}"/>
    <cellStyle name="Migliaia [0] 2 13" xfId="51725" xr:uid="{00000000-0005-0000-0000-000078A20000}"/>
    <cellStyle name="Migliaia [0] 2 14" xfId="52140" xr:uid="{00000000-0005-0000-0000-000079A20000}"/>
    <cellStyle name="Migliaia [0] 2 2" xfId="9009" xr:uid="{00000000-0005-0000-0000-00007AA20000}"/>
    <cellStyle name="Migliaia [0] 2 2 2" xfId="17901" xr:uid="{00000000-0005-0000-0000-00007BA20000}"/>
    <cellStyle name="Migliaia [0] 2 2 2 2" xfId="33561" xr:uid="{00000000-0005-0000-0000-00007CA20000}"/>
    <cellStyle name="Migliaia [0] 2 2 2 3" xfId="48522" xr:uid="{00000000-0005-0000-0000-00007DA20000}"/>
    <cellStyle name="Migliaia [0] 2 2 2 4" xfId="55046" xr:uid="{00000000-0005-0000-0000-00007EA20000}"/>
    <cellStyle name="Migliaia [0] 2 2 3" xfId="55968" xr:uid="{00000000-0005-0000-0000-00007FA20000}"/>
    <cellStyle name="Migliaia [0] 2 2 4" xfId="52691" xr:uid="{00000000-0005-0000-0000-000080A20000}"/>
    <cellStyle name="Migliaia [0] 2 3" xfId="9690" xr:uid="{00000000-0005-0000-0000-000081A20000}"/>
    <cellStyle name="Migliaia [0] 2 3 2" xfId="26016" xr:uid="{00000000-0005-0000-0000-000082A20000}"/>
    <cellStyle name="Migliaia [0] 2 3 3" xfId="40994" xr:uid="{00000000-0005-0000-0000-000083A20000}"/>
    <cellStyle name="Migliaia [0] 2 3 4" xfId="54478" xr:uid="{00000000-0005-0000-0000-000084A20000}"/>
    <cellStyle name="Migliaia [0] 2 4" xfId="16899" xr:uid="{00000000-0005-0000-0000-000085A20000}"/>
    <cellStyle name="Migliaia [0] 2 4 2" xfId="33015" xr:uid="{00000000-0005-0000-0000-000086A20000}"/>
    <cellStyle name="Migliaia [0] 2 4 3" xfId="47976" xr:uid="{00000000-0005-0000-0000-000087A20000}"/>
    <cellStyle name="Migliaia [0] 2 4 4" xfId="55422" xr:uid="{00000000-0005-0000-0000-000088A20000}"/>
    <cellStyle name="Migliaia [0] 2 5" xfId="18997" xr:uid="{00000000-0005-0000-0000-000089A20000}"/>
    <cellStyle name="Migliaia [0] 2 6" xfId="33992" xr:uid="{00000000-0005-0000-0000-00008AA20000}"/>
    <cellStyle name="Migliaia [0] 2 7" xfId="48932" xr:uid="{00000000-0005-0000-0000-00008BA20000}"/>
    <cellStyle name="Migliaia [0] 2 8" xfId="49337" xr:uid="{00000000-0005-0000-0000-00008CA20000}"/>
    <cellStyle name="Migliaia [0] 2 9" xfId="49743" xr:uid="{00000000-0005-0000-0000-00008DA20000}"/>
    <cellStyle name="Migliaia [0] 20" xfId="240" xr:uid="{00000000-0005-0000-0000-00008EA20000}"/>
    <cellStyle name="Migliaia [0] 20 10" xfId="50152" xr:uid="{00000000-0005-0000-0000-00008FA20000}"/>
    <cellStyle name="Migliaia [0] 20 11" xfId="50594" xr:uid="{00000000-0005-0000-0000-000090A20000}"/>
    <cellStyle name="Migliaia [0] 20 12" xfId="51313" xr:uid="{00000000-0005-0000-0000-000091A20000}"/>
    <cellStyle name="Migliaia [0] 20 13" xfId="51726" xr:uid="{00000000-0005-0000-0000-000092A20000}"/>
    <cellStyle name="Migliaia [0] 20 14" xfId="52141" xr:uid="{00000000-0005-0000-0000-000093A20000}"/>
    <cellStyle name="Migliaia [0] 20 2" xfId="9010" xr:uid="{00000000-0005-0000-0000-000094A20000}"/>
    <cellStyle name="Migliaia [0] 20 2 2" xfId="17902" xr:uid="{00000000-0005-0000-0000-000095A20000}"/>
    <cellStyle name="Migliaia [0] 20 2 2 2" xfId="33562" xr:uid="{00000000-0005-0000-0000-000096A20000}"/>
    <cellStyle name="Migliaia [0] 20 2 2 3" xfId="48523" xr:uid="{00000000-0005-0000-0000-000097A20000}"/>
    <cellStyle name="Migliaia [0] 20 2 2 4" xfId="55047" xr:uid="{00000000-0005-0000-0000-000098A20000}"/>
    <cellStyle name="Migliaia [0] 20 2 3" xfId="55969" xr:uid="{00000000-0005-0000-0000-000099A20000}"/>
    <cellStyle name="Migliaia [0] 20 2 4" xfId="52692" xr:uid="{00000000-0005-0000-0000-00009AA20000}"/>
    <cellStyle name="Migliaia [0] 20 3" xfId="9691" xr:uid="{00000000-0005-0000-0000-00009BA20000}"/>
    <cellStyle name="Migliaia [0] 20 3 2" xfId="26017" xr:uid="{00000000-0005-0000-0000-00009CA20000}"/>
    <cellStyle name="Migliaia [0] 20 3 3" xfId="40995" xr:uid="{00000000-0005-0000-0000-00009DA20000}"/>
    <cellStyle name="Migliaia [0] 20 3 4" xfId="54479" xr:uid="{00000000-0005-0000-0000-00009EA20000}"/>
    <cellStyle name="Migliaia [0] 20 4" xfId="16900" xr:uid="{00000000-0005-0000-0000-00009FA20000}"/>
    <cellStyle name="Migliaia [0] 20 4 2" xfId="33016" xr:uid="{00000000-0005-0000-0000-0000A0A20000}"/>
    <cellStyle name="Migliaia [0] 20 4 3" xfId="47977" xr:uid="{00000000-0005-0000-0000-0000A1A20000}"/>
    <cellStyle name="Migliaia [0] 20 4 4" xfId="55423" xr:uid="{00000000-0005-0000-0000-0000A2A20000}"/>
    <cellStyle name="Migliaia [0] 20 5" xfId="18998" xr:uid="{00000000-0005-0000-0000-0000A3A20000}"/>
    <cellStyle name="Migliaia [0] 20 6" xfId="33993" xr:uid="{00000000-0005-0000-0000-0000A4A20000}"/>
    <cellStyle name="Migliaia [0] 20 7" xfId="48933" xr:uid="{00000000-0005-0000-0000-0000A5A20000}"/>
    <cellStyle name="Migliaia [0] 20 8" xfId="49338" xr:uid="{00000000-0005-0000-0000-0000A6A20000}"/>
    <cellStyle name="Migliaia [0] 20 9" xfId="49744" xr:uid="{00000000-0005-0000-0000-0000A7A20000}"/>
    <cellStyle name="Migliaia [0] 21" xfId="241" xr:uid="{00000000-0005-0000-0000-0000A8A20000}"/>
    <cellStyle name="Migliaia [0] 21 10" xfId="50153" xr:uid="{00000000-0005-0000-0000-0000A9A20000}"/>
    <cellStyle name="Migliaia [0] 21 11" xfId="50595" xr:uid="{00000000-0005-0000-0000-0000AAA20000}"/>
    <cellStyle name="Migliaia [0] 21 12" xfId="51314" xr:uid="{00000000-0005-0000-0000-0000ABA20000}"/>
    <cellStyle name="Migliaia [0] 21 13" xfId="51727" xr:uid="{00000000-0005-0000-0000-0000ACA20000}"/>
    <cellStyle name="Migliaia [0] 21 14" xfId="52142" xr:uid="{00000000-0005-0000-0000-0000ADA20000}"/>
    <cellStyle name="Migliaia [0] 21 2" xfId="9011" xr:uid="{00000000-0005-0000-0000-0000AEA20000}"/>
    <cellStyle name="Migliaia [0] 21 2 2" xfId="17903" xr:uid="{00000000-0005-0000-0000-0000AFA20000}"/>
    <cellStyle name="Migliaia [0] 21 2 2 2" xfId="33563" xr:uid="{00000000-0005-0000-0000-0000B0A20000}"/>
    <cellStyle name="Migliaia [0] 21 2 2 3" xfId="48524" xr:uid="{00000000-0005-0000-0000-0000B1A20000}"/>
    <cellStyle name="Migliaia [0] 21 2 2 4" xfId="55048" xr:uid="{00000000-0005-0000-0000-0000B2A20000}"/>
    <cellStyle name="Migliaia [0] 21 2 3" xfId="55970" xr:uid="{00000000-0005-0000-0000-0000B3A20000}"/>
    <cellStyle name="Migliaia [0] 21 2 4" xfId="52693" xr:uid="{00000000-0005-0000-0000-0000B4A20000}"/>
    <cellStyle name="Migliaia [0] 21 3" xfId="9692" xr:uid="{00000000-0005-0000-0000-0000B5A20000}"/>
    <cellStyle name="Migliaia [0] 21 3 2" xfId="26018" xr:uid="{00000000-0005-0000-0000-0000B6A20000}"/>
    <cellStyle name="Migliaia [0] 21 3 3" xfId="40996" xr:uid="{00000000-0005-0000-0000-0000B7A20000}"/>
    <cellStyle name="Migliaia [0] 21 3 4" xfId="54480" xr:uid="{00000000-0005-0000-0000-0000B8A20000}"/>
    <cellStyle name="Migliaia [0] 21 4" xfId="16901" xr:uid="{00000000-0005-0000-0000-0000B9A20000}"/>
    <cellStyle name="Migliaia [0] 21 4 2" xfId="33017" xr:uid="{00000000-0005-0000-0000-0000BAA20000}"/>
    <cellStyle name="Migliaia [0] 21 4 3" xfId="47978" xr:uid="{00000000-0005-0000-0000-0000BBA20000}"/>
    <cellStyle name="Migliaia [0] 21 4 4" xfId="55424" xr:uid="{00000000-0005-0000-0000-0000BCA20000}"/>
    <cellStyle name="Migliaia [0] 21 5" xfId="18999" xr:uid="{00000000-0005-0000-0000-0000BDA20000}"/>
    <cellStyle name="Migliaia [0] 21 6" xfId="33994" xr:uid="{00000000-0005-0000-0000-0000BEA20000}"/>
    <cellStyle name="Migliaia [0] 21 7" xfId="48934" xr:uid="{00000000-0005-0000-0000-0000BFA20000}"/>
    <cellStyle name="Migliaia [0] 21 8" xfId="49339" xr:uid="{00000000-0005-0000-0000-0000C0A20000}"/>
    <cellStyle name="Migliaia [0] 21 9" xfId="49745" xr:uid="{00000000-0005-0000-0000-0000C1A20000}"/>
    <cellStyle name="Migliaia [0] 22" xfId="242" xr:uid="{00000000-0005-0000-0000-0000C2A20000}"/>
    <cellStyle name="Migliaia [0] 22 10" xfId="50154" xr:uid="{00000000-0005-0000-0000-0000C3A20000}"/>
    <cellStyle name="Migliaia [0] 22 11" xfId="50596" xr:uid="{00000000-0005-0000-0000-0000C4A20000}"/>
    <cellStyle name="Migliaia [0] 22 12" xfId="51315" xr:uid="{00000000-0005-0000-0000-0000C5A20000}"/>
    <cellStyle name="Migliaia [0] 22 13" xfId="51728" xr:uid="{00000000-0005-0000-0000-0000C6A20000}"/>
    <cellStyle name="Migliaia [0] 22 14" xfId="52143" xr:uid="{00000000-0005-0000-0000-0000C7A20000}"/>
    <cellStyle name="Migliaia [0] 22 2" xfId="9012" xr:uid="{00000000-0005-0000-0000-0000C8A20000}"/>
    <cellStyle name="Migliaia [0] 22 2 2" xfId="17904" xr:uid="{00000000-0005-0000-0000-0000C9A20000}"/>
    <cellStyle name="Migliaia [0] 22 2 2 2" xfId="33564" xr:uid="{00000000-0005-0000-0000-0000CAA20000}"/>
    <cellStyle name="Migliaia [0] 22 2 2 3" xfId="48525" xr:uid="{00000000-0005-0000-0000-0000CBA20000}"/>
    <cellStyle name="Migliaia [0] 22 2 2 4" xfId="55049" xr:uid="{00000000-0005-0000-0000-0000CCA20000}"/>
    <cellStyle name="Migliaia [0] 22 2 3" xfId="55971" xr:uid="{00000000-0005-0000-0000-0000CDA20000}"/>
    <cellStyle name="Migliaia [0] 22 2 4" xfId="52694" xr:uid="{00000000-0005-0000-0000-0000CEA20000}"/>
    <cellStyle name="Migliaia [0] 22 3" xfId="9693" xr:uid="{00000000-0005-0000-0000-0000CFA20000}"/>
    <cellStyle name="Migliaia [0] 22 3 2" xfId="26019" xr:uid="{00000000-0005-0000-0000-0000D0A20000}"/>
    <cellStyle name="Migliaia [0] 22 3 3" xfId="40997" xr:uid="{00000000-0005-0000-0000-0000D1A20000}"/>
    <cellStyle name="Migliaia [0] 22 3 4" xfId="54481" xr:uid="{00000000-0005-0000-0000-0000D2A20000}"/>
    <cellStyle name="Migliaia [0] 22 4" xfId="16902" xr:uid="{00000000-0005-0000-0000-0000D3A20000}"/>
    <cellStyle name="Migliaia [0] 22 4 2" xfId="33018" xr:uid="{00000000-0005-0000-0000-0000D4A20000}"/>
    <cellStyle name="Migliaia [0] 22 4 3" xfId="47979" xr:uid="{00000000-0005-0000-0000-0000D5A20000}"/>
    <cellStyle name="Migliaia [0] 22 4 4" xfId="55425" xr:uid="{00000000-0005-0000-0000-0000D6A20000}"/>
    <cellStyle name="Migliaia [0] 22 5" xfId="19000" xr:uid="{00000000-0005-0000-0000-0000D7A20000}"/>
    <cellStyle name="Migliaia [0] 22 6" xfId="33995" xr:uid="{00000000-0005-0000-0000-0000D8A20000}"/>
    <cellStyle name="Migliaia [0] 22 7" xfId="48935" xr:uid="{00000000-0005-0000-0000-0000D9A20000}"/>
    <cellStyle name="Migliaia [0] 22 8" xfId="49340" xr:uid="{00000000-0005-0000-0000-0000DAA20000}"/>
    <cellStyle name="Migliaia [0] 22 9" xfId="49746" xr:uid="{00000000-0005-0000-0000-0000DBA20000}"/>
    <cellStyle name="Migliaia [0] 23" xfId="243" xr:uid="{00000000-0005-0000-0000-0000DCA20000}"/>
    <cellStyle name="Migliaia [0] 23 10" xfId="50155" xr:uid="{00000000-0005-0000-0000-0000DDA20000}"/>
    <cellStyle name="Migliaia [0] 23 11" xfId="50597" xr:uid="{00000000-0005-0000-0000-0000DEA20000}"/>
    <cellStyle name="Migliaia [0] 23 12" xfId="51316" xr:uid="{00000000-0005-0000-0000-0000DFA20000}"/>
    <cellStyle name="Migliaia [0] 23 13" xfId="51729" xr:uid="{00000000-0005-0000-0000-0000E0A20000}"/>
    <cellStyle name="Migliaia [0] 23 14" xfId="52144" xr:uid="{00000000-0005-0000-0000-0000E1A20000}"/>
    <cellStyle name="Migliaia [0] 23 2" xfId="9013" xr:uid="{00000000-0005-0000-0000-0000E2A20000}"/>
    <cellStyle name="Migliaia [0] 23 2 2" xfId="17905" xr:uid="{00000000-0005-0000-0000-0000E3A20000}"/>
    <cellStyle name="Migliaia [0] 23 2 2 2" xfId="33565" xr:uid="{00000000-0005-0000-0000-0000E4A20000}"/>
    <cellStyle name="Migliaia [0] 23 2 2 3" xfId="48526" xr:uid="{00000000-0005-0000-0000-0000E5A20000}"/>
    <cellStyle name="Migliaia [0] 23 2 2 4" xfId="55050" xr:uid="{00000000-0005-0000-0000-0000E6A20000}"/>
    <cellStyle name="Migliaia [0] 23 2 3" xfId="55972" xr:uid="{00000000-0005-0000-0000-0000E7A20000}"/>
    <cellStyle name="Migliaia [0] 23 2 4" xfId="52695" xr:uid="{00000000-0005-0000-0000-0000E8A20000}"/>
    <cellStyle name="Migliaia [0] 23 3" xfId="9694" xr:uid="{00000000-0005-0000-0000-0000E9A20000}"/>
    <cellStyle name="Migliaia [0] 23 3 2" xfId="26020" xr:uid="{00000000-0005-0000-0000-0000EAA20000}"/>
    <cellStyle name="Migliaia [0] 23 3 3" xfId="40998" xr:uid="{00000000-0005-0000-0000-0000EBA20000}"/>
    <cellStyle name="Migliaia [0] 23 3 4" xfId="54482" xr:uid="{00000000-0005-0000-0000-0000ECA20000}"/>
    <cellStyle name="Migliaia [0] 23 4" xfId="16903" xr:uid="{00000000-0005-0000-0000-0000EDA20000}"/>
    <cellStyle name="Migliaia [0] 23 4 2" xfId="33019" xr:uid="{00000000-0005-0000-0000-0000EEA20000}"/>
    <cellStyle name="Migliaia [0] 23 4 3" xfId="47980" xr:uid="{00000000-0005-0000-0000-0000EFA20000}"/>
    <cellStyle name="Migliaia [0] 23 4 4" xfId="55426" xr:uid="{00000000-0005-0000-0000-0000F0A20000}"/>
    <cellStyle name="Migliaia [0] 23 5" xfId="19001" xr:uid="{00000000-0005-0000-0000-0000F1A20000}"/>
    <cellStyle name="Migliaia [0] 23 6" xfId="33996" xr:uid="{00000000-0005-0000-0000-0000F2A20000}"/>
    <cellStyle name="Migliaia [0] 23 7" xfId="48936" xr:uid="{00000000-0005-0000-0000-0000F3A20000}"/>
    <cellStyle name="Migliaia [0] 23 8" xfId="49341" xr:uid="{00000000-0005-0000-0000-0000F4A20000}"/>
    <cellStyle name="Migliaia [0] 23 9" xfId="49747" xr:uid="{00000000-0005-0000-0000-0000F5A20000}"/>
    <cellStyle name="Migliaia [0] 24" xfId="244" xr:uid="{00000000-0005-0000-0000-0000F6A20000}"/>
    <cellStyle name="Migliaia [0] 24 10" xfId="50156" xr:uid="{00000000-0005-0000-0000-0000F7A20000}"/>
    <cellStyle name="Migliaia [0] 24 11" xfId="50598" xr:uid="{00000000-0005-0000-0000-0000F8A20000}"/>
    <cellStyle name="Migliaia [0] 24 12" xfId="51317" xr:uid="{00000000-0005-0000-0000-0000F9A20000}"/>
    <cellStyle name="Migliaia [0] 24 13" xfId="51730" xr:uid="{00000000-0005-0000-0000-0000FAA20000}"/>
    <cellStyle name="Migliaia [0] 24 14" xfId="52145" xr:uid="{00000000-0005-0000-0000-0000FBA20000}"/>
    <cellStyle name="Migliaia [0] 24 2" xfId="9014" xr:uid="{00000000-0005-0000-0000-0000FCA20000}"/>
    <cellStyle name="Migliaia [0] 24 2 2" xfId="17906" xr:uid="{00000000-0005-0000-0000-0000FDA20000}"/>
    <cellStyle name="Migliaia [0] 24 2 2 2" xfId="33566" xr:uid="{00000000-0005-0000-0000-0000FEA20000}"/>
    <cellStyle name="Migliaia [0] 24 2 2 3" xfId="48527" xr:uid="{00000000-0005-0000-0000-0000FFA20000}"/>
    <cellStyle name="Migliaia [0] 24 2 2 4" xfId="55051" xr:uid="{00000000-0005-0000-0000-000000A30000}"/>
    <cellStyle name="Migliaia [0] 24 2 3" xfId="55973" xr:uid="{00000000-0005-0000-0000-000001A30000}"/>
    <cellStyle name="Migliaia [0] 24 2 4" xfId="52696" xr:uid="{00000000-0005-0000-0000-000002A30000}"/>
    <cellStyle name="Migliaia [0] 24 3" xfId="9695" xr:uid="{00000000-0005-0000-0000-000003A30000}"/>
    <cellStyle name="Migliaia [0] 24 3 2" xfId="26021" xr:uid="{00000000-0005-0000-0000-000004A30000}"/>
    <cellStyle name="Migliaia [0] 24 3 3" xfId="40999" xr:uid="{00000000-0005-0000-0000-000005A30000}"/>
    <cellStyle name="Migliaia [0] 24 3 4" xfId="54483" xr:uid="{00000000-0005-0000-0000-000006A30000}"/>
    <cellStyle name="Migliaia [0] 24 4" xfId="16904" xr:uid="{00000000-0005-0000-0000-000007A30000}"/>
    <cellStyle name="Migliaia [0] 24 4 2" xfId="33020" xr:uid="{00000000-0005-0000-0000-000008A30000}"/>
    <cellStyle name="Migliaia [0] 24 4 3" xfId="47981" xr:uid="{00000000-0005-0000-0000-000009A30000}"/>
    <cellStyle name="Migliaia [0] 24 4 4" xfId="55427" xr:uid="{00000000-0005-0000-0000-00000AA30000}"/>
    <cellStyle name="Migliaia [0] 24 5" xfId="19002" xr:uid="{00000000-0005-0000-0000-00000BA30000}"/>
    <cellStyle name="Migliaia [0] 24 6" xfId="33997" xr:uid="{00000000-0005-0000-0000-00000CA30000}"/>
    <cellStyle name="Migliaia [0] 24 7" xfId="48937" xr:uid="{00000000-0005-0000-0000-00000DA30000}"/>
    <cellStyle name="Migliaia [0] 24 8" xfId="49342" xr:uid="{00000000-0005-0000-0000-00000EA30000}"/>
    <cellStyle name="Migliaia [0] 24 9" xfId="49748" xr:uid="{00000000-0005-0000-0000-00000FA30000}"/>
    <cellStyle name="Migliaia [0] 25" xfId="245" xr:uid="{00000000-0005-0000-0000-000010A30000}"/>
    <cellStyle name="Migliaia [0] 25 10" xfId="50157" xr:uid="{00000000-0005-0000-0000-000011A30000}"/>
    <cellStyle name="Migliaia [0] 25 11" xfId="50599" xr:uid="{00000000-0005-0000-0000-000012A30000}"/>
    <cellStyle name="Migliaia [0] 25 12" xfId="51318" xr:uid="{00000000-0005-0000-0000-000013A30000}"/>
    <cellStyle name="Migliaia [0] 25 13" xfId="51731" xr:uid="{00000000-0005-0000-0000-000014A30000}"/>
    <cellStyle name="Migliaia [0] 25 14" xfId="52146" xr:uid="{00000000-0005-0000-0000-000015A30000}"/>
    <cellStyle name="Migliaia [0] 25 2" xfId="9015" xr:uid="{00000000-0005-0000-0000-000016A30000}"/>
    <cellStyle name="Migliaia [0] 25 2 2" xfId="17907" xr:uid="{00000000-0005-0000-0000-000017A30000}"/>
    <cellStyle name="Migliaia [0] 25 2 2 2" xfId="33567" xr:uid="{00000000-0005-0000-0000-000018A30000}"/>
    <cellStyle name="Migliaia [0] 25 2 2 3" xfId="48528" xr:uid="{00000000-0005-0000-0000-000019A30000}"/>
    <cellStyle name="Migliaia [0] 25 2 2 4" xfId="55052" xr:uid="{00000000-0005-0000-0000-00001AA30000}"/>
    <cellStyle name="Migliaia [0] 25 2 3" xfId="55974" xr:uid="{00000000-0005-0000-0000-00001BA30000}"/>
    <cellStyle name="Migliaia [0] 25 2 4" xfId="52697" xr:uid="{00000000-0005-0000-0000-00001CA30000}"/>
    <cellStyle name="Migliaia [0] 25 3" xfId="9696" xr:uid="{00000000-0005-0000-0000-00001DA30000}"/>
    <cellStyle name="Migliaia [0] 25 3 2" xfId="26022" xr:uid="{00000000-0005-0000-0000-00001EA30000}"/>
    <cellStyle name="Migliaia [0] 25 3 3" xfId="41000" xr:uid="{00000000-0005-0000-0000-00001FA30000}"/>
    <cellStyle name="Migliaia [0] 25 3 4" xfId="54484" xr:uid="{00000000-0005-0000-0000-000020A30000}"/>
    <cellStyle name="Migliaia [0] 25 4" xfId="16905" xr:uid="{00000000-0005-0000-0000-000021A30000}"/>
    <cellStyle name="Migliaia [0] 25 4 2" xfId="33021" xr:uid="{00000000-0005-0000-0000-000022A30000}"/>
    <cellStyle name="Migliaia [0] 25 4 3" xfId="47982" xr:uid="{00000000-0005-0000-0000-000023A30000}"/>
    <cellStyle name="Migliaia [0] 25 4 4" xfId="55428" xr:uid="{00000000-0005-0000-0000-000024A30000}"/>
    <cellStyle name="Migliaia [0] 25 5" xfId="19003" xr:uid="{00000000-0005-0000-0000-000025A30000}"/>
    <cellStyle name="Migliaia [0] 25 6" xfId="33998" xr:uid="{00000000-0005-0000-0000-000026A30000}"/>
    <cellStyle name="Migliaia [0] 25 7" xfId="48938" xr:uid="{00000000-0005-0000-0000-000027A30000}"/>
    <cellStyle name="Migliaia [0] 25 8" xfId="49343" xr:uid="{00000000-0005-0000-0000-000028A30000}"/>
    <cellStyle name="Migliaia [0] 25 9" xfId="49749" xr:uid="{00000000-0005-0000-0000-000029A30000}"/>
    <cellStyle name="Migliaia [0] 26" xfId="246" xr:uid="{00000000-0005-0000-0000-00002AA30000}"/>
    <cellStyle name="Migliaia [0] 26 10" xfId="50158" xr:uid="{00000000-0005-0000-0000-00002BA30000}"/>
    <cellStyle name="Migliaia [0] 26 11" xfId="50600" xr:uid="{00000000-0005-0000-0000-00002CA30000}"/>
    <cellStyle name="Migliaia [0] 26 12" xfId="51319" xr:uid="{00000000-0005-0000-0000-00002DA30000}"/>
    <cellStyle name="Migliaia [0] 26 13" xfId="51732" xr:uid="{00000000-0005-0000-0000-00002EA30000}"/>
    <cellStyle name="Migliaia [0] 26 14" xfId="52147" xr:uid="{00000000-0005-0000-0000-00002FA30000}"/>
    <cellStyle name="Migliaia [0] 26 2" xfId="9016" xr:uid="{00000000-0005-0000-0000-000030A30000}"/>
    <cellStyle name="Migliaia [0] 26 2 2" xfId="17908" xr:uid="{00000000-0005-0000-0000-000031A30000}"/>
    <cellStyle name="Migliaia [0] 26 2 2 2" xfId="33568" xr:uid="{00000000-0005-0000-0000-000032A30000}"/>
    <cellStyle name="Migliaia [0] 26 2 2 3" xfId="48529" xr:uid="{00000000-0005-0000-0000-000033A30000}"/>
    <cellStyle name="Migliaia [0] 26 2 2 4" xfId="55053" xr:uid="{00000000-0005-0000-0000-000034A30000}"/>
    <cellStyle name="Migliaia [0] 26 2 3" xfId="55975" xr:uid="{00000000-0005-0000-0000-000035A30000}"/>
    <cellStyle name="Migliaia [0] 26 2 4" xfId="52698" xr:uid="{00000000-0005-0000-0000-000036A30000}"/>
    <cellStyle name="Migliaia [0] 26 3" xfId="9697" xr:uid="{00000000-0005-0000-0000-000037A30000}"/>
    <cellStyle name="Migliaia [0] 26 3 2" xfId="26023" xr:uid="{00000000-0005-0000-0000-000038A30000}"/>
    <cellStyle name="Migliaia [0] 26 3 3" xfId="41001" xr:uid="{00000000-0005-0000-0000-000039A30000}"/>
    <cellStyle name="Migliaia [0] 26 3 4" xfId="54485" xr:uid="{00000000-0005-0000-0000-00003AA30000}"/>
    <cellStyle name="Migliaia [0] 26 4" xfId="16906" xr:uid="{00000000-0005-0000-0000-00003BA30000}"/>
    <cellStyle name="Migliaia [0] 26 4 2" xfId="33022" xr:uid="{00000000-0005-0000-0000-00003CA30000}"/>
    <cellStyle name="Migliaia [0] 26 4 3" xfId="47983" xr:uid="{00000000-0005-0000-0000-00003DA30000}"/>
    <cellStyle name="Migliaia [0] 26 4 4" xfId="55429" xr:uid="{00000000-0005-0000-0000-00003EA30000}"/>
    <cellStyle name="Migliaia [0] 26 5" xfId="19004" xr:uid="{00000000-0005-0000-0000-00003FA30000}"/>
    <cellStyle name="Migliaia [0] 26 6" xfId="33999" xr:uid="{00000000-0005-0000-0000-000040A30000}"/>
    <cellStyle name="Migliaia [0] 26 7" xfId="48939" xr:uid="{00000000-0005-0000-0000-000041A30000}"/>
    <cellStyle name="Migliaia [0] 26 8" xfId="49344" xr:uid="{00000000-0005-0000-0000-000042A30000}"/>
    <cellStyle name="Migliaia [0] 26 9" xfId="49750" xr:uid="{00000000-0005-0000-0000-000043A30000}"/>
    <cellStyle name="Migliaia [0] 27" xfId="247" xr:uid="{00000000-0005-0000-0000-000044A30000}"/>
    <cellStyle name="Migliaia [0] 27 10" xfId="50159" xr:uid="{00000000-0005-0000-0000-000045A30000}"/>
    <cellStyle name="Migliaia [0] 27 11" xfId="50601" xr:uid="{00000000-0005-0000-0000-000046A30000}"/>
    <cellStyle name="Migliaia [0] 27 12" xfId="51320" xr:uid="{00000000-0005-0000-0000-000047A30000}"/>
    <cellStyle name="Migliaia [0] 27 13" xfId="51733" xr:uid="{00000000-0005-0000-0000-000048A30000}"/>
    <cellStyle name="Migliaia [0] 27 14" xfId="52148" xr:uid="{00000000-0005-0000-0000-000049A30000}"/>
    <cellStyle name="Migliaia [0] 27 2" xfId="9017" xr:uid="{00000000-0005-0000-0000-00004AA30000}"/>
    <cellStyle name="Migliaia [0] 27 2 2" xfId="17909" xr:uid="{00000000-0005-0000-0000-00004BA30000}"/>
    <cellStyle name="Migliaia [0] 27 2 2 2" xfId="33569" xr:uid="{00000000-0005-0000-0000-00004CA30000}"/>
    <cellStyle name="Migliaia [0] 27 2 2 3" xfId="48530" xr:uid="{00000000-0005-0000-0000-00004DA30000}"/>
    <cellStyle name="Migliaia [0] 27 2 2 4" xfId="55054" xr:uid="{00000000-0005-0000-0000-00004EA30000}"/>
    <cellStyle name="Migliaia [0] 27 2 3" xfId="55976" xr:uid="{00000000-0005-0000-0000-00004FA30000}"/>
    <cellStyle name="Migliaia [0] 27 2 4" xfId="52699" xr:uid="{00000000-0005-0000-0000-000050A30000}"/>
    <cellStyle name="Migliaia [0] 27 3" xfId="9698" xr:uid="{00000000-0005-0000-0000-000051A30000}"/>
    <cellStyle name="Migliaia [0] 27 3 2" xfId="26024" xr:uid="{00000000-0005-0000-0000-000052A30000}"/>
    <cellStyle name="Migliaia [0] 27 3 3" xfId="41002" xr:uid="{00000000-0005-0000-0000-000053A30000}"/>
    <cellStyle name="Migliaia [0] 27 3 4" xfId="54486" xr:uid="{00000000-0005-0000-0000-000054A30000}"/>
    <cellStyle name="Migliaia [0] 27 4" xfId="16907" xr:uid="{00000000-0005-0000-0000-000055A30000}"/>
    <cellStyle name="Migliaia [0] 27 4 2" xfId="33023" xr:uid="{00000000-0005-0000-0000-000056A30000}"/>
    <cellStyle name="Migliaia [0] 27 4 3" xfId="47984" xr:uid="{00000000-0005-0000-0000-000057A30000}"/>
    <cellStyle name="Migliaia [0] 27 4 4" xfId="55430" xr:uid="{00000000-0005-0000-0000-000058A30000}"/>
    <cellStyle name="Migliaia [0] 27 5" xfId="19005" xr:uid="{00000000-0005-0000-0000-000059A30000}"/>
    <cellStyle name="Migliaia [0] 27 6" xfId="34000" xr:uid="{00000000-0005-0000-0000-00005AA30000}"/>
    <cellStyle name="Migliaia [0] 27 7" xfId="48940" xr:uid="{00000000-0005-0000-0000-00005BA30000}"/>
    <cellStyle name="Migliaia [0] 27 8" xfId="49345" xr:uid="{00000000-0005-0000-0000-00005CA30000}"/>
    <cellStyle name="Migliaia [0] 27 9" xfId="49751" xr:uid="{00000000-0005-0000-0000-00005DA30000}"/>
    <cellStyle name="Migliaia [0] 28" xfId="248" xr:uid="{00000000-0005-0000-0000-00005EA30000}"/>
    <cellStyle name="Migliaia [0] 28 10" xfId="50160" xr:uid="{00000000-0005-0000-0000-00005FA30000}"/>
    <cellStyle name="Migliaia [0] 28 11" xfId="50602" xr:uid="{00000000-0005-0000-0000-000060A30000}"/>
    <cellStyle name="Migliaia [0] 28 12" xfId="51321" xr:uid="{00000000-0005-0000-0000-000061A30000}"/>
    <cellStyle name="Migliaia [0] 28 13" xfId="51734" xr:uid="{00000000-0005-0000-0000-000062A30000}"/>
    <cellStyle name="Migliaia [0] 28 14" xfId="52149" xr:uid="{00000000-0005-0000-0000-000063A30000}"/>
    <cellStyle name="Migliaia [0] 28 2" xfId="9018" xr:uid="{00000000-0005-0000-0000-000064A30000}"/>
    <cellStyle name="Migliaia [0] 28 2 2" xfId="17910" xr:uid="{00000000-0005-0000-0000-000065A30000}"/>
    <cellStyle name="Migliaia [0] 28 2 2 2" xfId="33570" xr:uid="{00000000-0005-0000-0000-000066A30000}"/>
    <cellStyle name="Migliaia [0] 28 2 2 3" xfId="48531" xr:uid="{00000000-0005-0000-0000-000067A30000}"/>
    <cellStyle name="Migliaia [0] 28 2 2 4" xfId="55055" xr:uid="{00000000-0005-0000-0000-000068A30000}"/>
    <cellStyle name="Migliaia [0] 28 2 3" xfId="55977" xr:uid="{00000000-0005-0000-0000-000069A30000}"/>
    <cellStyle name="Migliaia [0] 28 2 4" xfId="52700" xr:uid="{00000000-0005-0000-0000-00006AA30000}"/>
    <cellStyle name="Migliaia [0] 28 3" xfId="9699" xr:uid="{00000000-0005-0000-0000-00006BA30000}"/>
    <cellStyle name="Migliaia [0] 28 3 2" xfId="26025" xr:uid="{00000000-0005-0000-0000-00006CA30000}"/>
    <cellStyle name="Migliaia [0] 28 3 3" xfId="41003" xr:uid="{00000000-0005-0000-0000-00006DA30000}"/>
    <cellStyle name="Migliaia [0] 28 3 4" xfId="54487" xr:uid="{00000000-0005-0000-0000-00006EA30000}"/>
    <cellStyle name="Migliaia [0] 28 4" xfId="16908" xr:uid="{00000000-0005-0000-0000-00006FA30000}"/>
    <cellStyle name="Migliaia [0] 28 4 2" xfId="33024" xr:uid="{00000000-0005-0000-0000-000070A30000}"/>
    <cellStyle name="Migliaia [0] 28 4 3" xfId="47985" xr:uid="{00000000-0005-0000-0000-000071A30000}"/>
    <cellStyle name="Migliaia [0] 28 4 4" xfId="55431" xr:uid="{00000000-0005-0000-0000-000072A30000}"/>
    <cellStyle name="Migliaia [0] 28 5" xfId="19006" xr:uid="{00000000-0005-0000-0000-000073A30000}"/>
    <cellStyle name="Migliaia [0] 28 6" xfId="34001" xr:uid="{00000000-0005-0000-0000-000074A30000}"/>
    <cellStyle name="Migliaia [0] 28 7" xfId="48941" xr:uid="{00000000-0005-0000-0000-000075A30000}"/>
    <cellStyle name="Migliaia [0] 28 8" xfId="49346" xr:uid="{00000000-0005-0000-0000-000076A30000}"/>
    <cellStyle name="Migliaia [0] 28 9" xfId="49752" xr:uid="{00000000-0005-0000-0000-000077A30000}"/>
    <cellStyle name="Migliaia [0] 29" xfId="249" xr:uid="{00000000-0005-0000-0000-000078A30000}"/>
    <cellStyle name="Migliaia [0] 29 10" xfId="50161" xr:uid="{00000000-0005-0000-0000-000079A30000}"/>
    <cellStyle name="Migliaia [0] 29 11" xfId="50603" xr:uid="{00000000-0005-0000-0000-00007AA30000}"/>
    <cellStyle name="Migliaia [0] 29 12" xfId="51322" xr:uid="{00000000-0005-0000-0000-00007BA30000}"/>
    <cellStyle name="Migliaia [0] 29 13" xfId="51735" xr:uid="{00000000-0005-0000-0000-00007CA30000}"/>
    <cellStyle name="Migliaia [0] 29 14" xfId="52150" xr:uid="{00000000-0005-0000-0000-00007DA30000}"/>
    <cellStyle name="Migliaia [0] 29 2" xfId="9019" xr:uid="{00000000-0005-0000-0000-00007EA30000}"/>
    <cellStyle name="Migliaia [0] 29 2 2" xfId="17911" xr:uid="{00000000-0005-0000-0000-00007FA30000}"/>
    <cellStyle name="Migliaia [0] 29 2 2 2" xfId="33571" xr:uid="{00000000-0005-0000-0000-000080A30000}"/>
    <cellStyle name="Migliaia [0] 29 2 2 3" xfId="48532" xr:uid="{00000000-0005-0000-0000-000081A30000}"/>
    <cellStyle name="Migliaia [0] 29 2 2 4" xfId="55056" xr:uid="{00000000-0005-0000-0000-000082A30000}"/>
    <cellStyle name="Migliaia [0] 29 2 3" xfId="55978" xr:uid="{00000000-0005-0000-0000-000083A30000}"/>
    <cellStyle name="Migliaia [0] 29 2 4" xfId="52701" xr:uid="{00000000-0005-0000-0000-000084A30000}"/>
    <cellStyle name="Migliaia [0] 29 3" xfId="9700" xr:uid="{00000000-0005-0000-0000-000085A30000}"/>
    <cellStyle name="Migliaia [0] 29 3 2" xfId="26026" xr:uid="{00000000-0005-0000-0000-000086A30000}"/>
    <cellStyle name="Migliaia [0] 29 3 3" xfId="41004" xr:uid="{00000000-0005-0000-0000-000087A30000}"/>
    <cellStyle name="Migliaia [0] 29 3 4" xfId="54488" xr:uid="{00000000-0005-0000-0000-000088A30000}"/>
    <cellStyle name="Migliaia [0] 29 4" xfId="16909" xr:uid="{00000000-0005-0000-0000-000089A30000}"/>
    <cellStyle name="Migliaia [0] 29 4 2" xfId="33025" xr:uid="{00000000-0005-0000-0000-00008AA30000}"/>
    <cellStyle name="Migliaia [0] 29 4 3" xfId="47986" xr:uid="{00000000-0005-0000-0000-00008BA30000}"/>
    <cellStyle name="Migliaia [0] 29 4 4" xfId="55432" xr:uid="{00000000-0005-0000-0000-00008CA30000}"/>
    <cellStyle name="Migliaia [0] 29 5" xfId="19007" xr:uid="{00000000-0005-0000-0000-00008DA30000}"/>
    <cellStyle name="Migliaia [0] 29 6" xfId="34002" xr:uid="{00000000-0005-0000-0000-00008EA30000}"/>
    <cellStyle name="Migliaia [0] 29 7" xfId="48942" xr:uid="{00000000-0005-0000-0000-00008FA30000}"/>
    <cellStyle name="Migliaia [0] 29 8" xfId="49347" xr:uid="{00000000-0005-0000-0000-000090A30000}"/>
    <cellStyle name="Migliaia [0] 29 9" xfId="49753" xr:uid="{00000000-0005-0000-0000-000091A30000}"/>
    <cellStyle name="Migliaia [0] 3" xfId="250" xr:uid="{00000000-0005-0000-0000-000092A30000}"/>
    <cellStyle name="Migliaia [0] 3 10" xfId="50162" xr:uid="{00000000-0005-0000-0000-000093A30000}"/>
    <cellStyle name="Migliaia [0] 3 11" xfId="50604" xr:uid="{00000000-0005-0000-0000-000094A30000}"/>
    <cellStyle name="Migliaia [0] 3 12" xfId="51323" xr:uid="{00000000-0005-0000-0000-000095A30000}"/>
    <cellStyle name="Migliaia [0] 3 13" xfId="51736" xr:uid="{00000000-0005-0000-0000-000096A30000}"/>
    <cellStyle name="Migliaia [0] 3 14" xfId="52151" xr:uid="{00000000-0005-0000-0000-000097A30000}"/>
    <cellStyle name="Migliaia [0] 3 2" xfId="9020" xr:uid="{00000000-0005-0000-0000-000098A30000}"/>
    <cellStyle name="Migliaia [0] 3 2 2" xfId="17912" xr:uid="{00000000-0005-0000-0000-000099A30000}"/>
    <cellStyle name="Migliaia [0] 3 2 2 2" xfId="33572" xr:uid="{00000000-0005-0000-0000-00009AA30000}"/>
    <cellStyle name="Migliaia [0] 3 2 2 3" xfId="48533" xr:uid="{00000000-0005-0000-0000-00009BA30000}"/>
    <cellStyle name="Migliaia [0] 3 2 2 4" xfId="55057" xr:uid="{00000000-0005-0000-0000-00009CA30000}"/>
    <cellStyle name="Migliaia [0] 3 2 3" xfId="55979" xr:uid="{00000000-0005-0000-0000-00009DA30000}"/>
    <cellStyle name="Migliaia [0] 3 2 4" xfId="52702" xr:uid="{00000000-0005-0000-0000-00009EA30000}"/>
    <cellStyle name="Migliaia [0] 3 3" xfId="9701" xr:uid="{00000000-0005-0000-0000-00009FA30000}"/>
    <cellStyle name="Migliaia [0] 3 3 2" xfId="26027" xr:uid="{00000000-0005-0000-0000-0000A0A30000}"/>
    <cellStyle name="Migliaia [0] 3 3 3" xfId="41005" xr:uid="{00000000-0005-0000-0000-0000A1A30000}"/>
    <cellStyle name="Migliaia [0] 3 3 4" xfId="54489" xr:uid="{00000000-0005-0000-0000-0000A2A30000}"/>
    <cellStyle name="Migliaia [0] 3 4" xfId="16910" xr:uid="{00000000-0005-0000-0000-0000A3A30000}"/>
    <cellStyle name="Migliaia [0] 3 4 2" xfId="33026" xr:uid="{00000000-0005-0000-0000-0000A4A30000}"/>
    <cellStyle name="Migliaia [0] 3 4 3" xfId="47987" xr:uid="{00000000-0005-0000-0000-0000A5A30000}"/>
    <cellStyle name="Migliaia [0] 3 4 4" xfId="55433" xr:uid="{00000000-0005-0000-0000-0000A6A30000}"/>
    <cellStyle name="Migliaia [0] 3 5" xfId="19008" xr:uid="{00000000-0005-0000-0000-0000A7A30000}"/>
    <cellStyle name="Migliaia [0] 3 6" xfId="34003" xr:uid="{00000000-0005-0000-0000-0000A8A30000}"/>
    <cellStyle name="Migliaia [0] 3 7" xfId="48943" xr:uid="{00000000-0005-0000-0000-0000A9A30000}"/>
    <cellStyle name="Migliaia [0] 3 8" xfId="49348" xr:uid="{00000000-0005-0000-0000-0000AAA30000}"/>
    <cellStyle name="Migliaia [0] 3 9" xfId="49754" xr:uid="{00000000-0005-0000-0000-0000ABA30000}"/>
    <cellStyle name="Migliaia [0] 30" xfId="251" xr:uid="{00000000-0005-0000-0000-0000ACA30000}"/>
    <cellStyle name="Migliaia [0] 30 10" xfId="50163" xr:uid="{00000000-0005-0000-0000-0000ADA30000}"/>
    <cellStyle name="Migliaia [0] 30 11" xfId="50605" xr:uid="{00000000-0005-0000-0000-0000AEA30000}"/>
    <cellStyle name="Migliaia [0] 30 12" xfId="51324" xr:uid="{00000000-0005-0000-0000-0000AFA30000}"/>
    <cellStyle name="Migliaia [0] 30 13" xfId="51737" xr:uid="{00000000-0005-0000-0000-0000B0A30000}"/>
    <cellStyle name="Migliaia [0] 30 14" xfId="52152" xr:uid="{00000000-0005-0000-0000-0000B1A30000}"/>
    <cellStyle name="Migliaia [0] 30 2" xfId="9021" xr:uid="{00000000-0005-0000-0000-0000B2A30000}"/>
    <cellStyle name="Migliaia [0] 30 2 2" xfId="17913" xr:uid="{00000000-0005-0000-0000-0000B3A30000}"/>
    <cellStyle name="Migliaia [0] 30 2 2 2" xfId="33573" xr:uid="{00000000-0005-0000-0000-0000B4A30000}"/>
    <cellStyle name="Migliaia [0] 30 2 2 3" xfId="48534" xr:uid="{00000000-0005-0000-0000-0000B5A30000}"/>
    <cellStyle name="Migliaia [0] 30 2 2 4" xfId="55058" xr:uid="{00000000-0005-0000-0000-0000B6A30000}"/>
    <cellStyle name="Migliaia [0] 30 2 3" xfId="55980" xr:uid="{00000000-0005-0000-0000-0000B7A30000}"/>
    <cellStyle name="Migliaia [0] 30 2 4" xfId="52703" xr:uid="{00000000-0005-0000-0000-0000B8A30000}"/>
    <cellStyle name="Migliaia [0] 30 3" xfId="9702" xr:uid="{00000000-0005-0000-0000-0000B9A30000}"/>
    <cellStyle name="Migliaia [0] 30 3 2" xfId="26028" xr:uid="{00000000-0005-0000-0000-0000BAA30000}"/>
    <cellStyle name="Migliaia [0] 30 3 3" xfId="41006" xr:uid="{00000000-0005-0000-0000-0000BBA30000}"/>
    <cellStyle name="Migliaia [0] 30 3 4" xfId="54490" xr:uid="{00000000-0005-0000-0000-0000BCA30000}"/>
    <cellStyle name="Migliaia [0] 30 4" xfId="16911" xr:uid="{00000000-0005-0000-0000-0000BDA30000}"/>
    <cellStyle name="Migliaia [0] 30 4 2" xfId="33027" xr:uid="{00000000-0005-0000-0000-0000BEA30000}"/>
    <cellStyle name="Migliaia [0] 30 4 3" xfId="47988" xr:uid="{00000000-0005-0000-0000-0000BFA30000}"/>
    <cellStyle name="Migliaia [0] 30 4 4" xfId="55434" xr:uid="{00000000-0005-0000-0000-0000C0A30000}"/>
    <cellStyle name="Migliaia [0] 30 5" xfId="19009" xr:uid="{00000000-0005-0000-0000-0000C1A30000}"/>
    <cellStyle name="Migliaia [0] 30 6" xfId="34004" xr:uid="{00000000-0005-0000-0000-0000C2A30000}"/>
    <cellStyle name="Migliaia [0] 30 7" xfId="48944" xr:uid="{00000000-0005-0000-0000-0000C3A30000}"/>
    <cellStyle name="Migliaia [0] 30 8" xfId="49349" xr:uid="{00000000-0005-0000-0000-0000C4A30000}"/>
    <cellStyle name="Migliaia [0] 30 9" xfId="49755" xr:uid="{00000000-0005-0000-0000-0000C5A30000}"/>
    <cellStyle name="Migliaia [0] 31" xfId="252" xr:uid="{00000000-0005-0000-0000-0000C6A30000}"/>
    <cellStyle name="Migliaia [0] 31 10" xfId="50164" xr:uid="{00000000-0005-0000-0000-0000C7A30000}"/>
    <cellStyle name="Migliaia [0] 31 11" xfId="50606" xr:uid="{00000000-0005-0000-0000-0000C8A30000}"/>
    <cellStyle name="Migliaia [0] 31 12" xfId="51325" xr:uid="{00000000-0005-0000-0000-0000C9A30000}"/>
    <cellStyle name="Migliaia [0] 31 13" xfId="51738" xr:uid="{00000000-0005-0000-0000-0000CAA30000}"/>
    <cellStyle name="Migliaia [0] 31 14" xfId="52153" xr:uid="{00000000-0005-0000-0000-0000CBA30000}"/>
    <cellStyle name="Migliaia [0] 31 2" xfId="9022" xr:uid="{00000000-0005-0000-0000-0000CCA30000}"/>
    <cellStyle name="Migliaia [0] 31 2 2" xfId="17914" xr:uid="{00000000-0005-0000-0000-0000CDA30000}"/>
    <cellStyle name="Migliaia [0] 31 2 2 2" xfId="33574" xr:uid="{00000000-0005-0000-0000-0000CEA30000}"/>
    <cellStyle name="Migliaia [0] 31 2 2 3" xfId="48535" xr:uid="{00000000-0005-0000-0000-0000CFA30000}"/>
    <cellStyle name="Migliaia [0] 31 2 2 4" xfId="55059" xr:uid="{00000000-0005-0000-0000-0000D0A30000}"/>
    <cellStyle name="Migliaia [0] 31 2 3" xfId="55981" xr:uid="{00000000-0005-0000-0000-0000D1A30000}"/>
    <cellStyle name="Migliaia [0] 31 2 4" xfId="52704" xr:uid="{00000000-0005-0000-0000-0000D2A30000}"/>
    <cellStyle name="Migliaia [0] 31 3" xfId="9703" xr:uid="{00000000-0005-0000-0000-0000D3A30000}"/>
    <cellStyle name="Migliaia [0] 31 3 2" xfId="26029" xr:uid="{00000000-0005-0000-0000-0000D4A30000}"/>
    <cellStyle name="Migliaia [0] 31 3 3" xfId="41007" xr:uid="{00000000-0005-0000-0000-0000D5A30000}"/>
    <cellStyle name="Migliaia [0] 31 3 4" xfId="54491" xr:uid="{00000000-0005-0000-0000-0000D6A30000}"/>
    <cellStyle name="Migliaia [0] 31 4" xfId="16912" xr:uid="{00000000-0005-0000-0000-0000D7A30000}"/>
    <cellStyle name="Migliaia [0] 31 4 2" xfId="33028" xr:uid="{00000000-0005-0000-0000-0000D8A30000}"/>
    <cellStyle name="Migliaia [0] 31 4 3" xfId="47989" xr:uid="{00000000-0005-0000-0000-0000D9A30000}"/>
    <cellStyle name="Migliaia [0] 31 4 4" xfId="55435" xr:uid="{00000000-0005-0000-0000-0000DAA30000}"/>
    <cellStyle name="Migliaia [0] 31 5" xfId="19010" xr:uid="{00000000-0005-0000-0000-0000DBA30000}"/>
    <cellStyle name="Migliaia [0] 31 6" xfId="34005" xr:uid="{00000000-0005-0000-0000-0000DCA30000}"/>
    <cellStyle name="Migliaia [0] 31 7" xfId="48945" xr:uid="{00000000-0005-0000-0000-0000DDA30000}"/>
    <cellStyle name="Migliaia [0] 31 8" xfId="49350" xr:uid="{00000000-0005-0000-0000-0000DEA30000}"/>
    <cellStyle name="Migliaia [0] 31 9" xfId="49756" xr:uid="{00000000-0005-0000-0000-0000DFA30000}"/>
    <cellStyle name="Migliaia [0] 32" xfId="253" xr:uid="{00000000-0005-0000-0000-0000E0A30000}"/>
    <cellStyle name="Migliaia [0] 32 10" xfId="50165" xr:uid="{00000000-0005-0000-0000-0000E1A30000}"/>
    <cellStyle name="Migliaia [0] 32 11" xfId="50607" xr:uid="{00000000-0005-0000-0000-0000E2A30000}"/>
    <cellStyle name="Migliaia [0] 32 12" xfId="51326" xr:uid="{00000000-0005-0000-0000-0000E3A30000}"/>
    <cellStyle name="Migliaia [0] 32 13" xfId="51739" xr:uid="{00000000-0005-0000-0000-0000E4A30000}"/>
    <cellStyle name="Migliaia [0] 32 14" xfId="52154" xr:uid="{00000000-0005-0000-0000-0000E5A30000}"/>
    <cellStyle name="Migliaia [0] 32 2" xfId="9023" xr:uid="{00000000-0005-0000-0000-0000E6A30000}"/>
    <cellStyle name="Migliaia [0] 32 2 2" xfId="17915" xr:uid="{00000000-0005-0000-0000-0000E7A30000}"/>
    <cellStyle name="Migliaia [0] 32 2 2 2" xfId="33575" xr:uid="{00000000-0005-0000-0000-0000E8A30000}"/>
    <cellStyle name="Migliaia [0] 32 2 2 3" xfId="48536" xr:uid="{00000000-0005-0000-0000-0000E9A30000}"/>
    <cellStyle name="Migliaia [0] 32 2 2 4" xfId="55060" xr:uid="{00000000-0005-0000-0000-0000EAA30000}"/>
    <cellStyle name="Migliaia [0] 32 2 3" xfId="55982" xr:uid="{00000000-0005-0000-0000-0000EBA30000}"/>
    <cellStyle name="Migliaia [0] 32 2 4" xfId="52705" xr:uid="{00000000-0005-0000-0000-0000ECA30000}"/>
    <cellStyle name="Migliaia [0] 32 3" xfId="9704" xr:uid="{00000000-0005-0000-0000-0000EDA30000}"/>
    <cellStyle name="Migliaia [0] 32 3 2" xfId="26030" xr:uid="{00000000-0005-0000-0000-0000EEA30000}"/>
    <cellStyle name="Migliaia [0] 32 3 3" xfId="41008" xr:uid="{00000000-0005-0000-0000-0000EFA30000}"/>
    <cellStyle name="Migliaia [0] 32 3 4" xfId="54492" xr:uid="{00000000-0005-0000-0000-0000F0A30000}"/>
    <cellStyle name="Migliaia [0] 32 4" xfId="16913" xr:uid="{00000000-0005-0000-0000-0000F1A30000}"/>
    <cellStyle name="Migliaia [0] 32 4 2" xfId="33029" xr:uid="{00000000-0005-0000-0000-0000F2A30000}"/>
    <cellStyle name="Migliaia [0] 32 4 3" xfId="47990" xr:uid="{00000000-0005-0000-0000-0000F3A30000}"/>
    <cellStyle name="Migliaia [0] 32 4 4" xfId="55436" xr:uid="{00000000-0005-0000-0000-0000F4A30000}"/>
    <cellStyle name="Migliaia [0] 32 5" xfId="19011" xr:uid="{00000000-0005-0000-0000-0000F5A30000}"/>
    <cellStyle name="Migliaia [0] 32 6" xfId="34006" xr:uid="{00000000-0005-0000-0000-0000F6A30000}"/>
    <cellStyle name="Migliaia [0] 32 7" xfId="48946" xr:uid="{00000000-0005-0000-0000-0000F7A30000}"/>
    <cellStyle name="Migliaia [0] 32 8" xfId="49351" xr:uid="{00000000-0005-0000-0000-0000F8A30000}"/>
    <cellStyle name="Migliaia [0] 32 9" xfId="49757" xr:uid="{00000000-0005-0000-0000-0000F9A30000}"/>
    <cellStyle name="Migliaia [0] 33" xfId="254" xr:uid="{00000000-0005-0000-0000-0000FAA30000}"/>
    <cellStyle name="Migliaia [0] 33 10" xfId="50166" xr:uid="{00000000-0005-0000-0000-0000FBA30000}"/>
    <cellStyle name="Migliaia [0] 33 11" xfId="50608" xr:uid="{00000000-0005-0000-0000-0000FCA30000}"/>
    <cellStyle name="Migliaia [0] 33 12" xfId="51327" xr:uid="{00000000-0005-0000-0000-0000FDA30000}"/>
    <cellStyle name="Migliaia [0] 33 13" xfId="51740" xr:uid="{00000000-0005-0000-0000-0000FEA30000}"/>
    <cellStyle name="Migliaia [0] 33 14" xfId="52155" xr:uid="{00000000-0005-0000-0000-0000FFA30000}"/>
    <cellStyle name="Migliaia [0] 33 2" xfId="9024" xr:uid="{00000000-0005-0000-0000-000000A40000}"/>
    <cellStyle name="Migliaia [0] 33 2 2" xfId="17916" xr:uid="{00000000-0005-0000-0000-000001A40000}"/>
    <cellStyle name="Migliaia [0] 33 2 2 2" xfId="33576" xr:uid="{00000000-0005-0000-0000-000002A40000}"/>
    <cellStyle name="Migliaia [0] 33 2 2 3" xfId="48537" xr:uid="{00000000-0005-0000-0000-000003A40000}"/>
    <cellStyle name="Migliaia [0] 33 2 2 4" xfId="55061" xr:uid="{00000000-0005-0000-0000-000004A40000}"/>
    <cellStyle name="Migliaia [0] 33 2 3" xfId="55983" xr:uid="{00000000-0005-0000-0000-000005A40000}"/>
    <cellStyle name="Migliaia [0] 33 2 4" xfId="52706" xr:uid="{00000000-0005-0000-0000-000006A40000}"/>
    <cellStyle name="Migliaia [0] 33 3" xfId="9705" xr:uid="{00000000-0005-0000-0000-000007A40000}"/>
    <cellStyle name="Migliaia [0] 33 3 2" xfId="26031" xr:uid="{00000000-0005-0000-0000-000008A40000}"/>
    <cellStyle name="Migliaia [0] 33 3 3" xfId="41009" xr:uid="{00000000-0005-0000-0000-000009A40000}"/>
    <cellStyle name="Migliaia [0] 33 3 4" xfId="54493" xr:uid="{00000000-0005-0000-0000-00000AA40000}"/>
    <cellStyle name="Migliaia [0] 33 4" xfId="16914" xr:uid="{00000000-0005-0000-0000-00000BA40000}"/>
    <cellStyle name="Migliaia [0] 33 4 2" xfId="33030" xr:uid="{00000000-0005-0000-0000-00000CA40000}"/>
    <cellStyle name="Migliaia [0] 33 4 3" xfId="47991" xr:uid="{00000000-0005-0000-0000-00000DA40000}"/>
    <cellStyle name="Migliaia [0] 33 4 4" xfId="55437" xr:uid="{00000000-0005-0000-0000-00000EA40000}"/>
    <cellStyle name="Migliaia [0] 33 5" xfId="19012" xr:uid="{00000000-0005-0000-0000-00000FA40000}"/>
    <cellStyle name="Migliaia [0] 33 6" xfId="34007" xr:uid="{00000000-0005-0000-0000-000010A40000}"/>
    <cellStyle name="Migliaia [0] 33 7" xfId="48947" xr:uid="{00000000-0005-0000-0000-000011A40000}"/>
    <cellStyle name="Migliaia [0] 33 8" xfId="49352" xr:uid="{00000000-0005-0000-0000-000012A40000}"/>
    <cellStyle name="Migliaia [0] 33 9" xfId="49758" xr:uid="{00000000-0005-0000-0000-000013A40000}"/>
    <cellStyle name="Migliaia [0] 34" xfId="255" xr:uid="{00000000-0005-0000-0000-000014A40000}"/>
    <cellStyle name="Migliaia [0] 34 10" xfId="50167" xr:uid="{00000000-0005-0000-0000-000015A40000}"/>
    <cellStyle name="Migliaia [0] 34 11" xfId="50609" xr:uid="{00000000-0005-0000-0000-000016A40000}"/>
    <cellStyle name="Migliaia [0] 34 12" xfId="51328" xr:uid="{00000000-0005-0000-0000-000017A40000}"/>
    <cellStyle name="Migliaia [0] 34 13" xfId="51741" xr:uid="{00000000-0005-0000-0000-000018A40000}"/>
    <cellStyle name="Migliaia [0] 34 14" xfId="52156" xr:uid="{00000000-0005-0000-0000-000019A40000}"/>
    <cellStyle name="Migliaia [0] 34 2" xfId="9025" xr:uid="{00000000-0005-0000-0000-00001AA40000}"/>
    <cellStyle name="Migliaia [0] 34 2 2" xfId="17917" xr:uid="{00000000-0005-0000-0000-00001BA40000}"/>
    <cellStyle name="Migliaia [0] 34 2 2 2" xfId="33577" xr:uid="{00000000-0005-0000-0000-00001CA40000}"/>
    <cellStyle name="Migliaia [0] 34 2 2 3" xfId="48538" xr:uid="{00000000-0005-0000-0000-00001DA40000}"/>
    <cellStyle name="Migliaia [0] 34 2 2 4" xfId="55062" xr:uid="{00000000-0005-0000-0000-00001EA40000}"/>
    <cellStyle name="Migliaia [0] 34 2 3" xfId="55984" xr:uid="{00000000-0005-0000-0000-00001FA40000}"/>
    <cellStyle name="Migliaia [0] 34 2 4" xfId="52707" xr:uid="{00000000-0005-0000-0000-000020A40000}"/>
    <cellStyle name="Migliaia [0] 34 3" xfId="9706" xr:uid="{00000000-0005-0000-0000-000021A40000}"/>
    <cellStyle name="Migliaia [0] 34 3 2" xfId="26032" xr:uid="{00000000-0005-0000-0000-000022A40000}"/>
    <cellStyle name="Migliaia [0] 34 3 3" xfId="41010" xr:uid="{00000000-0005-0000-0000-000023A40000}"/>
    <cellStyle name="Migliaia [0] 34 3 4" xfId="54494" xr:uid="{00000000-0005-0000-0000-000024A40000}"/>
    <cellStyle name="Migliaia [0] 34 4" xfId="16915" xr:uid="{00000000-0005-0000-0000-000025A40000}"/>
    <cellStyle name="Migliaia [0] 34 4 2" xfId="33031" xr:uid="{00000000-0005-0000-0000-000026A40000}"/>
    <cellStyle name="Migliaia [0] 34 4 3" xfId="47992" xr:uid="{00000000-0005-0000-0000-000027A40000}"/>
    <cellStyle name="Migliaia [0] 34 4 4" xfId="55438" xr:uid="{00000000-0005-0000-0000-000028A40000}"/>
    <cellStyle name="Migliaia [0] 34 5" xfId="19013" xr:uid="{00000000-0005-0000-0000-000029A40000}"/>
    <cellStyle name="Migliaia [0] 34 6" xfId="34008" xr:uid="{00000000-0005-0000-0000-00002AA40000}"/>
    <cellStyle name="Migliaia [0] 34 7" xfId="48948" xr:uid="{00000000-0005-0000-0000-00002BA40000}"/>
    <cellStyle name="Migliaia [0] 34 8" xfId="49353" xr:uid="{00000000-0005-0000-0000-00002CA40000}"/>
    <cellStyle name="Migliaia [0] 34 9" xfId="49759" xr:uid="{00000000-0005-0000-0000-00002DA40000}"/>
    <cellStyle name="Migliaia [0] 35" xfId="256" xr:uid="{00000000-0005-0000-0000-00002EA40000}"/>
    <cellStyle name="Migliaia [0] 35 10" xfId="50168" xr:uid="{00000000-0005-0000-0000-00002FA40000}"/>
    <cellStyle name="Migliaia [0] 35 11" xfId="50610" xr:uid="{00000000-0005-0000-0000-000030A40000}"/>
    <cellStyle name="Migliaia [0] 35 12" xfId="51329" xr:uid="{00000000-0005-0000-0000-000031A40000}"/>
    <cellStyle name="Migliaia [0] 35 13" xfId="51742" xr:uid="{00000000-0005-0000-0000-000032A40000}"/>
    <cellStyle name="Migliaia [0] 35 14" xfId="52157" xr:uid="{00000000-0005-0000-0000-000033A40000}"/>
    <cellStyle name="Migliaia [0] 35 2" xfId="9026" xr:uid="{00000000-0005-0000-0000-000034A40000}"/>
    <cellStyle name="Migliaia [0] 35 2 2" xfId="17918" xr:uid="{00000000-0005-0000-0000-000035A40000}"/>
    <cellStyle name="Migliaia [0] 35 2 2 2" xfId="33578" xr:uid="{00000000-0005-0000-0000-000036A40000}"/>
    <cellStyle name="Migliaia [0] 35 2 2 3" xfId="48539" xr:uid="{00000000-0005-0000-0000-000037A40000}"/>
    <cellStyle name="Migliaia [0] 35 2 2 4" xfId="55063" xr:uid="{00000000-0005-0000-0000-000038A40000}"/>
    <cellStyle name="Migliaia [0] 35 2 3" xfId="55985" xr:uid="{00000000-0005-0000-0000-000039A40000}"/>
    <cellStyle name="Migliaia [0] 35 2 4" xfId="52708" xr:uid="{00000000-0005-0000-0000-00003AA40000}"/>
    <cellStyle name="Migliaia [0] 35 3" xfId="9707" xr:uid="{00000000-0005-0000-0000-00003BA40000}"/>
    <cellStyle name="Migliaia [0] 35 3 2" xfId="26033" xr:uid="{00000000-0005-0000-0000-00003CA40000}"/>
    <cellStyle name="Migliaia [0] 35 3 3" xfId="41011" xr:uid="{00000000-0005-0000-0000-00003DA40000}"/>
    <cellStyle name="Migliaia [0] 35 3 4" xfId="54495" xr:uid="{00000000-0005-0000-0000-00003EA40000}"/>
    <cellStyle name="Migliaia [0] 35 4" xfId="16916" xr:uid="{00000000-0005-0000-0000-00003FA40000}"/>
    <cellStyle name="Migliaia [0] 35 4 2" xfId="33032" xr:uid="{00000000-0005-0000-0000-000040A40000}"/>
    <cellStyle name="Migliaia [0] 35 4 3" xfId="47993" xr:uid="{00000000-0005-0000-0000-000041A40000}"/>
    <cellStyle name="Migliaia [0] 35 4 4" xfId="55439" xr:uid="{00000000-0005-0000-0000-000042A40000}"/>
    <cellStyle name="Migliaia [0] 35 5" xfId="19014" xr:uid="{00000000-0005-0000-0000-000043A40000}"/>
    <cellStyle name="Migliaia [0] 35 6" xfId="34009" xr:uid="{00000000-0005-0000-0000-000044A40000}"/>
    <cellStyle name="Migliaia [0] 35 7" xfId="48949" xr:uid="{00000000-0005-0000-0000-000045A40000}"/>
    <cellStyle name="Migliaia [0] 35 8" xfId="49354" xr:uid="{00000000-0005-0000-0000-000046A40000}"/>
    <cellStyle name="Migliaia [0] 35 9" xfId="49760" xr:uid="{00000000-0005-0000-0000-000047A40000}"/>
    <cellStyle name="Migliaia [0] 36" xfId="257" xr:uid="{00000000-0005-0000-0000-000048A40000}"/>
    <cellStyle name="Migliaia [0] 36 10" xfId="50169" xr:uid="{00000000-0005-0000-0000-000049A40000}"/>
    <cellStyle name="Migliaia [0] 36 11" xfId="50611" xr:uid="{00000000-0005-0000-0000-00004AA40000}"/>
    <cellStyle name="Migliaia [0] 36 12" xfId="51330" xr:uid="{00000000-0005-0000-0000-00004BA40000}"/>
    <cellStyle name="Migliaia [0] 36 13" xfId="51743" xr:uid="{00000000-0005-0000-0000-00004CA40000}"/>
    <cellStyle name="Migliaia [0] 36 14" xfId="52158" xr:uid="{00000000-0005-0000-0000-00004DA40000}"/>
    <cellStyle name="Migliaia [0] 36 2" xfId="9027" xr:uid="{00000000-0005-0000-0000-00004EA40000}"/>
    <cellStyle name="Migliaia [0] 36 2 2" xfId="17919" xr:uid="{00000000-0005-0000-0000-00004FA40000}"/>
    <cellStyle name="Migliaia [0] 36 2 2 2" xfId="33579" xr:uid="{00000000-0005-0000-0000-000050A40000}"/>
    <cellStyle name="Migliaia [0] 36 2 2 3" xfId="48540" xr:uid="{00000000-0005-0000-0000-000051A40000}"/>
    <cellStyle name="Migliaia [0] 36 2 2 4" xfId="55064" xr:uid="{00000000-0005-0000-0000-000052A40000}"/>
    <cellStyle name="Migliaia [0] 36 2 3" xfId="55986" xr:uid="{00000000-0005-0000-0000-000053A40000}"/>
    <cellStyle name="Migliaia [0] 36 2 4" xfId="52709" xr:uid="{00000000-0005-0000-0000-000054A40000}"/>
    <cellStyle name="Migliaia [0] 36 3" xfId="9708" xr:uid="{00000000-0005-0000-0000-000055A40000}"/>
    <cellStyle name="Migliaia [0] 36 3 2" xfId="26034" xr:uid="{00000000-0005-0000-0000-000056A40000}"/>
    <cellStyle name="Migliaia [0] 36 3 3" xfId="41012" xr:uid="{00000000-0005-0000-0000-000057A40000}"/>
    <cellStyle name="Migliaia [0] 36 3 4" xfId="54496" xr:uid="{00000000-0005-0000-0000-000058A40000}"/>
    <cellStyle name="Migliaia [0] 36 4" xfId="16917" xr:uid="{00000000-0005-0000-0000-000059A40000}"/>
    <cellStyle name="Migliaia [0] 36 4 2" xfId="33033" xr:uid="{00000000-0005-0000-0000-00005AA40000}"/>
    <cellStyle name="Migliaia [0] 36 4 3" xfId="47994" xr:uid="{00000000-0005-0000-0000-00005BA40000}"/>
    <cellStyle name="Migliaia [0] 36 4 4" xfId="55440" xr:uid="{00000000-0005-0000-0000-00005CA40000}"/>
    <cellStyle name="Migliaia [0] 36 5" xfId="19015" xr:uid="{00000000-0005-0000-0000-00005DA40000}"/>
    <cellStyle name="Migliaia [0] 36 6" xfId="34010" xr:uid="{00000000-0005-0000-0000-00005EA40000}"/>
    <cellStyle name="Migliaia [0] 36 7" xfId="48950" xr:uid="{00000000-0005-0000-0000-00005FA40000}"/>
    <cellStyle name="Migliaia [0] 36 8" xfId="49355" xr:uid="{00000000-0005-0000-0000-000060A40000}"/>
    <cellStyle name="Migliaia [0] 36 9" xfId="49761" xr:uid="{00000000-0005-0000-0000-000061A40000}"/>
    <cellStyle name="Migliaia [0] 37" xfId="258" xr:uid="{00000000-0005-0000-0000-000062A40000}"/>
    <cellStyle name="Migliaia [0] 37 10" xfId="50170" xr:uid="{00000000-0005-0000-0000-000063A40000}"/>
    <cellStyle name="Migliaia [0] 37 11" xfId="50612" xr:uid="{00000000-0005-0000-0000-000064A40000}"/>
    <cellStyle name="Migliaia [0] 37 12" xfId="51331" xr:uid="{00000000-0005-0000-0000-000065A40000}"/>
    <cellStyle name="Migliaia [0] 37 13" xfId="51744" xr:uid="{00000000-0005-0000-0000-000066A40000}"/>
    <cellStyle name="Migliaia [0] 37 14" xfId="52159" xr:uid="{00000000-0005-0000-0000-000067A40000}"/>
    <cellStyle name="Migliaia [0] 37 2" xfId="9028" xr:uid="{00000000-0005-0000-0000-000068A40000}"/>
    <cellStyle name="Migliaia [0] 37 2 2" xfId="17920" xr:uid="{00000000-0005-0000-0000-000069A40000}"/>
    <cellStyle name="Migliaia [0] 37 2 2 2" xfId="33580" xr:uid="{00000000-0005-0000-0000-00006AA40000}"/>
    <cellStyle name="Migliaia [0] 37 2 2 3" xfId="48541" xr:uid="{00000000-0005-0000-0000-00006BA40000}"/>
    <cellStyle name="Migliaia [0] 37 2 2 4" xfId="55065" xr:uid="{00000000-0005-0000-0000-00006CA40000}"/>
    <cellStyle name="Migliaia [0] 37 2 3" xfId="55987" xr:uid="{00000000-0005-0000-0000-00006DA40000}"/>
    <cellStyle name="Migliaia [0] 37 2 4" xfId="52710" xr:uid="{00000000-0005-0000-0000-00006EA40000}"/>
    <cellStyle name="Migliaia [0] 37 3" xfId="9709" xr:uid="{00000000-0005-0000-0000-00006FA40000}"/>
    <cellStyle name="Migliaia [0] 37 3 2" xfId="26035" xr:uid="{00000000-0005-0000-0000-000070A40000}"/>
    <cellStyle name="Migliaia [0] 37 3 3" xfId="41013" xr:uid="{00000000-0005-0000-0000-000071A40000}"/>
    <cellStyle name="Migliaia [0] 37 3 4" xfId="54497" xr:uid="{00000000-0005-0000-0000-000072A40000}"/>
    <cellStyle name="Migliaia [0] 37 4" xfId="16918" xr:uid="{00000000-0005-0000-0000-000073A40000}"/>
    <cellStyle name="Migliaia [0] 37 4 2" xfId="33034" xr:uid="{00000000-0005-0000-0000-000074A40000}"/>
    <cellStyle name="Migliaia [0] 37 4 3" xfId="47995" xr:uid="{00000000-0005-0000-0000-000075A40000}"/>
    <cellStyle name="Migliaia [0] 37 4 4" xfId="55441" xr:uid="{00000000-0005-0000-0000-000076A40000}"/>
    <cellStyle name="Migliaia [0] 37 5" xfId="19016" xr:uid="{00000000-0005-0000-0000-000077A40000}"/>
    <cellStyle name="Migliaia [0] 37 6" xfId="34011" xr:uid="{00000000-0005-0000-0000-000078A40000}"/>
    <cellStyle name="Migliaia [0] 37 7" xfId="48951" xr:uid="{00000000-0005-0000-0000-000079A40000}"/>
    <cellStyle name="Migliaia [0] 37 8" xfId="49356" xr:uid="{00000000-0005-0000-0000-00007AA40000}"/>
    <cellStyle name="Migliaia [0] 37 9" xfId="49762" xr:uid="{00000000-0005-0000-0000-00007BA40000}"/>
    <cellStyle name="Migliaia [0] 38" xfId="259" xr:uid="{00000000-0005-0000-0000-00007CA40000}"/>
    <cellStyle name="Migliaia [0] 38 10" xfId="50171" xr:uid="{00000000-0005-0000-0000-00007DA40000}"/>
    <cellStyle name="Migliaia [0] 38 11" xfId="50613" xr:uid="{00000000-0005-0000-0000-00007EA40000}"/>
    <cellStyle name="Migliaia [0] 38 12" xfId="51332" xr:uid="{00000000-0005-0000-0000-00007FA40000}"/>
    <cellStyle name="Migliaia [0] 38 13" xfId="51745" xr:uid="{00000000-0005-0000-0000-000080A40000}"/>
    <cellStyle name="Migliaia [0] 38 14" xfId="52160" xr:uid="{00000000-0005-0000-0000-000081A40000}"/>
    <cellStyle name="Migliaia [0] 38 2" xfId="9029" xr:uid="{00000000-0005-0000-0000-000082A40000}"/>
    <cellStyle name="Migliaia [0] 38 2 2" xfId="17921" xr:uid="{00000000-0005-0000-0000-000083A40000}"/>
    <cellStyle name="Migliaia [0] 38 2 2 2" xfId="33581" xr:uid="{00000000-0005-0000-0000-000084A40000}"/>
    <cellStyle name="Migliaia [0] 38 2 2 3" xfId="48542" xr:uid="{00000000-0005-0000-0000-000085A40000}"/>
    <cellStyle name="Migliaia [0] 38 2 2 4" xfId="55066" xr:uid="{00000000-0005-0000-0000-000086A40000}"/>
    <cellStyle name="Migliaia [0] 38 2 3" xfId="55988" xr:uid="{00000000-0005-0000-0000-000087A40000}"/>
    <cellStyle name="Migliaia [0] 38 2 4" xfId="52711" xr:uid="{00000000-0005-0000-0000-000088A40000}"/>
    <cellStyle name="Migliaia [0] 38 3" xfId="9710" xr:uid="{00000000-0005-0000-0000-000089A40000}"/>
    <cellStyle name="Migliaia [0] 38 3 2" xfId="26036" xr:uid="{00000000-0005-0000-0000-00008AA40000}"/>
    <cellStyle name="Migliaia [0] 38 3 3" xfId="41014" xr:uid="{00000000-0005-0000-0000-00008BA40000}"/>
    <cellStyle name="Migliaia [0] 38 3 4" xfId="54498" xr:uid="{00000000-0005-0000-0000-00008CA40000}"/>
    <cellStyle name="Migliaia [0] 38 4" xfId="16919" xr:uid="{00000000-0005-0000-0000-00008DA40000}"/>
    <cellStyle name="Migliaia [0] 38 4 2" xfId="33035" xr:uid="{00000000-0005-0000-0000-00008EA40000}"/>
    <cellStyle name="Migliaia [0] 38 4 3" xfId="47996" xr:uid="{00000000-0005-0000-0000-00008FA40000}"/>
    <cellStyle name="Migliaia [0] 38 4 4" xfId="55442" xr:uid="{00000000-0005-0000-0000-000090A40000}"/>
    <cellStyle name="Migliaia [0] 38 5" xfId="19017" xr:uid="{00000000-0005-0000-0000-000091A40000}"/>
    <cellStyle name="Migliaia [0] 38 6" xfId="34012" xr:uid="{00000000-0005-0000-0000-000092A40000}"/>
    <cellStyle name="Migliaia [0] 38 7" xfId="48952" xr:uid="{00000000-0005-0000-0000-000093A40000}"/>
    <cellStyle name="Migliaia [0] 38 8" xfId="49357" xr:uid="{00000000-0005-0000-0000-000094A40000}"/>
    <cellStyle name="Migliaia [0] 38 9" xfId="49763" xr:uid="{00000000-0005-0000-0000-000095A40000}"/>
    <cellStyle name="Migliaia [0] 39" xfId="260" xr:uid="{00000000-0005-0000-0000-000096A40000}"/>
    <cellStyle name="Migliaia [0] 39 10" xfId="50172" xr:uid="{00000000-0005-0000-0000-000097A40000}"/>
    <cellStyle name="Migliaia [0] 39 11" xfId="50614" xr:uid="{00000000-0005-0000-0000-000098A40000}"/>
    <cellStyle name="Migliaia [0] 39 12" xfId="51333" xr:uid="{00000000-0005-0000-0000-000099A40000}"/>
    <cellStyle name="Migliaia [0] 39 13" xfId="51746" xr:uid="{00000000-0005-0000-0000-00009AA40000}"/>
    <cellStyle name="Migliaia [0] 39 14" xfId="52161" xr:uid="{00000000-0005-0000-0000-00009BA40000}"/>
    <cellStyle name="Migliaia [0] 39 2" xfId="9030" xr:uid="{00000000-0005-0000-0000-00009CA40000}"/>
    <cellStyle name="Migliaia [0] 39 2 2" xfId="17922" xr:uid="{00000000-0005-0000-0000-00009DA40000}"/>
    <cellStyle name="Migliaia [0] 39 2 2 2" xfId="33582" xr:uid="{00000000-0005-0000-0000-00009EA40000}"/>
    <cellStyle name="Migliaia [0] 39 2 2 3" xfId="48543" xr:uid="{00000000-0005-0000-0000-00009FA40000}"/>
    <cellStyle name="Migliaia [0] 39 2 2 4" xfId="55067" xr:uid="{00000000-0005-0000-0000-0000A0A40000}"/>
    <cellStyle name="Migliaia [0] 39 2 3" xfId="55989" xr:uid="{00000000-0005-0000-0000-0000A1A40000}"/>
    <cellStyle name="Migliaia [0] 39 2 4" xfId="52712" xr:uid="{00000000-0005-0000-0000-0000A2A40000}"/>
    <cellStyle name="Migliaia [0] 39 3" xfId="9711" xr:uid="{00000000-0005-0000-0000-0000A3A40000}"/>
    <cellStyle name="Migliaia [0] 39 3 2" xfId="26037" xr:uid="{00000000-0005-0000-0000-0000A4A40000}"/>
    <cellStyle name="Migliaia [0] 39 3 3" xfId="41015" xr:uid="{00000000-0005-0000-0000-0000A5A40000}"/>
    <cellStyle name="Migliaia [0] 39 3 4" xfId="54499" xr:uid="{00000000-0005-0000-0000-0000A6A40000}"/>
    <cellStyle name="Migliaia [0] 39 4" xfId="16920" xr:uid="{00000000-0005-0000-0000-0000A7A40000}"/>
    <cellStyle name="Migliaia [0] 39 4 2" xfId="33036" xr:uid="{00000000-0005-0000-0000-0000A8A40000}"/>
    <cellStyle name="Migliaia [0] 39 4 3" xfId="47997" xr:uid="{00000000-0005-0000-0000-0000A9A40000}"/>
    <cellStyle name="Migliaia [0] 39 4 4" xfId="55443" xr:uid="{00000000-0005-0000-0000-0000AAA40000}"/>
    <cellStyle name="Migliaia [0] 39 5" xfId="19018" xr:uid="{00000000-0005-0000-0000-0000ABA40000}"/>
    <cellStyle name="Migliaia [0] 39 6" xfId="34013" xr:uid="{00000000-0005-0000-0000-0000ACA40000}"/>
    <cellStyle name="Migliaia [0] 39 7" xfId="48953" xr:uid="{00000000-0005-0000-0000-0000ADA40000}"/>
    <cellStyle name="Migliaia [0] 39 8" xfId="49358" xr:uid="{00000000-0005-0000-0000-0000AEA40000}"/>
    <cellStyle name="Migliaia [0] 39 9" xfId="49764" xr:uid="{00000000-0005-0000-0000-0000AFA40000}"/>
    <cellStyle name="Migliaia [0] 4" xfId="261" xr:uid="{00000000-0005-0000-0000-0000B0A40000}"/>
    <cellStyle name="Migliaia [0] 4 10" xfId="50173" xr:uid="{00000000-0005-0000-0000-0000B1A40000}"/>
    <cellStyle name="Migliaia [0] 4 11" xfId="50615" xr:uid="{00000000-0005-0000-0000-0000B2A40000}"/>
    <cellStyle name="Migliaia [0] 4 12" xfId="51334" xr:uid="{00000000-0005-0000-0000-0000B3A40000}"/>
    <cellStyle name="Migliaia [0] 4 13" xfId="51747" xr:uid="{00000000-0005-0000-0000-0000B4A40000}"/>
    <cellStyle name="Migliaia [0] 4 14" xfId="52162" xr:uid="{00000000-0005-0000-0000-0000B5A40000}"/>
    <cellStyle name="Migliaia [0] 4 2" xfId="9031" xr:uid="{00000000-0005-0000-0000-0000B6A40000}"/>
    <cellStyle name="Migliaia [0] 4 2 2" xfId="17923" xr:uid="{00000000-0005-0000-0000-0000B7A40000}"/>
    <cellStyle name="Migliaia [0] 4 2 2 2" xfId="33583" xr:uid="{00000000-0005-0000-0000-0000B8A40000}"/>
    <cellStyle name="Migliaia [0] 4 2 2 3" xfId="48544" xr:uid="{00000000-0005-0000-0000-0000B9A40000}"/>
    <cellStyle name="Migliaia [0] 4 2 2 4" xfId="55068" xr:uid="{00000000-0005-0000-0000-0000BAA40000}"/>
    <cellStyle name="Migliaia [0] 4 2 3" xfId="55990" xr:uid="{00000000-0005-0000-0000-0000BBA40000}"/>
    <cellStyle name="Migliaia [0] 4 2 4" xfId="52713" xr:uid="{00000000-0005-0000-0000-0000BCA40000}"/>
    <cellStyle name="Migliaia [0] 4 3" xfId="9712" xr:uid="{00000000-0005-0000-0000-0000BDA40000}"/>
    <cellStyle name="Migliaia [0] 4 3 2" xfId="26038" xr:uid="{00000000-0005-0000-0000-0000BEA40000}"/>
    <cellStyle name="Migliaia [0] 4 3 3" xfId="41016" xr:uid="{00000000-0005-0000-0000-0000BFA40000}"/>
    <cellStyle name="Migliaia [0] 4 3 4" xfId="54500" xr:uid="{00000000-0005-0000-0000-0000C0A40000}"/>
    <cellStyle name="Migliaia [0] 4 4" xfId="16921" xr:uid="{00000000-0005-0000-0000-0000C1A40000}"/>
    <cellStyle name="Migliaia [0] 4 4 2" xfId="33037" xr:uid="{00000000-0005-0000-0000-0000C2A40000}"/>
    <cellStyle name="Migliaia [0] 4 4 3" xfId="47998" xr:uid="{00000000-0005-0000-0000-0000C3A40000}"/>
    <cellStyle name="Migliaia [0] 4 4 4" xfId="55444" xr:uid="{00000000-0005-0000-0000-0000C4A40000}"/>
    <cellStyle name="Migliaia [0] 4 5" xfId="19019" xr:uid="{00000000-0005-0000-0000-0000C5A40000}"/>
    <cellStyle name="Migliaia [0] 4 6" xfId="34014" xr:uid="{00000000-0005-0000-0000-0000C6A40000}"/>
    <cellStyle name="Migliaia [0] 4 7" xfId="48954" xr:uid="{00000000-0005-0000-0000-0000C7A40000}"/>
    <cellStyle name="Migliaia [0] 4 8" xfId="49359" xr:uid="{00000000-0005-0000-0000-0000C8A40000}"/>
    <cellStyle name="Migliaia [0] 4 9" xfId="49765" xr:uid="{00000000-0005-0000-0000-0000C9A40000}"/>
    <cellStyle name="Migliaia [0] 40" xfId="262" xr:uid="{00000000-0005-0000-0000-0000CAA40000}"/>
    <cellStyle name="Migliaia [0] 40 10" xfId="50174" xr:uid="{00000000-0005-0000-0000-0000CBA40000}"/>
    <cellStyle name="Migliaia [0] 40 11" xfId="50616" xr:uid="{00000000-0005-0000-0000-0000CCA40000}"/>
    <cellStyle name="Migliaia [0] 40 12" xfId="51335" xr:uid="{00000000-0005-0000-0000-0000CDA40000}"/>
    <cellStyle name="Migliaia [0] 40 13" xfId="51748" xr:uid="{00000000-0005-0000-0000-0000CEA40000}"/>
    <cellStyle name="Migliaia [0] 40 14" xfId="52163" xr:uid="{00000000-0005-0000-0000-0000CFA40000}"/>
    <cellStyle name="Migliaia [0] 40 2" xfId="9032" xr:uid="{00000000-0005-0000-0000-0000D0A40000}"/>
    <cellStyle name="Migliaia [0] 40 2 2" xfId="17924" xr:uid="{00000000-0005-0000-0000-0000D1A40000}"/>
    <cellStyle name="Migliaia [0] 40 2 2 2" xfId="33584" xr:uid="{00000000-0005-0000-0000-0000D2A40000}"/>
    <cellStyle name="Migliaia [0] 40 2 2 3" xfId="48545" xr:uid="{00000000-0005-0000-0000-0000D3A40000}"/>
    <cellStyle name="Migliaia [0] 40 2 2 4" xfId="55069" xr:uid="{00000000-0005-0000-0000-0000D4A40000}"/>
    <cellStyle name="Migliaia [0] 40 2 3" xfId="55991" xr:uid="{00000000-0005-0000-0000-0000D5A40000}"/>
    <cellStyle name="Migliaia [0] 40 2 4" xfId="52714" xr:uid="{00000000-0005-0000-0000-0000D6A40000}"/>
    <cellStyle name="Migliaia [0] 40 3" xfId="9713" xr:uid="{00000000-0005-0000-0000-0000D7A40000}"/>
    <cellStyle name="Migliaia [0] 40 3 2" xfId="26039" xr:uid="{00000000-0005-0000-0000-0000D8A40000}"/>
    <cellStyle name="Migliaia [0] 40 3 3" xfId="41017" xr:uid="{00000000-0005-0000-0000-0000D9A40000}"/>
    <cellStyle name="Migliaia [0] 40 3 4" xfId="54501" xr:uid="{00000000-0005-0000-0000-0000DAA40000}"/>
    <cellStyle name="Migliaia [0] 40 4" xfId="16922" xr:uid="{00000000-0005-0000-0000-0000DBA40000}"/>
    <cellStyle name="Migliaia [0] 40 4 2" xfId="33038" xr:uid="{00000000-0005-0000-0000-0000DCA40000}"/>
    <cellStyle name="Migliaia [0] 40 4 3" xfId="47999" xr:uid="{00000000-0005-0000-0000-0000DDA40000}"/>
    <cellStyle name="Migliaia [0] 40 4 4" xfId="55445" xr:uid="{00000000-0005-0000-0000-0000DEA40000}"/>
    <cellStyle name="Migliaia [0] 40 5" xfId="19020" xr:uid="{00000000-0005-0000-0000-0000DFA40000}"/>
    <cellStyle name="Migliaia [0] 40 6" xfId="34015" xr:uid="{00000000-0005-0000-0000-0000E0A40000}"/>
    <cellStyle name="Migliaia [0] 40 7" xfId="48955" xr:uid="{00000000-0005-0000-0000-0000E1A40000}"/>
    <cellStyle name="Migliaia [0] 40 8" xfId="49360" xr:uid="{00000000-0005-0000-0000-0000E2A40000}"/>
    <cellStyle name="Migliaia [0] 40 9" xfId="49766" xr:uid="{00000000-0005-0000-0000-0000E3A40000}"/>
    <cellStyle name="Migliaia [0] 41" xfId="263" xr:uid="{00000000-0005-0000-0000-0000E4A40000}"/>
    <cellStyle name="Migliaia [0] 41 10" xfId="50175" xr:uid="{00000000-0005-0000-0000-0000E5A40000}"/>
    <cellStyle name="Migliaia [0] 41 11" xfId="50617" xr:uid="{00000000-0005-0000-0000-0000E6A40000}"/>
    <cellStyle name="Migliaia [0] 41 12" xfId="51336" xr:uid="{00000000-0005-0000-0000-0000E7A40000}"/>
    <cellStyle name="Migliaia [0] 41 13" xfId="51749" xr:uid="{00000000-0005-0000-0000-0000E8A40000}"/>
    <cellStyle name="Migliaia [0] 41 14" xfId="52164" xr:uid="{00000000-0005-0000-0000-0000E9A40000}"/>
    <cellStyle name="Migliaia [0] 41 2" xfId="9033" xr:uid="{00000000-0005-0000-0000-0000EAA40000}"/>
    <cellStyle name="Migliaia [0] 41 2 2" xfId="17925" xr:uid="{00000000-0005-0000-0000-0000EBA40000}"/>
    <cellStyle name="Migliaia [0] 41 2 2 2" xfId="33585" xr:uid="{00000000-0005-0000-0000-0000ECA40000}"/>
    <cellStyle name="Migliaia [0] 41 2 2 3" xfId="48546" xr:uid="{00000000-0005-0000-0000-0000EDA40000}"/>
    <cellStyle name="Migliaia [0] 41 2 2 4" xfId="55070" xr:uid="{00000000-0005-0000-0000-0000EEA40000}"/>
    <cellStyle name="Migliaia [0] 41 2 3" xfId="55992" xr:uid="{00000000-0005-0000-0000-0000EFA40000}"/>
    <cellStyle name="Migliaia [0] 41 2 4" xfId="52715" xr:uid="{00000000-0005-0000-0000-0000F0A40000}"/>
    <cellStyle name="Migliaia [0] 41 3" xfId="9714" xr:uid="{00000000-0005-0000-0000-0000F1A40000}"/>
    <cellStyle name="Migliaia [0] 41 3 2" xfId="26040" xr:uid="{00000000-0005-0000-0000-0000F2A40000}"/>
    <cellStyle name="Migliaia [0] 41 3 3" xfId="41018" xr:uid="{00000000-0005-0000-0000-0000F3A40000}"/>
    <cellStyle name="Migliaia [0] 41 3 4" xfId="54502" xr:uid="{00000000-0005-0000-0000-0000F4A40000}"/>
    <cellStyle name="Migliaia [0] 41 4" xfId="16923" xr:uid="{00000000-0005-0000-0000-0000F5A40000}"/>
    <cellStyle name="Migliaia [0] 41 4 2" xfId="33039" xr:uid="{00000000-0005-0000-0000-0000F6A40000}"/>
    <cellStyle name="Migliaia [0] 41 4 3" xfId="48000" xr:uid="{00000000-0005-0000-0000-0000F7A40000}"/>
    <cellStyle name="Migliaia [0] 41 4 4" xfId="55446" xr:uid="{00000000-0005-0000-0000-0000F8A40000}"/>
    <cellStyle name="Migliaia [0] 41 5" xfId="19021" xr:uid="{00000000-0005-0000-0000-0000F9A40000}"/>
    <cellStyle name="Migliaia [0] 41 6" xfId="34016" xr:uid="{00000000-0005-0000-0000-0000FAA40000}"/>
    <cellStyle name="Migliaia [0] 41 7" xfId="48956" xr:uid="{00000000-0005-0000-0000-0000FBA40000}"/>
    <cellStyle name="Migliaia [0] 41 8" xfId="49361" xr:uid="{00000000-0005-0000-0000-0000FCA40000}"/>
    <cellStyle name="Migliaia [0] 41 9" xfId="49767" xr:uid="{00000000-0005-0000-0000-0000FDA40000}"/>
    <cellStyle name="Migliaia [0] 42" xfId="264" xr:uid="{00000000-0005-0000-0000-0000FEA40000}"/>
    <cellStyle name="Migliaia [0] 42 10" xfId="50176" xr:uid="{00000000-0005-0000-0000-0000FFA40000}"/>
    <cellStyle name="Migliaia [0] 42 11" xfId="50618" xr:uid="{00000000-0005-0000-0000-000000A50000}"/>
    <cellStyle name="Migliaia [0] 42 12" xfId="51337" xr:uid="{00000000-0005-0000-0000-000001A50000}"/>
    <cellStyle name="Migliaia [0] 42 13" xfId="51750" xr:uid="{00000000-0005-0000-0000-000002A50000}"/>
    <cellStyle name="Migliaia [0] 42 14" xfId="52165" xr:uid="{00000000-0005-0000-0000-000003A50000}"/>
    <cellStyle name="Migliaia [0] 42 2" xfId="9034" xr:uid="{00000000-0005-0000-0000-000004A50000}"/>
    <cellStyle name="Migliaia [0] 42 2 2" xfId="17926" xr:uid="{00000000-0005-0000-0000-000005A50000}"/>
    <cellStyle name="Migliaia [0] 42 2 2 2" xfId="33586" xr:uid="{00000000-0005-0000-0000-000006A50000}"/>
    <cellStyle name="Migliaia [0] 42 2 2 3" xfId="48547" xr:uid="{00000000-0005-0000-0000-000007A50000}"/>
    <cellStyle name="Migliaia [0] 42 2 2 4" xfId="55071" xr:uid="{00000000-0005-0000-0000-000008A50000}"/>
    <cellStyle name="Migliaia [0] 42 2 3" xfId="55993" xr:uid="{00000000-0005-0000-0000-000009A50000}"/>
    <cellStyle name="Migliaia [0] 42 2 4" xfId="52716" xr:uid="{00000000-0005-0000-0000-00000AA50000}"/>
    <cellStyle name="Migliaia [0] 42 3" xfId="9715" xr:uid="{00000000-0005-0000-0000-00000BA50000}"/>
    <cellStyle name="Migliaia [0] 42 3 2" xfId="26041" xr:uid="{00000000-0005-0000-0000-00000CA50000}"/>
    <cellStyle name="Migliaia [0] 42 3 3" xfId="41019" xr:uid="{00000000-0005-0000-0000-00000DA50000}"/>
    <cellStyle name="Migliaia [0] 42 3 4" xfId="54503" xr:uid="{00000000-0005-0000-0000-00000EA50000}"/>
    <cellStyle name="Migliaia [0] 42 4" xfId="16924" xr:uid="{00000000-0005-0000-0000-00000FA50000}"/>
    <cellStyle name="Migliaia [0] 42 4 2" xfId="33040" xr:uid="{00000000-0005-0000-0000-000010A50000}"/>
    <cellStyle name="Migliaia [0] 42 4 3" xfId="48001" xr:uid="{00000000-0005-0000-0000-000011A50000}"/>
    <cellStyle name="Migliaia [0] 42 4 4" xfId="55447" xr:uid="{00000000-0005-0000-0000-000012A50000}"/>
    <cellStyle name="Migliaia [0] 42 5" xfId="19022" xr:uid="{00000000-0005-0000-0000-000013A50000}"/>
    <cellStyle name="Migliaia [0] 42 6" xfId="34017" xr:uid="{00000000-0005-0000-0000-000014A50000}"/>
    <cellStyle name="Migliaia [0] 42 7" xfId="48957" xr:uid="{00000000-0005-0000-0000-000015A50000}"/>
    <cellStyle name="Migliaia [0] 42 8" xfId="49362" xr:uid="{00000000-0005-0000-0000-000016A50000}"/>
    <cellStyle name="Migliaia [0] 42 9" xfId="49768" xr:uid="{00000000-0005-0000-0000-000017A50000}"/>
    <cellStyle name="Migliaia [0] 43" xfId="265" xr:uid="{00000000-0005-0000-0000-000018A50000}"/>
    <cellStyle name="Migliaia [0] 43 10" xfId="50177" xr:uid="{00000000-0005-0000-0000-000019A50000}"/>
    <cellStyle name="Migliaia [0] 43 11" xfId="50619" xr:uid="{00000000-0005-0000-0000-00001AA50000}"/>
    <cellStyle name="Migliaia [0] 43 12" xfId="51338" xr:uid="{00000000-0005-0000-0000-00001BA50000}"/>
    <cellStyle name="Migliaia [0] 43 13" xfId="51751" xr:uid="{00000000-0005-0000-0000-00001CA50000}"/>
    <cellStyle name="Migliaia [0] 43 14" xfId="52166" xr:uid="{00000000-0005-0000-0000-00001DA50000}"/>
    <cellStyle name="Migliaia [0] 43 2" xfId="9035" xr:uid="{00000000-0005-0000-0000-00001EA50000}"/>
    <cellStyle name="Migliaia [0] 43 2 2" xfId="17927" xr:uid="{00000000-0005-0000-0000-00001FA50000}"/>
    <cellStyle name="Migliaia [0] 43 2 2 2" xfId="33587" xr:uid="{00000000-0005-0000-0000-000020A50000}"/>
    <cellStyle name="Migliaia [0] 43 2 2 3" xfId="48548" xr:uid="{00000000-0005-0000-0000-000021A50000}"/>
    <cellStyle name="Migliaia [0] 43 2 2 4" xfId="55072" xr:uid="{00000000-0005-0000-0000-000022A50000}"/>
    <cellStyle name="Migliaia [0] 43 2 3" xfId="55994" xr:uid="{00000000-0005-0000-0000-000023A50000}"/>
    <cellStyle name="Migliaia [0] 43 2 4" xfId="52717" xr:uid="{00000000-0005-0000-0000-000024A50000}"/>
    <cellStyle name="Migliaia [0] 43 3" xfId="9716" xr:uid="{00000000-0005-0000-0000-000025A50000}"/>
    <cellStyle name="Migliaia [0] 43 3 2" xfId="26042" xr:uid="{00000000-0005-0000-0000-000026A50000}"/>
    <cellStyle name="Migliaia [0] 43 3 3" xfId="41020" xr:uid="{00000000-0005-0000-0000-000027A50000}"/>
    <cellStyle name="Migliaia [0] 43 3 4" xfId="54504" xr:uid="{00000000-0005-0000-0000-000028A50000}"/>
    <cellStyle name="Migliaia [0] 43 4" xfId="16925" xr:uid="{00000000-0005-0000-0000-000029A50000}"/>
    <cellStyle name="Migliaia [0] 43 4 2" xfId="33041" xr:uid="{00000000-0005-0000-0000-00002AA50000}"/>
    <cellStyle name="Migliaia [0] 43 4 3" xfId="48002" xr:uid="{00000000-0005-0000-0000-00002BA50000}"/>
    <cellStyle name="Migliaia [0] 43 4 4" xfId="55448" xr:uid="{00000000-0005-0000-0000-00002CA50000}"/>
    <cellStyle name="Migliaia [0] 43 5" xfId="19023" xr:uid="{00000000-0005-0000-0000-00002DA50000}"/>
    <cellStyle name="Migliaia [0] 43 6" xfId="34018" xr:uid="{00000000-0005-0000-0000-00002EA50000}"/>
    <cellStyle name="Migliaia [0] 43 7" xfId="48958" xr:uid="{00000000-0005-0000-0000-00002FA50000}"/>
    <cellStyle name="Migliaia [0] 43 8" xfId="49363" xr:uid="{00000000-0005-0000-0000-000030A50000}"/>
    <cellStyle name="Migliaia [0] 43 9" xfId="49769" xr:uid="{00000000-0005-0000-0000-000031A50000}"/>
    <cellStyle name="Migliaia [0] 44" xfId="266" xr:uid="{00000000-0005-0000-0000-000032A50000}"/>
    <cellStyle name="Migliaia [0] 44 10" xfId="50178" xr:uid="{00000000-0005-0000-0000-000033A50000}"/>
    <cellStyle name="Migliaia [0] 44 11" xfId="50620" xr:uid="{00000000-0005-0000-0000-000034A50000}"/>
    <cellStyle name="Migliaia [0] 44 12" xfId="51339" xr:uid="{00000000-0005-0000-0000-000035A50000}"/>
    <cellStyle name="Migliaia [0] 44 13" xfId="51752" xr:uid="{00000000-0005-0000-0000-000036A50000}"/>
    <cellStyle name="Migliaia [0] 44 14" xfId="52167" xr:uid="{00000000-0005-0000-0000-000037A50000}"/>
    <cellStyle name="Migliaia [0] 44 2" xfId="9036" xr:uid="{00000000-0005-0000-0000-000038A50000}"/>
    <cellStyle name="Migliaia [0] 44 2 2" xfId="17928" xr:uid="{00000000-0005-0000-0000-000039A50000}"/>
    <cellStyle name="Migliaia [0] 44 2 2 2" xfId="33588" xr:uid="{00000000-0005-0000-0000-00003AA50000}"/>
    <cellStyle name="Migliaia [0] 44 2 2 3" xfId="48549" xr:uid="{00000000-0005-0000-0000-00003BA50000}"/>
    <cellStyle name="Migliaia [0] 44 2 2 4" xfId="55073" xr:uid="{00000000-0005-0000-0000-00003CA50000}"/>
    <cellStyle name="Migliaia [0] 44 2 3" xfId="55995" xr:uid="{00000000-0005-0000-0000-00003DA50000}"/>
    <cellStyle name="Migliaia [0] 44 2 4" xfId="52718" xr:uid="{00000000-0005-0000-0000-00003EA50000}"/>
    <cellStyle name="Migliaia [0] 44 3" xfId="9717" xr:uid="{00000000-0005-0000-0000-00003FA50000}"/>
    <cellStyle name="Migliaia [0] 44 3 2" xfId="26043" xr:uid="{00000000-0005-0000-0000-000040A50000}"/>
    <cellStyle name="Migliaia [0] 44 3 3" xfId="41021" xr:uid="{00000000-0005-0000-0000-000041A50000}"/>
    <cellStyle name="Migliaia [0] 44 3 4" xfId="54505" xr:uid="{00000000-0005-0000-0000-000042A50000}"/>
    <cellStyle name="Migliaia [0] 44 4" xfId="16926" xr:uid="{00000000-0005-0000-0000-000043A50000}"/>
    <cellStyle name="Migliaia [0] 44 4 2" xfId="33042" xr:uid="{00000000-0005-0000-0000-000044A50000}"/>
    <cellStyle name="Migliaia [0] 44 4 3" xfId="48003" xr:uid="{00000000-0005-0000-0000-000045A50000}"/>
    <cellStyle name="Migliaia [0] 44 4 4" xfId="55449" xr:uid="{00000000-0005-0000-0000-000046A50000}"/>
    <cellStyle name="Migliaia [0] 44 5" xfId="19024" xr:uid="{00000000-0005-0000-0000-000047A50000}"/>
    <cellStyle name="Migliaia [0] 44 6" xfId="34019" xr:uid="{00000000-0005-0000-0000-000048A50000}"/>
    <cellStyle name="Migliaia [0] 44 7" xfId="48959" xr:uid="{00000000-0005-0000-0000-000049A50000}"/>
    <cellStyle name="Migliaia [0] 44 8" xfId="49364" xr:uid="{00000000-0005-0000-0000-00004AA50000}"/>
    <cellStyle name="Migliaia [0] 44 9" xfId="49770" xr:uid="{00000000-0005-0000-0000-00004BA50000}"/>
    <cellStyle name="Migliaia [0] 45" xfId="267" xr:uid="{00000000-0005-0000-0000-00004CA50000}"/>
    <cellStyle name="Migliaia [0] 45 10" xfId="50179" xr:uid="{00000000-0005-0000-0000-00004DA50000}"/>
    <cellStyle name="Migliaia [0] 45 11" xfId="50621" xr:uid="{00000000-0005-0000-0000-00004EA50000}"/>
    <cellStyle name="Migliaia [0] 45 12" xfId="51340" xr:uid="{00000000-0005-0000-0000-00004FA50000}"/>
    <cellStyle name="Migliaia [0] 45 13" xfId="51753" xr:uid="{00000000-0005-0000-0000-000050A50000}"/>
    <cellStyle name="Migliaia [0] 45 14" xfId="52168" xr:uid="{00000000-0005-0000-0000-000051A50000}"/>
    <cellStyle name="Migliaia [0] 45 2" xfId="9037" xr:uid="{00000000-0005-0000-0000-000052A50000}"/>
    <cellStyle name="Migliaia [0] 45 2 2" xfId="17929" xr:uid="{00000000-0005-0000-0000-000053A50000}"/>
    <cellStyle name="Migliaia [0] 45 2 2 2" xfId="33589" xr:uid="{00000000-0005-0000-0000-000054A50000}"/>
    <cellStyle name="Migliaia [0] 45 2 2 3" xfId="48550" xr:uid="{00000000-0005-0000-0000-000055A50000}"/>
    <cellStyle name="Migliaia [0] 45 2 2 4" xfId="55074" xr:uid="{00000000-0005-0000-0000-000056A50000}"/>
    <cellStyle name="Migliaia [0] 45 2 3" xfId="55996" xr:uid="{00000000-0005-0000-0000-000057A50000}"/>
    <cellStyle name="Migliaia [0] 45 2 4" xfId="52719" xr:uid="{00000000-0005-0000-0000-000058A50000}"/>
    <cellStyle name="Migliaia [0] 45 3" xfId="9718" xr:uid="{00000000-0005-0000-0000-000059A50000}"/>
    <cellStyle name="Migliaia [0] 45 3 2" xfId="26044" xr:uid="{00000000-0005-0000-0000-00005AA50000}"/>
    <cellStyle name="Migliaia [0] 45 3 3" xfId="41022" xr:uid="{00000000-0005-0000-0000-00005BA50000}"/>
    <cellStyle name="Migliaia [0] 45 3 4" xfId="54506" xr:uid="{00000000-0005-0000-0000-00005CA50000}"/>
    <cellStyle name="Migliaia [0] 45 4" xfId="16927" xr:uid="{00000000-0005-0000-0000-00005DA50000}"/>
    <cellStyle name="Migliaia [0] 45 4 2" xfId="33043" xr:uid="{00000000-0005-0000-0000-00005EA50000}"/>
    <cellStyle name="Migliaia [0] 45 4 3" xfId="48004" xr:uid="{00000000-0005-0000-0000-00005FA50000}"/>
    <cellStyle name="Migliaia [0] 45 4 4" xfId="55450" xr:uid="{00000000-0005-0000-0000-000060A50000}"/>
    <cellStyle name="Migliaia [0] 45 5" xfId="19025" xr:uid="{00000000-0005-0000-0000-000061A50000}"/>
    <cellStyle name="Migliaia [0] 45 6" xfId="34020" xr:uid="{00000000-0005-0000-0000-000062A50000}"/>
    <cellStyle name="Migliaia [0] 45 7" xfId="48960" xr:uid="{00000000-0005-0000-0000-000063A50000}"/>
    <cellStyle name="Migliaia [0] 45 8" xfId="49365" xr:uid="{00000000-0005-0000-0000-000064A50000}"/>
    <cellStyle name="Migliaia [0] 45 9" xfId="49771" xr:uid="{00000000-0005-0000-0000-000065A50000}"/>
    <cellStyle name="Migliaia [0] 46" xfId="268" xr:uid="{00000000-0005-0000-0000-000066A50000}"/>
    <cellStyle name="Migliaia [0] 46 10" xfId="50180" xr:uid="{00000000-0005-0000-0000-000067A50000}"/>
    <cellStyle name="Migliaia [0] 46 11" xfId="50622" xr:uid="{00000000-0005-0000-0000-000068A50000}"/>
    <cellStyle name="Migliaia [0] 46 12" xfId="51341" xr:uid="{00000000-0005-0000-0000-000069A50000}"/>
    <cellStyle name="Migliaia [0] 46 13" xfId="51754" xr:uid="{00000000-0005-0000-0000-00006AA50000}"/>
    <cellStyle name="Migliaia [0] 46 14" xfId="52169" xr:uid="{00000000-0005-0000-0000-00006BA50000}"/>
    <cellStyle name="Migliaia [0] 46 2" xfId="9038" xr:uid="{00000000-0005-0000-0000-00006CA50000}"/>
    <cellStyle name="Migliaia [0] 46 2 2" xfId="17930" xr:uid="{00000000-0005-0000-0000-00006DA50000}"/>
    <cellStyle name="Migliaia [0] 46 2 2 2" xfId="33590" xr:uid="{00000000-0005-0000-0000-00006EA50000}"/>
    <cellStyle name="Migliaia [0] 46 2 2 3" xfId="48551" xr:uid="{00000000-0005-0000-0000-00006FA50000}"/>
    <cellStyle name="Migliaia [0] 46 2 2 4" xfId="55075" xr:uid="{00000000-0005-0000-0000-000070A50000}"/>
    <cellStyle name="Migliaia [0] 46 2 3" xfId="55997" xr:uid="{00000000-0005-0000-0000-000071A50000}"/>
    <cellStyle name="Migliaia [0] 46 2 4" xfId="52720" xr:uid="{00000000-0005-0000-0000-000072A50000}"/>
    <cellStyle name="Migliaia [0] 46 3" xfId="9719" xr:uid="{00000000-0005-0000-0000-000073A50000}"/>
    <cellStyle name="Migliaia [0] 46 3 2" xfId="26045" xr:uid="{00000000-0005-0000-0000-000074A50000}"/>
    <cellStyle name="Migliaia [0] 46 3 3" xfId="41023" xr:uid="{00000000-0005-0000-0000-000075A50000}"/>
    <cellStyle name="Migliaia [0] 46 3 4" xfId="54507" xr:uid="{00000000-0005-0000-0000-000076A50000}"/>
    <cellStyle name="Migliaia [0] 46 4" xfId="16928" xr:uid="{00000000-0005-0000-0000-000077A50000}"/>
    <cellStyle name="Migliaia [0] 46 4 2" xfId="33044" xr:uid="{00000000-0005-0000-0000-000078A50000}"/>
    <cellStyle name="Migliaia [0] 46 4 3" xfId="48005" xr:uid="{00000000-0005-0000-0000-000079A50000}"/>
    <cellStyle name="Migliaia [0] 46 4 4" xfId="55451" xr:uid="{00000000-0005-0000-0000-00007AA50000}"/>
    <cellStyle name="Migliaia [0] 46 5" xfId="19026" xr:uid="{00000000-0005-0000-0000-00007BA50000}"/>
    <cellStyle name="Migliaia [0] 46 6" xfId="34021" xr:uid="{00000000-0005-0000-0000-00007CA50000}"/>
    <cellStyle name="Migliaia [0] 46 7" xfId="48961" xr:uid="{00000000-0005-0000-0000-00007DA50000}"/>
    <cellStyle name="Migliaia [0] 46 8" xfId="49366" xr:uid="{00000000-0005-0000-0000-00007EA50000}"/>
    <cellStyle name="Migliaia [0] 46 9" xfId="49772" xr:uid="{00000000-0005-0000-0000-00007FA50000}"/>
    <cellStyle name="Migliaia [0] 47" xfId="269" xr:uid="{00000000-0005-0000-0000-000080A50000}"/>
    <cellStyle name="Migliaia [0] 47 10" xfId="50181" xr:uid="{00000000-0005-0000-0000-000081A50000}"/>
    <cellStyle name="Migliaia [0] 47 11" xfId="50623" xr:uid="{00000000-0005-0000-0000-000082A50000}"/>
    <cellStyle name="Migliaia [0] 47 12" xfId="51342" xr:uid="{00000000-0005-0000-0000-000083A50000}"/>
    <cellStyle name="Migliaia [0] 47 13" xfId="51755" xr:uid="{00000000-0005-0000-0000-000084A50000}"/>
    <cellStyle name="Migliaia [0] 47 14" xfId="52170" xr:uid="{00000000-0005-0000-0000-000085A50000}"/>
    <cellStyle name="Migliaia [0] 47 2" xfId="9039" xr:uid="{00000000-0005-0000-0000-000086A50000}"/>
    <cellStyle name="Migliaia [0] 47 2 2" xfId="17931" xr:uid="{00000000-0005-0000-0000-000087A50000}"/>
    <cellStyle name="Migliaia [0] 47 2 2 2" xfId="33591" xr:uid="{00000000-0005-0000-0000-000088A50000}"/>
    <cellStyle name="Migliaia [0] 47 2 2 3" xfId="48552" xr:uid="{00000000-0005-0000-0000-000089A50000}"/>
    <cellStyle name="Migliaia [0] 47 2 2 4" xfId="55076" xr:uid="{00000000-0005-0000-0000-00008AA50000}"/>
    <cellStyle name="Migliaia [0] 47 2 3" xfId="55998" xr:uid="{00000000-0005-0000-0000-00008BA50000}"/>
    <cellStyle name="Migliaia [0] 47 2 4" xfId="52721" xr:uid="{00000000-0005-0000-0000-00008CA50000}"/>
    <cellStyle name="Migliaia [0] 47 3" xfId="9720" xr:uid="{00000000-0005-0000-0000-00008DA50000}"/>
    <cellStyle name="Migliaia [0] 47 3 2" xfId="26046" xr:uid="{00000000-0005-0000-0000-00008EA50000}"/>
    <cellStyle name="Migliaia [0] 47 3 3" xfId="41024" xr:uid="{00000000-0005-0000-0000-00008FA50000}"/>
    <cellStyle name="Migliaia [0] 47 3 4" xfId="54508" xr:uid="{00000000-0005-0000-0000-000090A50000}"/>
    <cellStyle name="Migliaia [0] 47 4" xfId="16929" xr:uid="{00000000-0005-0000-0000-000091A50000}"/>
    <cellStyle name="Migliaia [0] 47 4 2" xfId="33045" xr:uid="{00000000-0005-0000-0000-000092A50000}"/>
    <cellStyle name="Migliaia [0] 47 4 3" xfId="48006" xr:uid="{00000000-0005-0000-0000-000093A50000}"/>
    <cellStyle name="Migliaia [0] 47 4 4" xfId="55452" xr:uid="{00000000-0005-0000-0000-000094A50000}"/>
    <cellStyle name="Migliaia [0] 47 5" xfId="19027" xr:uid="{00000000-0005-0000-0000-000095A50000}"/>
    <cellStyle name="Migliaia [0] 47 6" xfId="34022" xr:uid="{00000000-0005-0000-0000-000096A50000}"/>
    <cellStyle name="Migliaia [0] 47 7" xfId="48962" xr:uid="{00000000-0005-0000-0000-000097A50000}"/>
    <cellStyle name="Migliaia [0] 47 8" xfId="49367" xr:uid="{00000000-0005-0000-0000-000098A50000}"/>
    <cellStyle name="Migliaia [0] 47 9" xfId="49773" xr:uid="{00000000-0005-0000-0000-000099A50000}"/>
    <cellStyle name="Migliaia [0] 48" xfId="270" xr:uid="{00000000-0005-0000-0000-00009AA50000}"/>
    <cellStyle name="Migliaia [0] 48 10" xfId="50182" xr:uid="{00000000-0005-0000-0000-00009BA50000}"/>
    <cellStyle name="Migliaia [0] 48 11" xfId="50624" xr:uid="{00000000-0005-0000-0000-00009CA50000}"/>
    <cellStyle name="Migliaia [0] 48 12" xfId="51343" xr:uid="{00000000-0005-0000-0000-00009DA50000}"/>
    <cellStyle name="Migliaia [0] 48 13" xfId="51756" xr:uid="{00000000-0005-0000-0000-00009EA50000}"/>
    <cellStyle name="Migliaia [0] 48 14" xfId="52171" xr:uid="{00000000-0005-0000-0000-00009FA50000}"/>
    <cellStyle name="Migliaia [0] 48 2" xfId="9040" xr:uid="{00000000-0005-0000-0000-0000A0A50000}"/>
    <cellStyle name="Migliaia [0] 48 2 2" xfId="17932" xr:uid="{00000000-0005-0000-0000-0000A1A50000}"/>
    <cellStyle name="Migliaia [0] 48 2 2 2" xfId="33592" xr:uid="{00000000-0005-0000-0000-0000A2A50000}"/>
    <cellStyle name="Migliaia [0] 48 2 2 3" xfId="48553" xr:uid="{00000000-0005-0000-0000-0000A3A50000}"/>
    <cellStyle name="Migliaia [0] 48 2 2 4" xfId="55077" xr:uid="{00000000-0005-0000-0000-0000A4A50000}"/>
    <cellStyle name="Migliaia [0] 48 2 3" xfId="55999" xr:uid="{00000000-0005-0000-0000-0000A5A50000}"/>
    <cellStyle name="Migliaia [0] 48 2 4" xfId="52722" xr:uid="{00000000-0005-0000-0000-0000A6A50000}"/>
    <cellStyle name="Migliaia [0] 48 3" xfId="9721" xr:uid="{00000000-0005-0000-0000-0000A7A50000}"/>
    <cellStyle name="Migliaia [0] 48 3 2" xfId="26047" xr:uid="{00000000-0005-0000-0000-0000A8A50000}"/>
    <cellStyle name="Migliaia [0] 48 3 3" xfId="41025" xr:uid="{00000000-0005-0000-0000-0000A9A50000}"/>
    <cellStyle name="Migliaia [0] 48 3 4" xfId="54509" xr:uid="{00000000-0005-0000-0000-0000AAA50000}"/>
    <cellStyle name="Migliaia [0] 48 4" xfId="16930" xr:uid="{00000000-0005-0000-0000-0000ABA50000}"/>
    <cellStyle name="Migliaia [0] 48 4 2" xfId="33046" xr:uid="{00000000-0005-0000-0000-0000ACA50000}"/>
    <cellStyle name="Migliaia [0] 48 4 3" xfId="48007" xr:uid="{00000000-0005-0000-0000-0000ADA50000}"/>
    <cellStyle name="Migliaia [0] 48 4 4" xfId="55453" xr:uid="{00000000-0005-0000-0000-0000AEA50000}"/>
    <cellStyle name="Migliaia [0] 48 5" xfId="19028" xr:uid="{00000000-0005-0000-0000-0000AFA50000}"/>
    <cellStyle name="Migliaia [0] 48 6" xfId="34023" xr:uid="{00000000-0005-0000-0000-0000B0A50000}"/>
    <cellStyle name="Migliaia [0] 48 7" xfId="48963" xr:uid="{00000000-0005-0000-0000-0000B1A50000}"/>
    <cellStyle name="Migliaia [0] 48 8" xfId="49368" xr:uid="{00000000-0005-0000-0000-0000B2A50000}"/>
    <cellStyle name="Migliaia [0] 48 9" xfId="49774" xr:uid="{00000000-0005-0000-0000-0000B3A50000}"/>
    <cellStyle name="Migliaia [0] 49" xfId="271" xr:uid="{00000000-0005-0000-0000-0000B4A50000}"/>
    <cellStyle name="Migliaia [0] 49 10" xfId="50183" xr:uid="{00000000-0005-0000-0000-0000B5A50000}"/>
    <cellStyle name="Migliaia [0] 49 11" xfId="50625" xr:uid="{00000000-0005-0000-0000-0000B6A50000}"/>
    <cellStyle name="Migliaia [0] 49 12" xfId="51344" xr:uid="{00000000-0005-0000-0000-0000B7A50000}"/>
    <cellStyle name="Migliaia [0] 49 13" xfId="51757" xr:uid="{00000000-0005-0000-0000-0000B8A50000}"/>
    <cellStyle name="Migliaia [0] 49 14" xfId="52172" xr:uid="{00000000-0005-0000-0000-0000B9A50000}"/>
    <cellStyle name="Migliaia [0] 49 2" xfId="9041" xr:uid="{00000000-0005-0000-0000-0000BAA50000}"/>
    <cellStyle name="Migliaia [0] 49 2 2" xfId="17933" xr:uid="{00000000-0005-0000-0000-0000BBA50000}"/>
    <cellStyle name="Migliaia [0] 49 2 2 2" xfId="33593" xr:uid="{00000000-0005-0000-0000-0000BCA50000}"/>
    <cellStyle name="Migliaia [0] 49 2 2 3" xfId="48554" xr:uid="{00000000-0005-0000-0000-0000BDA50000}"/>
    <cellStyle name="Migliaia [0] 49 2 2 4" xfId="55078" xr:uid="{00000000-0005-0000-0000-0000BEA50000}"/>
    <cellStyle name="Migliaia [0] 49 2 3" xfId="56000" xr:uid="{00000000-0005-0000-0000-0000BFA50000}"/>
    <cellStyle name="Migliaia [0] 49 2 4" xfId="52723" xr:uid="{00000000-0005-0000-0000-0000C0A50000}"/>
    <cellStyle name="Migliaia [0] 49 3" xfId="9722" xr:uid="{00000000-0005-0000-0000-0000C1A50000}"/>
    <cellStyle name="Migliaia [0] 49 3 2" xfId="26048" xr:uid="{00000000-0005-0000-0000-0000C2A50000}"/>
    <cellStyle name="Migliaia [0] 49 3 3" xfId="41026" xr:uid="{00000000-0005-0000-0000-0000C3A50000}"/>
    <cellStyle name="Migliaia [0] 49 3 4" xfId="54510" xr:uid="{00000000-0005-0000-0000-0000C4A50000}"/>
    <cellStyle name="Migliaia [0] 49 4" xfId="16931" xr:uid="{00000000-0005-0000-0000-0000C5A50000}"/>
    <cellStyle name="Migliaia [0] 49 4 2" xfId="33047" xr:uid="{00000000-0005-0000-0000-0000C6A50000}"/>
    <cellStyle name="Migliaia [0] 49 4 3" xfId="48008" xr:uid="{00000000-0005-0000-0000-0000C7A50000}"/>
    <cellStyle name="Migliaia [0] 49 4 4" xfId="55454" xr:uid="{00000000-0005-0000-0000-0000C8A50000}"/>
    <cellStyle name="Migliaia [0] 49 5" xfId="19029" xr:uid="{00000000-0005-0000-0000-0000C9A50000}"/>
    <cellStyle name="Migliaia [0] 49 6" xfId="34024" xr:uid="{00000000-0005-0000-0000-0000CAA50000}"/>
    <cellStyle name="Migliaia [0] 49 7" xfId="48964" xr:uid="{00000000-0005-0000-0000-0000CBA50000}"/>
    <cellStyle name="Migliaia [0] 49 8" xfId="49369" xr:uid="{00000000-0005-0000-0000-0000CCA50000}"/>
    <cellStyle name="Migliaia [0] 49 9" xfId="49775" xr:uid="{00000000-0005-0000-0000-0000CDA50000}"/>
    <cellStyle name="Migliaia [0] 5" xfId="272" xr:uid="{00000000-0005-0000-0000-0000CEA50000}"/>
    <cellStyle name="Migliaia [0] 5 10" xfId="50184" xr:uid="{00000000-0005-0000-0000-0000CFA50000}"/>
    <cellStyle name="Migliaia [0] 5 11" xfId="50626" xr:uid="{00000000-0005-0000-0000-0000D0A50000}"/>
    <cellStyle name="Migliaia [0] 5 12" xfId="51345" xr:uid="{00000000-0005-0000-0000-0000D1A50000}"/>
    <cellStyle name="Migliaia [0] 5 13" xfId="51758" xr:uid="{00000000-0005-0000-0000-0000D2A50000}"/>
    <cellStyle name="Migliaia [0] 5 14" xfId="52173" xr:uid="{00000000-0005-0000-0000-0000D3A50000}"/>
    <cellStyle name="Migliaia [0] 5 2" xfId="9042" xr:uid="{00000000-0005-0000-0000-0000D4A50000}"/>
    <cellStyle name="Migliaia [0] 5 2 2" xfId="17934" xr:uid="{00000000-0005-0000-0000-0000D5A50000}"/>
    <cellStyle name="Migliaia [0] 5 2 2 2" xfId="33594" xr:uid="{00000000-0005-0000-0000-0000D6A50000}"/>
    <cellStyle name="Migliaia [0] 5 2 2 3" xfId="48555" xr:uid="{00000000-0005-0000-0000-0000D7A50000}"/>
    <cellStyle name="Migliaia [0] 5 2 2 4" xfId="55079" xr:uid="{00000000-0005-0000-0000-0000D8A50000}"/>
    <cellStyle name="Migliaia [0] 5 2 3" xfId="56001" xr:uid="{00000000-0005-0000-0000-0000D9A50000}"/>
    <cellStyle name="Migliaia [0] 5 2 4" xfId="52724" xr:uid="{00000000-0005-0000-0000-0000DAA50000}"/>
    <cellStyle name="Migliaia [0] 5 3" xfId="9723" xr:uid="{00000000-0005-0000-0000-0000DBA50000}"/>
    <cellStyle name="Migliaia [0] 5 3 2" xfId="26049" xr:uid="{00000000-0005-0000-0000-0000DCA50000}"/>
    <cellStyle name="Migliaia [0] 5 3 3" xfId="41027" xr:uid="{00000000-0005-0000-0000-0000DDA50000}"/>
    <cellStyle name="Migliaia [0] 5 3 4" xfId="54511" xr:uid="{00000000-0005-0000-0000-0000DEA50000}"/>
    <cellStyle name="Migliaia [0] 5 4" xfId="16932" xr:uid="{00000000-0005-0000-0000-0000DFA50000}"/>
    <cellStyle name="Migliaia [0] 5 4 2" xfId="33048" xr:uid="{00000000-0005-0000-0000-0000E0A50000}"/>
    <cellStyle name="Migliaia [0] 5 4 3" xfId="48009" xr:uid="{00000000-0005-0000-0000-0000E1A50000}"/>
    <cellStyle name="Migliaia [0] 5 4 4" xfId="55455" xr:uid="{00000000-0005-0000-0000-0000E2A50000}"/>
    <cellStyle name="Migliaia [0] 5 5" xfId="19030" xr:uid="{00000000-0005-0000-0000-0000E3A50000}"/>
    <cellStyle name="Migliaia [0] 5 6" xfId="34025" xr:uid="{00000000-0005-0000-0000-0000E4A50000}"/>
    <cellStyle name="Migliaia [0] 5 7" xfId="48965" xr:uid="{00000000-0005-0000-0000-0000E5A50000}"/>
    <cellStyle name="Migliaia [0] 5 8" xfId="49370" xr:uid="{00000000-0005-0000-0000-0000E6A50000}"/>
    <cellStyle name="Migliaia [0] 5 9" xfId="49776" xr:uid="{00000000-0005-0000-0000-0000E7A50000}"/>
    <cellStyle name="Migliaia [0] 50" xfId="273" xr:uid="{00000000-0005-0000-0000-0000E8A50000}"/>
    <cellStyle name="Migliaia [0] 50 10" xfId="50185" xr:uid="{00000000-0005-0000-0000-0000E9A50000}"/>
    <cellStyle name="Migliaia [0] 50 11" xfId="50627" xr:uid="{00000000-0005-0000-0000-0000EAA50000}"/>
    <cellStyle name="Migliaia [0] 50 12" xfId="51346" xr:uid="{00000000-0005-0000-0000-0000EBA50000}"/>
    <cellStyle name="Migliaia [0] 50 13" xfId="51759" xr:uid="{00000000-0005-0000-0000-0000ECA50000}"/>
    <cellStyle name="Migliaia [0] 50 14" xfId="52174" xr:uid="{00000000-0005-0000-0000-0000EDA50000}"/>
    <cellStyle name="Migliaia [0] 50 2" xfId="9043" xr:uid="{00000000-0005-0000-0000-0000EEA50000}"/>
    <cellStyle name="Migliaia [0] 50 2 2" xfId="17935" xr:uid="{00000000-0005-0000-0000-0000EFA50000}"/>
    <cellStyle name="Migliaia [0] 50 2 2 2" xfId="33595" xr:uid="{00000000-0005-0000-0000-0000F0A50000}"/>
    <cellStyle name="Migliaia [0] 50 2 2 3" xfId="48556" xr:uid="{00000000-0005-0000-0000-0000F1A50000}"/>
    <cellStyle name="Migliaia [0] 50 2 2 4" xfId="55080" xr:uid="{00000000-0005-0000-0000-0000F2A50000}"/>
    <cellStyle name="Migliaia [0] 50 2 3" xfId="56002" xr:uid="{00000000-0005-0000-0000-0000F3A50000}"/>
    <cellStyle name="Migliaia [0] 50 2 4" xfId="52725" xr:uid="{00000000-0005-0000-0000-0000F4A50000}"/>
    <cellStyle name="Migliaia [0] 50 3" xfId="9724" xr:uid="{00000000-0005-0000-0000-0000F5A50000}"/>
    <cellStyle name="Migliaia [0] 50 3 2" xfId="26050" xr:uid="{00000000-0005-0000-0000-0000F6A50000}"/>
    <cellStyle name="Migliaia [0] 50 3 3" xfId="41028" xr:uid="{00000000-0005-0000-0000-0000F7A50000}"/>
    <cellStyle name="Migliaia [0] 50 3 4" xfId="54512" xr:uid="{00000000-0005-0000-0000-0000F8A50000}"/>
    <cellStyle name="Migliaia [0] 50 4" xfId="16933" xr:uid="{00000000-0005-0000-0000-0000F9A50000}"/>
    <cellStyle name="Migliaia [0] 50 4 2" xfId="33049" xr:uid="{00000000-0005-0000-0000-0000FAA50000}"/>
    <cellStyle name="Migliaia [0] 50 4 3" xfId="48010" xr:uid="{00000000-0005-0000-0000-0000FBA50000}"/>
    <cellStyle name="Migliaia [0] 50 4 4" xfId="55456" xr:uid="{00000000-0005-0000-0000-0000FCA50000}"/>
    <cellStyle name="Migliaia [0] 50 5" xfId="19031" xr:uid="{00000000-0005-0000-0000-0000FDA50000}"/>
    <cellStyle name="Migliaia [0] 50 6" xfId="34026" xr:uid="{00000000-0005-0000-0000-0000FEA50000}"/>
    <cellStyle name="Migliaia [0] 50 7" xfId="48966" xr:uid="{00000000-0005-0000-0000-0000FFA50000}"/>
    <cellStyle name="Migliaia [0] 50 8" xfId="49371" xr:uid="{00000000-0005-0000-0000-000000A60000}"/>
    <cellStyle name="Migliaia [0] 50 9" xfId="49777" xr:uid="{00000000-0005-0000-0000-000001A60000}"/>
    <cellStyle name="Migliaia [0] 51" xfId="274" xr:uid="{00000000-0005-0000-0000-000002A60000}"/>
    <cellStyle name="Migliaia [0] 51 10" xfId="50186" xr:uid="{00000000-0005-0000-0000-000003A60000}"/>
    <cellStyle name="Migliaia [0] 51 11" xfId="50628" xr:uid="{00000000-0005-0000-0000-000004A60000}"/>
    <cellStyle name="Migliaia [0] 51 12" xfId="51347" xr:uid="{00000000-0005-0000-0000-000005A60000}"/>
    <cellStyle name="Migliaia [0] 51 13" xfId="51760" xr:uid="{00000000-0005-0000-0000-000006A60000}"/>
    <cellStyle name="Migliaia [0] 51 14" xfId="52175" xr:uid="{00000000-0005-0000-0000-000007A60000}"/>
    <cellStyle name="Migliaia [0] 51 2" xfId="9044" xr:uid="{00000000-0005-0000-0000-000008A60000}"/>
    <cellStyle name="Migliaia [0] 51 2 2" xfId="17936" xr:uid="{00000000-0005-0000-0000-000009A60000}"/>
    <cellStyle name="Migliaia [0] 51 2 2 2" xfId="33596" xr:uid="{00000000-0005-0000-0000-00000AA60000}"/>
    <cellStyle name="Migliaia [0] 51 2 2 3" xfId="48557" xr:uid="{00000000-0005-0000-0000-00000BA60000}"/>
    <cellStyle name="Migliaia [0] 51 2 2 4" xfId="55081" xr:uid="{00000000-0005-0000-0000-00000CA60000}"/>
    <cellStyle name="Migliaia [0] 51 2 3" xfId="56003" xr:uid="{00000000-0005-0000-0000-00000DA60000}"/>
    <cellStyle name="Migliaia [0] 51 2 4" xfId="52726" xr:uid="{00000000-0005-0000-0000-00000EA60000}"/>
    <cellStyle name="Migliaia [0] 51 3" xfId="9725" xr:uid="{00000000-0005-0000-0000-00000FA60000}"/>
    <cellStyle name="Migliaia [0] 51 3 2" xfId="26051" xr:uid="{00000000-0005-0000-0000-000010A60000}"/>
    <cellStyle name="Migliaia [0] 51 3 3" xfId="41029" xr:uid="{00000000-0005-0000-0000-000011A60000}"/>
    <cellStyle name="Migliaia [0] 51 3 4" xfId="54513" xr:uid="{00000000-0005-0000-0000-000012A60000}"/>
    <cellStyle name="Migliaia [0] 51 4" xfId="16934" xr:uid="{00000000-0005-0000-0000-000013A60000}"/>
    <cellStyle name="Migliaia [0] 51 4 2" xfId="33050" xr:uid="{00000000-0005-0000-0000-000014A60000}"/>
    <cellStyle name="Migliaia [0] 51 4 3" xfId="48011" xr:uid="{00000000-0005-0000-0000-000015A60000}"/>
    <cellStyle name="Migliaia [0] 51 4 4" xfId="55457" xr:uid="{00000000-0005-0000-0000-000016A60000}"/>
    <cellStyle name="Migliaia [0] 51 5" xfId="19032" xr:uid="{00000000-0005-0000-0000-000017A60000}"/>
    <cellStyle name="Migliaia [0] 51 6" xfId="34027" xr:uid="{00000000-0005-0000-0000-000018A60000}"/>
    <cellStyle name="Migliaia [0] 51 7" xfId="48967" xr:uid="{00000000-0005-0000-0000-000019A60000}"/>
    <cellStyle name="Migliaia [0] 51 8" xfId="49372" xr:uid="{00000000-0005-0000-0000-00001AA60000}"/>
    <cellStyle name="Migliaia [0] 51 9" xfId="49778" xr:uid="{00000000-0005-0000-0000-00001BA60000}"/>
    <cellStyle name="Migliaia [0] 52" xfId="275" xr:uid="{00000000-0005-0000-0000-00001CA60000}"/>
    <cellStyle name="Migliaia [0] 52 10" xfId="50187" xr:uid="{00000000-0005-0000-0000-00001DA60000}"/>
    <cellStyle name="Migliaia [0] 52 11" xfId="50629" xr:uid="{00000000-0005-0000-0000-00001EA60000}"/>
    <cellStyle name="Migliaia [0] 52 12" xfId="51348" xr:uid="{00000000-0005-0000-0000-00001FA60000}"/>
    <cellStyle name="Migliaia [0] 52 13" xfId="51761" xr:uid="{00000000-0005-0000-0000-000020A60000}"/>
    <cellStyle name="Migliaia [0] 52 14" xfId="52176" xr:uid="{00000000-0005-0000-0000-000021A60000}"/>
    <cellStyle name="Migliaia [0] 52 2" xfId="9045" xr:uid="{00000000-0005-0000-0000-000022A60000}"/>
    <cellStyle name="Migliaia [0] 52 2 2" xfId="17937" xr:uid="{00000000-0005-0000-0000-000023A60000}"/>
    <cellStyle name="Migliaia [0] 52 2 2 2" xfId="33597" xr:uid="{00000000-0005-0000-0000-000024A60000}"/>
    <cellStyle name="Migliaia [0] 52 2 2 3" xfId="48558" xr:uid="{00000000-0005-0000-0000-000025A60000}"/>
    <cellStyle name="Migliaia [0] 52 2 2 4" xfId="55082" xr:uid="{00000000-0005-0000-0000-000026A60000}"/>
    <cellStyle name="Migliaia [0] 52 2 3" xfId="56004" xr:uid="{00000000-0005-0000-0000-000027A60000}"/>
    <cellStyle name="Migliaia [0] 52 2 4" xfId="52727" xr:uid="{00000000-0005-0000-0000-000028A60000}"/>
    <cellStyle name="Migliaia [0] 52 3" xfId="9726" xr:uid="{00000000-0005-0000-0000-000029A60000}"/>
    <cellStyle name="Migliaia [0] 52 3 2" xfId="26052" xr:uid="{00000000-0005-0000-0000-00002AA60000}"/>
    <cellStyle name="Migliaia [0] 52 3 3" xfId="41030" xr:uid="{00000000-0005-0000-0000-00002BA60000}"/>
    <cellStyle name="Migliaia [0] 52 3 4" xfId="54514" xr:uid="{00000000-0005-0000-0000-00002CA60000}"/>
    <cellStyle name="Migliaia [0] 52 4" xfId="16935" xr:uid="{00000000-0005-0000-0000-00002DA60000}"/>
    <cellStyle name="Migliaia [0] 52 4 2" xfId="33051" xr:uid="{00000000-0005-0000-0000-00002EA60000}"/>
    <cellStyle name="Migliaia [0] 52 4 3" xfId="48012" xr:uid="{00000000-0005-0000-0000-00002FA60000}"/>
    <cellStyle name="Migliaia [0] 52 4 4" xfId="55458" xr:uid="{00000000-0005-0000-0000-000030A60000}"/>
    <cellStyle name="Migliaia [0] 52 5" xfId="19033" xr:uid="{00000000-0005-0000-0000-000031A60000}"/>
    <cellStyle name="Migliaia [0] 52 6" xfId="34028" xr:uid="{00000000-0005-0000-0000-000032A60000}"/>
    <cellStyle name="Migliaia [0] 52 7" xfId="48968" xr:uid="{00000000-0005-0000-0000-000033A60000}"/>
    <cellStyle name="Migliaia [0] 52 8" xfId="49373" xr:uid="{00000000-0005-0000-0000-000034A60000}"/>
    <cellStyle name="Migliaia [0] 52 9" xfId="49779" xr:uid="{00000000-0005-0000-0000-000035A60000}"/>
    <cellStyle name="Migliaia [0] 53" xfId="276" xr:uid="{00000000-0005-0000-0000-000036A60000}"/>
    <cellStyle name="Migliaia [0] 53 10" xfId="50188" xr:uid="{00000000-0005-0000-0000-000037A60000}"/>
    <cellStyle name="Migliaia [0] 53 11" xfId="50630" xr:uid="{00000000-0005-0000-0000-000038A60000}"/>
    <cellStyle name="Migliaia [0] 53 12" xfId="51349" xr:uid="{00000000-0005-0000-0000-000039A60000}"/>
    <cellStyle name="Migliaia [0] 53 13" xfId="51762" xr:uid="{00000000-0005-0000-0000-00003AA60000}"/>
    <cellStyle name="Migliaia [0] 53 14" xfId="52177" xr:uid="{00000000-0005-0000-0000-00003BA60000}"/>
    <cellStyle name="Migliaia [0] 53 2" xfId="9046" xr:uid="{00000000-0005-0000-0000-00003CA60000}"/>
    <cellStyle name="Migliaia [0] 53 2 2" xfId="17938" xr:uid="{00000000-0005-0000-0000-00003DA60000}"/>
    <cellStyle name="Migliaia [0] 53 2 2 2" xfId="33598" xr:uid="{00000000-0005-0000-0000-00003EA60000}"/>
    <cellStyle name="Migliaia [0] 53 2 2 3" xfId="48559" xr:uid="{00000000-0005-0000-0000-00003FA60000}"/>
    <cellStyle name="Migliaia [0] 53 2 2 4" xfId="55083" xr:uid="{00000000-0005-0000-0000-000040A60000}"/>
    <cellStyle name="Migliaia [0] 53 2 3" xfId="56005" xr:uid="{00000000-0005-0000-0000-000041A60000}"/>
    <cellStyle name="Migliaia [0] 53 2 4" xfId="52728" xr:uid="{00000000-0005-0000-0000-000042A60000}"/>
    <cellStyle name="Migliaia [0] 53 3" xfId="9727" xr:uid="{00000000-0005-0000-0000-000043A60000}"/>
    <cellStyle name="Migliaia [0] 53 3 2" xfId="26053" xr:uid="{00000000-0005-0000-0000-000044A60000}"/>
    <cellStyle name="Migliaia [0] 53 3 3" xfId="41031" xr:uid="{00000000-0005-0000-0000-000045A60000}"/>
    <cellStyle name="Migliaia [0] 53 3 4" xfId="54515" xr:uid="{00000000-0005-0000-0000-000046A60000}"/>
    <cellStyle name="Migliaia [0] 53 4" xfId="16936" xr:uid="{00000000-0005-0000-0000-000047A60000}"/>
    <cellStyle name="Migliaia [0] 53 4 2" xfId="33052" xr:uid="{00000000-0005-0000-0000-000048A60000}"/>
    <cellStyle name="Migliaia [0] 53 4 3" xfId="48013" xr:uid="{00000000-0005-0000-0000-000049A60000}"/>
    <cellStyle name="Migliaia [0] 53 4 4" xfId="55459" xr:uid="{00000000-0005-0000-0000-00004AA60000}"/>
    <cellStyle name="Migliaia [0] 53 5" xfId="19034" xr:uid="{00000000-0005-0000-0000-00004BA60000}"/>
    <cellStyle name="Migliaia [0] 53 6" xfId="34029" xr:uid="{00000000-0005-0000-0000-00004CA60000}"/>
    <cellStyle name="Migliaia [0] 53 7" xfId="48969" xr:uid="{00000000-0005-0000-0000-00004DA60000}"/>
    <cellStyle name="Migliaia [0] 53 8" xfId="49374" xr:uid="{00000000-0005-0000-0000-00004EA60000}"/>
    <cellStyle name="Migliaia [0] 53 9" xfId="49780" xr:uid="{00000000-0005-0000-0000-00004FA60000}"/>
    <cellStyle name="Migliaia [0] 54" xfId="277" xr:uid="{00000000-0005-0000-0000-000050A60000}"/>
    <cellStyle name="Migliaia [0] 54 10" xfId="50189" xr:uid="{00000000-0005-0000-0000-000051A60000}"/>
    <cellStyle name="Migliaia [0] 54 11" xfId="50631" xr:uid="{00000000-0005-0000-0000-000052A60000}"/>
    <cellStyle name="Migliaia [0] 54 12" xfId="51350" xr:uid="{00000000-0005-0000-0000-000053A60000}"/>
    <cellStyle name="Migliaia [0] 54 13" xfId="51763" xr:uid="{00000000-0005-0000-0000-000054A60000}"/>
    <cellStyle name="Migliaia [0] 54 14" xfId="52178" xr:uid="{00000000-0005-0000-0000-000055A60000}"/>
    <cellStyle name="Migliaia [0] 54 2" xfId="9047" xr:uid="{00000000-0005-0000-0000-000056A60000}"/>
    <cellStyle name="Migliaia [0] 54 2 2" xfId="17939" xr:uid="{00000000-0005-0000-0000-000057A60000}"/>
    <cellStyle name="Migliaia [0] 54 2 2 2" xfId="33599" xr:uid="{00000000-0005-0000-0000-000058A60000}"/>
    <cellStyle name="Migliaia [0] 54 2 2 3" xfId="48560" xr:uid="{00000000-0005-0000-0000-000059A60000}"/>
    <cellStyle name="Migliaia [0] 54 2 2 4" xfId="55084" xr:uid="{00000000-0005-0000-0000-00005AA60000}"/>
    <cellStyle name="Migliaia [0] 54 2 3" xfId="56006" xr:uid="{00000000-0005-0000-0000-00005BA60000}"/>
    <cellStyle name="Migliaia [0] 54 2 4" xfId="52729" xr:uid="{00000000-0005-0000-0000-00005CA60000}"/>
    <cellStyle name="Migliaia [0] 54 3" xfId="9728" xr:uid="{00000000-0005-0000-0000-00005DA60000}"/>
    <cellStyle name="Migliaia [0] 54 3 2" xfId="26054" xr:uid="{00000000-0005-0000-0000-00005EA60000}"/>
    <cellStyle name="Migliaia [0] 54 3 3" xfId="41032" xr:uid="{00000000-0005-0000-0000-00005FA60000}"/>
    <cellStyle name="Migliaia [0] 54 3 4" xfId="54516" xr:uid="{00000000-0005-0000-0000-000060A60000}"/>
    <cellStyle name="Migliaia [0] 54 4" xfId="16937" xr:uid="{00000000-0005-0000-0000-000061A60000}"/>
    <cellStyle name="Migliaia [0] 54 4 2" xfId="33053" xr:uid="{00000000-0005-0000-0000-000062A60000}"/>
    <cellStyle name="Migliaia [0] 54 4 3" xfId="48014" xr:uid="{00000000-0005-0000-0000-000063A60000}"/>
    <cellStyle name="Migliaia [0] 54 4 4" xfId="55460" xr:uid="{00000000-0005-0000-0000-000064A60000}"/>
    <cellStyle name="Migliaia [0] 54 5" xfId="19035" xr:uid="{00000000-0005-0000-0000-000065A60000}"/>
    <cellStyle name="Migliaia [0] 54 6" xfId="34030" xr:uid="{00000000-0005-0000-0000-000066A60000}"/>
    <cellStyle name="Migliaia [0] 54 7" xfId="48970" xr:uid="{00000000-0005-0000-0000-000067A60000}"/>
    <cellStyle name="Migliaia [0] 54 8" xfId="49375" xr:uid="{00000000-0005-0000-0000-000068A60000}"/>
    <cellStyle name="Migliaia [0] 54 9" xfId="49781" xr:uid="{00000000-0005-0000-0000-000069A60000}"/>
    <cellStyle name="Migliaia [0] 55" xfId="278" xr:uid="{00000000-0005-0000-0000-00006AA60000}"/>
    <cellStyle name="Migliaia [0] 55 10" xfId="50190" xr:uid="{00000000-0005-0000-0000-00006BA60000}"/>
    <cellStyle name="Migliaia [0] 55 11" xfId="50632" xr:uid="{00000000-0005-0000-0000-00006CA60000}"/>
    <cellStyle name="Migliaia [0] 55 12" xfId="51351" xr:uid="{00000000-0005-0000-0000-00006DA60000}"/>
    <cellStyle name="Migliaia [0] 55 13" xfId="51764" xr:uid="{00000000-0005-0000-0000-00006EA60000}"/>
    <cellStyle name="Migliaia [0] 55 14" xfId="52179" xr:uid="{00000000-0005-0000-0000-00006FA60000}"/>
    <cellStyle name="Migliaia [0] 55 2" xfId="9048" xr:uid="{00000000-0005-0000-0000-000070A60000}"/>
    <cellStyle name="Migliaia [0] 55 2 2" xfId="17940" xr:uid="{00000000-0005-0000-0000-000071A60000}"/>
    <cellStyle name="Migliaia [0] 55 2 2 2" xfId="33600" xr:uid="{00000000-0005-0000-0000-000072A60000}"/>
    <cellStyle name="Migliaia [0] 55 2 2 3" xfId="48561" xr:uid="{00000000-0005-0000-0000-000073A60000}"/>
    <cellStyle name="Migliaia [0] 55 2 2 4" xfId="55085" xr:uid="{00000000-0005-0000-0000-000074A60000}"/>
    <cellStyle name="Migliaia [0] 55 2 3" xfId="56007" xr:uid="{00000000-0005-0000-0000-000075A60000}"/>
    <cellStyle name="Migliaia [0] 55 2 4" xfId="52730" xr:uid="{00000000-0005-0000-0000-000076A60000}"/>
    <cellStyle name="Migliaia [0] 55 3" xfId="9729" xr:uid="{00000000-0005-0000-0000-000077A60000}"/>
    <cellStyle name="Migliaia [0] 55 3 2" xfId="26055" xr:uid="{00000000-0005-0000-0000-000078A60000}"/>
    <cellStyle name="Migliaia [0] 55 3 3" xfId="41033" xr:uid="{00000000-0005-0000-0000-000079A60000}"/>
    <cellStyle name="Migliaia [0] 55 3 4" xfId="54517" xr:uid="{00000000-0005-0000-0000-00007AA60000}"/>
    <cellStyle name="Migliaia [0] 55 4" xfId="16938" xr:uid="{00000000-0005-0000-0000-00007BA60000}"/>
    <cellStyle name="Migliaia [0] 55 4 2" xfId="33054" xr:uid="{00000000-0005-0000-0000-00007CA60000}"/>
    <cellStyle name="Migliaia [0] 55 4 3" xfId="48015" xr:uid="{00000000-0005-0000-0000-00007DA60000}"/>
    <cellStyle name="Migliaia [0] 55 4 4" xfId="55461" xr:uid="{00000000-0005-0000-0000-00007EA60000}"/>
    <cellStyle name="Migliaia [0] 55 5" xfId="19036" xr:uid="{00000000-0005-0000-0000-00007FA60000}"/>
    <cellStyle name="Migliaia [0] 55 6" xfId="34031" xr:uid="{00000000-0005-0000-0000-000080A60000}"/>
    <cellStyle name="Migliaia [0] 55 7" xfId="48971" xr:uid="{00000000-0005-0000-0000-000081A60000}"/>
    <cellStyle name="Migliaia [0] 55 8" xfId="49376" xr:uid="{00000000-0005-0000-0000-000082A60000}"/>
    <cellStyle name="Migliaia [0] 55 9" xfId="49782" xr:uid="{00000000-0005-0000-0000-000083A60000}"/>
    <cellStyle name="Migliaia [0] 56" xfId="279" xr:uid="{00000000-0005-0000-0000-000084A60000}"/>
    <cellStyle name="Migliaia [0] 56 10" xfId="50191" xr:uid="{00000000-0005-0000-0000-000085A60000}"/>
    <cellStyle name="Migliaia [0] 56 11" xfId="50633" xr:uid="{00000000-0005-0000-0000-000086A60000}"/>
    <cellStyle name="Migliaia [0] 56 12" xfId="51352" xr:uid="{00000000-0005-0000-0000-000087A60000}"/>
    <cellStyle name="Migliaia [0] 56 13" xfId="51765" xr:uid="{00000000-0005-0000-0000-000088A60000}"/>
    <cellStyle name="Migliaia [0] 56 14" xfId="52180" xr:uid="{00000000-0005-0000-0000-000089A60000}"/>
    <cellStyle name="Migliaia [0] 56 2" xfId="9049" xr:uid="{00000000-0005-0000-0000-00008AA60000}"/>
    <cellStyle name="Migliaia [0] 56 2 2" xfId="17941" xr:uid="{00000000-0005-0000-0000-00008BA60000}"/>
    <cellStyle name="Migliaia [0] 56 2 2 2" xfId="33601" xr:uid="{00000000-0005-0000-0000-00008CA60000}"/>
    <cellStyle name="Migliaia [0] 56 2 2 3" xfId="48562" xr:uid="{00000000-0005-0000-0000-00008DA60000}"/>
    <cellStyle name="Migliaia [0] 56 2 2 4" xfId="55086" xr:uid="{00000000-0005-0000-0000-00008EA60000}"/>
    <cellStyle name="Migliaia [0] 56 2 3" xfId="56008" xr:uid="{00000000-0005-0000-0000-00008FA60000}"/>
    <cellStyle name="Migliaia [0] 56 2 4" xfId="52731" xr:uid="{00000000-0005-0000-0000-000090A60000}"/>
    <cellStyle name="Migliaia [0] 56 3" xfId="9730" xr:uid="{00000000-0005-0000-0000-000091A60000}"/>
    <cellStyle name="Migliaia [0] 56 3 2" xfId="26056" xr:uid="{00000000-0005-0000-0000-000092A60000}"/>
    <cellStyle name="Migliaia [0] 56 3 3" xfId="41034" xr:uid="{00000000-0005-0000-0000-000093A60000}"/>
    <cellStyle name="Migliaia [0] 56 3 4" xfId="54518" xr:uid="{00000000-0005-0000-0000-000094A60000}"/>
    <cellStyle name="Migliaia [0] 56 4" xfId="16939" xr:uid="{00000000-0005-0000-0000-000095A60000}"/>
    <cellStyle name="Migliaia [0] 56 4 2" xfId="33055" xr:uid="{00000000-0005-0000-0000-000096A60000}"/>
    <cellStyle name="Migliaia [0] 56 4 3" xfId="48016" xr:uid="{00000000-0005-0000-0000-000097A60000}"/>
    <cellStyle name="Migliaia [0] 56 4 4" xfId="55462" xr:uid="{00000000-0005-0000-0000-000098A60000}"/>
    <cellStyle name="Migliaia [0] 56 5" xfId="19037" xr:uid="{00000000-0005-0000-0000-000099A60000}"/>
    <cellStyle name="Migliaia [0] 56 6" xfId="34032" xr:uid="{00000000-0005-0000-0000-00009AA60000}"/>
    <cellStyle name="Migliaia [0] 56 7" xfId="48972" xr:uid="{00000000-0005-0000-0000-00009BA60000}"/>
    <cellStyle name="Migliaia [0] 56 8" xfId="49377" xr:uid="{00000000-0005-0000-0000-00009CA60000}"/>
    <cellStyle name="Migliaia [0] 56 9" xfId="49783" xr:uid="{00000000-0005-0000-0000-00009DA60000}"/>
    <cellStyle name="Migliaia [0] 57" xfId="280" xr:uid="{00000000-0005-0000-0000-00009EA60000}"/>
    <cellStyle name="Migliaia [0] 57 10" xfId="50192" xr:uid="{00000000-0005-0000-0000-00009FA60000}"/>
    <cellStyle name="Migliaia [0] 57 11" xfId="50634" xr:uid="{00000000-0005-0000-0000-0000A0A60000}"/>
    <cellStyle name="Migliaia [0] 57 12" xfId="51353" xr:uid="{00000000-0005-0000-0000-0000A1A60000}"/>
    <cellStyle name="Migliaia [0] 57 13" xfId="51766" xr:uid="{00000000-0005-0000-0000-0000A2A60000}"/>
    <cellStyle name="Migliaia [0] 57 14" xfId="52181" xr:uid="{00000000-0005-0000-0000-0000A3A60000}"/>
    <cellStyle name="Migliaia [0] 57 2" xfId="9050" xr:uid="{00000000-0005-0000-0000-0000A4A60000}"/>
    <cellStyle name="Migliaia [0] 57 2 2" xfId="17942" xr:uid="{00000000-0005-0000-0000-0000A5A60000}"/>
    <cellStyle name="Migliaia [0] 57 2 2 2" xfId="33602" xr:uid="{00000000-0005-0000-0000-0000A6A60000}"/>
    <cellStyle name="Migliaia [0] 57 2 2 3" xfId="48563" xr:uid="{00000000-0005-0000-0000-0000A7A60000}"/>
    <cellStyle name="Migliaia [0] 57 2 2 4" xfId="55087" xr:uid="{00000000-0005-0000-0000-0000A8A60000}"/>
    <cellStyle name="Migliaia [0] 57 2 3" xfId="56009" xr:uid="{00000000-0005-0000-0000-0000A9A60000}"/>
    <cellStyle name="Migliaia [0] 57 2 4" xfId="52732" xr:uid="{00000000-0005-0000-0000-0000AAA60000}"/>
    <cellStyle name="Migliaia [0] 57 3" xfId="9731" xr:uid="{00000000-0005-0000-0000-0000ABA60000}"/>
    <cellStyle name="Migliaia [0] 57 3 2" xfId="26057" xr:uid="{00000000-0005-0000-0000-0000ACA60000}"/>
    <cellStyle name="Migliaia [0] 57 3 3" xfId="41035" xr:uid="{00000000-0005-0000-0000-0000ADA60000}"/>
    <cellStyle name="Migliaia [0] 57 3 4" xfId="54519" xr:uid="{00000000-0005-0000-0000-0000AEA60000}"/>
    <cellStyle name="Migliaia [0] 57 4" xfId="16940" xr:uid="{00000000-0005-0000-0000-0000AFA60000}"/>
    <cellStyle name="Migliaia [0] 57 4 2" xfId="33056" xr:uid="{00000000-0005-0000-0000-0000B0A60000}"/>
    <cellStyle name="Migliaia [0] 57 4 3" xfId="48017" xr:uid="{00000000-0005-0000-0000-0000B1A60000}"/>
    <cellStyle name="Migliaia [0] 57 4 4" xfId="55463" xr:uid="{00000000-0005-0000-0000-0000B2A60000}"/>
    <cellStyle name="Migliaia [0] 57 5" xfId="19038" xr:uid="{00000000-0005-0000-0000-0000B3A60000}"/>
    <cellStyle name="Migliaia [0] 57 6" xfId="34033" xr:uid="{00000000-0005-0000-0000-0000B4A60000}"/>
    <cellStyle name="Migliaia [0] 57 7" xfId="48973" xr:uid="{00000000-0005-0000-0000-0000B5A60000}"/>
    <cellStyle name="Migliaia [0] 57 8" xfId="49378" xr:uid="{00000000-0005-0000-0000-0000B6A60000}"/>
    <cellStyle name="Migliaia [0] 57 9" xfId="49784" xr:uid="{00000000-0005-0000-0000-0000B7A60000}"/>
    <cellStyle name="Migliaia [0] 58" xfId="281" xr:uid="{00000000-0005-0000-0000-0000B8A60000}"/>
    <cellStyle name="Migliaia [0] 58 10" xfId="50193" xr:uid="{00000000-0005-0000-0000-0000B9A60000}"/>
    <cellStyle name="Migliaia [0] 58 11" xfId="50635" xr:uid="{00000000-0005-0000-0000-0000BAA60000}"/>
    <cellStyle name="Migliaia [0] 58 12" xfId="51354" xr:uid="{00000000-0005-0000-0000-0000BBA60000}"/>
    <cellStyle name="Migliaia [0] 58 13" xfId="51767" xr:uid="{00000000-0005-0000-0000-0000BCA60000}"/>
    <cellStyle name="Migliaia [0] 58 14" xfId="52182" xr:uid="{00000000-0005-0000-0000-0000BDA60000}"/>
    <cellStyle name="Migliaia [0] 58 2" xfId="9051" xr:uid="{00000000-0005-0000-0000-0000BEA60000}"/>
    <cellStyle name="Migliaia [0] 58 2 2" xfId="17943" xr:uid="{00000000-0005-0000-0000-0000BFA60000}"/>
    <cellStyle name="Migliaia [0] 58 2 2 2" xfId="33603" xr:uid="{00000000-0005-0000-0000-0000C0A60000}"/>
    <cellStyle name="Migliaia [0] 58 2 2 3" xfId="48564" xr:uid="{00000000-0005-0000-0000-0000C1A60000}"/>
    <cellStyle name="Migliaia [0] 58 2 2 4" xfId="55088" xr:uid="{00000000-0005-0000-0000-0000C2A60000}"/>
    <cellStyle name="Migliaia [0] 58 2 3" xfId="56010" xr:uid="{00000000-0005-0000-0000-0000C3A60000}"/>
    <cellStyle name="Migliaia [0] 58 2 4" xfId="52733" xr:uid="{00000000-0005-0000-0000-0000C4A60000}"/>
    <cellStyle name="Migliaia [0] 58 3" xfId="9732" xr:uid="{00000000-0005-0000-0000-0000C5A60000}"/>
    <cellStyle name="Migliaia [0] 58 3 2" xfId="26058" xr:uid="{00000000-0005-0000-0000-0000C6A60000}"/>
    <cellStyle name="Migliaia [0] 58 3 3" xfId="41036" xr:uid="{00000000-0005-0000-0000-0000C7A60000}"/>
    <cellStyle name="Migliaia [0] 58 3 4" xfId="54520" xr:uid="{00000000-0005-0000-0000-0000C8A60000}"/>
    <cellStyle name="Migliaia [0] 58 4" xfId="16941" xr:uid="{00000000-0005-0000-0000-0000C9A60000}"/>
    <cellStyle name="Migliaia [0] 58 4 2" xfId="33057" xr:uid="{00000000-0005-0000-0000-0000CAA60000}"/>
    <cellStyle name="Migliaia [0] 58 4 3" xfId="48018" xr:uid="{00000000-0005-0000-0000-0000CBA60000}"/>
    <cellStyle name="Migliaia [0] 58 4 4" xfId="55464" xr:uid="{00000000-0005-0000-0000-0000CCA60000}"/>
    <cellStyle name="Migliaia [0] 58 5" xfId="19039" xr:uid="{00000000-0005-0000-0000-0000CDA60000}"/>
    <cellStyle name="Migliaia [0] 58 6" xfId="34034" xr:uid="{00000000-0005-0000-0000-0000CEA60000}"/>
    <cellStyle name="Migliaia [0] 58 7" xfId="48974" xr:uid="{00000000-0005-0000-0000-0000CFA60000}"/>
    <cellStyle name="Migliaia [0] 58 8" xfId="49379" xr:uid="{00000000-0005-0000-0000-0000D0A60000}"/>
    <cellStyle name="Migliaia [0] 58 9" xfId="49785" xr:uid="{00000000-0005-0000-0000-0000D1A60000}"/>
    <cellStyle name="Migliaia [0] 59" xfId="282" xr:uid="{00000000-0005-0000-0000-0000D2A60000}"/>
    <cellStyle name="Migliaia [0] 59 10" xfId="50194" xr:uid="{00000000-0005-0000-0000-0000D3A60000}"/>
    <cellStyle name="Migliaia [0] 59 11" xfId="50636" xr:uid="{00000000-0005-0000-0000-0000D4A60000}"/>
    <cellStyle name="Migliaia [0] 59 12" xfId="51355" xr:uid="{00000000-0005-0000-0000-0000D5A60000}"/>
    <cellStyle name="Migliaia [0] 59 13" xfId="51768" xr:uid="{00000000-0005-0000-0000-0000D6A60000}"/>
    <cellStyle name="Migliaia [0] 59 14" xfId="52183" xr:uid="{00000000-0005-0000-0000-0000D7A60000}"/>
    <cellStyle name="Migliaia [0] 59 2" xfId="9052" xr:uid="{00000000-0005-0000-0000-0000D8A60000}"/>
    <cellStyle name="Migliaia [0] 59 2 2" xfId="17944" xr:uid="{00000000-0005-0000-0000-0000D9A60000}"/>
    <cellStyle name="Migliaia [0] 59 2 2 2" xfId="33604" xr:uid="{00000000-0005-0000-0000-0000DAA60000}"/>
    <cellStyle name="Migliaia [0] 59 2 2 3" xfId="48565" xr:uid="{00000000-0005-0000-0000-0000DBA60000}"/>
    <cellStyle name="Migliaia [0] 59 2 2 4" xfId="55089" xr:uid="{00000000-0005-0000-0000-0000DCA60000}"/>
    <cellStyle name="Migliaia [0] 59 2 3" xfId="56011" xr:uid="{00000000-0005-0000-0000-0000DDA60000}"/>
    <cellStyle name="Migliaia [0] 59 2 4" xfId="52734" xr:uid="{00000000-0005-0000-0000-0000DEA60000}"/>
    <cellStyle name="Migliaia [0] 59 3" xfId="9733" xr:uid="{00000000-0005-0000-0000-0000DFA60000}"/>
    <cellStyle name="Migliaia [0] 59 3 2" xfId="26059" xr:uid="{00000000-0005-0000-0000-0000E0A60000}"/>
    <cellStyle name="Migliaia [0] 59 3 3" xfId="41037" xr:uid="{00000000-0005-0000-0000-0000E1A60000}"/>
    <cellStyle name="Migliaia [0] 59 3 4" xfId="54521" xr:uid="{00000000-0005-0000-0000-0000E2A60000}"/>
    <cellStyle name="Migliaia [0] 59 4" xfId="16942" xr:uid="{00000000-0005-0000-0000-0000E3A60000}"/>
    <cellStyle name="Migliaia [0] 59 4 2" xfId="33058" xr:uid="{00000000-0005-0000-0000-0000E4A60000}"/>
    <cellStyle name="Migliaia [0] 59 4 3" xfId="48019" xr:uid="{00000000-0005-0000-0000-0000E5A60000}"/>
    <cellStyle name="Migliaia [0] 59 4 4" xfId="55465" xr:uid="{00000000-0005-0000-0000-0000E6A60000}"/>
    <cellStyle name="Migliaia [0] 59 5" xfId="19040" xr:uid="{00000000-0005-0000-0000-0000E7A60000}"/>
    <cellStyle name="Migliaia [0] 59 6" xfId="34035" xr:uid="{00000000-0005-0000-0000-0000E8A60000}"/>
    <cellStyle name="Migliaia [0] 59 7" xfId="48975" xr:uid="{00000000-0005-0000-0000-0000E9A60000}"/>
    <cellStyle name="Migliaia [0] 59 8" xfId="49380" xr:uid="{00000000-0005-0000-0000-0000EAA60000}"/>
    <cellStyle name="Migliaia [0] 59 9" xfId="49786" xr:uid="{00000000-0005-0000-0000-0000EBA60000}"/>
    <cellStyle name="Migliaia [0] 6" xfId="283" xr:uid="{00000000-0005-0000-0000-0000ECA60000}"/>
    <cellStyle name="Migliaia [0] 6 10" xfId="50195" xr:uid="{00000000-0005-0000-0000-0000EDA60000}"/>
    <cellStyle name="Migliaia [0] 6 11" xfId="50637" xr:uid="{00000000-0005-0000-0000-0000EEA60000}"/>
    <cellStyle name="Migliaia [0] 6 12" xfId="51356" xr:uid="{00000000-0005-0000-0000-0000EFA60000}"/>
    <cellStyle name="Migliaia [0] 6 13" xfId="51769" xr:uid="{00000000-0005-0000-0000-0000F0A60000}"/>
    <cellStyle name="Migliaia [0] 6 14" xfId="52184" xr:uid="{00000000-0005-0000-0000-0000F1A60000}"/>
    <cellStyle name="Migliaia [0] 6 2" xfId="9053" xr:uid="{00000000-0005-0000-0000-0000F2A60000}"/>
    <cellStyle name="Migliaia [0] 6 2 2" xfId="17945" xr:uid="{00000000-0005-0000-0000-0000F3A60000}"/>
    <cellStyle name="Migliaia [0] 6 2 2 2" xfId="33605" xr:uid="{00000000-0005-0000-0000-0000F4A60000}"/>
    <cellStyle name="Migliaia [0] 6 2 2 3" xfId="48566" xr:uid="{00000000-0005-0000-0000-0000F5A60000}"/>
    <cellStyle name="Migliaia [0] 6 2 2 4" xfId="55090" xr:uid="{00000000-0005-0000-0000-0000F6A60000}"/>
    <cellStyle name="Migliaia [0] 6 2 3" xfId="56012" xr:uid="{00000000-0005-0000-0000-0000F7A60000}"/>
    <cellStyle name="Migliaia [0] 6 2 4" xfId="52735" xr:uid="{00000000-0005-0000-0000-0000F8A60000}"/>
    <cellStyle name="Migliaia [0] 6 3" xfId="9734" xr:uid="{00000000-0005-0000-0000-0000F9A60000}"/>
    <cellStyle name="Migliaia [0] 6 3 2" xfId="26060" xr:uid="{00000000-0005-0000-0000-0000FAA60000}"/>
    <cellStyle name="Migliaia [0] 6 3 3" xfId="41038" xr:uid="{00000000-0005-0000-0000-0000FBA60000}"/>
    <cellStyle name="Migliaia [0] 6 3 4" xfId="54522" xr:uid="{00000000-0005-0000-0000-0000FCA60000}"/>
    <cellStyle name="Migliaia [0] 6 4" xfId="16943" xr:uid="{00000000-0005-0000-0000-0000FDA60000}"/>
    <cellStyle name="Migliaia [0] 6 4 2" xfId="33059" xr:uid="{00000000-0005-0000-0000-0000FEA60000}"/>
    <cellStyle name="Migliaia [0] 6 4 3" xfId="48020" xr:uid="{00000000-0005-0000-0000-0000FFA60000}"/>
    <cellStyle name="Migliaia [0] 6 4 4" xfId="55466" xr:uid="{00000000-0005-0000-0000-000000A70000}"/>
    <cellStyle name="Migliaia [0] 6 5" xfId="19041" xr:uid="{00000000-0005-0000-0000-000001A70000}"/>
    <cellStyle name="Migliaia [0] 6 6" xfId="34036" xr:uid="{00000000-0005-0000-0000-000002A70000}"/>
    <cellStyle name="Migliaia [0] 6 7" xfId="48976" xr:uid="{00000000-0005-0000-0000-000003A70000}"/>
    <cellStyle name="Migliaia [0] 6 8" xfId="49381" xr:uid="{00000000-0005-0000-0000-000004A70000}"/>
    <cellStyle name="Migliaia [0] 6 9" xfId="49787" xr:uid="{00000000-0005-0000-0000-000005A70000}"/>
    <cellStyle name="Migliaia [0] 7" xfId="284" xr:uid="{00000000-0005-0000-0000-000006A70000}"/>
    <cellStyle name="Migliaia [0] 7 10" xfId="50196" xr:uid="{00000000-0005-0000-0000-000007A70000}"/>
    <cellStyle name="Migliaia [0] 7 11" xfId="50638" xr:uid="{00000000-0005-0000-0000-000008A70000}"/>
    <cellStyle name="Migliaia [0] 7 12" xfId="51357" xr:uid="{00000000-0005-0000-0000-000009A70000}"/>
    <cellStyle name="Migliaia [0] 7 13" xfId="51770" xr:uid="{00000000-0005-0000-0000-00000AA70000}"/>
    <cellStyle name="Migliaia [0] 7 14" xfId="52185" xr:uid="{00000000-0005-0000-0000-00000BA70000}"/>
    <cellStyle name="Migliaia [0] 7 2" xfId="9054" xr:uid="{00000000-0005-0000-0000-00000CA70000}"/>
    <cellStyle name="Migliaia [0] 7 2 2" xfId="17946" xr:uid="{00000000-0005-0000-0000-00000DA70000}"/>
    <cellStyle name="Migliaia [0] 7 2 2 2" xfId="33606" xr:uid="{00000000-0005-0000-0000-00000EA70000}"/>
    <cellStyle name="Migliaia [0] 7 2 2 3" xfId="48567" xr:uid="{00000000-0005-0000-0000-00000FA70000}"/>
    <cellStyle name="Migliaia [0] 7 2 2 4" xfId="55091" xr:uid="{00000000-0005-0000-0000-000010A70000}"/>
    <cellStyle name="Migliaia [0] 7 2 3" xfId="56013" xr:uid="{00000000-0005-0000-0000-000011A70000}"/>
    <cellStyle name="Migliaia [0] 7 2 4" xfId="52736" xr:uid="{00000000-0005-0000-0000-000012A70000}"/>
    <cellStyle name="Migliaia [0] 7 3" xfId="9735" xr:uid="{00000000-0005-0000-0000-000013A70000}"/>
    <cellStyle name="Migliaia [0] 7 3 2" xfId="26061" xr:uid="{00000000-0005-0000-0000-000014A70000}"/>
    <cellStyle name="Migliaia [0] 7 3 3" xfId="41039" xr:uid="{00000000-0005-0000-0000-000015A70000}"/>
    <cellStyle name="Migliaia [0] 7 3 4" xfId="54523" xr:uid="{00000000-0005-0000-0000-000016A70000}"/>
    <cellStyle name="Migliaia [0] 7 4" xfId="16944" xr:uid="{00000000-0005-0000-0000-000017A70000}"/>
    <cellStyle name="Migliaia [0] 7 4 2" xfId="33060" xr:uid="{00000000-0005-0000-0000-000018A70000}"/>
    <cellStyle name="Migliaia [0] 7 4 3" xfId="48021" xr:uid="{00000000-0005-0000-0000-000019A70000}"/>
    <cellStyle name="Migliaia [0] 7 4 4" xfId="55467" xr:uid="{00000000-0005-0000-0000-00001AA70000}"/>
    <cellStyle name="Migliaia [0] 7 5" xfId="19042" xr:uid="{00000000-0005-0000-0000-00001BA70000}"/>
    <cellStyle name="Migliaia [0] 7 6" xfId="34037" xr:uid="{00000000-0005-0000-0000-00001CA70000}"/>
    <cellStyle name="Migliaia [0] 7 7" xfId="48977" xr:uid="{00000000-0005-0000-0000-00001DA70000}"/>
    <cellStyle name="Migliaia [0] 7 8" xfId="49382" xr:uid="{00000000-0005-0000-0000-00001EA70000}"/>
    <cellStyle name="Migliaia [0] 7 9" xfId="49788" xr:uid="{00000000-0005-0000-0000-00001FA70000}"/>
    <cellStyle name="Migliaia [0] 8" xfId="285" xr:uid="{00000000-0005-0000-0000-000020A70000}"/>
    <cellStyle name="Migliaia [0] 8 10" xfId="50197" xr:uid="{00000000-0005-0000-0000-000021A70000}"/>
    <cellStyle name="Migliaia [0] 8 11" xfId="50639" xr:uid="{00000000-0005-0000-0000-000022A70000}"/>
    <cellStyle name="Migliaia [0] 8 12" xfId="51358" xr:uid="{00000000-0005-0000-0000-000023A70000}"/>
    <cellStyle name="Migliaia [0] 8 13" xfId="51771" xr:uid="{00000000-0005-0000-0000-000024A70000}"/>
    <cellStyle name="Migliaia [0] 8 14" xfId="52186" xr:uid="{00000000-0005-0000-0000-000025A70000}"/>
    <cellStyle name="Migliaia [0] 8 2" xfId="9055" xr:uid="{00000000-0005-0000-0000-000026A70000}"/>
    <cellStyle name="Migliaia [0] 8 2 2" xfId="17947" xr:uid="{00000000-0005-0000-0000-000027A70000}"/>
    <cellStyle name="Migliaia [0] 8 2 2 2" xfId="33607" xr:uid="{00000000-0005-0000-0000-000028A70000}"/>
    <cellStyle name="Migliaia [0] 8 2 2 3" xfId="48568" xr:uid="{00000000-0005-0000-0000-000029A70000}"/>
    <cellStyle name="Migliaia [0] 8 2 2 4" xfId="55092" xr:uid="{00000000-0005-0000-0000-00002AA70000}"/>
    <cellStyle name="Migliaia [0] 8 2 3" xfId="56014" xr:uid="{00000000-0005-0000-0000-00002BA70000}"/>
    <cellStyle name="Migliaia [0] 8 2 4" xfId="52737" xr:uid="{00000000-0005-0000-0000-00002CA70000}"/>
    <cellStyle name="Migliaia [0] 8 3" xfId="9736" xr:uid="{00000000-0005-0000-0000-00002DA70000}"/>
    <cellStyle name="Migliaia [0] 8 3 2" xfId="26062" xr:uid="{00000000-0005-0000-0000-00002EA70000}"/>
    <cellStyle name="Migliaia [0] 8 3 3" xfId="41040" xr:uid="{00000000-0005-0000-0000-00002FA70000}"/>
    <cellStyle name="Migliaia [0] 8 3 4" xfId="54524" xr:uid="{00000000-0005-0000-0000-000030A70000}"/>
    <cellStyle name="Migliaia [0] 8 4" xfId="16945" xr:uid="{00000000-0005-0000-0000-000031A70000}"/>
    <cellStyle name="Migliaia [0] 8 4 2" xfId="33061" xr:uid="{00000000-0005-0000-0000-000032A70000}"/>
    <cellStyle name="Migliaia [0] 8 4 3" xfId="48022" xr:uid="{00000000-0005-0000-0000-000033A70000}"/>
    <cellStyle name="Migliaia [0] 8 4 4" xfId="55468" xr:uid="{00000000-0005-0000-0000-000034A70000}"/>
    <cellStyle name="Migliaia [0] 8 5" xfId="19043" xr:uid="{00000000-0005-0000-0000-000035A70000}"/>
    <cellStyle name="Migliaia [0] 8 6" xfId="34038" xr:uid="{00000000-0005-0000-0000-000036A70000}"/>
    <cellStyle name="Migliaia [0] 8 7" xfId="48978" xr:uid="{00000000-0005-0000-0000-000037A70000}"/>
    <cellStyle name="Migliaia [0] 8 8" xfId="49383" xr:uid="{00000000-0005-0000-0000-000038A70000}"/>
    <cellStyle name="Migliaia [0] 8 9" xfId="49789" xr:uid="{00000000-0005-0000-0000-000039A70000}"/>
    <cellStyle name="Migliaia [0] 9" xfId="286" xr:uid="{00000000-0005-0000-0000-00003AA70000}"/>
    <cellStyle name="Migliaia [0] 9 10" xfId="50198" xr:uid="{00000000-0005-0000-0000-00003BA70000}"/>
    <cellStyle name="Migliaia [0] 9 11" xfId="50640" xr:uid="{00000000-0005-0000-0000-00003CA70000}"/>
    <cellStyle name="Migliaia [0] 9 12" xfId="51359" xr:uid="{00000000-0005-0000-0000-00003DA70000}"/>
    <cellStyle name="Migliaia [0] 9 13" xfId="51772" xr:uid="{00000000-0005-0000-0000-00003EA70000}"/>
    <cellStyle name="Migliaia [0] 9 14" xfId="52187" xr:uid="{00000000-0005-0000-0000-00003FA70000}"/>
    <cellStyle name="Migliaia [0] 9 2" xfId="9056" xr:uid="{00000000-0005-0000-0000-000040A70000}"/>
    <cellStyle name="Migliaia [0] 9 2 2" xfId="17948" xr:uid="{00000000-0005-0000-0000-000041A70000}"/>
    <cellStyle name="Migliaia [0] 9 2 2 2" xfId="33608" xr:uid="{00000000-0005-0000-0000-000042A70000}"/>
    <cellStyle name="Migliaia [0] 9 2 2 3" xfId="48569" xr:uid="{00000000-0005-0000-0000-000043A70000}"/>
    <cellStyle name="Migliaia [0] 9 2 2 4" xfId="55093" xr:uid="{00000000-0005-0000-0000-000044A70000}"/>
    <cellStyle name="Migliaia [0] 9 2 3" xfId="56015" xr:uid="{00000000-0005-0000-0000-000045A70000}"/>
    <cellStyle name="Migliaia [0] 9 2 4" xfId="52738" xr:uid="{00000000-0005-0000-0000-000046A70000}"/>
    <cellStyle name="Migliaia [0] 9 3" xfId="9737" xr:uid="{00000000-0005-0000-0000-000047A70000}"/>
    <cellStyle name="Migliaia [0] 9 3 2" xfId="26063" xr:uid="{00000000-0005-0000-0000-000048A70000}"/>
    <cellStyle name="Migliaia [0] 9 3 3" xfId="41041" xr:uid="{00000000-0005-0000-0000-000049A70000}"/>
    <cellStyle name="Migliaia [0] 9 3 4" xfId="54525" xr:uid="{00000000-0005-0000-0000-00004AA70000}"/>
    <cellStyle name="Migliaia [0] 9 4" xfId="16946" xr:uid="{00000000-0005-0000-0000-00004BA70000}"/>
    <cellStyle name="Migliaia [0] 9 4 2" xfId="33062" xr:uid="{00000000-0005-0000-0000-00004CA70000}"/>
    <cellStyle name="Migliaia [0] 9 4 3" xfId="48023" xr:uid="{00000000-0005-0000-0000-00004DA70000}"/>
    <cellStyle name="Migliaia [0] 9 4 4" xfId="55469" xr:uid="{00000000-0005-0000-0000-00004EA70000}"/>
    <cellStyle name="Migliaia [0] 9 5" xfId="19044" xr:uid="{00000000-0005-0000-0000-00004FA70000}"/>
    <cellStyle name="Migliaia [0] 9 6" xfId="34039" xr:uid="{00000000-0005-0000-0000-000050A70000}"/>
    <cellStyle name="Migliaia [0] 9 7" xfId="48979" xr:uid="{00000000-0005-0000-0000-000051A70000}"/>
    <cellStyle name="Migliaia [0] 9 8" xfId="49384" xr:uid="{00000000-0005-0000-0000-000052A70000}"/>
    <cellStyle name="Migliaia [0] 9 9" xfId="49790" xr:uid="{00000000-0005-0000-0000-000053A70000}"/>
    <cellStyle name="Migliaia 10" xfId="287" xr:uid="{00000000-0005-0000-0000-000054A70000}"/>
    <cellStyle name="Migliaia 10 10" xfId="34040" xr:uid="{00000000-0005-0000-0000-000055A70000}"/>
    <cellStyle name="Migliaia 10 11" xfId="48980" xr:uid="{00000000-0005-0000-0000-000056A70000}"/>
    <cellStyle name="Migliaia 10 12" xfId="49385" xr:uid="{00000000-0005-0000-0000-000057A70000}"/>
    <cellStyle name="Migliaia 10 13" xfId="49791" xr:uid="{00000000-0005-0000-0000-000058A70000}"/>
    <cellStyle name="Migliaia 10 14" xfId="50199" xr:uid="{00000000-0005-0000-0000-000059A70000}"/>
    <cellStyle name="Migliaia 10 15" xfId="50641" xr:uid="{00000000-0005-0000-0000-00005AA70000}"/>
    <cellStyle name="Migliaia 10 16" xfId="51360" xr:uid="{00000000-0005-0000-0000-00005BA70000}"/>
    <cellStyle name="Migliaia 10 17" xfId="51773" xr:uid="{00000000-0005-0000-0000-00005CA70000}"/>
    <cellStyle name="Migliaia 10 18" xfId="52188" xr:uid="{00000000-0005-0000-0000-00005DA70000}"/>
    <cellStyle name="Migliaia 10 2" xfId="288" xr:uid="{00000000-0005-0000-0000-00005EA70000}"/>
    <cellStyle name="Migliaia 10 2 10" xfId="49792" xr:uid="{00000000-0005-0000-0000-00005FA70000}"/>
    <cellStyle name="Migliaia 10 2 11" xfId="50200" xr:uid="{00000000-0005-0000-0000-000060A70000}"/>
    <cellStyle name="Migliaia 10 2 12" xfId="50642" xr:uid="{00000000-0005-0000-0000-000061A70000}"/>
    <cellStyle name="Migliaia 10 2 13" xfId="51361" xr:uid="{00000000-0005-0000-0000-000062A70000}"/>
    <cellStyle name="Migliaia 10 2 14" xfId="51774" xr:uid="{00000000-0005-0000-0000-000063A70000}"/>
    <cellStyle name="Migliaia 10 2 15" xfId="52189" xr:uid="{00000000-0005-0000-0000-000064A70000}"/>
    <cellStyle name="Migliaia 10 2 2" xfId="1243" xr:uid="{00000000-0005-0000-0000-000065A70000}"/>
    <cellStyle name="Migliaia 10 2 2 10" xfId="51037" xr:uid="{00000000-0005-0000-0000-000066A70000}"/>
    <cellStyle name="Migliaia 10 2 2 11" xfId="51633" xr:uid="{00000000-0005-0000-0000-000067A70000}"/>
    <cellStyle name="Migliaia 10 2 2 12" xfId="52054" xr:uid="{00000000-0005-0000-0000-000068A70000}"/>
    <cellStyle name="Migliaia 10 2 2 13" xfId="52744" xr:uid="{00000000-0005-0000-0000-000069A70000}"/>
    <cellStyle name="Migliaia 10 2 2 2" xfId="10011" xr:uid="{00000000-0005-0000-0000-00006AA70000}"/>
    <cellStyle name="Migliaia 10 2 2 2 2" xfId="26332" xr:uid="{00000000-0005-0000-0000-00006BA70000}"/>
    <cellStyle name="Migliaia 10 2 2 2 3" xfId="41300" xr:uid="{00000000-0005-0000-0000-00006CA70000}"/>
    <cellStyle name="Migliaia 10 2 2 2 4" xfId="55099" xr:uid="{00000000-0005-0000-0000-00006DA70000}"/>
    <cellStyle name="Migliaia 10 2 2 3" xfId="18147" xr:uid="{00000000-0005-0000-0000-00006EA70000}"/>
    <cellStyle name="Migliaia 10 2 2 3 2" xfId="33614" xr:uid="{00000000-0005-0000-0000-00006FA70000}"/>
    <cellStyle name="Migliaia 10 2 2 3 3" xfId="48575" xr:uid="{00000000-0005-0000-0000-000070A70000}"/>
    <cellStyle name="Migliaia 10 2 2 3 4" xfId="56021" xr:uid="{00000000-0005-0000-0000-000071A70000}"/>
    <cellStyle name="Migliaia 10 2 2 4" xfId="19311" xr:uid="{00000000-0005-0000-0000-000072A70000}"/>
    <cellStyle name="Migliaia 10 2 2 5" xfId="34301" xr:uid="{00000000-0005-0000-0000-000073A70000}"/>
    <cellStyle name="Migliaia 10 2 2 6" xfId="49253" xr:uid="{00000000-0005-0000-0000-000074A70000}"/>
    <cellStyle name="Migliaia 10 2 2 7" xfId="49658" xr:uid="{00000000-0005-0000-0000-000075A70000}"/>
    <cellStyle name="Migliaia 10 2 2 8" xfId="50067" xr:uid="{00000000-0005-0000-0000-000076A70000}"/>
    <cellStyle name="Migliaia 10 2 2 9" xfId="50472" xr:uid="{00000000-0005-0000-0000-000077A70000}"/>
    <cellStyle name="Migliaia 10 2 3" xfId="9058" xr:uid="{00000000-0005-0000-0000-000078A70000}"/>
    <cellStyle name="Migliaia 10 2 3 2" xfId="54593" xr:uid="{00000000-0005-0000-0000-000079A70000}"/>
    <cellStyle name="Migliaia 10 2 4" xfId="9739" xr:uid="{00000000-0005-0000-0000-00007AA70000}"/>
    <cellStyle name="Migliaia 10 2 4 2" xfId="26065" xr:uid="{00000000-0005-0000-0000-00007BA70000}"/>
    <cellStyle name="Migliaia 10 2 4 3" xfId="41043" xr:uid="{00000000-0005-0000-0000-00007CA70000}"/>
    <cellStyle name="Migliaia 10 2 4 4" xfId="55471" xr:uid="{00000000-0005-0000-0000-00007DA70000}"/>
    <cellStyle name="Migliaia 10 2 5" xfId="16948" xr:uid="{00000000-0005-0000-0000-00007EA70000}"/>
    <cellStyle name="Migliaia 10 2 5 2" xfId="33064" xr:uid="{00000000-0005-0000-0000-00007FA70000}"/>
    <cellStyle name="Migliaia 10 2 5 3" xfId="48025" xr:uid="{00000000-0005-0000-0000-000080A70000}"/>
    <cellStyle name="Migliaia 10 2 6" xfId="19046" xr:uid="{00000000-0005-0000-0000-000081A70000}"/>
    <cellStyle name="Migliaia 10 2 7" xfId="34041" xr:uid="{00000000-0005-0000-0000-000082A70000}"/>
    <cellStyle name="Migliaia 10 2 8" xfId="48981" xr:uid="{00000000-0005-0000-0000-000083A70000}"/>
    <cellStyle name="Migliaia 10 2 9" xfId="49386" xr:uid="{00000000-0005-0000-0000-000084A70000}"/>
    <cellStyle name="Migliaia 10 3" xfId="289" xr:uid="{00000000-0005-0000-0000-000085A70000}"/>
    <cellStyle name="Migliaia 10 3 10" xfId="49793" xr:uid="{00000000-0005-0000-0000-000086A70000}"/>
    <cellStyle name="Migliaia 10 3 11" xfId="50201" xr:uid="{00000000-0005-0000-0000-000087A70000}"/>
    <cellStyle name="Migliaia 10 3 12" xfId="50643" xr:uid="{00000000-0005-0000-0000-000088A70000}"/>
    <cellStyle name="Migliaia 10 3 13" xfId="51362" xr:uid="{00000000-0005-0000-0000-000089A70000}"/>
    <cellStyle name="Migliaia 10 3 14" xfId="51775" xr:uid="{00000000-0005-0000-0000-00008AA70000}"/>
    <cellStyle name="Migliaia 10 3 15" xfId="52190" xr:uid="{00000000-0005-0000-0000-00008BA70000}"/>
    <cellStyle name="Migliaia 10 3 2" xfId="290" xr:uid="{00000000-0005-0000-0000-00008CA70000}"/>
    <cellStyle name="Migliaia 10 3 2 10" xfId="50202" xr:uid="{00000000-0005-0000-0000-00008DA70000}"/>
    <cellStyle name="Migliaia 10 3 2 11" xfId="50644" xr:uid="{00000000-0005-0000-0000-00008EA70000}"/>
    <cellStyle name="Migliaia 10 3 2 12" xfId="51363" xr:uid="{00000000-0005-0000-0000-00008FA70000}"/>
    <cellStyle name="Migliaia 10 3 2 13" xfId="51776" xr:uid="{00000000-0005-0000-0000-000090A70000}"/>
    <cellStyle name="Migliaia 10 3 2 14" xfId="52191" xr:uid="{00000000-0005-0000-0000-000091A70000}"/>
    <cellStyle name="Migliaia 10 3 2 2" xfId="9060" xr:uid="{00000000-0005-0000-0000-000092A70000}"/>
    <cellStyle name="Migliaia 10 3 2 2 2" xfId="54666" xr:uid="{00000000-0005-0000-0000-000093A70000}"/>
    <cellStyle name="Migliaia 10 3 2 3" xfId="9741" xr:uid="{00000000-0005-0000-0000-000094A70000}"/>
    <cellStyle name="Migliaia 10 3 2 3 2" xfId="26067" xr:uid="{00000000-0005-0000-0000-000095A70000}"/>
    <cellStyle name="Migliaia 10 3 2 3 3" xfId="41045" xr:uid="{00000000-0005-0000-0000-000096A70000}"/>
    <cellStyle name="Migliaia 10 3 2 3 4" xfId="55473" xr:uid="{00000000-0005-0000-0000-000097A70000}"/>
    <cellStyle name="Migliaia 10 3 2 4" xfId="16950" xr:uid="{00000000-0005-0000-0000-000098A70000}"/>
    <cellStyle name="Migliaia 10 3 2 4 2" xfId="33066" xr:uid="{00000000-0005-0000-0000-000099A70000}"/>
    <cellStyle name="Migliaia 10 3 2 4 3" xfId="48027" xr:uid="{00000000-0005-0000-0000-00009AA70000}"/>
    <cellStyle name="Migliaia 10 3 2 5" xfId="19048" xr:uid="{00000000-0005-0000-0000-00009BA70000}"/>
    <cellStyle name="Migliaia 10 3 2 6" xfId="34043" xr:uid="{00000000-0005-0000-0000-00009CA70000}"/>
    <cellStyle name="Migliaia 10 3 2 7" xfId="48983" xr:uid="{00000000-0005-0000-0000-00009DA70000}"/>
    <cellStyle name="Migliaia 10 3 2 8" xfId="49388" xr:uid="{00000000-0005-0000-0000-00009EA70000}"/>
    <cellStyle name="Migliaia 10 3 2 9" xfId="49794" xr:uid="{00000000-0005-0000-0000-00009FA70000}"/>
    <cellStyle name="Migliaia 10 3 3" xfId="9059" xr:uid="{00000000-0005-0000-0000-0000A0A70000}"/>
    <cellStyle name="Migliaia 10 3 3 2" xfId="18149" xr:uid="{00000000-0005-0000-0000-0000A1A70000}"/>
    <cellStyle name="Migliaia 10 3 3 2 2" xfId="33616" xr:uid="{00000000-0005-0000-0000-0000A2A70000}"/>
    <cellStyle name="Migliaia 10 3 3 2 2 2" xfId="55101" xr:uid="{00000000-0005-0000-0000-0000A3A70000}"/>
    <cellStyle name="Migliaia 10 3 3 2 3" xfId="48577" xr:uid="{00000000-0005-0000-0000-0000A4A70000}"/>
    <cellStyle name="Migliaia 10 3 3 2 3 2" xfId="56023" xr:uid="{00000000-0005-0000-0000-0000A5A70000}"/>
    <cellStyle name="Migliaia 10 3 3 2 4" xfId="52746" xr:uid="{00000000-0005-0000-0000-0000A6A70000}"/>
    <cellStyle name="Migliaia 10 3 3 3" xfId="16951" xr:uid="{00000000-0005-0000-0000-0000A7A70000}"/>
    <cellStyle name="Migliaia 10 3 3 3 2" xfId="33067" xr:uid="{00000000-0005-0000-0000-0000A8A70000}"/>
    <cellStyle name="Migliaia 10 3 3 3 3" xfId="48028" xr:uid="{00000000-0005-0000-0000-0000A9A70000}"/>
    <cellStyle name="Migliaia 10 3 3 3 4" xfId="54667" xr:uid="{00000000-0005-0000-0000-0000AAA70000}"/>
    <cellStyle name="Migliaia 10 3 3 4" xfId="55474" xr:uid="{00000000-0005-0000-0000-0000ABA70000}"/>
    <cellStyle name="Migliaia 10 3 3 5" xfId="52192" xr:uid="{00000000-0005-0000-0000-0000ACA70000}"/>
    <cellStyle name="Migliaia 10 3 4" xfId="9740" xr:uid="{00000000-0005-0000-0000-0000ADA70000}"/>
    <cellStyle name="Migliaia 10 3 4 2" xfId="18148" xr:uid="{00000000-0005-0000-0000-0000AEA70000}"/>
    <cellStyle name="Migliaia 10 3 4 2 2" xfId="33615" xr:uid="{00000000-0005-0000-0000-0000AFA70000}"/>
    <cellStyle name="Migliaia 10 3 4 2 3" xfId="48576" xr:uid="{00000000-0005-0000-0000-0000B0A70000}"/>
    <cellStyle name="Migliaia 10 3 4 2 4" xfId="55100" xr:uid="{00000000-0005-0000-0000-0000B1A70000}"/>
    <cellStyle name="Migliaia 10 3 4 3" xfId="26066" xr:uid="{00000000-0005-0000-0000-0000B2A70000}"/>
    <cellStyle name="Migliaia 10 3 4 3 2" xfId="56022" xr:uid="{00000000-0005-0000-0000-0000B3A70000}"/>
    <cellStyle name="Migliaia 10 3 4 4" xfId="41044" xr:uid="{00000000-0005-0000-0000-0000B4A70000}"/>
    <cellStyle name="Migliaia 10 3 4 5" xfId="52745" xr:uid="{00000000-0005-0000-0000-0000B5A70000}"/>
    <cellStyle name="Migliaia 10 3 5" xfId="16949" xr:uid="{00000000-0005-0000-0000-0000B6A70000}"/>
    <cellStyle name="Migliaia 10 3 5 2" xfId="33065" xr:uid="{00000000-0005-0000-0000-0000B7A70000}"/>
    <cellStyle name="Migliaia 10 3 5 3" xfId="48026" xr:uid="{00000000-0005-0000-0000-0000B8A70000}"/>
    <cellStyle name="Migliaia 10 3 5 4" xfId="54665" xr:uid="{00000000-0005-0000-0000-0000B9A70000}"/>
    <cellStyle name="Migliaia 10 3 6" xfId="19047" xr:uid="{00000000-0005-0000-0000-0000BAA70000}"/>
    <cellStyle name="Migliaia 10 3 6 2" xfId="55472" xr:uid="{00000000-0005-0000-0000-0000BBA70000}"/>
    <cellStyle name="Migliaia 10 3 7" xfId="34042" xr:uid="{00000000-0005-0000-0000-0000BCA70000}"/>
    <cellStyle name="Migliaia 10 3 8" xfId="48982" xr:uid="{00000000-0005-0000-0000-0000BDA70000}"/>
    <cellStyle name="Migliaia 10 3 9" xfId="49387" xr:uid="{00000000-0005-0000-0000-0000BEA70000}"/>
    <cellStyle name="Migliaia 10 4" xfId="9061" xr:uid="{00000000-0005-0000-0000-0000BFA70000}"/>
    <cellStyle name="Migliaia 10 4 2" xfId="16953" xr:uid="{00000000-0005-0000-0000-0000C0A70000}"/>
    <cellStyle name="Migliaia 10 4 2 2" xfId="18151" xr:uid="{00000000-0005-0000-0000-0000C1A70000}"/>
    <cellStyle name="Migliaia 10 4 2 2 2" xfId="33618" xr:uid="{00000000-0005-0000-0000-0000C2A70000}"/>
    <cellStyle name="Migliaia 10 4 2 2 2 2" xfId="55103" xr:uid="{00000000-0005-0000-0000-0000C3A70000}"/>
    <cellStyle name="Migliaia 10 4 2 2 3" xfId="48579" xr:uid="{00000000-0005-0000-0000-0000C4A70000}"/>
    <cellStyle name="Migliaia 10 4 2 2 3 2" xfId="56025" xr:uid="{00000000-0005-0000-0000-0000C5A70000}"/>
    <cellStyle name="Migliaia 10 4 2 2 4" xfId="52748" xr:uid="{00000000-0005-0000-0000-0000C6A70000}"/>
    <cellStyle name="Migliaia 10 4 2 3" xfId="33069" xr:uid="{00000000-0005-0000-0000-0000C7A70000}"/>
    <cellStyle name="Migliaia 10 4 2 3 2" xfId="54669" xr:uid="{00000000-0005-0000-0000-0000C8A70000}"/>
    <cellStyle name="Migliaia 10 4 2 4" xfId="48030" xr:uid="{00000000-0005-0000-0000-0000C9A70000}"/>
    <cellStyle name="Migliaia 10 4 2 4 2" xfId="55476" xr:uid="{00000000-0005-0000-0000-0000CAA70000}"/>
    <cellStyle name="Migliaia 10 4 2 5" xfId="52194" xr:uid="{00000000-0005-0000-0000-0000CBA70000}"/>
    <cellStyle name="Migliaia 10 4 3" xfId="18150" xr:uid="{00000000-0005-0000-0000-0000CCA70000}"/>
    <cellStyle name="Migliaia 10 4 3 2" xfId="33617" xr:uid="{00000000-0005-0000-0000-0000CDA70000}"/>
    <cellStyle name="Migliaia 10 4 3 2 2" xfId="55102" xr:uid="{00000000-0005-0000-0000-0000CEA70000}"/>
    <cellStyle name="Migliaia 10 4 3 3" xfId="48578" xr:uid="{00000000-0005-0000-0000-0000CFA70000}"/>
    <cellStyle name="Migliaia 10 4 3 3 2" xfId="56024" xr:uid="{00000000-0005-0000-0000-0000D0A70000}"/>
    <cellStyle name="Migliaia 10 4 3 4" xfId="52747" xr:uid="{00000000-0005-0000-0000-0000D1A70000}"/>
    <cellStyle name="Migliaia 10 4 4" xfId="16952" xr:uid="{00000000-0005-0000-0000-0000D2A70000}"/>
    <cellStyle name="Migliaia 10 4 4 2" xfId="33068" xr:uid="{00000000-0005-0000-0000-0000D3A70000}"/>
    <cellStyle name="Migliaia 10 4 4 3" xfId="48029" xr:uid="{00000000-0005-0000-0000-0000D4A70000}"/>
    <cellStyle name="Migliaia 10 4 4 4" xfId="54668" xr:uid="{00000000-0005-0000-0000-0000D5A70000}"/>
    <cellStyle name="Migliaia 10 4 5" xfId="51143" xr:uid="{00000000-0005-0000-0000-0000D6A70000}"/>
    <cellStyle name="Migliaia 10 4 5 2" xfId="55475" xr:uid="{00000000-0005-0000-0000-0000D7A70000}"/>
    <cellStyle name="Migliaia 10 4 6" xfId="52193" xr:uid="{00000000-0005-0000-0000-0000D8A70000}"/>
    <cellStyle name="Migliaia 10 5" xfId="9062" xr:uid="{00000000-0005-0000-0000-0000D9A70000}"/>
    <cellStyle name="Migliaia 10 5 2" xfId="16954" xr:uid="{00000000-0005-0000-0000-0000DAA70000}"/>
    <cellStyle name="Migliaia 10 5 2 2" xfId="33070" xr:uid="{00000000-0005-0000-0000-0000DBA70000}"/>
    <cellStyle name="Migliaia 10 5 2 3" xfId="48031" xr:uid="{00000000-0005-0000-0000-0000DCA70000}"/>
    <cellStyle name="Migliaia 10 5 2 4" xfId="54670" xr:uid="{00000000-0005-0000-0000-0000DDA70000}"/>
    <cellStyle name="Migliaia 10 5 3" xfId="51197" xr:uid="{00000000-0005-0000-0000-0000DEA70000}"/>
    <cellStyle name="Migliaia 10 5 3 2" xfId="55477" xr:uid="{00000000-0005-0000-0000-0000DFA70000}"/>
    <cellStyle name="Migliaia 10 5 4" xfId="52195" xr:uid="{00000000-0005-0000-0000-0000E0A70000}"/>
    <cellStyle name="Migliaia 10 6" xfId="9057" xr:uid="{00000000-0005-0000-0000-0000E1A70000}"/>
    <cellStyle name="Migliaia 10 6 2" xfId="51145" xr:uid="{00000000-0005-0000-0000-0000E2A70000}"/>
    <cellStyle name="Migliaia 10 6 3" xfId="54526" xr:uid="{00000000-0005-0000-0000-0000E3A70000}"/>
    <cellStyle name="Migliaia 10 7" xfId="9738" xr:uid="{00000000-0005-0000-0000-0000E4A70000}"/>
    <cellStyle name="Migliaia 10 7 2" xfId="26064" xr:uid="{00000000-0005-0000-0000-0000E5A70000}"/>
    <cellStyle name="Migliaia 10 7 3" xfId="41042" xr:uid="{00000000-0005-0000-0000-0000E6A70000}"/>
    <cellStyle name="Migliaia 10 7 4" xfId="55470" xr:uid="{00000000-0005-0000-0000-0000E7A70000}"/>
    <cellStyle name="Migliaia 10 8" xfId="16947" xr:uid="{00000000-0005-0000-0000-0000E8A70000}"/>
    <cellStyle name="Migliaia 10 8 2" xfId="33063" xr:uid="{00000000-0005-0000-0000-0000E9A70000}"/>
    <cellStyle name="Migliaia 10 8 3" xfId="48024" xr:uid="{00000000-0005-0000-0000-0000EAA70000}"/>
    <cellStyle name="Migliaia 10 9" xfId="19045" xr:uid="{00000000-0005-0000-0000-0000EBA70000}"/>
    <cellStyle name="Migliaia 11" xfId="291" xr:uid="{00000000-0005-0000-0000-0000ECA70000}"/>
    <cellStyle name="Migliaia 11 10" xfId="34044" xr:uid="{00000000-0005-0000-0000-0000EDA70000}"/>
    <cellStyle name="Migliaia 11 11" xfId="48984" xr:uid="{00000000-0005-0000-0000-0000EEA70000}"/>
    <cellStyle name="Migliaia 11 12" xfId="49389" xr:uid="{00000000-0005-0000-0000-0000EFA70000}"/>
    <cellStyle name="Migliaia 11 13" xfId="49795" xr:uid="{00000000-0005-0000-0000-0000F0A70000}"/>
    <cellStyle name="Migliaia 11 14" xfId="50203" xr:uid="{00000000-0005-0000-0000-0000F1A70000}"/>
    <cellStyle name="Migliaia 11 15" xfId="50645" xr:uid="{00000000-0005-0000-0000-0000F2A70000}"/>
    <cellStyle name="Migliaia 11 16" xfId="51364" xr:uid="{00000000-0005-0000-0000-0000F3A70000}"/>
    <cellStyle name="Migliaia 11 17" xfId="51777" xr:uid="{00000000-0005-0000-0000-0000F4A70000}"/>
    <cellStyle name="Migliaia 11 18" xfId="52196" xr:uid="{00000000-0005-0000-0000-0000F5A70000}"/>
    <cellStyle name="Migliaia 11 2" xfId="292" xr:uid="{00000000-0005-0000-0000-0000F6A70000}"/>
    <cellStyle name="Migliaia 11 2 10" xfId="49796" xr:uid="{00000000-0005-0000-0000-0000F7A70000}"/>
    <cellStyle name="Migliaia 11 2 11" xfId="50204" xr:uid="{00000000-0005-0000-0000-0000F8A70000}"/>
    <cellStyle name="Migliaia 11 2 12" xfId="50646" xr:uid="{00000000-0005-0000-0000-0000F9A70000}"/>
    <cellStyle name="Migliaia 11 2 13" xfId="51365" xr:uid="{00000000-0005-0000-0000-0000FAA70000}"/>
    <cellStyle name="Migliaia 11 2 14" xfId="51778" xr:uid="{00000000-0005-0000-0000-0000FBA70000}"/>
    <cellStyle name="Migliaia 11 2 15" xfId="52197" xr:uid="{00000000-0005-0000-0000-0000FCA70000}"/>
    <cellStyle name="Migliaia 11 2 2" xfId="1244" xr:uid="{00000000-0005-0000-0000-0000FDA70000}"/>
    <cellStyle name="Migliaia 11 2 2 10" xfId="51038" xr:uid="{00000000-0005-0000-0000-0000FEA70000}"/>
    <cellStyle name="Migliaia 11 2 2 11" xfId="51634" xr:uid="{00000000-0005-0000-0000-0000FFA70000}"/>
    <cellStyle name="Migliaia 11 2 2 12" xfId="52055" xr:uid="{00000000-0005-0000-0000-000000A80000}"/>
    <cellStyle name="Migliaia 11 2 2 13" xfId="52749" xr:uid="{00000000-0005-0000-0000-000001A80000}"/>
    <cellStyle name="Migliaia 11 2 2 2" xfId="10012" xr:uid="{00000000-0005-0000-0000-000002A80000}"/>
    <cellStyle name="Migliaia 11 2 2 2 2" xfId="26333" xr:uid="{00000000-0005-0000-0000-000003A80000}"/>
    <cellStyle name="Migliaia 11 2 2 2 3" xfId="41301" xr:uid="{00000000-0005-0000-0000-000004A80000}"/>
    <cellStyle name="Migliaia 11 2 2 2 4" xfId="55104" xr:uid="{00000000-0005-0000-0000-000005A80000}"/>
    <cellStyle name="Migliaia 11 2 2 3" xfId="18152" xr:uid="{00000000-0005-0000-0000-000006A80000}"/>
    <cellStyle name="Migliaia 11 2 2 3 2" xfId="33619" xr:uid="{00000000-0005-0000-0000-000007A80000}"/>
    <cellStyle name="Migliaia 11 2 2 3 3" xfId="48580" xr:uid="{00000000-0005-0000-0000-000008A80000}"/>
    <cellStyle name="Migliaia 11 2 2 3 4" xfId="56026" xr:uid="{00000000-0005-0000-0000-000009A80000}"/>
    <cellStyle name="Migliaia 11 2 2 4" xfId="19312" xr:uid="{00000000-0005-0000-0000-00000AA80000}"/>
    <cellStyle name="Migliaia 11 2 2 5" xfId="34302" xr:uid="{00000000-0005-0000-0000-00000BA80000}"/>
    <cellStyle name="Migliaia 11 2 2 6" xfId="49254" xr:uid="{00000000-0005-0000-0000-00000CA80000}"/>
    <cellStyle name="Migliaia 11 2 2 7" xfId="49659" xr:uid="{00000000-0005-0000-0000-00000DA80000}"/>
    <cellStyle name="Migliaia 11 2 2 8" xfId="50068" xr:uid="{00000000-0005-0000-0000-00000EA80000}"/>
    <cellStyle name="Migliaia 11 2 2 9" xfId="50473" xr:uid="{00000000-0005-0000-0000-00000FA80000}"/>
    <cellStyle name="Migliaia 11 2 3" xfId="9064" xr:uid="{00000000-0005-0000-0000-000010A80000}"/>
    <cellStyle name="Migliaia 11 2 3 2" xfId="54594" xr:uid="{00000000-0005-0000-0000-000011A80000}"/>
    <cellStyle name="Migliaia 11 2 4" xfId="9743" xr:uid="{00000000-0005-0000-0000-000012A80000}"/>
    <cellStyle name="Migliaia 11 2 4 2" xfId="26069" xr:uid="{00000000-0005-0000-0000-000013A80000}"/>
    <cellStyle name="Migliaia 11 2 4 3" xfId="41047" xr:uid="{00000000-0005-0000-0000-000014A80000}"/>
    <cellStyle name="Migliaia 11 2 4 4" xfId="55479" xr:uid="{00000000-0005-0000-0000-000015A80000}"/>
    <cellStyle name="Migliaia 11 2 5" xfId="16956" xr:uid="{00000000-0005-0000-0000-000016A80000}"/>
    <cellStyle name="Migliaia 11 2 5 2" xfId="33072" xr:uid="{00000000-0005-0000-0000-000017A80000}"/>
    <cellStyle name="Migliaia 11 2 5 3" xfId="48033" xr:uid="{00000000-0005-0000-0000-000018A80000}"/>
    <cellStyle name="Migliaia 11 2 6" xfId="19050" xr:uid="{00000000-0005-0000-0000-000019A80000}"/>
    <cellStyle name="Migliaia 11 2 7" xfId="34045" xr:uid="{00000000-0005-0000-0000-00001AA80000}"/>
    <cellStyle name="Migliaia 11 2 8" xfId="48985" xr:uid="{00000000-0005-0000-0000-00001BA80000}"/>
    <cellStyle name="Migliaia 11 2 9" xfId="49390" xr:uid="{00000000-0005-0000-0000-00001CA80000}"/>
    <cellStyle name="Migliaia 11 3" xfId="293" xr:uid="{00000000-0005-0000-0000-00001DA80000}"/>
    <cellStyle name="Migliaia 11 3 10" xfId="49797" xr:uid="{00000000-0005-0000-0000-00001EA80000}"/>
    <cellStyle name="Migliaia 11 3 11" xfId="50205" xr:uid="{00000000-0005-0000-0000-00001FA80000}"/>
    <cellStyle name="Migliaia 11 3 12" xfId="50647" xr:uid="{00000000-0005-0000-0000-000020A80000}"/>
    <cellStyle name="Migliaia 11 3 13" xfId="51366" xr:uid="{00000000-0005-0000-0000-000021A80000}"/>
    <cellStyle name="Migliaia 11 3 14" xfId="51779" xr:uid="{00000000-0005-0000-0000-000022A80000}"/>
    <cellStyle name="Migliaia 11 3 15" xfId="52198" xr:uid="{00000000-0005-0000-0000-000023A80000}"/>
    <cellStyle name="Migliaia 11 3 2" xfId="294" xr:uid="{00000000-0005-0000-0000-000024A80000}"/>
    <cellStyle name="Migliaia 11 3 2 10" xfId="50206" xr:uid="{00000000-0005-0000-0000-000025A80000}"/>
    <cellStyle name="Migliaia 11 3 2 11" xfId="50648" xr:uid="{00000000-0005-0000-0000-000026A80000}"/>
    <cellStyle name="Migliaia 11 3 2 12" xfId="51367" xr:uid="{00000000-0005-0000-0000-000027A80000}"/>
    <cellStyle name="Migliaia 11 3 2 13" xfId="51780" xr:uid="{00000000-0005-0000-0000-000028A80000}"/>
    <cellStyle name="Migliaia 11 3 2 14" xfId="52199" xr:uid="{00000000-0005-0000-0000-000029A80000}"/>
    <cellStyle name="Migliaia 11 3 2 2" xfId="9066" xr:uid="{00000000-0005-0000-0000-00002AA80000}"/>
    <cellStyle name="Migliaia 11 3 2 2 2" xfId="54672" xr:uid="{00000000-0005-0000-0000-00002BA80000}"/>
    <cellStyle name="Migliaia 11 3 2 3" xfId="9745" xr:uid="{00000000-0005-0000-0000-00002CA80000}"/>
    <cellStyle name="Migliaia 11 3 2 3 2" xfId="26071" xr:uid="{00000000-0005-0000-0000-00002DA80000}"/>
    <cellStyle name="Migliaia 11 3 2 3 3" xfId="41049" xr:uid="{00000000-0005-0000-0000-00002EA80000}"/>
    <cellStyle name="Migliaia 11 3 2 3 4" xfId="55481" xr:uid="{00000000-0005-0000-0000-00002FA80000}"/>
    <cellStyle name="Migliaia 11 3 2 4" xfId="16958" xr:uid="{00000000-0005-0000-0000-000030A80000}"/>
    <cellStyle name="Migliaia 11 3 2 4 2" xfId="33074" xr:uid="{00000000-0005-0000-0000-000031A80000}"/>
    <cellStyle name="Migliaia 11 3 2 4 3" xfId="48035" xr:uid="{00000000-0005-0000-0000-000032A80000}"/>
    <cellStyle name="Migliaia 11 3 2 5" xfId="19052" xr:uid="{00000000-0005-0000-0000-000033A80000}"/>
    <cellStyle name="Migliaia 11 3 2 6" xfId="34047" xr:uid="{00000000-0005-0000-0000-000034A80000}"/>
    <cellStyle name="Migliaia 11 3 2 7" xfId="48987" xr:uid="{00000000-0005-0000-0000-000035A80000}"/>
    <cellStyle name="Migliaia 11 3 2 8" xfId="49392" xr:uid="{00000000-0005-0000-0000-000036A80000}"/>
    <cellStyle name="Migliaia 11 3 2 9" xfId="49798" xr:uid="{00000000-0005-0000-0000-000037A80000}"/>
    <cellStyle name="Migliaia 11 3 3" xfId="9065" xr:uid="{00000000-0005-0000-0000-000038A80000}"/>
    <cellStyle name="Migliaia 11 3 3 2" xfId="18154" xr:uid="{00000000-0005-0000-0000-000039A80000}"/>
    <cellStyle name="Migliaia 11 3 3 2 2" xfId="33621" xr:uid="{00000000-0005-0000-0000-00003AA80000}"/>
    <cellStyle name="Migliaia 11 3 3 2 2 2" xfId="55106" xr:uid="{00000000-0005-0000-0000-00003BA80000}"/>
    <cellStyle name="Migliaia 11 3 3 2 3" xfId="48582" xr:uid="{00000000-0005-0000-0000-00003CA80000}"/>
    <cellStyle name="Migliaia 11 3 3 2 3 2" xfId="56028" xr:uid="{00000000-0005-0000-0000-00003DA80000}"/>
    <cellStyle name="Migliaia 11 3 3 2 4" xfId="52751" xr:uid="{00000000-0005-0000-0000-00003EA80000}"/>
    <cellStyle name="Migliaia 11 3 3 3" xfId="16959" xr:uid="{00000000-0005-0000-0000-00003FA80000}"/>
    <cellStyle name="Migliaia 11 3 3 3 2" xfId="33075" xr:uid="{00000000-0005-0000-0000-000040A80000}"/>
    <cellStyle name="Migliaia 11 3 3 3 3" xfId="48036" xr:uid="{00000000-0005-0000-0000-000041A80000}"/>
    <cellStyle name="Migliaia 11 3 3 3 4" xfId="54673" xr:uid="{00000000-0005-0000-0000-000042A80000}"/>
    <cellStyle name="Migliaia 11 3 3 4" xfId="55482" xr:uid="{00000000-0005-0000-0000-000043A80000}"/>
    <cellStyle name="Migliaia 11 3 3 5" xfId="52200" xr:uid="{00000000-0005-0000-0000-000044A80000}"/>
    <cellStyle name="Migliaia 11 3 4" xfId="9744" xr:uid="{00000000-0005-0000-0000-000045A80000}"/>
    <cellStyle name="Migliaia 11 3 4 2" xfId="18153" xr:uid="{00000000-0005-0000-0000-000046A80000}"/>
    <cellStyle name="Migliaia 11 3 4 2 2" xfId="33620" xr:uid="{00000000-0005-0000-0000-000047A80000}"/>
    <cellStyle name="Migliaia 11 3 4 2 3" xfId="48581" xr:uid="{00000000-0005-0000-0000-000048A80000}"/>
    <cellStyle name="Migliaia 11 3 4 2 4" xfId="55105" xr:uid="{00000000-0005-0000-0000-000049A80000}"/>
    <cellStyle name="Migliaia 11 3 4 3" xfId="26070" xr:uid="{00000000-0005-0000-0000-00004AA80000}"/>
    <cellStyle name="Migliaia 11 3 4 3 2" xfId="56027" xr:uid="{00000000-0005-0000-0000-00004BA80000}"/>
    <cellStyle name="Migliaia 11 3 4 4" xfId="41048" xr:uid="{00000000-0005-0000-0000-00004CA80000}"/>
    <cellStyle name="Migliaia 11 3 4 5" xfId="52750" xr:uid="{00000000-0005-0000-0000-00004DA80000}"/>
    <cellStyle name="Migliaia 11 3 5" xfId="16957" xr:uid="{00000000-0005-0000-0000-00004EA80000}"/>
    <cellStyle name="Migliaia 11 3 5 2" xfId="33073" xr:uid="{00000000-0005-0000-0000-00004FA80000}"/>
    <cellStyle name="Migliaia 11 3 5 3" xfId="48034" xr:uid="{00000000-0005-0000-0000-000050A80000}"/>
    <cellStyle name="Migliaia 11 3 5 4" xfId="54671" xr:uid="{00000000-0005-0000-0000-000051A80000}"/>
    <cellStyle name="Migliaia 11 3 6" xfId="19051" xr:uid="{00000000-0005-0000-0000-000052A80000}"/>
    <cellStyle name="Migliaia 11 3 6 2" xfId="55480" xr:uid="{00000000-0005-0000-0000-000053A80000}"/>
    <cellStyle name="Migliaia 11 3 7" xfId="34046" xr:uid="{00000000-0005-0000-0000-000054A80000}"/>
    <cellStyle name="Migliaia 11 3 8" xfId="48986" xr:uid="{00000000-0005-0000-0000-000055A80000}"/>
    <cellStyle name="Migliaia 11 3 9" xfId="49391" xr:uid="{00000000-0005-0000-0000-000056A80000}"/>
    <cellStyle name="Migliaia 11 4" xfId="9067" xr:uid="{00000000-0005-0000-0000-000057A80000}"/>
    <cellStyle name="Migliaia 11 4 2" xfId="16961" xr:uid="{00000000-0005-0000-0000-000058A80000}"/>
    <cellStyle name="Migliaia 11 4 2 2" xfId="18156" xr:uid="{00000000-0005-0000-0000-000059A80000}"/>
    <cellStyle name="Migliaia 11 4 2 2 2" xfId="33623" xr:uid="{00000000-0005-0000-0000-00005AA80000}"/>
    <cellStyle name="Migliaia 11 4 2 2 2 2" xfId="55108" xr:uid="{00000000-0005-0000-0000-00005BA80000}"/>
    <cellStyle name="Migliaia 11 4 2 2 3" xfId="48584" xr:uid="{00000000-0005-0000-0000-00005CA80000}"/>
    <cellStyle name="Migliaia 11 4 2 2 3 2" xfId="56030" xr:uid="{00000000-0005-0000-0000-00005DA80000}"/>
    <cellStyle name="Migliaia 11 4 2 2 4" xfId="52753" xr:uid="{00000000-0005-0000-0000-00005EA80000}"/>
    <cellStyle name="Migliaia 11 4 2 3" xfId="33077" xr:uid="{00000000-0005-0000-0000-00005FA80000}"/>
    <cellStyle name="Migliaia 11 4 2 3 2" xfId="54675" xr:uid="{00000000-0005-0000-0000-000060A80000}"/>
    <cellStyle name="Migliaia 11 4 2 4" xfId="48038" xr:uid="{00000000-0005-0000-0000-000061A80000}"/>
    <cellStyle name="Migliaia 11 4 2 4 2" xfId="55484" xr:uid="{00000000-0005-0000-0000-000062A80000}"/>
    <cellStyle name="Migliaia 11 4 2 5" xfId="52202" xr:uid="{00000000-0005-0000-0000-000063A80000}"/>
    <cellStyle name="Migliaia 11 4 3" xfId="18155" xr:uid="{00000000-0005-0000-0000-000064A80000}"/>
    <cellStyle name="Migliaia 11 4 3 2" xfId="33622" xr:uid="{00000000-0005-0000-0000-000065A80000}"/>
    <cellStyle name="Migliaia 11 4 3 2 2" xfId="55107" xr:uid="{00000000-0005-0000-0000-000066A80000}"/>
    <cellStyle name="Migliaia 11 4 3 3" xfId="48583" xr:uid="{00000000-0005-0000-0000-000067A80000}"/>
    <cellStyle name="Migliaia 11 4 3 3 2" xfId="56029" xr:uid="{00000000-0005-0000-0000-000068A80000}"/>
    <cellStyle name="Migliaia 11 4 3 4" xfId="52752" xr:uid="{00000000-0005-0000-0000-000069A80000}"/>
    <cellStyle name="Migliaia 11 4 4" xfId="16960" xr:uid="{00000000-0005-0000-0000-00006AA80000}"/>
    <cellStyle name="Migliaia 11 4 4 2" xfId="33076" xr:uid="{00000000-0005-0000-0000-00006BA80000}"/>
    <cellStyle name="Migliaia 11 4 4 3" xfId="48037" xr:uid="{00000000-0005-0000-0000-00006CA80000}"/>
    <cellStyle name="Migliaia 11 4 4 4" xfId="54674" xr:uid="{00000000-0005-0000-0000-00006DA80000}"/>
    <cellStyle name="Migliaia 11 4 5" xfId="51144" xr:uid="{00000000-0005-0000-0000-00006EA80000}"/>
    <cellStyle name="Migliaia 11 4 5 2" xfId="55483" xr:uid="{00000000-0005-0000-0000-00006FA80000}"/>
    <cellStyle name="Migliaia 11 4 6" xfId="52201" xr:uid="{00000000-0005-0000-0000-000070A80000}"/>
    <cellStyle name="Migliaia 11 5" xfId="9068" xr:uid="{00000000-0005-0000-0000-000071A80000}"/>
    <cellStyle name="Migliaia 11 5 2" xfId="16962" xr:uid="{00000000-0005-0000-0000-000072A80000}"/>
    <cellStyle name="Migliaia 11 5 2 2" xfId="33078" xr:uid="{00000000-0005-0000-0000-000073A80000}"/>
    <cellStyle name="Migliaia 11 5 2 3" xfId="48039" xr:uid="{00000000-0005-0000-0000-000074A80000}"/>
    <cellStyle name="Migliaia 11 5 2 4" xfId="54676" xr:uid="{00000000-0005-0000-0000-000075A80000}"/>
    <cellStyle name="Migliaia 11 5 3" xfId="51198" xr:uid="{00000000-0005-0000-0000-000076A80000}"/>
    <cellStyle name="Migliaia 11 5 3 2" xfId="55485" xr:uid="{00000000-0005-0000-0000-000077A80000}"/>
    <cellStyle name="Migliaia 11 5 4" xfId="52203" xr:uid="{00000000-0005-0000-0000-000078A80000}"/>
    <cellStyle name="Migliaia 11 6" xfId="9063" xr:uid="{00000000-0005-0000-0000-000079A80000}"/>
    <cellStyle name="Migliaia 11 6 2" xfId="51176" xr:uid="{00000000-0005-0000-0000-00007AA80000}"/>
    <cellStyle name="Migliaia 11 6 3" xfId="54527" xr:uid="{00000000-0005-0000-0000-00007BA80000}"/>
    <cellStyle name="Migliaia 11 7" xfId="9742" xr:uid="{00000000-0005-0000-0000-00007CA80000}"/>
    <cellStyle name="Migliaia 11 7 2" xfId="26068" xr:uid="{00000000-0005-0000-0000-00007DA80000}"/>
    <cellStyle name="Migliaia 11 7 3" xfId="41046" xr:uid="{00000000-0005-0000-0000-00007EA80000}"/>
    <cellStyle name="Migliaia 11 7 4" xfId="55478" xr:uid="{00000000-0005-0000-0000-00007FA80000}"/>
    <cellStyle name="Migliaia 11 8" xfId="16955" xr:uid="{00000000-0005-0000-0000-000080A80000}"/>
    <cellStyle name="Migliaia 11 8 2" xfId="33071" xr:uid="{00000000-0005-0000-0000-000081A80000}"/>
    <cellStyle name="Migliaia 11 8 3" xfId="48032" xr:uid="{00000000-0005-0000-0000-000082A80000}"/>
    <cellStyle name="Migliaia 11 9" xfId="19049" xr:uid="{00000000-0005-0000-0000-000083A80000}"/>
    <cellStyle name="Migliaia 12" xfId="295" xr:uid="{00000000-0005-0000-0000-000084A80000}"/>
    <cellStyle name="Migliaia 12 10" xfId="34048" xr:uid="{00000000-0005-0000-0000-000085A80000}"/>
    <cellStyle name="Migliaia 12 11" xfId="48988" xr:uid="{00000000-0005-0000-0000-000086A80000}"/>
    <cellStyle name="Migliaia 12 12" xfId="49393" xr:uid="{00000000-0005-0000-0000-000087A80000}"/>
    <cellStyle name="Migliaia 12 13" xfId="49799" xr:uid="{00000000-0005-0000-0000-000088A80000}"/>
    <cellStyle name="Migliaia 12 14" xfId="50207" xr:uid="{00000000-0005-0000-0000-000089A80000}"/>
    <cellStyle name="Migliaia 12 15" xfId="50649" xr:uid="{00000000-0005-0000-0000-00008AA80000}"/>
    <cellStyle name="Migliaia 12 16" xfId="51368" xr:uid="{00000000-0005-0000-0000-00008BA80000}"/>
    <cellStyle name="Migliaia 12 17" xfId="51781" xr:uid="{00000000-0005-0000-0000-00008CA80000}"/>
    <cellStyle name="Migliaia 12 18" xfId="52204" xr:uid="{00000000-0005-0000-0000-00008DA80000}"/>
    <cellStyle name="Migliaia 12 2" xfId="296" xr:uid="{00000000-0005-0000-0000-00008EA80000}"/>
    <cellStyle name="Migliaia 12 2 10" xfId="49800" xr:uid="{00000000-0005-0000-0000-00008FA80000}"/>
    <cellStyle name="Migliaia 12 2 11" xfId="50208" xr:uid="{00000000-0005-0000-0000-000090A80000}"/>
    <cellStyle name="Migliaia 12 2 12" xfId="50650" xr:uid="{00000000-0005-0000-0000-000091A80000}"/>
    <cellStyle name="Migliaia 12 2 13" xfId="51369" xr:uid="{00000000-0005-0000-0000-000092A80000}"/>
    <cellStyle name="Migliaia 12 2 14" xfId="51782" xr:uid="{00000000-0005-0000-0000-000093A80000}"/>
    <cellStyle name="Migliaia 12 2 15" xfId="52205" xr:uid="{00000000-0005-0000-0000-000094A80000}"/>
    <cellStyle name="Migliaia 12 2 2" xfId="1245" xr:uid="{00000000-0005-0000-0000-000095A80000}"/>
    <cellStyle name="Migliaia 12 2 2 10" xfId="51039" xr:uid="{00000000-0005-0000-0000-000096A80000}"/>
    <cellStyle name="Migliaia 12 2 2 11" xfId="51635" xr:uid="{00000000-0005-0000-0000-000097A80000}"/>
    <cellStyle name="Migliaia 12 2 2 12" xfId="52056" xr:uid="{00000000-0005-0000-0000-000098A80000}"/>
    <cellStyle name="Migliaia 12 2 2 13" xfId="52754" xr:uid="{00000000-0005-0000-0000-000099A80000}"/>
    <cellStyle name="Migliaia 12 2 2 2" xfId="10013" xr:uid="{00000000-0005-0000-0000-00009AA80000}"/>
    <cellStyle name="Migliaia 12 2 2 2 2" xfId="26334" xr:uid="{00000000-0005-0000-0000-00009BA80000}"/>
    <cellStyle name="Migliaia 12 2 2 2 3" xfId="41302" xr:uid="{00000000-0005-0000-0000-00009CA80000}"/>
    <cellStyle name="Migliaia 12 2 2 2 4" xfId="55109" xr:uid="{00000000-0005-0000-0000-00009DA80000}"/>
    <cellStyle name="Migliaia 12 2 2 3" xfId="18157" xr:uid="{00000000-0005-0000-0000-00009EA80000}"/>
    <cellStyle name="Migliaia 12 2 2 3 2" xfId="33624" xr:uid="{00000000-0005-0000-0000-00009FA80000}"/>
    <cellStyle name="Migliaia 12 2 2 3 3" xfId="48585" xr:uid="{00000000-0005-0000-0000-0000A0A80000}"/>
    <cellStyle name="Migliaia 12 2 2 3 4" xfId="56031" xr:uid="{00000000-0005-0000-0000-0000A1A80000}"/>
    <cellStyle name="Migliaia 12 2 2 4" xfId="19313" xr:uid="{00000000-0005-0000-0000-0000A2A80000}"/>
    <cellStyle name="Migliaia 12 2 2 5" xfId="34303" xr:uid="{00000000-0005-0000-0000-0000A3A80000}"/>
    <cellStyle name="Migliaia 12 2 2 6" xfId="49255" xr:uid="{00000000-0005-0000-0000-0000A4A80000}"/>
    <cellStyle name="Migliaia 12 2 2 7" xfId="49660" xr:uid="{00000000-0005-0000-0000-0000A5A80000}"/>
    <cellStyle name="Migliaia 12 2 2 8" xfId="50069" xr:uid="{00000000-0005-0000-0000-0000A6A80000}"/>
    <cellStyle name="Migliaia 12 2 2 9" xfId="50474" xr:uid="{00000000-0005-0000-0000-0000A7A80000}"/>
    <cellStyle name="Migliaia 12 2 3" xfId="9070" xr:uid="{00000000-0005-0000-0000-0000A8A80000}"/>
    <cellStyle name="Migliaia 12 2 3 2" xfId="54595" xr:uid="{00000000-0005-0000-0000-0000A9A80000}"/>
    <cellStyle name="Migliaia 12 2 4" xfId="9747" xr:uid="{00000000-0005-0000-0000-0000AAA80000}"/>
    <cellStyle name="Migliaia 12 2 4 2" xfId="26073" xr:uid="{00000000-0005-0000-0000-0000ABA80000}"/>
    <cellStyle name="Migliaia 12 2 4 3" xfId="41051" xr:uid="{00000000-0005-0000-0000-0000ACA80000}"/>
    <cellStyle name="Migliaia 12 2 4 4" xfId="55487" xr:uid="{00000000-0005-0000-0000-0000ADA80000}"/>
    <cellStyle name="Migliaia 12 2 5" xfId="16964" xr:uid="{00000000-0005-0000-0000-0000AEA80000}"/>
    <cellStyle name="Migliaia 12 2 5 2" xfId="33080" xr:uid="{00000000-0005-0000-0000-0000AFA80000}"/>
    <cellStyle name="Migliaia 12 2 5 3" xfId="48041" xr:uid="{00000000-0005-0000-0000-0000B0A80000}"/>
    <cellStyle name="Migliaia 12 2 6" xfId="19054" xr:uid="{00000000-0005-0000-0000-0000B1A80000}"/>
    <cellStyle name="Migliaia 12 2 7" xfId="34049" xr:uid="{00000000-0005-0000-0000-0000B2A80000}"/>
    <cellStyle name="Migliaia 12 2 8" xfId="48989" xr:uid="{00000000-0005-0000-0000-0000B3A80000}"/>
    <cellStyle name="Migliaia 12 2 9" xfId="49394" xr:uid="{00000000-0005-0000-0000-0000B4A80000}"/>
    <cellStyle name="Migliaia 12 3" xfId="297" xr:uid="{00000000-0005-0000-0000-0000B5A80000}"/>
    <cellStyle name="Migliaia 12 3 10" xfId="49801" xr:uid="{00000000-0005-0000-0000-0000B6A80000}"/>
    <cellStyle name="Migliaia 12 3 11" xfId="50209" xr:uid="{00000000-0005-0000-0000-0000B7A80000}"/>
    <cellStyle name="Migliaia 12 3 12" xfId="50651" xr:uid="{00000000-0005-0000-0000-0000B8A80000}"/>
    <cellStyle name="Migliaia 12 3 13" xfId="51370" xr:uid="{00000000-0005-0000-0000-0000B9A80000}"/>
    <cellStyle name="Migliaia 12 3 14" xfId="51783" xr:uid="{00000000-0005-0000-0000-0000BAA80000}"/>
    <cellStyle name="Migliaia 12 3 15" xfId="52206" xr:uid="{00000000-0005-0000-0000-0000BBA80000}"/>
    <cellStyle name="Migliaia 12 3 2" xfId="298" xr:uid="{00000000-0005-0000-0000-0000BCA80000}"/>
    <cellStyle name="Migliaia 12 3 2 10" xfId="50210" xr:uid="{00000000-0005-0000-0000-0000BDA80000}"/>
    <cellStyle name="Migliaia 12 3 2 11" xfId="50652" xr:uid="{00000000-0005-0000-0000-0000BEA80000}"/>
    <cellStyle name="Migliaia 12 3 2 12" xfId="51371" xr:uid="{00000000-0005-0000-0000-0000BFA80000}"/>
    <cellStyle name="Migliaia 12 3 2 13" xfId="51784" xr:uid="{00000000-0005-0000-0000-0000C0A80000}"/>
    <cellStyle name="Migliaia 12 3 2 14" xfId="52207" xr:uid="{00000000-0005-0000-0000-0000C1A80000}"/>
    <cellStyle name="Migliaia 12 3 2 2" xfId="9072" xr:uid="{00000000-0005-0000-0000-0000C2A80000}"/>
    <cellStyle name="Migliaia 12 3 2 2 2" xfId="54678" xr:uid="{00000000-0005-0000-0000-0000C3A80000}"/>
    <cellStyle name="Migliaia 12 3 2 3" xfId="9749" xr:uid="{00000000-0005-0000-0000-0000C4A80000}"/>
    <cellStyle name="Migliaia 12 3 2 3 2" xfId="26075" xr:uid="{00000000-0005-0000-0000-0000C5A80000}"/>
    <cellStyle name="Migliaia 12 3 2 3 3" xfId="41053" xr:uid="{00000000-0005-0000-0000-0000C6A80000}"/>
    <cellStyle name="Migliaia 12 3 2 3 4" xfId="55489" xr:uid="{00000000-0005-0000-0000-0000C7A80000}"/>
    <cellStyle name="Migliaia 12 3 2 4" xfId="16966" xr:uid="{00000000-0005-0000-0000-0000C8A80000}"/>
    <cellStyle name="Migliaia 12 3 2 4 2" xfId="33082" xr:uid="{00000000-0005-0000-0000-0000C9A80000}"/>
    <cellStyle name="Migliaia 12 3 2 4 3" xfId="48043" xr:uid="{00000000-0005-0000-0000-0000CAA80000}"/>
    <cellStyle name="Migliaia 12 3 2 5" xfId="19056" xr:uid="{00000000-0005-0000-0000-0000CBA80000}"/>
    <cellStyle name="Migliaia 12 3 2 6" xfId="34051" xr:uid="{00000000-0005-0000-0000-0000CCA80000}"/>
    <cellStyle name="Migliaia 12 3 2 7" xfId="48991" xr:uid="{00000000-0005-0000-0000-0000CDA80000}"/>
    <cellStyle name="Migliaia 12 3 2 8" xfId="49396" xr:uid="{00000000-0005-0000-0000-0000CEA80000}"/>
    <cellStyle name="Migliaia 12 3 2 9" xfId="49802" xr:uid="{00000000-0005-0000-0000-0000CFA80000}"/>
    <cellStyle name="Migliaia 12 3 3" xfId="9071" xr:uid="{00000000-0005-0000-0000-0000D0A80000}"/>
    <cellStyle name="Migliaia 12 3 3 2" xfId="18159" xr:uid="{00000000-0005-0000-0000-0000D1A80000}"/>
    <cellStyle name="Migliaia 12 3 3 2 2" xfId="33626" xr:uid="{00000000-0005-0000-0000-0000D2A80000}"/>
    <cellStyle name="Migliaia 12 3 3 2 2 2" xfId="55111" xr:uid="{00000000-0005-0000-0000-0000D3A80000}"/>
    <cellStyle name="Migliaia 12 3 3 2 3" xfId="48587" xr:uid="{00000000-0005-0000-0000-0000D4A80000}"/>
    <cellStyle name="Migliaia 12 3 3 2 3 2" xfId="56033" xr:uid="{00000000-0005-0000-0000-0000D5A80000}"/>
    <cellStyle name="Migliaia 12 3 3 2 4" xfId="52756" xr:uid="{00000000-0005-0000-0000-0000D6A80000}"/>
    <cellStyle name="Migliaia 12 3 3 3" xfId="16967" xr:uid="{00000000-0005-0000-0000-0000D7A80000}"/>
    <cellStyle name="Migliaia 12 3 3 3 2" xfId="33083" xr:uid="{00000000-0005-0000-0000-0000D8A80000}"/>
    <cellStyle name="Migliaia 12 3 3 3 3" xfId="48044" xr:uid="{00000000-0005-0000-0000-0000D9A80000}"/>
    <cellStyle name="Migliaia 12 3 3 3 4" xfId="54679" xr:uid="{00000000-0005-0000-0000-0000DAA80000}"/>
    <cellStyle name="Migliaia 12 3 3 4" xfId="55490" xr:uid="{00000000-0005-0000-0000-0000DBA80000}"/>
    <cellStyle name="Migliaia 12 3 3 5" xfId="52208" xr:uid="{00000000-0005-0000-0000-0000DCA80000}"/>
    <cellStyle name="Migliaia 12 3 4" xfId="9748" xr:uid="{00000000-0005-0000-0000-0000DDA80000}"/>
    <cellStyle name="Migliaia 12 3 4 2" xfId="18158" xr:uid="{00000000-0005-0000-0000-0000DEA80000}"/>
    <cellStyle name="Migliaia 12 3 4 2 2" xfId="33625" xr:uid="{00000000-0005-0000-0000-0000DFA80000}"/>
    <cellStyle name="Migliaia 12 3 4 2 3" xfId="48586" xr:uid="{00000000-0005-0000-0000-0000E0A80000}"/>
    <cellStyle name="Migliaia 12 3 4 2 4" xfId="55110" xr:uid="{00000000-0005-0000-0000-0000E1A80000}"/>
    <cellStyle name="Migliaia 12 3 4 3" xfId="26074" xr:uid="{00000000-0005-0000-0000-0000E2A80000}"/>
    <cellStyle name="Migliaia 12 3 4 3 2" xfId="56032" xr:uid="{00000000-0005-0000-0000-0000E3A80000}"/>
    <cellStyle name="Migliaia 12 3 4 4" xfId="41052" xr:uid="{00000000-0005-0000-0000-0000E4A80000}"/>
    <cellStyle name="Migliaia 12 3 4 5" xfId="52755" xr:uid="{00000000-0005-0000-0000-0000E5A80000}"/>
    <cellStyle name="Migliaia 12 3 5" xfId="16965" xr:uid="{00000000-0005-0000-0000-0000E6A80000}"/>
    <cellStyle name="Migliaia 12 3 5 2" xfId="33081" xr:uid="{00000000-0005-0000-0000-0000E7A80000}"/>
    <cellStyle name="Migliaia 12 3 5 3" xfId="48042" xr:uid="{00000000-0005-0000-0000-0000E8A80000}"/>
    <cellStyle name="Migliaia 12 3 5 4" xfId="54677" xr:uid="{00000000-0005-0000-0000-0000E9A80000}"/>
    <cellStyle name="Migliaia 12 3 6" xfId="19055" xr:uid="{00000000-0005-0000-0000-0000EAA80000}"/>
    <cellStyle name="Migliaia 12 3 6 2" xfId="55488" xr:uid="{00000000-0005-0000-0000-0000EBA80000}"/>
    <cellStyle name="Migliaia 12 3 7" xfId="34050" xr:uid="{00000000-0005-0000-0000-0000ECA80000}"/>
    <cellStyle name="Migliaia 12 3 8" xfId="48990" xr:uid="{00000000-0005-0000-0000-0000EDA80000}"/>
    <cellStyle name="Migliaia 12 3 9" xfId="49395" xr:uid="{00000000-0005-0000-0000-0000EEA80000}"/>
    <cellStyle name="Migliaia 12 4" xfId="9073" xr:uid="{00000000-0005-0000-0000-0000EFA80000}"/>
    <cellStyle name="Migliaia 12 4 2" xfId="16969" xr:uid="{00000000-0005-0000-0000-0000F0A80000}"/>
    <cellStyle name="Migliaia 12 4 2 2" xfId="18161" xr:uid="{00000000-0005-0000-0000-0000F1A80000}"/>
    <cellStyle name="Migliaia 12 4 2 2 2" xfId="33628" xr:uid="{00000000-0005-0000-0000-0000F2A80000}"/>
    <cellStyle name="Migliaia 12 4 2 2 2 2" xfId="55113" xr:uid="{00000000-0005-0000-0000-0000F3A80000}"/>
    <cellStyle name="Migliaia 12 4 2 2 3" xfId="48589" xr:uid="{00000000-0005-0000-0000-0000F4A80000}"/>
    <cellStyle name="Migliaia 12 4 2 2 3 2" xfId="56035" xr:uid="{00000000-0005-0000-0000-0000F5A80000}"/>
    <cellStyle name="Migliaia 12 4 2 2 4" xfId="52758" xr:uid="{00000000-0005-0000-0000-0000F6A80000}"/>
    <cellStyle name="Migliaia 12 4 2 3" xfId="33085" xr:uid="{00000000-0005-0000-0000-0000F7A80000}"/>
    <cellStyle name="Migliaia 12 4 2 3 2" xfId="54681" xr:uid="{00000000-0005-0000-0000-0000F8A80000}"/>
    <cellStyle name="Migliaia 12 4 2 4" xfId="48046" xr:uid="{00000000-0005-0000-0000-0000F9A80000}"/>
    <cellStyle name="Migliaia 12 4 2 4 2" xfId="55492" xr:uid="{00000000-0005-0000-0000-0000FAA80000}"/>
    <cellStyle name="Migliaia 12 4 2 5" xfId="52210" xr:uid="{00000000-0005-0000-0000-0000FBA80000}"/>
    <cellStyle name="Migliaia 12 4 3" xfId="18160" xr:uid="{00000000-0005-0000-0000-0000FCA80000}"/>
    <cellStyle name="Migliaia 12 4 3 2" xfId="33627" xr:uid="{00000000-0005-0000-0000-0000FDA80000}"/>
    <cellStyle name="Migliaia 12 4 3 2 2" xfId="55112" xr:uid="{00000000-0005-0000-0000-0000FEA80000}"/>
    <cellStyle name="Migliaia 12 4 3 3" xfId="48588" xr:uid="{00000000-0005-0000-0000-0000FFA80000}"/>
    <cellStyle name="Migliaia 12 4 3 3 2" xfId="56034" xr:uid="{00000000-0005-0000-0000-000000A90000}"/>
    <cellStyle name="Migliaia 12 4 3 4" xfId="52757" xr:uid="{00000000-0005-0000-0000-000001A90000}"/>
    <cellStyle name="Migliaia 12 4 4" xfId="16968" xr:uid="{00000000-0005-0000-0000-000002A90000}"/>
    <cellStyle name="Migliaia 12 4 4 2" xfId="33084" xr:uid="{00000000-0005-0000-0000-000003A90000}"/>
    <cellStyle name="Migliaia 12 4 4 3" xfId="48045" xr:uid="{00000000-0005-0000-0000-000004A90000}"/>
    <cellStyle name="Migliaia 12 4 4 4" xfId="54680" xr:uid="{00000000-0005-0000-0000-000005A90000}"/>
    <cellStyle name="Migliaia 12 4 5" xfId="50998" xr:uid="{00000000-0005-0000-0000-000006A90000}"/>
    <cellStyle name="Migliaia 12 4 5 2" xfId="55491" xr:uid="{00000000-0005-0000-0000-000007A90000}"/>
    <cellStyle name="Migliaia 12 4 6" xfId="52209" xr:uid="{00000000-0005-0000-0000-000008A90000}"/>
    <cellStyle name="Migliaia 12 5" xfId="9074" xr:uid="{00000000-0005-0000-0000-000009A90000}"/>
    <cellStyle name="Migliaia 12 5 2" xfId="16970" xr:uid="{00000000-0005-0000-0000-00000AA90000}"/>
    <cellStyle name="Migliaia 12 5 2 2" xfId="33086" xr:uid="{00000000-0005-0000-0000-00000BA90000}"/>
    <cellStyle name="Migliaia 12 5 2 3" xfId="48047" xr:uid="{00000000-0005-0000-0000-00000CA90000}"/>
    <cellStyle name="Migliaia 12 5 2 4" xfId="54682" xr:uid="{00000000-0005-0000-0000-00000DA90000}"/>
    <cellStyle name="Migliaia 12 5 3" xfId="50923" xr:uid="{00000000-0005-0000-0000-00000EA90000}"/>
    <cellStyle name="Migliaia 12 5 3 2" xfId="55493" xr:uid="{00000000-0005-0000-0000-00000FA90000}"/>
    <cellStyle name="Migliaia 12 5 4" xfId="52211" xr:uid="{00000000-0005-0000-0000-000010A90000}"/>
    <cellStyle name="Migliaia 12 6" xfId="9069" xr:uid="{00000000-0005-0000-0000-000011A90000}"/>
    <cellStyle name="Migliaia 12 6 2" xfId="51141" xr:uid="{00000000-0005-0000-0000-000012A90000}"/>
    <cellStyle name="Migliaia 12 6 3" xfId="54528" xr:uid="{00000000-0005-0000-0000-000013A90000}"/>
    <cellStyle name="Migliaia 12 7" xfId="9746" xr:uid="{00000000-0005-0000-0000-000014A90000}"/>
    <cellStyle name="Migliaia 12 7 2" xfId="26072" xr:uid="{00000000-0005-0000-0000-000015A90000}"/>
    <cellStyle name="Migliaia 12 7 3" xfId="41050" xr:uid="{00000000-0005-0000-0000-000016A90000}"/>
    <cellStyle name="Migliaia 12 7 4" xfId="55486" xr:uid="{00000000-0005-0000-0000-000017A90000}"/>
    <cellStyle name="Migliaia 12 8" xfId="16963" xr:uid="{00000000-0005-0000-0000-000018A90000}"/>
    <cellStyle name="Migliaia 12 8 2" xfId="33079" xr:uid="{00000000-0005-0000-0000-000019A90000}"/>
    <cellStyle name="Migliaia 12 8 3" xfId="48040" xr:uid="{00000000-0005-0000-0000-00001AA90000}"/>
    <cellStyle name="Migliaia 12 9" xfId="19053" xr:uid="{00000000-0005-0000-0000-00001BA90000}"/>
    <cellStyle name="Migliaia 13" xfId="299" xr:uid="{00000000-0005-0000-0000-00001CA90000}"/>
    <cellStyle name="Migliaia 13 10" xfId="34052" xr:uid="{00000000-0005-0000-0000-00001DA90000}"/>
    <cellStyle name="Migliaia 13 11" xfId="48992" xr:uid="{00000000-0005-0000-0000-00001EA90000}"/>
    <cellStyle name="Migliaia 13 12" xfId="49397" xr:uid="{00000000-0005-0000-0000-00001FA90000}"/>
    <cellStyle name="Migliaia 13 13" xfId="49803" xr:uid="{00000000-0005-0000-0000-000020A90000}"/>
    <cellStyle name="Migliaia 13 14" xfId="50211" xr:uid="{00000000-0005-0000-0000-000021A90000}"/>
    <cellStyle name="Migliaia 13 15" xfId="50653" xr:uid="{00000000-0005-0000-0000-000022A90000}"/>
    <cellStyle name="Migliaia 13 16" xfId="51372" xr:uid="{00000000-0005-0000-0000-000023A90000}"/>
    <cellStyle name="Migliaia 13 17" xfId="51785" xr:uid="{00000000-0005-0000-0000-000024A90000}"/>
    <cellStyle name="Migliaia 13 18" xfId="52212" xr:uid="{00000000-0005-0000-0000-000025A90000}"/>
    <cellStyle name="Migliaia 13 2" xfId="300" xr:uid="{00000000-0005-0000-0000-000026A90000}"/>
    <cellStyle name="Migliaia 13 2 10" xfId="49804" xr:uid="{00000000-0005-0000-0000-000027A90000}"/>
    <cellStyle name="Migliaia 13 2 11" xfId="50212" xr:uid="{00000000-0005-0000-0000-000028A90000}"/>
    <cellStyle name="Migliaia 13 2 12" xfId="50654" xr:uid="{00000000-0005-0000-0000-000029A90000}"/>
    <cellStyle name="Migliaia 13 2 13" xfId="51373" xr:uid="{00000000-0005-0000-0000-00002AA90000}"/>
    <cellStyle name="Migliaia 13 2 14" xfId="51786" xr:uid="{00000000-0005-0000-0000-00002BA90000}"/>
    <cellStyle name="Migliaia 13 2 15" xfId="52213" xr:uid="{00000000-0005-0000-0000-00002CA90000}"/>
    <cellStyle name="Migliaia 13 2 2" xfId="1246" xr:uid="{00000000-0005-0000-0000-00002DA90000}"/>
    <cellStyle name="Migliaia 13 2 2 10" xfId="51040" xr:uid="{00000000-0005-0000-0000-00002EA90000}"/>
    <cellStyle name="Migliaia 13 2 2 11" xfId="51636" xr:uid="{00000000-0005-0000-0000-00002FA90000}"/>
    <cellStyle name="Migliaia 13 2 2 12" xfId="52057" xr:uid="{00000000-0005-0000-0000-000030A90000}"/>
    <cellStyle name="Migliaia 13 2 2 13" xfId="52759" xr:uid="{00000000-0005-0000-0000-000031A90000}"/>
    <cellStyle name="Migliaia 13 2 2 2" xfId="10014" xr:uid="{00000000-0005-0000-0000-000032A90000}"/>
    <cellStyle name="Migliaia 13 2 2 2 2" xfId="26335" xr:uid="{00000000-0005-0000-0000-000033A90000}"/>
    <cellStyle name="Migliaia 13 2 2 2 3" xfId="41303" xr:uid="{00000000-0005-0000-0000-000034A90000}"/>
    <cellStyle name="Migliaia 13 2 2 2 4" xfId="55114" xr:uid="{00000000-0005-0000-0000-000035A90000}"/>
    <cellStyle name="Migliaia 13 2 2 3" xfId="18162" xr:uid="{00000000-0005-0000-0000-000036A90000}"/>
    <cellStyle name="Migliaia 13 2 2 3 2" xfId="33629" xr:uid="{00000000-0005-0000-0000-000037A90000}"/>
    <cellStyle name="Migliaia 13 2 2 3 3" xfId="48590" xr:uid="{00000000-0005-0000-0000-000038A90000}"/>
    <cellStyle name="Migliaia 13 2 2 3 4" xfId="56036" xr:uid="{00000000-0005-0000-0000-000039A90000}"/>
    <cellStyle name="Migliaia 13 2 2 4" xfId="19314" xr:uid="{00000000-0005-0000-0000-00003AA90000}"/>
    <cellStyle name="Migliaia 13 2 2 5" xfId="34304" xr:uid="{00000000-0005-0000-0000-00003BA90000}"/>
    <cellStyle name="Migliaia 13 2 2 6" xfId="49256" xr:uid="{00000000-0005-0000-0000-00003CA90000}"/>
    <cellStyle name="Migliaia 13 2 2 7" xfId="49661" xr:uid="{00000000-0005-0000-0000-00003DA90000}"/>
    <cellStyle name="Migliaia 13 2 2 8" xfId="50070" xr:uid="{00000000-0005-0000-0000-00003EA90000}"/>
    <cellStyle name="Migliaia 13 2 2 9" xfId="50475" xr:uid="{00000000-0005-0000-0000-00003FA90000}"/>
    <cellStyle name="Migliaia 13 2 3" xfId="9076" xr:uid="{00000000-0005-0000-0000-000040A90000}"/>
    <cellStyle name="Migliaia 13 2 3 2" xfId="54596" xr:uid="{00000000-0005-0000-0000-000041A90000}"/>
    <cellStyle name="Migliaia 13 2 4" xfId="9751" xr:uid="{00000000-0005-0000-0000-000042A90000}"/>
    <cellStyle name="Migliaia 13 2 4 2" xfId="26077" xr:uid="{00000000-0005-0000-0000-000043A90000}"/>
    <cellStyle name="Migliaia 13 2 4 3" xfId="41055" xr:uid="{00000000-0005-0000-0000-000044A90000}"/>
    <cellStyle name="Migliaia 13 2 4 4" xfId="55495" xr:uid="{00000000-0005-0000-0000-000045A90000}"/>
    <cellStyle name="Migliaia 13 2 5" xfId="16972" xr:uid="{00000000-0005-0000-0000-000046A90000}"/>
    <cellStyle name="Migliaia 13 2 5 2" xfId="33088" xr:uid="{00000000-0005-0000-0000-000047A90000}"/>
    <cellStyle name="Migliaia 13 2 5 3" xfId="48049" xr:uid="{00000000-0005-0000-0000-000048A90000}"/>
    <cellStyle name="Migliaia 13 2 6" xfId="19058" xr:uid="{00000000-0005-0000-0000-000049A90000}"/>
    <cellStyle name="Migliaia 13 2 7" xfId="34053" xr:uid="{00000000-0005-0000-0000-00004AA90000}"/>
    <cellStyle name="Migliaia 13 2 8" xfId="48993" xr:uid="{00000000-0005-0000-0000-00004BA90000}"/>
    <cellStyle name="Migliaia 13 2 9" xfId="49398" xr:uid="{00000000-0005-0000-0000-00004CA90000}"/>
    <cellStyle name="Migliaia 13 3" xfId="301" xr:uid="{00000000-0005-0000-0000-00004DA90000}"/>
    <cellStyle name="Migliaia 13 3 10" xfId="49805" xr:uid="{00000000-0005-0000-0000-00004EA90000}"/>
    <cellStyle name="Migliaia 13 3 11" xfId="50213" xr:uid="{00000000-0005-0000-0000-00004FA90000}"/>
    <cellStyle name="Migliaia 13 3 12" xfId="50655" xr:uid="{00000000-0005-0000-0000-000050A90000}"/>
    <cellStyle name="Migliaia 13 3 13" xfId="51374" xr:uid="{00000000-0005-0000-0000-000051A90000}"/>
    <cellStyle name="Migliaia 13 3 14" xfId="51787" xr:uid="{00000000-0005-0000-0000-000052A90000}"/>
    <cellStyle name="Migliaia 13 3 15" xfId="52214" xr:uid="{00000000-0005-0000-0000-000053A90000}"/>
    <cellStyle name="Migliaia 13 3 2" xfId="302" xr:uid="{00000000-0005-0000-0000-000054A90000}"/>
    <cellStyle name="Migliaia 13 3 2 10" xfId="50214" xr:uid="{00000000-0005-0000-0000-000055A90000}"/>
    <cellStyle name="Migliaia 13 3 2 11" xfId="50656" xr:uid="{00000000-0005-0000-0000-000056A90000}"/>
    <cellStyle name="Migliaia 13 3 2 12" xfId="51375" xr:uid="{00000000-0005-0000-0000-000057A90000}"/>
    <cellStyle name="Migliaia 13 3 2 13" xfId="51788" xr:uid="{00000000-0005-0000-0000-000058A90000}"/>
    <cellStyle name="Migliaia 13 3 2 14" xfId="52215" xr:uid="{00000000-0005-0000-0000-000059A90000}"/>
    <cellStyle name="Migliaia 13 3 2 2" xfId="9078" xr:uid="{00000000-0005-0000-0000-00005AA90000}"/>
    <cellStyle name="Migliaia 13 3 2 2 2" xfId="54684" xr:uid="{00000000-0005-0000-0000-00005BA90000}"/>
    <cellStyle name="Migliaia 13 3 2 3" xfId="9753" xr:uid="{00000000-0005-0000-0000-00005CA90000}"/>
    <cellStyle name="Migliaia 13 3 2 3 2" xfId="26079" xr:uid="{00000000-0005-0000-0000-00005DA90000}"/>
    <cellStyle name="Migliaia 13 3 2 3 3" xfId="41057" xr:uid="{00000000-0005-0000-0000-00005EA90000}"/>
    <cellStyle name="Migliaia 13 3 2 3 4" xfId="55497" xr:uid="{00000000-0005-0000-0000-00005FA90000}"/>
    <cellStyle name="Migliaia 13 3 2 4" xfId="16974" xr:uid="{00000000-0005-0000-0000-000060A90000}"/>
    <cellStyle name="Migliaia 13 3 2 4 2" xfId="33090" xr:uid="{00000000-0005-0000-0000-000061A90000}"/>
    <cellStyle name="Migliaia 13 3 2 4 3" xfId="48051" xr:uid="{00000000-0005-0000-0000-000062A90000}"/>
    <cellStyle name="Migliaia 13 3 2 5" xfId="19060" xr:uid="{00000000-0005-0000-0000-000063A90000}"/>
    <cellStyle name="Migliaia 13 3 2 6" xfId="34055" xr:uid="{00000000-0005-0000-0000-000064A90000}"/>
    <cellStyle name="Migliaia 13 3 2 7" xfId="48995" xr:uid="{00000000-0005-0000-0000-000065A90000}"/>
    <cellStyle name="Migliaia 13 3 2 8" xfId="49400" xr:uid="{00000000-0005-0000-0000-000066A90000}"/>
    <cellStyle name="Migliaia 13 3 2 9" xfId="49806" xr:uid="{00000000-0005-0000-0000-000067A90000}"/>
    <cellStyle name="Migliaia 13 3 3" xfId="9077" xr:uid="{00000000-0005-0000-0000-000068A90000}"/>
    <cellStyle name="Migliaia 13 3 3 2" xfId="18164" xr:uid="{00000000-0005-0000-0000-000069A90000}"/>
    <cellStyle name="Migliaia 13 3 3 2 2" xfId="33631" xr:uid="{00000000-0005-0000-0000-00006AA90000}"/>
    <cellStyle name="Migliaia 13 3 3 2 2 2" xfId="55116" xr:uid="{00000000-0005-0000-0000-00006BA90000}"/>
    <cellStyle name="Migliaia 13 3 3 2 3" xfId="48592" xr:uid="{00000000-0005-0000-0000-00006CA90000}"/>
    <cellStyle name="Migliaia 13 3 3 2 3 2" xfId="56038" xr:uid="{00000000-0005-0000-0000-00006DA90000}"/>
    <cellStyle name="Migliaia 13 3 3 2 4" xfId="52761" xr:uid="{00000000-0005-0000-0000-00006EA90000}"/>
    <cellStyle name="Migliaia 13 3 3 3" xfId="16975" xr:uid="{00000000-0005-0000-0000-00006FA90000}"/>
    <cellStyle name="Migliaia 13 3 3 3 2" xfId="33091" xr:uid="{00000000-0005-0000-0000-000070A90000}"/>
    <cellStyle name="Migliaia 13 3 3 3 3" xfId="48052" xr:uid="{00000000-0005-0000-0000-000071A90000}"/>
    <cellStyle name="Migliaia 13 3 3 3 4" xfId="54685" xr:uid="{00000000-0005-0000-0000-000072A90000}"/>
    <cellStyle name="Migliaia 13 3 3 4" xfId="55498" xr:uid="{00000000-0005-0000-0000-000073A90000}"/>
    <cellStyle name="Migliaia 13 3 3 5" xfId="52216" xr:uid="{00000000-0005-0000-0000-000074A90000}"/>
    <cellStyle name="Migliaia 13 3 4" xfId="9752" xr:uid="{00000000-0005-0000-0000-000075A90000}"/>
    <cellStyle name="Migliaia 13 3 4 2" xfId="18163" xr:uid="{00000000-0005-0000-0000-000076A90000}"/>
    <cellStyle name="Migliaia 13 3 4 2 2" xfId="33630" xr:uid="{00000000-0005-0000-0000-000077A90000}"/>
    <cellStyle name="Migliaia 13 3 4 2 3" xfId="48591" xr:uid="{00000000-0005-0000-0000-000078A90000}"/>
    <cellStyle name="Migliaia 13 3 4 2 4" xfId="55115" xr:uid="{00000000-0005-0000-0000-000079A90000}"/>
    <cellStyle name="Migliaia 13 3 4 3" xfId="26078" xr:uid="{00000000-0005-0000-0000-00007AA90000}"/>
    <cellStyle name="Migliaia 13 3 4 3 2" xfId="56037" xr:uid="{00000000-0005-0000-0000-00007BA90000}"/>
    <cellStyle name="Migliaia 13 3 4 4" xfId="41056" xr:uid="{00000000-0005-0000-0000-00007CA90000}"/>
    <cellStyle name="Migliaia 13 3 4 5" xfId="52760" xr:uid="{00000000-0005-0000-0000-00007DA90000}"/>
    <cellStyle name="Migliaia 13 3 5" xfId="16973" xr:uid="{00000000-0005-0000-0000-00007EA90000}"/>
    <cellStyle name="Migliaia 13 3 5 2" xfId="33089" xr:uid="{00000000-0005-0000-0000-00007FA90000}"/>
    <cellStyle name="Migliaia 13 3 5 3" xfId="48050" xr:uid="{00000000-0005-0000-0000-000080A90000}"/>
    <cellStyle name="Migliaia 13 3 5 4" xfId="54683" xr:uid="{00000000-0005-0000-0000-000081A90000}"/>
    <cellStyle name="Migliaia 13 3 6" xfId="19059" xr:uid="{00000000-0005-0000-0000-000082A90000}"/>
    <cellStyle name="Migliaia 13 3 6 2" xfId="55496" xr:uid="{00000000-0005-0000-0000-000083A90000}"/>
    <cellStyle name="Migliaia 13 3 7" xfId="34054" xr:uid="{00000000-0005-0000-0000-000084A90000}"/>
    <cellStyle name="Migliaia 13 3 8" xfId="48994" xr:uid="{00000000-0005-0000-0000-000085A90000}"/>
    <cellStyle name="Migliaia 13 3 9" xfId="49399" xr:uid="{00000000-0005-0000-0000-000086A90000}"/>
    <cellStyle name="Migliaia 13 4" xfId="9079" xr:uid="{00000000-0005-0000-0000-000087A90000}"/>
    <cellStyle name="Migliaia 13 4 2" xfId="16977" xr:uid="{00000000-0005-0000-0000-000088A90000}"/>
    <cellStyle name="Migliaia 13 4 2 2" xfId="18166" xr:uid="{00000000-0005-0000-0000-000089A90000}"/>
    <cellStyle name="Migliaia 13 4 2 2 2" xfId="33633" xr:uid="{00000000-0005-0000-0000-00008AA90000}"/>
    <cellStyle name="Migliaia 13 4 2 2 2 2" xfId="55118" xr:uid="{00000000-0005-0000-0000-00008BA90000}"/>
    <cellStyle name="Migliaia 13 4 2 2 3" xfId="48594" xr:uid="{00000000-0005-0000-0000-00008CA90000}"/>
    <cellStyle name="Migliaia 13 4 2 2 3 2" xfId="56040" xr:uid="{00000000-0005-0000-0000-00008DA90000}"/>
    <cellStyle name="Migliaia 13 4 2 2 4" xfId="52763" xr:uid="{00000000-0005-0000-0000-00008EA90000}"/>
    <cellStyle name="Migliaia 13 4 2 3" xfId="33093" xr:uid="{00000000-0005-0000-0000-00008FA90000}"/>
    <cellStyle name="Migliaia 13 4 2 3 2" xfId="54687" xr:uid="{00000000-0005-0000-0000-000090A90000}"/>
    <cellStyle name="Migliaia 13 4 2 4" xfId="48054" xr:uid="{00000000-0005-0000-0000-000091A90000}"/>
    <cellStyle name="Migliaia 13 4 2 4 2" xfId="55500" xr:uid="{00000000-0005-0000-0000-000092A90000}"/>
    <cellStyle name="Migliaia 13 4 2 5" xfId="52218" xr:uid="{00000000-0005-0000-0000-000093A90000}"/>
    <cellStyle name="Migliaia 13 4 3" xfId="18165" xr:uid="{00000000-0005-0000-0000-000094A90000}"/>
    <cellStyle name="Migliaia 13 4 3 2" xfId="33632" xr:uid="{00000000-0005-0000-0000-000095A90000}"/>
    <cellStyle name="Migliaia 13 4 3 2 2" xfId="55117" xr:uid="{00000000-0005-0000-0000-000096A90000}"/>
    <cellStyle name="Migliaia 13 4 3 3" xfId="48593" xr:uid="{00000000-0005-0000-0000-000097A90000}"/>
    <cellStyle name="Migliaia 13 4 3 3 2" xfId="56039" xr:uid="{00000000-0005-0000-0000-000098A90000}"/>
    <cellStyle name="Migliaia 13 4 3 4" xfId="52762" xr:uid="{00000000-0005-0000-0000-000099A90000}"/>
    <cellStyle name="Migliaia 13 4 4" xfId="16976" xr:uid="{00000000-0005-0000-0000-00009AA90000}"/>
    <cellStyle name="Migliaia 13 4 4 2" xfId="33092" xr:uid="{00000000-0005-0000-0000-00009BA90000}"/>
    <cellStyle name="Migliaia 13 4 4 3" xfId="48053" xr:uid="{00000000-0005-0000-0000-00009CA90000}"/>
    <cellStyle name="Migliaia 13 4 4 4" xfId="54686" xr:uid="{00000000-0005-0000-0000-00009DA90000}"/>
    <cellStyle name="Migliaia 13 4 5" xfId="51199" xr:uid="{00000000-0005-0000-0000-00009EA90000}"/>
    <cellStyle name="Migliaia 13 4 5 2" xfId="55499" xr:uid="{00000000-0005-0000-0000-00009FA90000}"/>
    <cellStyle name="Migliaia 13 4 6" xfId="52217" xr:uid="{00000000-0005-0000-0000-0000A0A90000}"/>
    <cellStyle name="Migliaia 13 5" xfId="9080" xr:uid="{00000000-0005-0000-0000-0000A1A90000}"/>
    <cellStyle name="Migliaia 13 5 2" xfId="16978" xr:uid="{00000000-0005-0000-0000-0000A2A90000}"/>
    <cellStyle name="Migliaia 13 5 2 2" xfId="33094" xr:uid="{00000000-0005-0000-0000-0000A3A90000}"/>
    <cellStyle name="Migliaia 13 5 2 3" xfId="48055" xr:uid="{00000000-0005-0000-0000-0000A4A90000}"/>
    <cellStyle name="Migliaia 13 5 2 4" xfId="54688" xr:uid="{00000000-0005-0000-0000-0000A5A90000}"/>
    <cellStyle name="Migliaia 13 5 3" xfId="50922" xr:uid="{00000000-0005-0000-0000-0000A6A90000}"/>
    <cellStyle name="Migliaia 13 5 3 2" xfId="55501" xr:uid="{00000000-0005-0000-0000-0000A7A90000}"/>
    <cellStyle name="Migliaia 13 5 4" xfId="52219" xr:uid="{00000000-0005-0000-0000-0000A8A90000}"/>
    <cellStyle name="Migliaia 13 6" xfId="9075" xr:uid="{00000000-0005-0000-0000-0000A9A90000}"/>
    <cellStyle name="Migliaia 13 6 2" xfId="51142" xr:uid="{00000000-0005-0000-0000-0000AAA90000}"/>
    <cellStyle name="Migliaia 13 6 3" xfId="54529" xr:uid="{00000000-0005-0000-0000-0000ABA90000}"/>
    <cellStyle name="Migliaia 13 7" xfId="9750" xr:uid="{00000000-0005-0000-0000-0000ACA90000}"/>
    <cellStyle name="Migliaia 13 7 2" xfId="26076" xr:uid="{00000000-0005-0000-0000-0000ADA90000}"/>
    <cellStyle name="Migliaia 13 7 3" xfId="41054" xr:uid="{00000000-0005-0000-0000-0000AEA90000}"/>
    <cellStyle name="Migliaia 13 7 4" xfId="55494" xr:uid="{00000000-0005-0000-0000-0000AFA90000}"/>
    <cellStyle name="Migliaia 13 8" xfId="16971" xr:uid="{00000000-0005-0000-0000-0000B0A90000}"/>
    <cellStyle name="Migliaia 13 8 2" xfId="33087" xr:uid="{00000000-0005-0000-0000-0000B1A90000}"/>
    <cellStyle name="Migliaia 13 8 3" xfId="48048" xr:uid="{00000000-0005-0000-0000-0000B2A90000}"/>
    <cellStyle name="Migliaia 13 9" xfId="19057" xr:uid="{00000000-0005-0000-0000-0000B3A90000}"/>
    <cellStyle name="Migliaia 14" xfId="303" xr:uid="{00000000-0005-0000-0000-0000B4A90000}"/>
    <cellStyle name="Migliaia 14 10" xfId="34056" xr:uid="{00000000-0005-0000-0000-0000B5A90000}"/>
    <cellStyle name="Migliaia 14 11" xfId="48996" xr:uid="{00000000-0005-0000-0000-0000B6A90000}"/>
    <cellStyle name="Migliaia 14 12" xfId="49401" xr:uid="{00000000-0005-0000-0000-0000B7A90000}"/>
    <cellStyle name="Migliaia 14 13" xfId="49807" xr:uid="{00000000-0005-0000-0000-0000B8A90000}"/>
    <cellStyle name="Migliaia 14 14" xfId="50215" xr:uid="{00000000-0005-0000-0000-0000B9A90000}"/>
    <cellStyle name="Migliaia 14 15" xfId="50657" xr:uid="{00000000-0005-0000-0000-0000BAA90000}"/>
    <cellStyle name="Migliaia 14 16" xfId="51376" xr:uid="{00000000-0005-0000-0000-0000BBA90000}"/>
    <cellStyle name="Migliaia 14 17" xfId="51789" xr:uid="{00000000-0005-0000-0000-0000BCA90000}"/>
    <cellStyle name="Migliaia 14 18" xfId="52220" xr:uid="{00000000-0005-0000-0000-0000BDA90000}"/>
    <cellStyle name="Migliaia 14 2" xfId="304" xr:uid="{00000000-0005-0000-0000-0000BEA90000}"/>
    <cellStyle name="Migliaia 14 2 10" xfId="49808" xr:uid="{00000000-0005-0000-0000-0000BFA90000}"/>
    <cellStyle name="Migliaia 14 2 11" xfId="50216" xr:uid="{00000000-0005-0000-0000-0000C0A90000}"/>
    <cellStyle name="Migliaia 14 2 12" xfId="50658" xr:uid="{00000000-0005-0000-0000-0000C1A90000}"/>
    <cellStyle name="Migliaia 14 2 13" xfId="51377" xr:uid="{00000000-0005-0000-0000-0000C2A90000}"/>
    <cellStyle name="Migliaia 14 2 14" xfId="51790" xr:uid="{00000000-0005-0000-0000-0000C3A90000}"/>
    <cellStyle name="Migliaia 14 2 15" xfId="52221" xr:uid="{00000000-0005-0000-0000-0000C4A90000}"/>
    <cellStyle name="Migliaia 14 2 2" xfId="1247" xr:uid="{00000000-0005-0000-0000-0000C5A90000}"/>
    <cellStyle name="Migliaia 14 2 2 10" xfId="51041" xr:uid="{00000000-0005-0000-0000-0000C6A90000}"/>
    <cellStyle name="Migliaia 14 2 2 11" xfId="51637" xr:uid="{00000000-0005-0000-0000-0000C7A90000}"/>
    <cellStyle name="Migliaia 14 2 2 12" xfId="52058" xr:uid="{00000000-0005-0000-0000-0000C8A90000}"/>
    <cellStyle name="Migliaia 14 2 2 13" xfId="52764" xr:uid="{00000000-0005-0000-0000-0000C9A90000}"/>
    <cellStyle name="Migliaia 14 2 2 2" xfId="10015" xr:uid="{00000000-0005-0000-0000-0000CAA90000}"/>
    <cellStyle name="Migliaia 14 2 2 2 2" xfId="26336" xr:uid="{00000000-0005-0000-0000-0000CBA90000}"/>
    <cellStyle name="Migliaia 14 2 2 2 3" xfId="41304" xr:uid="{00000000-0005-0000-0000-0000CCA90000}"/>
    <cellStyle name="Migliaia 14 2 2 2 4" xfId="55119" xr:uid="{00000000-0005-0000-0000-0000CDA90000}"/>
    <cellStyle name="Migliaia 14 2 2 3" xfId="18167" xr:uid="{00000000-0005-0000-0000-0000CEA90000}"/>
    <cellStyle name="Migliaia 14 2 2 3 2" xfId="33634" xr:uid="{00000000-0005-0000-0000-0000CFA90000}"/>
    <cellStyle name="Migliaia 14 2 2 3 3" xfId="48595" xr:uid="{00000000-0005-0000-0000-0000D0A90000}"/>
    <cellStyle name="Migliaia 14 2 2 3 4" xfId="56041" xr:uid="{00000000-0005-0000-0000-0000D1A90000}"/>
    <cellStyle name="Migliaia 14 2 2 4" xfId="19315" xr:uid="{00000000-0005-0000-0000-0000D2A90000}"/>
    <cellStyle name="Migliaia 14 2 2 5" xfId="34305" xr:uid="{00000000-0005-0000-0000-0000D3A90000}"/>
    <cellStyle name="Migliaia 14 2 2 6" xfId="49257" xr:uid="{00000000-0005-0000-0000-0000D4A90000}"/>
    <cellStyle name="Migliaia 14 2 2 7" xfId="49662" xr:uid="{00000000-0005-0000-0000-0000D5A90000}"/>
    <cellStyle name="Migliaia 14 2 2 8" xfId="50071" xr:uid="{00000000-0005-0000-0000-0000D6A90000}"/>
    <cellStyle name="Migliaia 14 2 2 9" xfId="50476" xr:uid="{00000000-0005-0000-0000-0000D7A90000}"/>
    <cellStyle name="Migliaia 14 2 3" xfId="9082" xr:uid="{00000000-0005-0000-0000-0000D8A90000}"/>
    <cellStyle name="Migliaia 14 2 3 2" xfId="54597" xr:uid="{00000000-0005-0000-0000-0000D9A90000}"/>
    <cellStyle name="Migliaia 14 2 4" xfId="9755" xr:uid="{00000000-0005-0000-0000-0000DAA90000}"/>
    <cellStyle name="Migliaia 14 2 4 2" xfId="26081" xr:uid="{00000000-0005-0000-0000-0000DBA90000}"/>
    <cellStyle name="Migliaia 14 2 4 3" xfId="41059" xr:uid="{00000000-0005-0000-0000-0000DCA90000}"/>
    <cellStyle name="Migliaia 14 2 4 4" xfId="55503" xr:uid="{00000000-0005-0000-0000-0000DDA90000}"/>
    <cellStyle name="Migliaia 14 2 5" xfId="16980" xr:uid="{00000000-0005-0000-0000-0000DEA90000}"/>
    <cellStyle name="Migliaia 14 2 5 2" xfId="33096" xr:uid="{00000000-0005-0000-0000-0000DFA90000}"/>
    <cellStyle name="Migliaia 14 2 5 3" xfId="48057" xr:uid="{00000000-0005-0000-0000-0000E0A90000}"/>
    <cellStyle name="Migliaia 14 2 6" xfId="19062" xr:uid="{00000000-0005-0000-0000-0000E1A90000}"/>
    <cellStyle name="Migliaia 14 2 7" xfId="34057" xr:uid="{00000000-0005-0000-0000-0000E2A90000}"/>
    <cellStyle name="Migliaia 14 2 8" xfId="48997" xr:uid="{00000000-0005-0000-0000-0000E3A90000}"/>
    <cellStyle name="Migliaia 14 2 9" xfId="49402" xr:uid="{00000000-0005-0000-0000-0000E4A90000}"/>
    <cellStyle name="Migliaia 14 3" xfId="305" xr:uid="{00000000-0005-0000-0000-0000E5A90000}"/>
    <cellStyle name="Migliaia 14 3 10" xfId="49809" xr:uid="{00000000-0005-0000-0000-0000E6A90000}"/>
    <cellStyle name="Migliaia 14 3 11" xfId="50217" xr:uid="{00000000-0005-0000-0000-0000E7A90000}"/>
    <cellStyle name="Migliaia 14 3 12" xfId="50659" xr:uid="{00000000-0005-0000-0000-0000E8A90000}"/>
    <cellStyle name="Migliaia 14 3 13" xfId="51378" xr:uid="{00000000-0005-0000-0000-0000E9A90000}"/>
    <cellStyle name="Migliaia 14 3 14" xfId="51791" xr:uid="{00000000-0005-0000-0000-0000EAA90000}"/>
    <cellStyle name="Migliaia 14 3 15" xfId="52222" xr:uid="{00000000-0005-0000-0000-0000EBA90000}"/>
    <cellStyle name="Migliaia 14 3 2" xfId="306" xr:uid="{00000000-0005-0000-0000-0000ECA90000}"/>
    <cellStyle name="Migliaia 14 3 2 10" xfId="50218" xr:uid="{00000000-0005-0000-0000-0000EDA90000}"/>
    <cellStyle name="Migliaia 14 3 2 11" xfId="50660" xr:uid="{00000000-0005-0000-0000-0000EEA90000}"/>
    <cellStyle name="Migliaia 14 3 2 12" xfId="51379" xr:uid="{00000000-0005-0000-0000-0000EFA90000}"/>
    <cellStyle name="Migliaia 14 3 2 13" xfId="51792" xr:uid="{00000000-0005-0000-0000-0000F0A90000}"/>
    <cellStyle name="Migliaia 14 3 2 14" xfId="52223" xr:uid="{00000000-0005-0000-0000-0000F1A90000}"/>
    <cellStyle name="Migliaia 14 3 2 2" xfId="9084" xr:uid="{00000000-0005-0000-0000-0000F2A90000}"/>
    <cellStyle name="Migliaia 14 3 2 2 2" xfId="54690" xr:uid="{00000000-0005-0000-0000-0000F3A90000}"/>
    <cellStyle name="Migliaia 14 3 2 3" xfId="9757" xr:uid="{00000000-0005-0000-0000-0000F4A90000}"/>
    <cellStyle name="Migliaia 14 3 2 3 2" xfId="26083" xr:uid="{00000000-0005-0000-0000-0000F5A90000}"/>
    <cellStyle name="Migliaia 14 3 2 3 3" xfId="41061" xr:uid="{00000000-0005-0000-0000-0000F6A90000}"/>
    <cellStyle name="Migliaia 14 3 2 3 4" xfId="55505" xr:uid="{00000000-0005-0000-0000-0000F7A90000}"/>
    <cellStyle name="Migliaia 14 3 2 4" xfId="16982" xr:uid="{00000000-0005-0000-0000-0000F8A90000}"/>
    <cellStyle name="Migliaia 14 3 2 4 2" xfId="33098" xr:uid="{00000000-0005-0000-0000-0000F9A90000}"/>
    <cellStyle name="Migliaia 14 3 2 4 3" xfId="48059" xr:uid="{00000000-0005-0000-0000-0000FAA90000}"/>
    <cellStyle name="Migliaia 14 3 2 5" xfId="19064" xr:uid="{00000000-0005-0000-0000-0000FBA90000}"/>
    <cellStyle name="Migliaia 14 3 2 6" xfId="34059" xr:uid="{00000000-0005-0000-0000-0000FCA90000}"/>
    <cellStyle name="Migliaia 14 3 2 7" xfId="48999" xr:uid="{00000000-0005-0000-0000-0000FDA90000}"/>
    <cellStyle name="Migliaia 14 3 2 8" xfId="49404" xr:uid="{00000000-0005-0000-0000-0000FEA90000}"/>
    <cellStyle name="Migliaia 14 3 2 9" xfId="49810" xr:uid="{00000000-0005-0000-0000-0000FFA90000}"/>
    <cellStyle name="Migliaia 14 3 3" xfId="9083" xr:uid="{00000000-0005-0000-0000-000000AA0000}"/>
    <cellStyle name="Migliaia 14 3 3 2" xfId="18169" xr:uid="{00000000-0005-0000-0000-000001AA0000}"/>
    <cellStyle name="Migliaia 14 3 3 2 2" xfId="33636" xr:uid="{00000000-0005-0000-0000-000002AA0000}"/>
    <cellStyle name="Migliaia 14 3 3 2 2 2" xfId="55121" xr:uid="{00000000-0005-0000-0000-000003AA0000}"/>
    <cellStyle name="Migliaia 14 3 3 2 3" xfId="48597" xr:uid="{00000000-0005-0000-0000-000004AA0000}"/>
    <cellStyle name="Migliaia 14 3 3 2 3 2" xfId="56043" xr:uid="{00000000-0005-0000-0000-000005AA0000}"/>
    <cellStyle name="Migliaia 14 3 3 2 4" xfId="52766" xr:uid="{00000000-0005-0000-0000-000006AA0000}"/>
    <cellStyle name="Migliaia 14 3 3 3" xfId="16983" xr:uid="{00000000-0005-0000-0000-000007AA0000}"/>
    <cellStyle name="Migliaia 14 3 3 3 2" xfId="33099" xr:uid="{00000000-0005-0000-0000-000008AA0000}"/>
    <cellStyle name="Migliaia 14 3 3 3 3" xfId="48060" xr:uid="{00000000-0005-0000-0000-000009AA0000}"/>
    <cellStyle name="Migliaia 14 3 3 3 4" xfId="54691" xr:uid="{00000000-0005-0000-0000-00000AAA0000}"/>
    <cellStyle name="Migliaia 14 3 3 4" xfId="55506" xr:uid="{00000000-0005-0000-0000-00000BAA0000}"/>
    <cellStyle name="Migliaia 14 3 3 5" xfId="52224" xr:uid="{00000000-0005-0000-0000-00000CAA0000}"/>
    <cellStyle name="Migliaia 14 3 4" xfId="9756" xr:uid="{00000000-0005-0000-0000-00000DAA0000}"/>
    <cellStyle name="Migliaia 14 3 4 2" xfId="18168" xr:uid="{00000000-0005-0000-0000-00000EAA0000}"/>
    <cellStyle name="Migliaia 14 3 4 2 2" xfId="33635" xr:uid="{00000000-0005-0000-0000-00000FAA0000}"/>
    <cellStyle name="Migliaia 14 3 4 2 3" xfId="48596" xr:uid="{00000000-0005-0000-0000-000010AA0000}"/>
    <cellStyle name="Migliaia 14 3 4 2 4" xfId="55120" xr:uid="{00000000-0005-0000-0000-000011AA0000}"/>
    <cellStyle name="Migliaia 14 3 4 3" xfId="26082" xr:uid="{00000000-0005-0000-0000-000012AA0000}"/>
    <cellStyle name="Migliaia 14 3 4 3 2" xfId="56042" xr:uid="{00000000-0005-0000-0000-000013AA0000}"/>
    <cellStyle name="Migliaia 14 3 4 4" xfId="41060" xr:uid="{00000000-0005-0000-0000-000014AA0000}"/>
    <cellStyle name="Migliaia 14 3 4 5" xfId="52765" xr:uid="{00000000-0005-0000-0000-000015AA0000}"/>
    <cellStyle name="Migliaia 14 3 5" xfId="16981" xr:uid="{00000000-0005-0000-0000-000016AA0000}"/>
    <cellStyle name="Migliaia 14 3 5 2" xfId="33097" xr:uid="{00000000-0005-0000-0000-000017AA0000}"/>
    <cellStyle name="Migliaia 14 3 5 3" xfId="48058" xr:uid="{00000000-0005-0000-0000-000018AA0000}"/>
    <cellStyle name="Migliaia 14 3 5 4" xfId="54689" xr:uid="{00000000-0005-0000-0000-000019AA0000}"/>
    <cellStyle name="Migliaia 14 3 6" xfId="19063" xr:uid="{00000000-0005-0000-0000-00001AAA0000}"/>
    <cellStyle name="Migliaia 14 3 6 2" xfId="55504" xr:uid="{00000000-0005-0000-0000-00001BAA0000}"/>
    <cellStyle name="Migliaia 14 3 7" xfId="34058" xr:uid="{00000000-0005-0000-0000-00001CAA0000}"/>
    <cellStyle name="Migliaia 14 3 8" xfId="48998" xr:uid="{00000000-0005-0000-0000-00001DAA0000}"/>
    <cellStyle name="Migliaia 14 3 9" xfId="49403" xr:uid="{00000000-0005-0000-0000-00001EAA0000}"/>
    <cellStyle name="Migliaia 14 4" xfId="9085" xr:uid="{00000000-0005-0000-0000-00001FAA0000}"/>
    <cellStyle name="Migliaia 14 4 2" xfId="16985" xr:uid="{00000000-0005-0000-0000-000020AA0000}"/>
    <cellStyle name="Migliaia 14 4 2 2" xfId="18171" xr:uid="{00000000-0005-0000-0000-000021AA0000}"/>
    <cellStyle name="Migliaia 14 4 2 2 2" xfId="33638" xr:uid="{00000000-0005-0000-0000-000022AA0000}"/>
    <cellStyle name="Migliaia 14 4 2 2 2 2" xfId="55123" xr:uid="{00000000-0005-0000-0000-000023AA0000}"/>
    <cellStyle name="Migliaia 14 4 2 2 3" xfId="48599" xr:uid="{00000000-0005-0000-0000-000024AA0000}"/>
    <cellStyle name="Migliaia 14 4 2 2 3 2" xfId="56045" xr:uid="{00000000-0005-0000-0000-000025AA0000}"/>
    <cellStyle name="Migliaia 14 4 2 2 4" xfId="52768" xr:uid="{00000000-0005-0000-0000-000026AA0000}"/>
    <cellStyle name="Migliaia 14 4 2 3" xfId="33101" xr:uid="{00000000-0005-0000-0000-000027AA0000}"/>
    <cellStyle name="Migliaia 14 4 2 3 2" xfId="54693" xr:uid="{00000000-0005-0000-0000-000028AA0000}"/>
    <cellStyle name="Migliaia 14 4 2 4" xfId="48062" xr:uid="{00000000-0005-0000-0000-000029AA0000}"/>
    <cellStyle name="Migliaia 14 4 2 4 2" xfId="55508" xr:uid="{00000000-0005-0000-0000-00002AAA0000}"/>
    <cellStyle name="Migliaia 14 4 2 5" xfId="52226" xr:uid="{00000000-0005-0000-0000-00002BAA0000}"/>
    <cellStyle name="Migliaia 14 4 3" xfId="18170" xr:uid="{00000000-0005-0000-0000-00002CAA0000}"/>
    <cellStyle name="Migliaia 14 4 3 2" xfId="33637" xr:uid="{00000000-0005-0000-0000-00002DAA0000}"/>
    <cellStyle name="Migliaia 14 4 3 2 2" xfId="55122" xr:uid="{00000000-0005-0000-0000-00002EAA0000}"/>
    <cellStyle name="Migliaia 14 4 3 3" xfId="48598" xr:uid="{00000000-0005-0000-0000-00002FAA0000}"/>
    <cellStyle name="Migliaia 14 4 3 3 2" xfId="56044" xr:uid="{00000000-0005-0000-0000-000030AA0000}"/>
    <cellStyle name="Migliaia 14 4 3 4" xfId="52767" xr:uid="{00000000-0005-0000-0000-000031AA0000}"/>
    <cellStyle name="Migliaia 14 4 4" xfId="16984" xr:uid="{00000000-0005-0000-0000-000032AA0000}"/>
    <cellStyle name="Migliaia 14 4 4 2" xfId="33100" xr:uid="{00000000-0005-0000-0000-000033AA0000}"/>
    <cellStyle name="Migliaia 14 4 4 3" xfId="48061" xr:uid="{00000000-0005-0000-0000-000034AA0000}"/>
    <cellStyle name="Migliaia 14 4 4 4" xfId="54692" xr:uid="{00000000-0005-0000-0000-000035AA0000}"/>
    <cellStyle name="Migliaia 14 4 5" xfId="50921" xr:uid="{00000000-0005-0000-0000-000036AA0000}"/>
    <cellStyle name="Migliaia 14 4 5 2" xfId="55507" xr:uid="{00000000-0005-0000-0000-000037AA0000}"/>
    <cellStyle name="Migliaia 14 4 6" xfId="52225" xr:uid="{00000000-0005-0000-0000-000038AA0000}"/>
    <cellStyle name="Migliaia 14 5" xfId="9086" xr:uid="{00000000-0005-0000-0000-000039AA0000}"/>
    <cellStyle name="Migliaia 14 5 2" xfId="16986" xr:uid="{00000000-0005-0000-0000-00003AAA0000}"/>
    <cellStyle name="Migliaia 14 5 2 2" xfId="33102" xr:uid="{00000000-0005-0000-0000-00003BAA0000}"/>
    <cellStyle name="Migliaia 14 5 2 3" xfId="48063" xr:uid="{00000000-0005-0000-0000-00003CAA0000}"/>
    <cellStyle name="Migliaia 14 5 2 4" xfId="54694" xr:uid="{00000000-0005-0000-0000-00003DAA0000}"/>
    <cellStyle name="Migliaia 14 5 3" xfId="51167" xr:uid="{00000000-0005-0000-0000-00003EAA0000}"/>
    <cellStyle name="Migliaia 14 5 3 2" xfId="55509" xr:uid="{00000000-0005-0000-0000-00003FAA0000}"/>
    <cellStyle name="Migliaia 14 5 4" xfId="52227" xr:uid="{00000000-0005-0000-0000-000040AA0000}"/>
    <cellStyle name="Migliaia 14 6" xfId="9081" xr:uid="{00000000-0005-0000-0000-000041AA0000}"/>
    <cellStyle name="Migliaia 14 6 2" xfId="51200" xr:uid="{00000000-0005-0000-0000-000042AA0000}"/>
    <cellStyle name="Migliaia 14 6 3" xfId="54530" xr:uid="{00000000-0005-0000-0000-000043AA0000}"/>
    <cellStyle name="Migliaia 14 7" xfId="9754" xr:uid="{00000000-0005-0000-0000-000044AA0000}"/>
    <cellStyle name="Migliaia 14 7 2" xfId="26080" xr:uid="{00000000-0005-0000-0000-000045AA0000}"/>
    <cellStyle name="Migliaia 14 7 3" xfId="41058" xr:uid="{00000000-0005-0000-0000-000046AA0000}"/>
    <cellStyle name="Migliaia 14 7 4" xfId="55502" xr:uid="{00000000-0005-0000-0000-000047AA0000}"/>
    <cellStyle name="Migliaia 14 8" xfId="16979" xr:uid="{00000000-0005-0000-0000-000048AA0000}"/>
    <cellStyle name="Migliaia 14 8 2" xfId="33095" xr:uid="{00000000-0005-0000-0000-000049AA0000}"/>
    <cellStyle name="Migliaia 14 8 3" xfId="48056" xr:uid="{00000000-0005-0000-0000-00004AAA0000}"/>
    <cellStyle name="Migliaia 14 9" xfId="19061" xr:uid="{00000000-0005-0000-0000-00004BAA0000}"/>
    <cellStyle name="Migliaia 15" xfId="307" xr:uid="{00000000-0005-0000-0000-00004CAA0000}"/>
    <cellStyle name="Migliaia 15 10" xfId="34060" xr:uid="{00000000-0005-0000-0000-00004DAA0000}"/>
    <cellStyle name="Migliaia 15 11" xfId="49000" xr:uid="{00000000-0005-0000-0000-00004EAA0000}"/>
    <cellStyle name="Migliaia 15 12" xfId="49405" xr:uid="{00000000-0005-0000-0000-00004FAA0000}"/>
    <cellStyle name="Migliaia 15 13" xfId="49811" xr:uid="{00000000-0005-0000-0000-000050AA0000}"/>
    <cellStyle name="Migliaia 15 14" xfId="50219" xr:uid="{00000000-0005-0000-0000-000051AA0000}"/>
    <cellStyle name="Migliaia 15 15" xfId="50661" xr:uid="{00000000-0005-0000-0000-000052AA0000}"/>
    <cellStyle name="Migliaia 15 16" xfId="51380" xr:uid="{00000000-0005-0000-0000-000053AA0000}"/>
    <cellStyle name="Migliaia 15 17" xfId="51793" xr:uid="{00000000-0005-0000-0000-000054AA0000}"/>
    <cellStyle name="Migliaia 15 18" xfId="52228" xr:uid="{00000000-0005-0000-0000-000055AA0000}"/>
    <cellStyle name="Migliaia 15 2" xfId="308" xr:uid="{00000000-0005-0000-0000-000056AA0000}"/>
    <cellStyle name="Migliaia 15 2 10" xfId="49812" xr:uid="{00000000-0005-0000-0000-000057AA0000}"/>
    <cellStyle name="Migliaia 15 2 11" xfId="50220" xr:uid="{00000000-0005-0000-0000-000058AA0000}"/>
    <cellStyle name="Migliaia 15 2 12" xfId="50662" xr:uid="{00000000-0005-0000-0000-000059AA0000}"/>
    <cellStyle name="Migliaia 15 2 13" xfId="51381" xr:uid="{00000000-0005-0000-0000-00005AAA0000}"/>
    <cellStyle name="Migliaia 15 2 14" xfId="51794" xr:uid="{00000000-0005-0000-0000-00005BAA0000}"/>
    <cellStyle name="Migliaia 15 2 15" xfId="52229" xr:uid="{00000000-0005-0000-0000-00005CAA0000}"/>
    <cellStyle name="Migliaia 15 2 2" xfId="1248" xr:uid="{00000000-0005-0000-0000-00005DAA0000}"/>
    <cellStyle name="Migliaia 15 2 2 10" xfId="51042" xr:uid="{00000000-0005-0000-0000-00005EAA0000}"/>
    <cellStyle name="Migliaia 15 2 2 11" xfId="51638" xr:uid="{00000000-0005-0000-0000-00005FAA0000}"/>
    <cellStyle name="Migliaia 15 2 2 12" xfId="52059" xr:uid="{00000000-0005-0000-0000-000060AA0000}"/>
    <cellStyle name="Migliaia 15 2 2 13" xfId="52769" xr:uid="{00000000-0005-0000-0000-000061AA0000}"/>
    <cellStyle name="Migliaia 15 2 2 2" xfId="10016" xr:uid="{00000000-0005-0000-0000-000062AA0000}"/>
    <cellStyle name="Migliaia 15 2 2 2 2" xfId="26337" xr:uid="{00000000-0005-0000-0000-000063AA0000}"/>
    <cellStyle name="Migliaia 15 2 2 2 3" xfId="41305" xr:uid="{00000000-0005-0000-0000-000064AA0000}"/>
    <cellStyle name="Migliaia 15 2 2 2 4" xfId="55124" xr:uid="{00000000-0005-0000-0000-000065AA0000}"/>
    <cellStyle name="Migliaia 15 2 2 3" xfId="18172" xr:uid="{00000000-0005-0000-0000-000066AA0000}"/>
    <cellStyle name="Migliaia 15 2 2 3 2" xfId="33639" xr:uid="{00000000-0005-0000-0000-000067AA0000}"/>
    <cellStyle name="Migliaia 15 2 2 3 3" xfId="48600" xr:uid="{00000000-0005-0000-0000-000068AA0000}"/>
    <cellStyle name="Migliaia 15 2 2 3 4" xfId="56046" xr:uid="{00000000-0005-0000-0000-000069AA0000}"/>
    <cellStyle name="Migliaia 15 2 2 4" xfId="19316" xr:uid="{00000000-0005-0000-0000-00006AAA0000}"/>
    <cellStyle name="Migliaia 15 2 2 5" xfId="34306" xr:uid="{00000000-0005-0000-0000-00006BAA0000}"/>
    <cellStyle name="Migliaia 15 2 2 6" xfId="49258" xr:uid="{00000000-0005-0000-0000-00006CAA0000}"/>
    <cellStyle name="Migliaia 15 2 2 7" xfId="49663" xr:uid="{00000000-0005-0000-0000-00006DAA0000}"/>
    <cellStyle name="Migliaia 15 2 2 8" xfId="50072" xr:uid="{00000000-0005-0000-0000-00006EAA0000}"/>
    <cellStyle name="Migliaia 15 2 2 9" xfId="50477" xr:uid="{00000000-0005-0000-0000-00006FAA0000}"/>
    <cellStyle name="Migliaia 15 2 3" xfId="9088" xr:uid="{00000000-0005-0000-0000-000070AA0000}"/>
    <cellStyle name="Migliaia 15 2 3 2" xfId="54598" xr:uid="{00000000-0005-0000-0000-000071AA0000}"/>
    <cellStyle name="Migliaia 15 2 4" xfId="9759" xr:uid="{00000000-0005-0000-0000-000072AA0000}"/>
    <cellStyle name="Migliaia 15 2 4 2" xfId="26085" xr:uid="{00000000-0005-0000-0000-000073AA0000}"/>
    <cellStyle name="Migliaia 15 2 4 3" xfId="41063" xr:uid="{00000000-0005-0000-0000-000074AA0000}"/>
    <cellStyle name="Migliaia 15 2 4 4" xfId="55511" xr:uid="{00000000-0005-0000-0000-000075AA0000}"/>
    <cellStyle name="Migliaia 15 2 5" xfId="16988" xr:uid="{00000000-0005-0000-0000-000076AA0000}"/>
    <cellStyle name="Migliaia 15 2 5 2" xfId="33104" xr:uid="{00000000-0005-0000-0000-000077AA0000}"/>
    <cellStyle name="Migliaia 15 2 5 3" xfId="48065" xr:uid="{00000000-0005-0000-0000-000078AA0000}"/>
    <cellStyle name="Migliaia 15 2 6" xfId="19066" xr:uid="{00000000-0005-0000-0000-000079AA0000}"/>
    <cellStyle name="Migliaia 15 2 7" xfId="34061" xr:uid="{00000000-0005-0000-0000-00007AAA0000}"/>
    <cellStyle name="Migliaia 15 2 8" xfId="49001" xr:uid="{00000000-0005-0000-0000-00007BAA0000}"/>
    <cellStyle name="Migliaia 15 2 9" xfId="49406" xr:uid="{00000000-0005-0000-0000-00007CAA0000}"/>
    <cellStyle name="Migliaia 15 3" xfId="309" xr:uid="{00000000-0005-0000-0000-00007DAA0000}"/>
    <cellStyle name="Migliaia 15 3 10" xfId="49813" xr:uid="{00000000-0005-0000-0000-00007EAA0000}"/>
    <cellStyle name="Migliaia 15 3 11" xfId="50221" xr:uid="{00000000-0005-0000-0000-00007FAA0000}"/>
    <cellStyle name="Migliaia 15 3 12" xfId="50663" xr:uid="{00000000-0005-0000-0000-000080AA0000}"/>
    <cellStyle name="Migliaia 15 3 13" xfId="51382" xr:uid="{00000000-0005-0000-0000-000081AA0000}"/>
    <cellStyle name="Migliaia 15 3 14" xfId="51795" xr:uid="{00000000-0005-0000-0000-000082AA0000}"/>
    <cellStyle name="Migliaia 15 3 15" xfId="52230" xr:uid="{00000000-0005-0000-0000-000083AA0000}"/>
    <cellStyle name="Migliaia 15 3 2" xfId="310" xr:uid="{00000000-0005-0000-0000-000084AA0000}"/>
    <cellStyle name="Migliaia 15 3 2 10" xfId="50222" xr:uid="{00000000-0005-0000-0000-000085AA0000}"/>
    <cellStyle name="Migliaia 15 3 2 11" xfId="50664" xr:uid="{00000000-0005-0000-0000-000086AA0000}"/>
    <cellStyle name="Migliaia 15 3 2 12" xfId="51383" xr:uid="{00000000-0005-0000-0000-000087AA0000}"/>
    <cellStyle name="Migliaia 15 3 2 13" xfId="51796" xr:uid="{00000000-0005-0000-0000-000088AA0000}"/>
    <cellStyle name="Migliaia 15 3 2 14" xfId="52231" xr:uid="{00000000-0005-0000-0000-000089AA0000}"/>
    <cellStyle name="Migliaia 15 3 2 2" xfId="9090" xr:uid="{00000000-0005-0000-0000-00008AAA0000}"/>
    <cellStyle name="Migliaia 15 3 2 2 2" xfId="54696" xr:uid="{00000000-0005-0000-0000-00008BAA0000}"/>
    <cellStyle name="Migliaia 15 3 2 3" xfId="9761" xr:uid="{00000000-0005-0000-0000-00008CAA0000}"/>
    <cellStyle name="Migliaia 15 3 2 3 2" xfId="26087" xr:uid="{00000000-0005-0000-0000-00008DAA0000}"/>
    <cellStyle name="Migliaia 15 3 2 3 3" xfId="41065" xr:uid="{00000000-0005-0000-0000-00008EAA0000}"/>
    <cellStyle name="Migliaia 15 3 2 3 4" xfId="55513" xr:uid="{00000000-0005-0000-0000-00008FAA0000}"/>
    <cellStyle name="Migliaia 15 3 2 4" xfId="16990" xr:uid="{00000000-0005-0000-0000-000090AA0000}"/>
    <cellStyle name="Migliaia 15 3 2 4 2" xfId="33106" xr:uid="{00000000-0005-0000-0000-000091AA0000}"/>
    <cellStyle name="Migliaia 15 3 2 4 3" xfId="48067" xr:uid="{00000000-0005-0000-0000-000092AA0000}"/>
    <cellStyle name="Migliaia 15 3 2 5" xfId="19068" xr:uid="{00000000-0005-0000-0000-000093AA0000}"/>
    <cellStyle name="Migliaia 15 3 2 6" xfId="34063" xr:uid="{00000000-0005-0000-0000-000094AA0000}"/>
    <cellStyle name="Migliaia 15 3 2 7" xfId="49003" xr:uid="{00000000-0005-0000-0000-000095AA0000}"/>
    <cellStyle name="Migliaia 15 3 2 8" xfId="49408" xr:uid="{00000000-0005-0000-0000-000096AA0000}"/>
    <cellStyle name="Migliaia 15 3 2 9" xfId="49814" xr:uid="{00000000-0005-0000-0000-000097AA0000}"/>
    <cellStyle name="Migliaia 15 3 3" xfId="9089" xr:uid="{00000000-0005-0000-0000-000098AA0000}"/>
    <cellStyle name="Migliaia 15 3 3 2" xfId="18174" xr:uid="{00000000-0005-0000-0000-000099AA0000}"/>
    <cellStyle name="Migliaia 15 3 3 2 2" xfId="33641" xr:uid="{00000000-0005-0000-0000-00009AAA0000}"/>
    <cellStyle name="Migliaia 15 3 3 2 2 2" xfId="55126" xr:uid="{00000000-0005-0000-0000-00009BAA0000}"/>
    <cellStyle name="Migliaia 15 3 3 2 3" xfId="48602" xr:uid="{00000000-0005-0000-0000-00009CAA0000}"/>
    <cellStyle name="Migliaia 15 3 3 2 3 2" xfId="56048" xr:uid="{00000000-0005-0000-0000-00009DAA0000}"/>
    <cellStyle name="Migliaia 15 3 3 2 4" xfId="52771" xr:uid="{00000000-0005-0000-0000-00009EAA0000}"/>
    <cellStyle name="Migliaia 15 3 3 3" xfId="16991" xr:uid="{00000000-0005-0000-0000-00009FAA0000}"/>
    <cellStyle name="Migliaia 15 3 3 3 2" xfId="33107" xr:uid="{00000000-0005-0000-0000-0000A0AA0000}"/>
    <cellStyle name="Migliaia 15 3 3 3 3" xfId="48068" xr:uid="{00000000-0005-0000-0000-0000A1AA0000}"/>
    <cellStyle name="Migliaia 15 3 3 3 4" xfId="54697" xr:uid="{00000000-0005-0000-0000-0000A2AA0000}"/>
    <cellStyle name="Migliaia 15 3 3 4" xfId="55514" xr:uid="{00000000-0005-0000-0000-0000A3AA0000}"/>
    <cellStyle name="Migliaia 15 3 3 5" xfId="52232" xr:uid="{00000000-0005-0000-0000-0000A4AA0000}"/>
    <cellStyle name="Migliaia 15 3 4" xfId="9760" xr:uid="{00000000-0005-0000-0000-0000A5AA0000}"/>
    <cellStyle name="Migliaia 15 3 4 2" xfId="18173" xr:uid="{00000000-0005-0000-0000-0000A6AA0000}"/>
    <cellStyle name="Migliaia 15 3 4 2 2" xfId="33640" xr:uid="{00000000-0005-0000-0000-0000A7AA0000}"/>
    <cellStyle name="Migliaia 15 3 4 2 3" xfId="48601" xr:uid="{00000000-0005-0000-0000-0000A8AA0000}"/>
    <cellStyle name="Migliaia 15 3 4 2 4" xfId="55125" xr:uid="{00000000-0005-0000-0000-0000A9AA0000}"/>
    <cellStyle name="Migliaia 15 3 4 3" xfId="26086" xr:uid="{00000000-0005-0000-0000-0000AAAA0000}"/>
    <cellStyle name="Migliaia 15 3 4 3 2" xfId="56047" xr:uid="{00000000-0005-0000-0000-0000ABAA0000}"/>
    <cellStyle name="Migliaia 15 3 4 4" xfId="41064" xr:uid="{00000000-0005-0000-0000-0000ACAA0000}"/>
    <cellStyle name="Migliaia 15 3 4 5" xfId="52770" xr:uid="{00000000-0005-0000-0000-0000ADAA0000}"/>
    <cellStyle name="Migliaia 15 3 5" xfId="16989" xr:uid="{00000000-0005-0000-0000-0000AEAA0000}"/>
    <cellStyle name="Migliaia 15 3 5 2" xfId="33105" xr:uid="{00000000-0005-0000-0000-0000AFAA0000}"/>
    <cellStyle name="Migliaia 15 3 5 3" xfId="48066" xr:uid="{00000000-0005-0000-0000-0000B0AA0000}"/>
    <cellStyle name="Migliaia 15 3 5 4" xfId="54695" xr:uid="{00000000-0005-0000-0000-0000B1AA0000}"/>
    <cellStyle name="Migliaia 15 3 6" xfId="19067" xr:uid="{00000000-0005-0000-0000-0000B2AA0000}"/>
    <cellStyle name="Migliaia 15 3 6 2" xfId="55512" xr:uid="{00000000-0005-0000-0000-0000B3AA0000}"/>
    <cellStyle name="Migliaia 15 3 7" xfId="34062" xr:uid="{00000000-0005-0000-0000-0000B4AA0000}"/>
    <cellStyle name="Migliaia 15 3 8" xfId="49002" xr:uid="{00000000-0005-0000-0000-0000B5AA0000}"/>
    <cellStyle name="Migliaia 15 3 9" xfId="49407" xr:uid="{00000000-0005-0000-0000-0000B6AA0000}"/>
    <cellStyle name="Migliaia 15 4" xfId="9091" xr:uid="{00000000-0005-0000-0000-0000B7AA0000}"/>
    <cellStyle name="Migliaia 15 4 2" xfId="16993" xr:uid="{00000000-0005-0000-0000-0000B8AA0000}"/>
    <cellStyle name="Migliaia 15 4 2 2" xfId="18176" xr:uid="{00000000-0005-0000-0000-0000B9AA0000}"/>
    <cellStyle name="Migliaia 15 4 2 2 2" xfId="33643" xr:uid="{00000000-0005-0000-0000-0000BAAA0000}"/>
    <cellStyle name="Migliaia 15 4 2 2 2 2" xfId="55128" xr:uid="{00000000-0005-0000-0000-0000BBAA0000}"/>
    <cellStyle name="Migliaia 15 4 2 2 3" xfId="48604" xr:uid="{00000000-0005-0000-0000-0000BCAA0000}"/>
    <cellStyle name="Migliaia 15 4 2 2 3 2" xfId="56050" xr:uid="{00000000-0005-0000-0000-0000BDAA0000}"/>
    <cellStyle name="Migliaia 15 4 2 2 4" xfId="52773" xr:uid="{00000000-0005-0000-0000-0000BEAA0000}"/>
    <cellStyle name="Migliaia 15 4 2 3" xfId="33109" xr:uid="{00000000-0005-0000-0000-0000BFAA0000}"/>
    <cellStyle name="Migliaia 15 4 2 3 2" xfId="54699" xr:uid="{00000000-0005-0000-0000-0000C0AA0000}"/>
    <cellStyle name="Migliaia 15 4 2 4" xfId="48070" xr:uid="{00000000-0005-0000-0000-0000C1AA0000}"/>
    <cellStyle name="Migliaia 15 4 2 4 2" xfId="55516" xr:uid="{00000000-0005-0000-0000-0000C2AA0000}"/>
    <cellStyle name="Migliaia 15 4 2 5" xfId="52234" xr:uid="{00000000-0005-0000-0000-0000C3AA0000}"/>
    <cellStyle name="Migliaia 15 4 3" xfId="18175" xr:uid="{00000000-0005-0000-0000-0000C4AA0000}"/>
    <cellStyle name="Migliaia 15 4 3 2" xfId="33642" xr:uid="{00000000-0005-0000-0000-0000C5AA0000}"/>
    <cellStyle name="Migliaia 15 4 3 2 2" xfId="55127" xr:uid="{00000000-0005-0000-0000-0000C6AA0000}"/>
    <cellStyle name="Migliaia 15 4 3 3" xfId="48603" xr:uid="{00000000-0005-0000-0000-0000C7AA0000}"/>
    <cellStyle name="Migliaia 15 4 3 3 2" xfId="56049" xr:uid="{00000000-0005-0000-0000-0000C8AA0000}"/>
    <cellStyle name="Migliaia 15 4 3 4" xfId="52772" xr:uid="{00000000-0005-0000-0000-0000C9AA0000}"/>
    <cellStyle name="Migliaia 15 4 4" xfId="16992" xr:uid="{00000000-0005-0000-0000-0000CAAA0000}"/>
    <cellStyle name="Migliaia 15 4 4 2" xfId="33108" xr:uid="{00000000-0005-0000-0000-0000CBAA0000}"/>
    <cellStyle name="Migliaia 15 4 4 3" xfId="48069" xr:uid="{00000000-0005-0000-0000-0000CCAA0000}"/>
    <cellStyle name="Migliaia 15 4 4 4" xfId="54698" xr:uid="{00000000-0005-0000-0000-0000CDAA0000}"/>
    <cellStyle name="Migliaia 15 4 5" xfId="51201" xr:uid="{00000000-0005-0000-0000-0000CEAA0000}"/>
    <cellStyle name="Migliaia 15 4 5 2" xfId="55515" xr:uid="{00000000-0005-0000-0000-0000CFAA0000}"/>
    <cellStyle name="Migliaia 15 4 6" xfId="52233" xr:uid="{00000000-0005-0000-0000-0000D0AA0000}"/>
    <cellStyle name="Migliaia 15 5" xfId="9092" xr:uid="{00000000-0005-0000-0000-0000D1AA0000}"/>
    <cellStyle name="Migliaia 15 5 2" xfId="16994" xr:uid="{00000000-0005-0000-0000-0000D2AA0000}"/>
    <cellStyle name="Migliaia 15 5 2 2" xfId="33110" xr:uid="{00000000-0005-0000-0000-0000D3AA0000}"/>
    <cellStyle name="Migliaia 15 5 2 3" xfId="48071" xr:uid="{00000000-0005-0000-0000-0000D4AA0000}"/>
    <cellStyle name="Migliaia 15 5 2 4" xfId="54700" xr:uid="{00000000-0005-0000-0000-0000D5AA0000}"/>
    <cellStyle name="Migliaia 15 5 3" xfId="51140" xr:uid="{00000000-0005-0000-0000-0000D6AA0000}"/>
    <cellStyle name="Migliaia 15 5 3 2" xfId="55517" xr:uid="{00000000-0005-0000-0000-0000D7AA0000}"/>
    <cellStyle name="Migliaia 15 5 4" xfId="52235" xr:uid="{00000000-0005-0000-0000-0000D8AA0000}"/>
    <cellStyle name="Migliaia 15 6" xfId="9087" xr:uid="{00000000-0005-0000-0000-0000D9AA0000}"/>
    <cellStyle name="Migliaia 15 6 2" xfId="51202" xr:uid="{00000000-0005-0000-0000-0000DAAA0000}"/>
    <cellStyle name="Migliaia 15 6 3" xfId="54531" xr:uid="{00000000-0005-0000-0000-0000DBAA0000}"/>
    <cellStyle name="Migliaia 15 7" xfId="9758" xr:uid="{00000000-0005-0000-0000-0000DCAA0000}"/>
    <cellStyle name="Migliaia 15 7 2" xfId="26084" xr:uid="{00000000-0005-0000-0000-0000DDAA0000}"/>
    <cellStyle name="Migliaia 15 7 3" xfId="41062" xr:uid="{00000000-0005-0000-0000-0000DEAA0000}"/>
    <cellStyle name="Migliaia 15 7 4" xfId="55510" xr:uid="{00000000-0005-0000-0000-0000DFAA0000}"/>
    <cellStyle name="Migliaia 15 8" xfId="16987" xr:uid="{00000000-0005-0000-0000-0000E0AA0000}"/>
    <cellStyle name="Migliaia 15 8 2" xfId="33103" xr:uid="{00000000-0005-0000-0000-0000E1AA0000}"/>
    <cellStyle name="Migliaia 15 8 3" xfId="48064" xr:uid="{00000000-0005-0000-0000-0000E2AA0000}"/>
    <cellStyle name="Migliaia 15 9" xfId="19065" xr:uid="{00000000-0005-0000-0000-0000E3AA0000}"/>
    <cellStyle name="Migliaia 16" xfId="311" xr:uid="{00000000-0005-0000-0000-0000E4AA0000}"/>
    <cellStyle name="Migliaia 16 10" xfId="34064" xr:uid="{00000000-0005-0000-0000-0000E5AA0000}"/>
    <cellStyle name="Migliaia 16 11" xfId="49004" xr:uid="{00000000-0005-0000-0000-0000E6AA0000}"/>
    <cellStyle name="Migliaia 16 12" xfId="49409" xr:uid="{00000000-0005-0000-0000-0000E7AA0000}"/>
    <cellStyle name="Migliaia 16 13" xfId="49815" xr:uid="{00000000-0005-0000-0000-0000E8AA0000}"/>
    <cellStyle name="Migliaia 16 14" xfId="50223" xr:uid="{00000000-0005-0000-0000-0000E9AA0000}"/>
    <cellStyle name="Migliaia 16 15" xfId="50665" xr:uid="{00000000-0005-0000-0000-0000EAAA0000}"/>
    <cellStyle name="Migliaia 16 16" xfId="51384" xr:uid="{00000000-0005-0000-0000-0000EBAA0000}"/>
    <cellStyle name="Migliaia 16 17" xfId="51797" xr:uid="{00000000-0005-0000-0000-0000ECAA0000}"/>
    <cellStyle name="Migliaia 16 18" xfId="52236" xr:uid="{00000000-0005-0000-0000-0000EDAA0000}"/>
    <cellStyle name="Migliaia 16 2" xfId="312" xr:uid="{00000000-0005-0000-0000-0000EEAA0000}"/>
    <cellStyle name="Migliaia 16 2 10" xfId="49816" xr:uid="{00000000-0005-0000-0000-0000EFAA0000}"/>
    <cellStyle name="Migliaia 16 2 11" xfId="50224" xr:uid="{00000000-0005-0000-0000-0000F0AA0000}"/>
    <cellStyle name="Migliaia 16 2 12" xfId="50666" xr:uid="{00000000-0005-0000-0000-0000F1AA0000}"/>
    <cellStyle name="Migliaia 16 2 13" xfId="51385" xr:uid="{00000000-0005-0000-0000-0000F2AA0000}"/>
    <cellStyle name="Migliaia 16 2 14" xfId="51798" xr:uid="{00000000-0005-0000-0000-0000F3AA0000}"/>
    <cellStyle name="Migliaia 16 2 15" xfId="52237" xr:uid="{00000000-0005-0000-0000-0000F4AA0000}"/>
    <cellStyle name="Migliaia 16 2 2" xfId="1249" xr:uid="{00000000-0005-0000-0000-0000F5AA0000}"/>
    <cellStyle name="Migliaia 16 2 2 10" xfId="51043" xr:uid="{00000000-0005-0000-0000-0000F6AA0000}"/>
    <cellStyle name="Migliaia 16 2 2 11" xfId="51639" xr:uid="{00000000-0005-0000-0000-0000F7AA0000}"/>
    <cellStyle name="Migliaia 16 2 2 12" xfId="52060" xr:uid="{00000000-0005-0000-0000-0000F8AA0000}"/>
    <cellStyle name="Migliaia 16 2 2 13" xfId="52774" xr:uid="{00000000-0005-0000-0000-0000F9AA0000}"/>
    <cellStyle name="Migliaia 16 2 2 2" xfId="10017" xr:uid="{00000000-0005-0000-0000-0000FAAA0000}"/>
    <cellStyle name="Migliaia 16 2 2 2 2" xfId="26338" xr:uid="{00000000-0005-0000-0000-0000FBAA0000}"/>
    <cellStyle name="Migliaia 16 2 2 2 3" xfId="41306" xr:uid="{00000000-0005-0000-0000-0000FCAA0000}"/>
    <cellStyle name="Migliaia 16 2 2 2 4" xfId="55129" xr:uid="{00000000-0005-0000-0000-0000FDAA0000}"/>
    <cellStyle name="Migliaia 16 2 2 3" xfId="18177" xr:uid="{00000000-0005-0000-0000-0000FEAA0000}"/>
    <cellStyle name="Migliaia 16 2 2 3 2" xfId="33644" xr:uid="{00000000-0005-0000-0000-0000FFAA0000}"/>
    <cellStyle name="Migliaia 16 2 2 3 3" xfId="48605" xr:uid="{00000000-0005-0000-0000-000000AB0000}"/>
    <cellStyle name="Migliaia 16 2 2 3 4" xfId="56051" xr:uid="{00000000-0005-0000-0000-000001AB0000}"/>
    <cellStyle name="Migliaia 16 2 2 4" xfId="19317" xr:uid="{00000000-0005-0000-0000-000002AB0000}"/>
    <cellStyle name="Migliaia 16 2 2 5" xfId="34307" xr:uid="{00000000-0005-0000-0000-000003AB0000}"/>
    <cellStyle name="Migliaia 16 2 2 6" xfId="49259" xr:uid="{00000000-0005-0000-0000-000004AB0000}"/>
    <cellStyle name="Migliaia 16 2 2 7" xfId="49664" xr:uid="{00000000-0005-0000-0000-000005AB0000}"/>
    <cellStyle name="Migliaia 16 2 2 8" xfId="50073" xr:uid="{00000000-0005-0000-0000-000006AB0000}"/>
    <cellStyle name="Migliaia 16 2 2 9" xfId="50478" xr:uid="{00000000-0005-0000-0000-000007AB0000}"/>
    <cellStyle name="Migliaia 16 2 3" xfId="9094" xr:uid="{00000000-0005-0000-0000-000008AB0000}"/>
    <cellStyle name="Migliaia 16 2 3 2" xfId="54599" xr:uid="{00000000-0005-0000-0000-000009AB0000}"/>
    <cellStyle name="Migliaia 16 2 4" xfId="9763" xr:uid="{00000000-0005-0000-0000-00000AAB0000}"/>
    <cellStyle name="Migliaia 16 2 4 2" xfId="26089" xr:uid="{00000000-0005-0000-0000-00000BAB0000}"/>
    <cellStyle name="Migliaia 16 2 4 3" xfId="41067" xr:uid="{00000000-0005-0000-0000-00000CAB0000}"/>
    <cellStyle name="Migliaia 16 2 4 4" xfId="55519" xr:uid="{00000000-0005-0000-0000-00000DAB0000}"/>
    <cellStyle name="Migliaia 16 2 5" xfId="16996" xr:uid="{00000000-0005-0000-0000-00000EAB0000}"/>
    <cellStyle name="Migliaia 16 2 5 2" xfId="33112" xr:uid="{00000000-0005-0000-0000-00000FAB0000}"/>
    <cellStyle name="Migliaia 16 2 5 3" xfId="48073" xr:uid="{00000000-0005-0000-0000-000010AB0000}"/>
    <cellStyle name="Migliaia 16 2 6" xfId="19070" xr:uid="{00000000-0005-0000-0000-000011AB0000}"/>
    <cellStyle name="Migliaia 16 2 7" xfId="34065" xr:uid="{00000000-0005-0000-0000-000012AB0000}"/>
    <cellStyle name="Migliaia 16 2 8" xfId="49005" xr:uid="{00000000-0005-0000-0000-000013AB0000}"/>
    <cellStyle name="Migliaia 16 2 9" xfId="49410" xr:uid="{00000000-0005-0000-0000-000014AB0000}"/>
    <cellStyle name="Migliaia 16 3" xfId="313" xr:uid="{00000000-0005-0000-0000-000015AB0000}"/>
    <cellStyle name="Migliaia 16 3 10" xfId="49817" xr:uid="{00000000-0005-0000-0000-000016AB0000}"/>
    <cellStyle name="Migliaia 16 3 11" xfId="50225" xr:uid="{00000000-0005-0000-0000-000017AB0000}"/>
    <cellStyle name="Migliaia 16 3 12" xfId="50667" xr:uid="{00000000-0005-0000-0000-000018AB0000}"/>
    <cellStyle name="Migliaia 16 3 13" xfId="51386" xr:uid="{00000000-0005-0000-0000-000019AB0000}"/>
    <cellStyle name="Migliaia 16 3 14" xfId="51799" xr:uid="{00000000-0005-0000-0000-00001AAB0000}"/>
    <cellStyle name="Migliaia 16 3 15" xfId="52238" xr:uid="{00000000-0005-0000-0000-00001BAB0000}"/>
    <cellStyle name="Migliaia 16 3 2" xfId="314" xr:uid="{00000000-0005-0000-0000-00001CAB0000}"/>
    <cellStyle name="Migliaia 16 3 2 10" xfId="50226" xr:uid="{00000000-0005-0000-0000-00001DAB0000}"/>
    <cellStyle name="Migliaia 16 3 2 11" xfId="50668" xr:uid="{00000000-0005-0000-0000-00001EAB0000}"/>
    <cellStyle name="Migliaia 16 3 2 12" xfId="51387" xr:uid="{00000000-0005-0000-0000-00001FAB0000}"/>
    <cellStyle name="Migliaia 16 3 2 13" xfId="51800" xr:uid="{00000000-0005-0000-0000-000020AB0000}"/>
    <cellStyle name="Migliaia 16 3 2 14" xfId="52239" xr:uid="{00000000-0005-0000-0000-000021AB0000}"/>
    <cellStyle name="Migliaia 16 3 2 2" xfId="9096" xr:uid="{00000000-0005-0000-0000-000022AB0000}"/>
    <cellStyle name="Migliaia 16 3 2 2 2" xfId="54702" xr:uid="{00000000-0005-0000-0000-000023AB0000}"/>
    <cellStyle name="Migliaia 16 3 2 3" xfId="9765" xr:uid="{00000000-0005-0000-0000-000024AB0000}"/>
    <cellStyle name="Migliaia 16 3 2 3 2" xfId="26091" xr:uid="{00000000-0005-0000-0000-000025AB0000}"/>
    <cellStyle name="Migliaia 16 3 2 3 3" xfId="41069" xr:uid="{00000000-0005-0000-0000-000026AB0000}"/>
    <cellStyle name="Migliaia 16 3 2 3 4" xfId="55521" xr:uid="{00000000-0005-0000-0000-000027AB0000}"/>
    <cellStyle name="Migliaia 16 3 2 4" xfId="16998" xr:uid="{00000000-0005-0000-0000-000028AB0000}"/>
    <cellStyle name="Migliaia 16 3 2 4 2" xfId="33114" xr:uid="{00000000-0005-0000-0000-000029AB0000}"/>
    <cellStyle name="Migliaia 16 3 2 4 3" xfId="48075" xr:uid="{00000000-0005-0000-0000-00002AAB0000}"/>
    <cellStyle name="Migliaia 16 3 2 5" xfId="19072" xr:uid="{00000000-0005-0000-0000-00002BAB0000}"/>
    <cellStyle name="Migliaia 16 3 2 6" xfId="34067" xr:uid="{00000000-0005-0000-0000-00002CAB0000}"/>
    <cellStyle name="Migliaia 16 3 2 7" xfId="49007" xr:uid="{00000000-0005-0000-0000-00002DAB0000}"/>
    <cellStyle name="Migliaia 16 3 2 8" xfId="49412" xr:uid="{00000000-0005-0000-0000-00002EAB0000}"/>
    <cellStyle name="Migliaia 16 3 2 9" xfId="49818" xr:uid="{00000000-0005-0000-0000-00002FAB0000}"/>
    <cellStyle name="Migliaia 16 3 3" xfId="9095" xr:uid="{00000000-0005-0000-0000-000030AB0000}"/>
    <cellStyle name="Migliaia 16 3 3 2" xfId="18179" xr:uid="{00000000-0005-0000-0000-000031AB0000}"/>
    <cellStyle name="Migliaia 16 3 3 2 2" xfId="33646" xr:uid="{00000000-0005-0000-0000-000032AB0000}"/>
    <cellStyle name="Migliaia 16 3 3 2 2 2" xfId="55131" xr:uid="{00000000-0005-0000-0000-000033AB0000}"/>
    <cellStyle name="Migliaia 16 3 3 2 3" xfId="48607" xr:uid="{00000000-0005-0000-0000-000034AB0000}"/>
    <cellStyle name="Migliaia 16 3 3 2 3 2" xfId="56053" xr:uid="{00000000-0005-0000-0000-000035AB0000}"/>
    <cellStyle name="Migliaia 16 3 3 2 4" xfId="52776" xr:uid="{00000000-0005-0000-0000-000036AB0000}"/>
    <cellStyle name="Migliaia 16 3 3 3" xfId="16999" xr:uid="{00000000-0005-0000-0000-000037AB0000}"/>
    <cellStyle name="Migliaia 16 3 3 3 2" xfId="33115" xr:uid="{00000000-0005-0000-0000-000038AB0000}"/>
    <cellStyle name="Migliaia 16 3 3 3 3" xfId="48076" xr:uid="{00000000-0005-0000-0000-000039AB0000}"/>
    <cellStyle name="Migliaia 16 3 3 3 4" xfId="54703" xr:uid="{00000000-0005-0000-0000-00003AAB0000}"/>
    <cellStyle name="Migliaia 16 3 3 4" xfId="55522" xr:uid="{00000000-0005-0000-0000-00003BAB0000}"/>
    <cellStyle name="Migliaia 16 3 3 5" xfId="52240" xr:uid="{00000000-0005-0000-0000-00003CAB0000}"/>
    <cellStyle name="Migliaia 16 3 4" xfId="9764" xr:uid="{00000000-0005-0000-0000-00003DAB0000}"/>
    <cellStyle name="Migliaia 16 3 4 2" xfId="18178" xr:uid="{00000000-0005-0000-0000-00003EAB0000}"/>
    <cellStyle name="Migliaia 16 3 4 2 2" xfId="33645" xr:uid="{00000000-0005-0000-0000-00003FAB0000}"/>
    <cellStyle name="Migliaia 16 3 4 2 3" xfId="48606" xr:uid="{00000000-0005-0000-0000-000040AB0000}"/>
    <cellStyle name="Migliaia 16 3 4 2 4" xfId="55130" xr:uid="{00000000-0005-0000-0000-000041AB0000}"/>
    <cellStyle name="Migliaia 16 3 4 3" xfId="26090" xr:uid="{00000000-0005-0000-0000-000042AB0000}"/>
    <cellStyle name="Migliaia 16 3 4 3 2" xfId="56052" xr:uid="{00000000-0005-0000-0000-000043AB0000}"/>
    <cellStyle name="Migliaia 16 3 4 4" xfId="41068" xr:uid="{00000000-0005-0000-0000-000044AB0000}"/>
    <cellStyle name="Migliaia 16 3 4 5" xfId="52775" xr:uid="{00000000-0005-0000-0000-000045AB0000}"/>
    <cellStyle name="Migliaia 16 3 5" xfId="16997" xr:uid="{00000000-0005-0000-0000-000046AB0000}"/>
    <cellStyle name="Migliaia 16 3 5 2" xfId="33113" xr:uid="{00000000-0005-0000-0000-000047AB0000}"/>
    <cellStyle name="Migliaia 16 3 5 3" xfId="48074" xr:uid="{00000000-0005-0000-0000-000048AB0000}"/>
    <cellStyle name="Migliaia 16 3 5 4" xfId="54701" xr:uid="{00000000-0005-0000-0000-000049AB0000}"/>
    <cellStyle name="Migliaia 16 3 6" xfId="19071" xr:uid="{00000000-0005-0000-0000-00004AAB0000}"/>
    <cellStyle name="Migliaia 16 3 6 2" xfId="55520" xr:uid="{00000000-0005-0000-0000-00004BAB0000}"/>
    <cellStyle name="Migliaia 16 3 7" xfId="34066" xr:uid="{00000000-0005-0000-0000-00004CAB0000}"/>
    <cellStyle name="Migliaia 16 3 8" xfId="49006" xr:uid="{00000000-0005-0000-0000-00004DAB0000}"/>
    <cellStyle name="Migliaia 16 3 9" xfId="49411" xr:uid="{00000000-0005-0000-0000-00004EAB0000}"/>
    <cellStyle name="Migliaia 16 4" xfId="9097" xr:uid="{00000000-0005-0000-0000-00004FAB0000}"/>
    <cellStyle name="Migliaia 16 4 2" xfId="17001" xr:uid="{00000000-0005-0000-0000-000050AB0000}"/>
    <cellStyle name="Migliaia 16 4 2 2" xfId="18181" xr:uid="{00000000-0005-0000-0000-000051AB0000}"/>
    <cellStyle name="Migliaia 16 4 2 2 2" xfId="33648" xr:uid="{00000000-0005-0000-0000-000052AB0000}"/>
    <cellStyle name="Migliaia 16 4 2 2 2 2" xfId="55133" xr:uid="{00000000-0005-0000-0000-000053AB0000}"/>
    <cellStyle name="Migliaia 16 4 2 2 3" xfId="48609" xr:uid="{00000000-0005-0000-0000-000054AB0000}"/>
    <cellStyle name="Migliaia 16 4 2 2 3 2" xfId="56055" xr:uid="{00000000-0005-0000-0000-000055AB0000}"/>
    <cellStyle name="Migliaia 16 4 2 2 4" xfId="52778" xr:uid="{00000000-0005-0000-0000-000056AB0000}"/>
    <cellStyle name="Migliaia 16 4 2 3" xfId="33117" xr:uid="{00000000-0005-0000-0000-000057AB0000}"/>
    <cellStyle name="Migliaia 16 4 2 3 2" xfId="54705" xr:uid="{00000000-0005-0000-0000-000058AB0000}"/>
    <cellStyle name="Migliaia 16 4 2 4" xfId="48078" xr:uid="{00000000-0005-0000-0000-000059AB0000}"/>
    <cellStyle name="Migliaia 16 4 2 4 2" xfId="55524" xr:uid="{00000000-0005-0000-0000-00005AAB0000}"/>
    <cellStyle name="Migliaia 16 4 2 5" xfId="52242" xr:uid="{00000000-0005-0000-0000-00005BAB0000}"/>
    <cellStyle name="Migliaia 16 4 3" xfId="18180" xr:uid="{00000000-0005-0000-0000-00005CAB0000}"/>
    <cellStyle name="Migliaia 16 4 3 2" xfId="33647" xr:uid="{00000000-0005-0000-0000-00005DAB0000}"/>
    <cellStyle name="Migliaia 16 4 3 2 2" xfId="55132" xr:uid="{00000000-0005-0000-0000-00005EAB0000}"/>
    <cellStyle name="Migliaia 16 4 3 3" xfId="48608" xr:uid="{00000000-0005-0000-0000-00005FAB0000}"/>
    <cellStyle name="Migliaia 16 4 3 3 2" xfId="56054" xr:uid="{00000000-0005-0000-0000-000060AB0000}"/>
    <cellStyle name="Migliaia 16 4 3 4" xfId="52777" xr:uid="{00000000-0005-0000-0000-000061AB0000}"/>
    <cellStyle name="Migliaia 16 4 4" xfId="17000" xr:uid="{00000000-0005-0000-0000-000062AB0000}"/>
    <cellStyle name="Migliaia 16 4 4 2" xfId="33116" xr:uid="{00000000-0005-0000-0000-000063AB0000}"/>
    <cellStyle name="Migliaia 16 4 4 3" xfId="48077" xr:uid="{00000000-0005-0000-0000-000064AB0000}"/>
    <cellStyle name="Migliaia 16 4 4 4" xfId="54704" xr:uid="{00000000-0005-0000-0000-000065AB0000}"/>
    <cellStyle name="Migliaia 16 4 5" xfId="51203" xr:uid="{00000000-0005-0000-0000-000066AB0000}"/>
    <cellStyle name="Migliaia 16 4 5 2" xfId="55523" xr:uid="{00000000-0005-0000-0000-000067AB0000}"/>
    <cellStyle name="Migliaia 16 4 6" xfId="52241" xr:uid="{00000000-0005-0000-0000-000068AB0000}"/>
    <cellStyle name="Migliaia 16 5" xfId="9098" xr:uid="{00000000-0005-0000-0000-000069AB0000}"/>
    <cellStyle name="Migliaia 16 5 2" xfId="17002" xr:uid="{00000000-0005-0000-0000-00006AAB0000}"/>
    <cellStyle name="Migliaia 16 5 2 2" xfId="33118" xr:uid="{00000000-0005-0000-0000-00006BAB0000}"/>
    <cellStyle name="Migliaia 16 5 2 3" xfId="48079" xr:uid="{00000000-0005-0000-0000-00006CAB0000}"/>
    <cellStyle name="Migliaia 16 5 2 4" xfId="54706" xr:uid="{00000000-0005-0000-0000-00006DAB0000}"/>
    <cellStyle name="Migliaia 16 5 3" xfId="50920" xr:uid="{00000000-0005-0000-0000-00006EAB0000}"/>
    <cellStyle name="Migliaia 16 5 3 2" xfId="55525" xr:uid="{00000000-0005-0000-0000-00006FAB0000}"/>
    <cellStyle name="Migliaia 16 5 4" xfId="52243" xr:uid="{00000000-0005-0000-0000-000070AB0000}"/>
    <cellStyle name="Migliaia 16 6" xfId="9093" xr:uid="{00000000-0005-0000-0000-000071AB0000}"/>
    <cellStyle name="Migliaia 16 6 2" xfId="50997" xr:uid="{00000000-0005-0000-0000-000072AB0000}"/>
    <cellStyle name="Migliaia 16 6 3" xfId="54532" xr:uid="{00000000-0005-0000-0000-000073AB0000}"/>
    <cellStyle name="Migliaia 16 7" xfId="9762" xr:uid="{00000000-0005-0000-0000-000074AB0000}"/>
    <cellStyle name="Migliaia 16 7 2" xfId="26088" xr:uid="{00000000-0005-0000-0000-000075AB0000}"/>
    <cellStyle name="Migliaia 16 7 3" xfId="41066" xr:uid="{00000000-0005-0000-0000-000076AB0000}"/>
    <cellStyle name="Migliaia 16 7 4" xfId="55518" xr:uid="{00000000-0005-0000-0000-000077AB0000}"/>
    <cellStyle name="Migliaia 16 8" xfId="16995" xr:uid="{00000000-0005-0000-0000-000078AB0000}"/>
    <cellStyle name="Migliaia 16 8 2" xfId="33111" xr:uid="{00000000-0005-0000-0000-000079AB0000}"/>
    <cellStyle name="Migliaia 16 8 3" xfId="48072" xr:uid="{00000000-0005-0000-0000-00007AAB0000}"/>
    <cellStyle name="Migliaia 16 9" xfId="19069" xr:uid="{00000000-0005-0000-0000-00007BAB0000}"/>
    <cellStyle name="Migliaia 17" xfId="315" xr:uid="{00000000-0005-0000-0000-00007CAB0000}"/>
    <cellStyle name="Migliaia 17 10" xfId="34068" xr:uid="{00000000-0005-0000-0000-00007DAB0000}"/>
    <cellStyle name="Migliaia 17 11" xfId="49008" xr:uid="{00000000-0005-0000-0000-00007EAB0000}"/>
    <cellStyle name="Migliaia 17 12" xfId="49413" xr:uid="{00000000-0005-0000-0000-00007FAB0000}"/>
    <cellStyle name="Migliaia 17 13" xfId="49819" xr:uid="{00000000-0005-0000-0000-000080AB0000}"/>
    <cellStyle name="Migliaia 17 14" xfId="50227" xr:uid="{00000000-0005-0000-0000-000081AB0000}"/>
    <cellStyle name="Migliaia 17 15" xfId="50669" xr:uid="{00000000-0005-0000-0000-000082AB0000}"/>
    <cellStyle name="Migliaia 17 16" xfId="51388" xr:uid="{00000000-0005-0000-0000-000083AB0000}"/>
    <cellStyle name="Migliaia 17 17" xfId="51801" xr:uid="{00000000-0005-0000-0000-000084AB0000}"/>
    <cellStyle name="Migliaia 17 18" xfId="52244" xr:uid="{00000000-0005-0000-0000-000085AB0000}"/>
    <cellStyle name="Migliaia 17 2" xfId="316" xr:uid="{00000000-0005-0000-0000-000086AB0000}"/>
    <cellStyle name="Migliaia 17 2 10" xfId="49820" xr:uid="{00000000-0005-0000-0000-000087AB0000}"/>
    <cellStyle name="Migliaia 17 2 11" xfId="50228" xr:uid="{00000000-0005-0000-0000-000088AB0000}"/>
    <cellStyle name="Migliaia 17 2 12" xfId="50670" xr:uid="{00000000-0005-0000-0000-000089AB0000}"/>
    <cellStyle name="Migliaia 17 2 13" xfId="51389" xr:uid="{00000000-0005-0000-0000-00008AAB0000}"/>
    <cellStyle name="Migliaia 17 2 14" xfId="51802" xr:uid="{00000000-0005-0000-0000-00008BAB0000}"/>
    <cellStyle name="Migliaia 17 2 15" xfId="52245" xr:uid="{00000000-0005-0000-0000-00008CAB0000}"/>
    <cellStyle name="Migliaia 17 2 2" xfId="1250" xr:uid="{00000000-0005-0000-0000-00008DAB0000}"/>
    <cellStyle name="Migliaia 17 2 2 10" xfId="51044" xr:uid="{00000000-0005-0000-0000-00008EAB0000}"/>
    <cellStyle name="Migliaia 17 2 2 11" xfId="51640" xr:uid="{00000000-0005-0000-0000-00008FAB0000}"/>
    <cellStyle name="Migliaia 17 2 2 12" xfId="52061" xr:uid="{00000000-0005-0000-0000-000090AB0000}"/>
    <cellStyle name="Migliaia 17 2 2 13" xfId="52779" xr:uid="{00000000-0005-0000-0000-000091AB0000}"/>
    <cellStyle name="Migliaia 17 2 2 2" xfId="10018" xr:uid="{00000000-0005-0000-0000-000092AB0000}"/>
    <cellStyle name="Migliaia 17 2 2 2 2" xfId="26339" xr:uid="{00000000-0005-0000-0000-000093AB0000}"/>
    <cellStyle name="Migliaia 17 2 2 2 3" xfId="41307" xr:uid="{00000000-0005-0000-0000-000094AB0000}"/>
    <cellStyle name="Migliaia 17 2 2 2 4" xfId="55134" xr:uid="{00000000-0005-0000-0000-000095AB0000}"/>
    <cellStyle name="Migliaia 17 2 2 3" xfId="18182" xr:uid="{00000000-0005-0000-0000-000096AB0000}"/>
    <cellStyle name="Migliaia 17 2 2 3 2" xfId="33649" xr:uid="{00000000-0005-0000-0000-000097AB0000}"/>
    <cellStyle name="Migliaia 17 2 2 3 3" xfId="48610" xr:uid="{00000000-0005-0000-0000-000098AB0000}"/>
    <cellStyle name="Migliaia 17 2 2 3 4" xfId="56056" xr:uid="{00000000-0005-0000-0000-000099AB0000}"/>
    <cellStyle name="Migliaia 17 2 2 4" xfId="19318" xr:uid="{00000000-0005-0000-0000-00009AAB0000}"/>
    <cellStyle name="Migliaia 17 2 2 5" xfId="34308" xr:uid="{00000000-0005-0000-0000-00009BAB0000}"/>
    <cellStyle name="Migliaia 17 2 2 6" xfId="49260" xr:uid="{00000000-0005-0000-0000-00009CAB0000}"/>
    <cellStyle name="Migliaia 17 2 2 7" xfId="49665" xr:uid="{00000000-0005-0000-0000-00009DAB0000}"/>
    <cellStyle name="Migliaia 17 2 2 8" xfId="50074" xr:uid="{00000000-0005-0000-0000-00009EAB0000}"/>
    <cellStyle name="Migliaia 17 2 2 9" xfId="50479" xr:uid="{00000000-0005-0000-0000-00009FAB0000}"/>
    <cellStyle name="Migliaia 17 2 3" xfId="9100" xr:uid="{00000000-0005-0000-0000-0000A0AB0000}"/>
    <cellStyle name="Migliaia 17 2 3 2" xfId="54600" xr:uid="{00000000-0005-0000-0000-0000A1AB0000}"/>
    <cellStyle name="Migliaia 17 2 4" xfId="9767" xr:uid="{00000000-0005-0000-0000-0000A2AB0000}"/>
    <cellStyle name="Migliaia 17 2 4 2" xfId="26093" xr:uid="{00000000-0005-0000-0000-0000A3AB0000}"/>
    <cellStyle name="Migliaia 17 2 4 3" xfId="41071" xr:uid="{00000000-0005-0000-0000-0000A4AB0000}"/>
    <cellStyle name="Migliaia 17 2 4 4" xfId="55527" xr:uid="{00000000-0005-0000-0000-0000A5AB0000}"/>
    <cellStyle name="Migliaia 17 2 5" xfId="17004" xr:uid="{00000000-0005-0000-0000-0000A6AB0000}"/>
    <cellStyle name="Migliaia 17 2 5 2" xfId="33120" xr:uid="{00000000-0005-0000-0000-0000A7AB0000}"/>
    <cellStyle name="Migliaia 17 2 5 3" xfId="48081" xr:uid="{00000000-0005-0000-0000-0000A8AB0000}"/>
    <cellStyle name="Migliaia 17 2 6" xfId="19074" xr:uid="{00000000-0005-0000-0000-0000A9AB0000}"/>
    <cellStyle name="Migliaia 17 2 7" xfId="34069" xr:uid="{00000000-0005-0000-0000-0000AAAB0000}"/>
    <cellStyle name="Migliaia 17 2 8" xfId="49009" xr:uid="{00000000-0005-0000-0000-0000ABAB0000}"/>
    <cellStyle name="Migliaia 17 2 9" xfId="49414" xr:uid="{00000000-0005-0000-0000-0000ACAB0000}"/>
    <cellStyle name="Migliaia 17 3" xfId="317" xr:uid="{00000000-0005-0000-0000-0000ADAB0000}"/>
    <cellStyle name="Migliaia 17 3 10" xfId="49821" xr:uid="{00000000-0005-0000-0000-0000AEAB0000}"/>
    <cellStyle name="Migliaia 17 3 11" xfId="50229" xr:uid="{00000000-0005-0000-0000-0000AFAB0000}"/>
    <cellStyle name="Migliaia 17 3 12" xfId="50671" xr:uid="{00000000-0005-0000-0000-0000B0AB0000}"/>
    <cellStyle name="Migliaia 17 3 13" xfId="51390" xr:uid="{00000000-0005-0000-0000-0000B1AB0000}"/>
    <cellStyle name="Migliaia 17 3 14" xfId="51803" xr:uid="{00000000-0005-0000-0000-0000B2AB0000}"/>
    <cellStyle name="Migliaia 17 3 15" xfId="52246" xr:uid="{00000000-0005-0000-0000-0000B3AB0000}"/>
    <cellStyle name="Migliaia 17 3 2" xfId="318" xr:uid="{00000000-0005-0000-0000-0000B4AB0000}"/>
    <cellStyle name="Migliaia 17 3 2 10" xfId="50230" xr:uid="{00000000-0005-0000-0000-0000B5AB0000}"/>
    <cellStyle name="Migliaia 17 3 2 11" xfId="50672" xr:uid="{00000000-0005-0000-0000-0000B6AB0000}"/>
    <cellStyle name="Migliaia 17 3 2 12" xfId="51391" xr:uid="{00000000-0005-0000-0000-0000B7AB0000}"/>
    <cellStyle name="Migliaia 17 3 2 13" xfId="51804" xr:uid="{00000000-0005-0000-0000-0000B8AB0000}"/>
    <cellStyle name="Migliaia 17 3 2 14" xfId="52247" xr:uid="{00000000-0005-0000-0000-0000B9AB0000}"/>
    <cellStyle name="Migliaia 17 3 2 2" xfId="9102" xr:uid="{00000000-0005-0000-0000-0000BAAB0000}"/>
    <cellStyle name="Migliaia 17 3 2 2 2" xfId="54708" xr:uid="{00000000-0005-0000-0000-0000BBAB0000}"/>
    <cellStyle name="Migliaia 17 3 2 3" xfId="9769" xr:uid="{00000000-0005-0000-0000-0000BCAB0000}"/>
    <cellStyle name="Migliaia 17 3 2 3 2" xfId="26095" xr:uid="{00000000-0005-0000-0000-0000BDAB0000}"/>
    <cellStyle name="Migliaia 17 3 2 3 3" xfId="41073" xr:uid="{00000000-0005-0000-0000-0000BEAB0000}"/>
    <cellStyle name="Migliaia 17 3 2 3 4" xfId="55529" xr:uid="{00000000-0005-0000-0000-0000BFAB0000}"/>
    <cellStyle name="Migliaia 17 3 2 4" xfId="17006" xr:uid="{00000000-0005-0000-0000-0000C0AB0000}"/>
    <cellStyle name="Migliaia 17 3 2 4 2" xfId="33122" xr:uid="{00000000-0005-0000-0000-0000C1AB0000}"/>
    <cellStyle name="Migliaia 17 3 2 4 3" xfId="48083" xr:uid="{00000000-0005-0000-0000-0000C2AB0000}"/>
    <cellStyle name="Migliaia 17 3 2 5" xfId="19076" xr:uid="{00000000-0005-0000-0000-0000C3AB0000}"/>
    <cellStyle name="Migliaia 17 3 2 6" xfId="34071" xr:uid="{00000000-0005-0000-0000-0000C4AB0000}"/>
    <cellStyle name="Migliaia 17 3 2 7" xfId="49011" xr:uid="{00000000-0005-0000-0000-0000C5AB0000}"/>
    <cellStyle name="Migliaia 17 3 2 8" xfId="49416" xr:uid="{00000000-0005-0000-0000-0000C6AB0000}"/>
    <cellStyle name="Migliaia 17 3 2 9" xfId="49822" xr:uid="{00000000-0005-0000-0000-0000C7AB0000}"/>
    <cellStyle name="Migliaia 17 3 3" xfId="9101" xr:uid="{00000000-0005-0000-0000-0000C8AB0000}"/>
    <cellStyle name="Migliaia 17 3 3 2" xfId="18184" xr:uid="{00000000-0005-0000-0000-0000C9AB0000}"/>
    <cellStyle name="Migliaia 17 3 3 2 2" xfId="33651" xr:uid="{00000000-0005-0000-0000-0000CAAB0000}"/>
    <cellStyle name="Migliaia 17 3 3 2 2 2" xfId="55136" xr:uid="{00000000-0005-0000-0000-0000CBAB0000}"/>
    <cellStyle name="Migliaia 17 3 3 2 3" xfId="48612" xr:uid="{00000000-0005-0000-0000-0000CCAB0000}"/>
    <cellStyle name="Migliaia 17 3 3 2 3 2" xfId="56058" xr:uid="{00000000-0005-0000-0000-0000CDAB0000}"/>
    <cellStyle name="Migliaia 17 3 3 2 4" xfId="52781" xr:uid="{00000000-0005-0000-0000-0000CEAB0000}"/>
    <cellStyle name="Migliaia 17 3 3 3" xfId="17007" xr:uid="{00000000-0005-0000-0000-0000CFAB0000}"/>
    <cellStyle name="Migliaia 17 3 3 3 2" xfId="33123" xr:uid="{00000000-0005-0000-0000-0000D0AB0000}"/>
    <cellStyle name="Migliaia 17 3 3 3 3" xfId="48084" xr:uid="{00000000-0005-0000-0000-0000D1AB0000}"/>
    <cellStyle name="Migliaia 17 3 3 3 4" xfId="54709" xr:uid="{00000000-0005-0000-0000-0000D2AB0000}"/>
    <cellStyle name="Migliaia 17 3 3 4" xfId="55530" xr:uid="{00000000-0005-0000-0000-0000D3AB0000}"/>
    <cellStyle name="Migliaia 17 3 3 5" xfId="52248" xr:uid="{00000000-0005-0000-0000-0000D4AB0000}"/>
    <cellStyle name="Migliaia 17 3 4" xfId="9768" xr:uid="{00000000-0005-0000-0000-0000D5AB0000}"/>
    <cellStyle name="Migliaia 17 3 4 2" xfId="18183" xr:uid="{00000000-0005-0000-0000-0000D6AB0000}"/>
    <cellStyle name="Migliaia 17 3 4 2 2" xfId="33650" xr:uid="{00000000-0005-0000-0000-0000D7AB0000}"/>
    <cellStyle name="Migliaia 17 3 4 2 3" xfId="48611" xr:uid="{00000000-0005-0000-0000-0000D8AB0000}"/>
    <cellStyle name="Migliaia 17 3 4 2 4" xfId="55135" xr:uid="{00000000-0005-0000-0000-0000D9AB0000}"/>
    <cellStyle name="Migliaia 17 3 4 3" xfId="26094" xr:uid="{00000000-0005-0000-0000-0000DAAB0000}"/>
    <cellStyle name="Migliaia 17 3 4 3 2" xfId="56057" xr:uid="{00000000-0005-0000-0000-0000DBAB0000}"/>
    <cellStyle name="Migliaia 17 3 4 4" xfId="41072" xr:uid="{00000000-0005-0000-0000-0000DCAB0000}"/>
    <cellStyle name="Migliaia 17 3 4 5" xfId="52780" xr:uid="{00000000-0005-0000-0000-0000DDAB0000}"/>
    <cellStyle name="Migliaia 17 3 5" xfId="17005" xr:uid="{00000000-0005-0000-0000-0000DEAB0000}"/>
    <cellStyle name="Migliaia 17 3 5 2" xfId="33121" xr:uid="{00000000-0005-0000-0000-0000DFAB0000}"/>
    <cellStyle name="Migliaia 17 3 5 3" xfId="48082" xr:uid="{00000000-0005-0000-0000-0000E0AB0000}"/>
    <cellStyle name="Migliaia 17 3 5 4" xfId="54707" xr:uid="{00000000-0005-0000-0000-0000E1AB0000}"/>
    <cellStyle name="Migliaia 17 3 6" xfId="19075" xr:uid="{00000000-0005-0000-0000-0000E2AB0000}"/>
    <cellStyle name="Migliaia 17 3 6 2" xfId="55528" xr:uid="{00000000-0005-0000-0000-0000E3AB0000}"/>
    <cellStyle name="Migliaia 17 3 7" xfId="34070" xr:uid="{00000000-0005-0000-0000-0000E4AB0000}"/>
    <cellStyle name="Migliaia 17 3 8" xfId="49010" xr:uid="{00000000-0005-0000-0000-0000E5AB0000}"/>
    <cellStyle name="Migliaia 17 3 9" xfId="49415" xr:uid="{00000000-0005-0000-0000-0000E6AB0000}"/>
    <cellStyle name="Migliaia 17 4" xfId="9103" xr:uid="{00000000-0005-0000-0000-0000E7AB0000}"/>
    <cellStyle name="Migliaia 17 4 2" xfId="17009" xr:uid="{00000000-0005-0000-0000-0000E8AB0000}"/>
    <cellStyle name="Migliaia 17 4 2 2" xfId="18186" xr:uid="{00000000-0005-0000-0000-0000E9AB0000}"/>
    <cellStyle name="Migliaia 17 4 2 2 2" xfId="33653" xr:uid="{00000000-0005-0000-0000-0000EAAB0000}"/>
    <cellStyle name="Migliaia 17 4 2 2 2 2" xfId="55138" xr:uid="{00000000-0005-0000-0000-0000EBAB0000}"/>
    <cellStyle name="Migliaia 17 4 2 2 3" xfId="48614" xr:uid="{00000000-0005-0000-0000-0000ECAB0000}"/>
    <cellStyle name="Migliaia 17 4 2 2 3 2" xfId="56060" xr:uid="{00000000-0005-0000-0000-0000EDAB0000}"/>
    <cellStyle name="Migliaia 17 4 2 2 4" xfId="52783" xr:uid="{00000000-0005-0000-0000-0000EEAB0000}"/>
    <cellStyle name="Migliaia 17 4 2 3" xfId="33125" xr:uid="{00000000-0005-0000-0000-0000EFAB0000}"/>
    <cellStyle name="Migliaia 17 4 2 3 2" xfId="54711" xr:uid="{00000000-0005-0000-0000-0000F0AB0000}"/>
    <cellStyle name="Migliaia 17 4 2 4" xfId="48086" xr:uid="{00000000-0005-0000-0000-0000F1AB0000}"/>
    <cellStyle name="Migliaia 17 4 2 4 2" xfId="55532" xr:uid="{00000000-0005-0000-0000-0000F2AB0000}"/>
    <cellStyle name="Migliaia 17 4 2 5" xfId="52250" xr:uid="{00000000-0005-0000-0000-0000F3AB0000}"/>
    <cellStyle name="Migliaia 17 4 3" xfId="18185" xr:uid="{00000000-0005-0000-0000-0000F4AB0000}"/>
    <cellStyle name="Migliaia 17 4 3 2" xfId="33652" xr:uid="{00000000-0005-0000-0000-0000F5AB0000}"/>
    <cellStyle name="Migliaia 17 4 3 2 2" xfId="55137" xr:uid="{00000000-0005-0000-0000-0000F6AB0000}"/>
    <cellStyle name="Migliaia 17 4 3 3" xfId="48613" xr:uid="{00000000-0005-0000-0000-0000F7AB0000}"/>
    <cellStyle name="Migliaia 17 4 3 3 2" xfId="56059" xr:uid="{00000000-0005-0000-0000-0000F8AB0000}"/>
    <cellStyle name="Migliaia 17 4 3 4" xfId="52782" xr:uid="{00000000-0005-0000-0000-0000F9AB0000}"/>
    <cellStyle name="Migliaia 17 4 4" xfId="17008" xr:uid="{00000000-0005-0000-0000-0000FAAB0000}"/>
    <cellStyle name="Migliaia 17 4 4 2" xfId="33124" xr:uid="{00000000-0005-0000-0000-0000FBAB0000}"/>
    <cellStyle name="Migliaia 17 4 4 3" xfId="48085" xr:uid="{00000000-0005-0000-0000-0000FCAB0000}"/>
    <cellStyle name="Migliaia 17 4 4 4" xfId="54710" xr:uid="{00000000-0005-0000-0000-0000FDAB0000}"/>
    <cellStyle name="Migliaia 17 4 5" xfId="50996" xr:uid="{00000000-0005-0000-0000-0000FEAB0000}"/>
    <cellStyle name="Migliaia 17 4 5 2" xfId="55531" xr:uid="{00000000-0005-0000-0000-0000FFAB0000}"/>
    <cellStyle name="Migliaia 17 4 6" xfId="52249" xr:uid="{00000000-0005-0000-0000-000000AC0000}"/>
    <cellStyle name="Migliaia 17 5" xfId="9104" xr:uid="{00000000-0005-0000-0000-000001AC0000}"/>
    <cellStyle name="Migliaia 17 5 2" xfId="17010" xr:uid="{00000000-0005-0000-0000-000002AC0000}"/>
    <cellStyle name="Migliaia 17 5 2 2" xfId="33126" xr:uid="{00000000-0005-0000-0000-000003AC0000}"/>
    <cellStyle name="Migliaia 17 5 2 3" xfId="48087" xr:uid="{00000000-0005-0000-0000-000004AC0000}"/>
    <cellStyle name="Migliaia 17 5 2 4" xfId="54712" xr:uid="{00000000-0005-0000-0000-000005AC0000}"/>
    <cellStyle name="Migliaia 17 5 3" xfId="51139" xr:uid="{00000000-0005-0000-0000-000006AC0000}"/>
    <cellStyle name="Migliaia 17 5 3 2" xfId="55533" xr:uid="{00000000-0005-0000-0000-000007AC0000}"/>
    <cellStyle name="Migliaia 17 5 4" xfId="52251" xr:uid="{00000000-0005-0000-0000-000008AC0000}"/>
    <cellStyle name="Migliaia 17 6" xfId="9099" xr:uid="{00000000-0005-0000-0000-000009AC0000}"/>
    <cellStyle name="Migliaia 17 6 2" xfId="51205" xr:uid="{00000000-0005-0000-0000-00000AAC0000}"/>
    <cellStyle name="Migliaia 17 6 3" xfId="54533" xr:uid="{00000000-0005-0000-0000-00000BAC0000}"/>
    <cellStyle name="Migliaia 17 7" xfId="9766" xr:uid="{00000000-0005-0000-0000-00000CAC0000}"/>
    <cellStyle name="Migliaia 17 7 2" xfId="26092" xr:uid="{00000000-0005-0000-0000-00000DAC0000}"/>
    <cellStyle name="Migliaia 17 7 3" xfId="41070" xr:uid="{00000000-0005-0000-0000-00000EAC0000}"/>
    <cellStyle name="Migliaia 17 7 4" xfId="55526" xr:uid="{00000000-0005-0000-0000-00000FAC0000}"/>
    <cellStyle name="Migliaia 17 8" xfId="17003" xr:uid="{00000000-0005-0000-0000-000010AC0000}"/>
    <cellStyle name="Migliaia 17 8 2" xfId="33119" xr:uid="{00000000-0005-0000-0000-000011AC0000}"/>
    <cellStyle name="Migliaia 17 8 3" xfId="48080" xr:uid="{00000000-0005-0000-0000-000012AC0000}"/>
    <cellStyle name="Migliaia 17 9" xfId="19073" xr:uid="{00000000-0005-0000-0000-000013AC0000}"/>
    <cellStyle name="Migliaia 18" xfId="319" xr:uid="{00000000-0005-0000-0000-000014AC0000}"/>
    <cellStyle name="Migliaia 18 10" xfId="34072" xr:uid="{00000000-0005-0000-0000-000015AC0000}"/>
    <cellStyle name="Migliaia 18 11" xfId="49012" xr:uid="{00000000-0005-0000-0000-000016AC0000}"/>
    <cellStyle name="Migliaia 18 12" xfId="49417" xr:uid="{00000000-0005-0000-0000-000017AC0000}"/>
    <cellStyle name="Migliaia 18 13" xfId="49823" xr:uid="{00000000-0005-0000-0000-000018AC0000}"/>
    <cellStyle name="Migliaia 18 14" xfId="50231" xr:uid="{00000000-0005-0000-0000-000019AC0000}"/>
    <cellStyle name="Migliaia 18 15" xfId="50673" xr:uid="{00000000-0005-0000-0000-00001AAC0000}"/>
    <cellStyle name="Migliaia 18 16" xfId="51392" xr:uid="{00000000-0005-0000-0000-00001BAC0000}"/>
    <cellStyle name="Migliaia 18 17" xfId="51805" xr:uid="{00000000-0005-0000-0000-00001CAC0000}"/>
    <cellStyle name="Migliaia 18 18" xfId="52252" xr:uid="{00000000-0005-0000-0000-00001DAC0000}"/>
    <cellStyle name="Migliaia 18 2" xfId="320" xr:uid="{00000000-0005-0000-0000-00001EAC0000}"/>
    <cellStyle name="Migliaia 18 2 10" xfId="49824" xr:uid="{00000000-0005-0000-0000-00001FAC0000}"/>
    <cellStyle name="Migliaia 18 2 11" xfId="50232" xr:uid="{00000000-0005-0000-0000-000020AC0000}"/>
    <cellStyle name="Migliaia 18 2 12" xfId="50674" xr:uid="{00000000-0005-0000-0000-000021AC0000}"/>
    <cellStyle name="Migliaia 18 2 13" xfId="51393" xr:uid="{00000000-0005-0000-0000-000022AC0000}"/>
    <cellStyle name="Migliaia 18 2 14" xfId="51806" xr:uid="{00000000-0005-0000-0000-000023AC0000}"/>
    <cellStyle name="Migliaia 18 2 15" xfId="52253" xr:uid="{00000000-0005-0000-0000-000024AC0000}"/>
    <cellStyle name="Migliaia 18 2 2" xfId="1251" xr:uid="{00000000-0005-0000-0000-000025AC0000}"/>
    <cellStyle name="Migliaia 18 2 2 10" xfId="51045" xr:uid="{00000000-0005-0000-0000-000026AC0000}"/>
    <cellStyle name="Migliaia 18 2 2 11" xfId="51641" xr:uid="{00000000-0005-0000-0000-000027AC0000}"/>
    <cellStyle name="Migliaia 18 2 2 12" xfId="52062" xr:uid="{00000000-0005-0000-0000-000028AC0000}"/>
    <cellStyle name="Migliaia 18 2 2 13" xfId="52784" xr:uid="{00000000-0005-0000-0000-000029AC0000}"/>
    <cellStyle name="Migliaia 18 2 2 2" xfId="10019" xr:uid="{00000000-0005-0000-0000-00002AAC0000}"/>
    <cellStyle name="Migliaia 18 2 2 2 2" xfId="26340" xr:uid="{00000000-0005-0000-0000-00002BAC0000}"/>
    <cellStyle name="Migliaia 18 2 2 2 3" xfId="41308" xr:uid="{00000000-0005-0000-0000-00002CAC0000}"/>
    <cellStyle name="Migliaia 18 2 2 2 4" xfId="55139" xr:uid="{00000000-0005-0000-0000-00002DAC0000}"/>
    <cellStyle name="Migliaia 18 2 2 3" xfId="18187" xr:uid="{00000000-0005-0000-0000-00002EAC0000}"/>
    <cellStyle name="Migliaia 18 2 2 3 2" xfId="33654" xr:uid="{00000000-0005-0000-0000-00002FAC0000}"/>
    <cellStyle name="Migliaia 18 2 2 3 3" xfId="48615" xr:uid="{00000000-0005-0000-0000-000030AC0000}"/>
    <cellStyle name="Migliaia 18 2 2 3 4" xfId="56061" xr:uid="{00000000-0005-0000-0000-000031AC0000}"/>
    <cellStyle name="Migliaia 18 2 2 4" xfId="19319" xr:uid="{00000000-0005-0000-0000-000032AC0000}"/>
    <cellStyle name="Migliaia 18 2 2 5" xfId="34309" xr:uid="{00000000-0005-0000-0000-000033AC0000}"/>
    <cellStyle name="Migliaia 18 2 2 6" xfId="49261" xr:uid="{00000000-0005-0000-0000-000034AC0000}"/>
    <cellStyle name="Migliaia 18 2 2 7" xfId="49666" xr:uid="{00000000-0005-0000-0000-000035AC0000}"/>
    <cellStyle name="Migliaia 18 2 2 8" xfId="50075" xr:uid="{00000000-0005-0000-0000-000036AC0000}"/>
    <cellStyle name="Migliaia 18 2 2 9" xfId="50480" xr:uid="{00000000-0005-0000-0000-000037AC0000}"/>
    <cellStyle name="Migliaia 18 2 3" xfId="9106" xr:uid="{00000000-0005-0000-0000-000038AC0000}"/>
    <cellStyle name="Migliaia 18 2 3 2" xfId="54601" xr:uid="{00000000-0005-0000-0000-000039AC0000}"/>
    <cellStyle name="Migliaia 18 2 4" xfId="9771" xr:uid="{00000000-0005-0000-0000-00003AAC0000}"/>
    <cellStyle name="Migliaia 18 2 4 2" xfId="26097" xr:uid="{00000000-0005-0000-0000-00003BAC0000}"/>
    <cellStyle name="Migliaia 18 2 4 3" xfId="41075" xr:uid="{00000000-0005-0000-0000-00003CAC0000}"/>
    <cellStyle name="Migliaia 18 2 4 4" xfId="55535" xr:uid="{00000000-0005-0000-0000-00003DAC0000}"/>
    <cellStyle name="Migliaia 18 2 5" xfId="17012" xr:uid="{00000000-0005-0000-0000-00003EAC0000}"/>
    <cellStyle name="Migliaia 18 2 5 2" xfId="33128" xr:uid="{00000000-0005-0000-0000-00003FAC0000}"/>
    <cellStyle name="Migliaia 18 2 5 3" xfId="48089" xr:uid="{00000000-0005-0000-0000-000040AC0000}"/>
    <cellStyle name="Migliaia 18 2 6" xfId="19078" xr:uid="{00000000-0005-0000-0000-000041AC0000}"/>
    <cellStyle name="Migliaia 18 2 7" xfId="34073" xr:uid="{00000000-0005-0000-0000-000042AC0000}"/>
    <cellStyle name="Migliaia 18 2 8" xfId="49013" xr:uid="{00000000-0005-0000-0000-000043AC0000}"/>
    <cellStyle name="Migliaia 18 2 9" xfId="49418" xr:uid="{00000000-0005-0000-0000-000044AC0000}"/>
    <cellStyle name="Migliaia 18 3" xfId="321" xr:uid="{00000000-0005-0000-0000-000045AC0000}"/>
    <cellStyle name="Migliaia 18 3 10" xfId="49825" xr:uid="{00000000-0005-0000-0000-000046AC0000}"/>
    <cellStyle name="Migliaia 18 3 11" xfId="50233" xr:uid="{00000000-0005-0000-0000-000047AC0000}"/>
    <cellStyle name="Migliaia 18 3 12" xfId="50675" xr:uid="{00000000-0005-0000-0000-000048AC0000}"/>
    <cellStyle name="Migliaia 18 3 13" xfId="51394" xr:uid="{00000000-0005-0000-0000-000049AC0000}"/>
    <cellStyle name="Migliaia 18 3 14" xfId="51807" xr:uid="{00000000-0005-0000-0000-00004AAC0000}"/>
    <cellStyle name="Migliaia 18 3 15" xfId="52254" xr:uid="{00000000-0005-0000-0000-00004BAC0000}"/>
    <cellStyle name="Migliaia 18 3 2" xfId="322" xr:uid="{00000000-0005-0000-0000-00004CAC0000}"/>
    <cellStyle name="Migliaia 18 3 2 10" xfId="50234" xr:uid="{00000000-0005-0000-0000-00004DAC0000}"/>
    <cellStyle name="Migliaia 18 3 2 11" xfId="50676" xr:uid="{00000000-0005-0000-0000-00004EAC0000}"/>
    <cellStyle name="Migliaia 18 3 2 12" xfId="51395" xr:uid="{00000000-0005-0000-0000-00004FAC0000}"/>
    <cellStyle name="Migliaia 18 3 2 13" xfId="51808" xr:uid="{00000000-0005-0000-0000-000050AC0000}"/>
    <cellStyle name="Migliaia 18 3 2 14" xfId="52255" xr:uid="{00000000-0005-0000-0000-000051AC0000}"/>
    <cellStyle name="Migliaia 18 3 2 2" xfId="9108" xr:uid="{00000000-0005-0000-0000-000052AC0000}"/>
    <cellStyle name="Migliaia 18 3 2 2 2" xfId="54714" xr:uid="{00000000-0005-0000-0000-000053AC0000}"/>
    <cellStyle name="Migliaia 18 3 2 3" xfId="9773" xr:uid="{00000000-0005-0000-0000-000054AC0000}"/>
    <cellStyle name="Migliaia 18 3 2 3 2" xfId="26099" xr:uid="{00000000-0005-0000-0000-000055AC0000}"/>
    <cellStyle name="Migliaia 18 3 2 3 3" xfId="41077" xr:uid="{00000000-0005-0000-0000-000056AC0000}"/>
    <cellStyle name="Migliaia 18 3 2 3 4" xfId="55537" xr:uid="{00000000-0005-0000-0000-000057AC0000}"/>
    <cellStyle name="Migliaia 18 3 2 4" xfId="17014" xr:uid="{00000000-0005-0000-0000-000058AC0000}"/>
    <cellStyle name="Migliaia 18 3 2 4 2" xfId="33130" xr:uid="{00000000-0005-0000-0000-000059AC0000}"/>
    <cellStyle name="Migliaia 18 3 2 4 3" xfId="48091" xr:uid="{00000000-0005-0000-0000-00005AAC0000}"/>
    <cellStyle name="Migliaia 18 3 2 5" xfId="19080" xr:uid="{00000000-0005-0000-0000-00005BAC0000}"/>
    <cellStyle name="Migliaia 18 3 2 6" xfId="34075" xr:uid="{00000000-0005-0000-0000-00005CAC0000}"/>
    <cellStyle name="Migliaia 18 3 2 7" xfId="49015" xr:uid="{00000000-0005-0000-0000-00005DAC0000}"/>
    <cellStyle name="Migliaia 18 3 2 8" xfId="49420" xr:uid="{00000000-0005-0000-0000-00005EAC0000}"/>
    <cellStyle name="Migliaia 18 3 2 9" xfId="49826" xr:uid="{00000000-0005-0000-0000-00005FAC0000}"/>
    <cellStyle name="Migliaia 18 3 3" xfId="9107" xr:uid="{00000000-0005-0000-0000-000060AC0000}"/>
    <cellStyle name="Migliaia 18 3 3 2" xfId="18189" xr:uid="{00000000-0005-0000-0000-000061AC0000}"/>
    <cellStyle name="Migliaia 18 3 3 2 2" xfId="33656" xr:uid="{00000000-0005-0000-0000-000062AC0000}"/>
    <cellStyle name="Migliaia 18 3 3 2 2 2" xfId="55141" xr:uid="{00000000-0005-0000-0000-000063AC0000}"/>
    <cellStyle name="Migliaia 18 3 3 2 3" xfId="48617" xr:uid="{00000000-0005-0000-0000-000064AC0000}"/>
    <cellStyle name="Migliaia 18 3 3 2 3 2" xfId="56063" xr:uid="{00000000-0005-0000-0000-000065AC0000}"/>
    <cellStyle name="Migliaia 18 3 3 2 4" xfId="52786" xr:uid="{00000000-0005-0000-0000-000066AC0000}"/>
    <cellStyle name="Migliaia 18 3 3 3" xfId="17015" xr:uid="{00000000-0005-0000-0000-000067AC0000}"/>
    <cellStyle name="Migliaia 18 3 3 3 2" xfId="33131" xr:uid="{00000000-0005-0000-0000-000068AC0000}"/>
    <cellStyle name="Migliaia 18 3 3 3 3" xfId="48092" xr:uid="{00000000-0005-0000-0000-000069AC0000}"/>
    <cellStyle name="Migliaia 18 3 3 3 4" xfId="54715" xr:uid="{00000000-0005-0000-0000-00006AAC0000}"/>
    <cellStyle name="Migliaia 18 3 3 4" xfId="55538" xr:uid="{00000000-0005-0000-0000-00006BAC0000}"/>
    <cellStyle name="Migliaia 18 3 3 5" xfId="52256" xr:uid="{00000000-0005-0000-0000-00006CAC0000}"/>
    <cellStyle name="Migliaia 18 3 4" xfId="9772" xr:uid="{00000000-0005-0000-0000-00006DAC0000}"/>
    <cellStyle name="Migliaia 18 3 4 2" xfId="18188" xr:uid="{00000000-0005-0000-0000-00006EAC0000}"/>
    <cellStyle name="Migliaia 18 3 4 2 2" xfId="33655" xr:uid="{00000000-0005-0000-0000-00006FAC0000}"/>
    <cellStyle name="Migliaia 18 3 4 2 3" xfId="48616" xr:uid="{00000000-0005-0000-0000-000070AC0000}"/>
    <cellStyle name="Migliaia 18 3 4 2 4" xfId="55140" xr:uid="{00000000-0005-0000-0000-000071AC0000}"/>
    <cellStyle name="Migliaia 18 3 4 3" xfId="26098" xr:uid="{00000000-0005-0000-0000-000072AC0000}"/>
    <cellStyle name="Migliaia 18 3 4 3 2" xfId="56062" xr:uid="{00000000-0005-0000-0000-000073AC0000}"/>
    <cellStyle name="Migliaia 18 3 4 4" xfId="41076" xr:uid="{00000000-0005-0000-0000-000074AC0000}"/>
    <cellStyle name="Migliaia 18 3 4 5" xfId="52785" xr:uid="{00000000-0005-0000-0000-000075AC0000}"/>
    <cellStyle name="Migliaia 18 3 5" xfId="17013" xr:uid="{00000000-0005-0000-0000-000076AC0000}"/>
    <cellStyle name="Migliaia 18 3 5 2" xfId="33129" xr:uid="{00000000-0005-0000-0000-000077AC0000}"/>
    <cellStyle name="Migliaia 18 3 5 3" xfId="48090" xr:uid="{00000000-0005-0000-0000-000078AC0000}"/>
    <cellStyle name="Migliaia 18 3 5 4" xfId="54713" xr:uid="{00000000-0005-0000-0000-000079AC0000}"/>
    <cellStyle name="Migliaia 18 3 6" xfId="19079" xr:uid="{00000000-0005-0000-0000-00007AAC0000}"/>
    <cellStyle name="Migliaia 18 3 6 2" xfId="55536" xr:uid="{00000000-0005-0000-0000-00007BAC0000}"/>
    <cellStyle name="Migliaia 18 3 7" xfId="34074" xr:uid="{00000000-0005-0000-0000-00007CAC0000}"/>
    <cellStyle name="Migliaia 18 3 8" xfId="49014" xr:uid="{00000000-0005-0000-0000-00007DAC0000}"/>
    <cellStyle name="Migliaia 18 3 9" xfId="49419" xr:uid="{00000000-0005-0000-0000-00007EAC0000}"/>
    <cellStyle name="Migliaia 18 4" xfId="9109" xr:uid="{00000000-0005-0000-0000-00007FAC0000}"/>
    <cellStyle name="Migliaia 18 4 2" xfId="17017" xr:uid="{00000000-0005-0000-0000-000080AC0000}"/>
    <cellStyle name="Migliaia 18 4 2 2" xfId="18191" xr:uid="{00000000-0005-0000-0000-000081AC0000}"/>
    <cellStyle name="Migliaia 18 4 2 2 2" xfId="33658" xr:uid="{00000000-0005-0000-0000-000082AC0000}"/>
    <cellStyle name="Migliaia 18 4 2 2 2 2" xfId="55143" xr:uid="{00000000-0005-0000-0000-000083AC0000}"/>
    <cellStyle name="Migliaia 18 4 2 2 3" xfId="48619" xr:uid="{00000000-0005-0000-0000-000084AC0000}"/>
    <cellStyle name="Migliaia 18 4 2 2 3 2" xfId="56065" xr:uid="{00000000-0005-0000-0000-000085AC0000}"/>
    <cellStyle name="Migliaia 18 4 2 2 4" xfId="52788" xr:uid="{00000000-0005-0000-0000-000086AC0000}"/>
    <cellStyle name="Migliaia 18 4 2 3" xfId="33133" xr:uid="{00000000-0005-0000-0000-000087AC0000}"/>
    <cellStyle name="Migliaia 18 4 2 3 2" xfId="54717" xr:uid="{00000000-0005-0000-0000-000088AC0000}"/>
    <cellStyle name="Migliaia 18 4 2 4" xfId="48094" xr:uid="{00000000-0005-0000-0000-000089AC0000}"/>
    <cellStyle name="Migliaia 18 4 2 4 2" xfId="55540" xr:uid="{00000000-0005-0000-0000-00008AAC0000}"/>
    <cellStyle name="Migliaia 18 4 2 5" xfId="52258" xr:uid="{00000000-0005-0000-0000-00008BAC0000}"/>
    <cellStyle name="Migliaia 18 4 3" xfId="18190" xr:uid="{00000000-0005-0000-0000-00008CAC0000}"/>
    <cellStyle name="Migliaia 18 4 3 2" xfId="33657" xr:uid="{00000000-0005-0000-0000-00008DAC0000}"/>
    <cellStyle name="Migliaia 18 4 3 2 2" xfId="55142" xr:uid="{00000000-0005-0000-0000-00008EAC0000}"/>
    <cellStyle name="Migliaia 18 4 3 3" xfId="48618" xr:uid="{00000000-0005-0000-0000-00008FAC0000}"/>
    <cellStyle name="Migliaia 18 4 3 3 2" xfId="56064" xr:uid="{00000000-0005-0000-0000-000090AC0000}"/>
    <cellStyle name="Migliaia 18 4 3 4" xfId="52787" xr:uid="{00000000-0005-0000-0000-000091AC0000}"/>
    <cellStyle name="Migliaia 18 4 4" xfId="17016" xr:uid="{00000000-0005-0000-0000-000092AC0000}"/>
    <cellStyle name="Migliaia 18 4 4 2" xfId="33132" xr:uid="{00000000-0005-0000-0000-000093AC0000}"/>
    <cellStyle name="Migliaia 18 4 4 3" xfId="48093" xr:uid="{00000000-0005-0000-0000-000094AC0000}"/>
    <cellStyle name="Migliaia 18 4 4 4" xfId="54716" xr:uid="{00000000-0005-0000-0000-000095AC0000}"/>
    <cellStyle name="Migliaia 18 4 5" xfId="51204" xr:uid="{00000000-0005-0000-0000-000096AC0000}"/>
    <cellStyle name="Migliaia 18 4 5 2" xfId="55539" xr:uid="{00000000-0005-0000-0000-000097AC0000}"/>
    <cellStyle name="Migliaia 18 4 6" xfId="52257" xr:uid="{00000000-0005-0000-0000-000098AC0000}"/>
    <cellStyle name="Migliaia 18 5" xfId="9110" xr:uid="{00000000-0005-0000-0000-000099AC0000}"/>
    <cellStyle name="Migliaia 18 5 2" xfId="17018" xr:uid="{00000000-0005-0000-0000-00009AAC0000}"/>
    <cellStyle name="Migliaia 18 5 2 2" xfId="33134" xr:uid="{00000000-0005-0000-0000-00009BAC0000}"/>
    <cellStyle name="Migliaia 18 5 2 3" xfId="48095" xr:uid="{00000000-0005-0000-0000-00009CAC0000}"/>
    <cellStyle name="Migliaia 18 5 2 4" xfId="54718" xr:uid="{00000000-0005-0000-0000-00009DAC0000}"/>
    <cellStyle name="Migliaia 18 5 3" xfId="50995" xr:uid="{00000000-0005-0000-0000-00009EAC0000}"/>
    <cellStyle name="Migliaia 18 5 3 2" xfId="55541" xr:uid="{00000000-0005-0000-0000-00009FAC0000}"/>
    <cellStyle name="Migliaia 18 5 4" xfId="52259" xr:uid="{00000000-0005-0000-0000-0000A0AC0000}"/>
    <cellStyle name="Migliaia 18 6" xfId="9105" xr:uid="{00000000-0005-0000-0000-0000A1AC0000}"/>
    <cellStyle name="Migliaia 18 6 2" xfId="51138" xr:uid="{00000000-0005-0000-0000-0000A2AC0000}"/>
    <cellStyle name="Migliaia 18 6 3" xfId="54534" xr:uid="{00000000-0005-0000-0000-0000A3AC0000}"/>
    <cellStyle name="Migliaia 18 7" xfId="9770" xr:uid="{00000000-0005-0000-0000-0000A4AC0000}"/>
    <cellStyle name="Migliaia 18 7 2" xfId="26096" xr:uid="{00000000-0005-0000-0000-0000A5AC0000}"/>
    <cellStyle name="Migliaia 18 7 3" xfId="41074" xr:uid="{00000000-0005-0000-0000-0000A6AC0000}"/>
    <cellStyle name="Migliaia 18 7 4" xfId="55534" xr:uid="{00000000-0005-0000-0000-0000A7AC0000}"/>
    <cellStyle name="Migliaia 18 8" xfId="17011" xr:uid="{00000000-0005-0000-0000-0000A8AC0000}"/>
    <cellStyle name="Migliaia 18 8 2" xfId="33127" xr:uid="{00000000-0005-0000-0000-0000A9AC0000}"/>
    <cellStyle name="Migliaia 18 8 3" xfId="48088" xr:uid="{00000000-0005-0000-0000-0000AAAC0000}"/>
    <cellStyle name="Migliaia 18 9" xfId="19077" xr:uid="{00000000-0005-0000-0000-0000ABAC0000}"/>
    <cellStyle name="Migliaia 19" xfId="323" xr:uid="{00000000-0005-0000-0000-0000ACAC0000}"/>
    <cellStyle name="Migliaia 19 10" xfId="34076" xr:uid="{00000000-0005-0000-0000-0000ADAC0000}"/>
    <cellStyle name="Migliaia 19 11" xfId="49016" xr:uid="{00000000-0005-0000-0000-0000AEAC0000}"/>
    <cellStyle name="Migliaia 19 12" xfId="49421" xr:uid="{00000000-0005-0000-0000-0000AFAC0000}"/>
    <cellStyle name="Migliaia 19 13" xfId="49827" xr:uid="{00000000-0005-0000-0000-0000B0AC0000}"/>
    <cellStyle name="Migliaia 19 14" xfId="50235" xr:uid="{00000000-0005-0000-0000-0000B1AC0000}"/>
    <cellStyle name="Migliaia 19 15" xfId="50677" xr:uid="{00000000-0005-0000-0000-0000B2AC0000}"/>
    <cellStyle name="Migliaia 19 16" xfId="51396" xr:uid="{00000000-0005-0000-0000-0000B3AC0000}"/>
    <cellStyle name="Migliaia 19 17" xfId="51809" xr:uid="{00000000-0005-0000-0000-0000B4AC0000}"/>
    <cellStyle name="Migliaia 19 18" xfId="52260" xr:uid="{00000000-0005-0000-0000-0000B5AC0000}"/>
    <cellStyle name="Migliaia 19 2" xfId="324" xr:uid="{00000000-0005-0000-0000-0000B6AC0000}"/>
    <cellStyle name="Migliaia 19 2 10" xfId="49828" xr:uid="{00000000-0005-0000-0000-0000B7AC0000}"/>
    <cellStyle name="Migliaia 19 2 11" xfId="50236" xr:uid="{00000000-0005-0000-0000-0000B8AC0000}"/>
    <cellStyle name="Migliaia 19 2 12" xfId="50678" xr:uid="{00000000-0005-0000-0000-0000B9AC0000}"/>
    <cellStyle name="Migliaia 19 2 13" xfId="51397" xr:uid="{00000000-0005-0000-0000-0000BAAC0000}"/>
    <cellStyle name="Migliaia 19 2 14" xfId="51810" xr:uid="{00000000-0005-0000-0000-0000BBAC0000}"/>
    <cellStyle name="Migliaia 19 2 15" xfId="52261" xr:uid="{00000000-0005-0000-0000-0000BCAC0000}"/>
    <cellStyle name="Migliaia 19 2 2" xfId="1252" xr:uid="{00000000-0005-0000-0000-0000BDAC0000}"/>
    <cellStyle name="Migliaia 19 2 2 10" xfId="51046" xr:uid="{00000000-0005-0000-0000-0000BEAC0000}"/>
    <cellStyle name="Migliaia 19 2 2 11" xfId="51642" xr:uid="{00000000-0005-0000-0000-0000BFAC0000}"/>
    <cellStyle name="Migliaia 19 2 2 12" xfId="52063" xr:uid="{00000000-0005-0000-0000-0000C0AC0000}"/>
    <cellStyle name="Migliaia 19 2 2 13" xfId="52789" xr:uid="{00000000-0005-0000-0000-0000C1AC0000}"/>
    <cellStyle name="Migliaia 19 2 2 2" xfId="10020" xr:uid="{00000000-0005-0000-0000-0000C2AC0000}"/>
    <cellStyle name="Migliaia 19 2 2 2 2" xfId="26341" xr:uid="{00000000-0005-0000-0000-0000C3AC0000}"/>
    <cellStyle name="Migliaia 19 2 2 2 3" xfId="41309" xr:uid="{00000000-0005-0000-0000-0000C4AC0000}"/>
    <cellStyle name="Migliaia 19 2 2 2 4" xfId="55144" xr:uid="{00000000-0005-0000-0000-0000C5AC0000}"/>
    <cellStyle name="Migliaia 19 2 2 3" xfId="18192" xr:uid="{00000000-0005-0000-0000-0000C6AC0000}"/>
    <cellStyle name="Migliaia 19 2 2 3 2" xfId="33659" xr:uid="{00000000-0005-0000-0000-0000C7AC0000}"/>
    <cellStyle name="Migliaia 19 2 2 3 3" xfId="48620" xr:uid="{00000000-0005-0000-0000-0000C8AC0000}"/>
    <cellStyle name="Migliaia 19 2 2 3 4" xfId="56066" xr:uid="{00000000-0005-0000-0000-0000C9AC0000}"/>
    <cellStyle name="Migliaia 19 2 2 4" xfId="19320" xr:uid="{00000000-0005-0000-0000-0000CAAC0000}"/>
    <cellStyle name="Migliaia 19 2 2 5" xfId="34310" xr:uid="{00000000-0005-0000-0000-0000CBAC0000}"/>
    <cellStyle name="Migliaia 19 2 2 6" xfId="49262" xr:uid="{00000000-0005-0000-0000-0000CCAC0000}"/>
    <cellStyle name="Migliaia 19 2 2 7" xfId="49667" xr:uid="{00000000-0005-0000-0000-0000CDAC0000}"/>
    <cellStyle name="Migliaia 19 2 2 8" xfId="50076" xr:uid="{00000000-0005-0000-0000-0000CEAC0000}"/>
    <cellStyle name="Migliaia 19 2 2 9" xfId="50481" xr:uid="{00000000-0005-0000-0000-0000CFAC0000}"/>
    <cellStyle name="Migliaia 19 2 3" xfId="9112" xr:uid="{00000000-0005-0000-0000-0000D0AC0000}"/>
    <cellStyle name="Migliaia 19 2 3 2" xfId="54602" xr:uid="{00000000-0005-0000-0000-0000D1AC0000}"/>
    <cellStyle name="Migliaia 19 2 4" xfId="9775" xr:uid="{00000000-0005-0000-0000-0000D2AC0000}"/>
    <cellStyle name="Migliaia 19 2 4 2" xfId="26101" xr:uid="{00000000-0005-0000-0000-0000D3AC0000}"/>
    <cellStyle name="Migliaia 19 2 4 3" xfId="41079" xr:uid="{00000000-0005-0000-0000-0000D4AC0000}"/>
    <cellStyle name="Migliaia 19 2 4 4" xfId="55543" xr:uid="{00000000-0005-0000-0000-0000D5AC0000}"/>
    <cellStyle name="Migliaia 19 2 5" xfId="17020" xr:uid="{00000000-0005-0000-0000-0000D6AC0000}"/>
    <cellStyle name="Migliaia 19 2 5 2" xfId="33136" xr:uid="{00000000-0005-0000-0000-0000D7AC0000}"/>
    <cellStyle name="Migliaia 19 2 5 3" xfId="48097" xr:uid="{00000000-0005-0000-0000-0000D8AC0000}"/>
    <cellStyle name="Migliaia 19 2 6" xfId="19082" xr:uid="{00000000-0005-0000-0000-0000D9AC0000}"/>
    <cellStyle name="Migliaia 19 2 7" xfId="34077" xr:uid="{00000000-0005-0000-0000-0000DAAC0000}"/>
    <cellStyle name="Migliaia 19 2 8" xfId="49017" xr:uid="{00000000-0005-0000-0000-0000DBAC0000}"/>
    <cellStyle name="Migliaia 19 2 9" xfId="49422" xr:uid="{00000000-0005-0000-0000-0000DCAC0000}"/>
    <cellStyle name="Migliaia 19 3" xfId="325" xr:uid="{00000000-0005-0000-0000-0000DDAC0000}"/>
    <cellStyle name="Migliaia 19 3 10" xfId="49829" xr:uid="{00000000-0005-0000-0000-0000DEAC0000}"/>
    <cellStyle name="Migliaia 19 3 11" xfId="50237" xr:uid="{00000000-0005-0000-0000-0000DFAC0000}"/>
    <cellStyle name="Migliaia 19 3 12" xfId="50679" xr:uid="{00000000-0005-0000-0000-0000E0AC0000}"/>
    <cellStyle name="Migliaia 19 3 13" xfId="51398" xr:uid="{00000000-0005-0000-0000-0000E1AC0000}"/>
    <cellStyle name="Migliaia 19 3 14" xfId="51811" xr:uid="{00000000-0005-0000-0000-0000E2AC0000}"/>
    <cellStyle name="Migliaia 19 3 15" xfId="52262" xr:uid="{00000000-0005-0000-0000-0000E3AC0000}"/>
    <cellStyle name="Migliaia 19 3 2" xfId="326" xr:uid="{00000000-0005-0000-0000-0000E4AC0000}"/>
    <cellStyle name="Migliaia 19 3 2 10" xfId="50238" xr:uid="{00000000-0005-0000-0000-0000E5AC0000}"/>
    <cellStyle name="Migliaia 19 3 2 11" xfId="50680" xr:uid="{00000000-0005-0000-0000-0000E6AC0000}"/>
    <cellStyle name="Migliaia 19 3 2 12" xfId="51399" xr:uid="{00000000-0005-0000-0000-0000E7AC0000}"/>
    <cellStyle name="Migliaia 19 3 2 13" xfId="51812" xr:uid="{00000000-0005-0000-0000-0000E8AC0000}"/>
    <cellStyle name="Migliaia 19 3 2 14" xfId="52263" xr:uid="{00000000-0005-0000-0000-0000E9AC0000}"/>
    <cellStyle name="Migliaia 19 3 2 2" xfId="9114" xr:uid="{00000000-0005-0000-0000-0000EAAC0000}"/>
    <cellStyle name="Migliaia 19 3 2 2 2" xfId="54720" xr:uid="{00000000-0005-0000-0000-0000EBAC0000}"/>
    <cellStyle name="Migliaia 19 3 2 3" xfId="9777" xr:uid="{00000000-0005-0000-0000-0000ECAC0000}"/>
    <cellStyle name="Migliaia 19 3 2 3 2" xfId="26103" xr:uid="{00000000-0005-0000-0000-0000EDAC0000}"/>
    <cellStyle name="Migliaia 19 3 2 3 3" xfId="41081" xr:uid="{00000000-0005-0000-0000-0000EEAC0000}"/>
    <cellStyle name="Migliaia 19 3 2 3 4" xfId="55545" xr:uid="{00000000-0005-0000-0000-0000EFAC0000}"/>
    <cellStyle name="Migliaia 19 3 2 4" xfId="17022" xr:uid="{00000000-0005-0000-0000-0000F0AC0000}"/>
    <cellStyle name="Migliaia 19 3 2 4 2" xfId="33138" xr:uid="{00000000-0005-0000-0000-0000F1AC0000}"/>
    <cellStyle name="Migliaia 19 3 2 4 3" xfId="48099" xr:uid="{00000000-0005-0000-0000-0000F2AC0000}"/>
    <cellStyle name="Migliaia 19 3 2 5" xfId="19084" xr:uid="{00000000-0005-0000-0000-0000F3AC0000}"/>
    <cellStyle name="Migliaia 19 3 2 6" xfId="34079" xr:uid="{00000000-0005-0000-0000-0000F4AC0000}"/>
    <cellStyle name="Migliaia 19 3 2 7" xfId="49019" xr:uid="{00000000-0005-0000-0000-0000F5AC0000}"/>
    <cellStyle name="Migliaia 19 3 2 8" xfId="49424" xr:uid="{00000000-0005-0000-0000-0000F6AC0000}"/>
    <cellStyle name="Migliaia 19 3 2 9" xfId="49830" xr:uid="{00000000-0005-0000-0000-0000F7AC0000}"/>
    <cellStyle name="Migliaia 19 3 3" xfId="9113" xr:uid="{00000000-0005-0000-0000-0000F8AC0000}"/>
    <cellStyle name="Migliaia 19 3 3 2" xfId="18194" xr:uid="{00000000-0005-0000-0000-0000F9AC0000}"/>
    <cellStyle name="Migliaia 19 3 3 2 2" xfId="33661" xr:uid="{00000000-0005-0000-0000-0000FAAC0000}"/>
    <cellStyle name="Migliaia 19 3 3 2 2 2" xfId="55146" xr:uid="{00000000-0005-0000-0000-0000FBAC0000}"/>
    <cellStyle name="Migliaia 19 3 3 2 3" xfId="48622" xr:uid="{00000000-0005-0000-0000-0000FCAC0000}"/>
    <cellStyle name="Migliaia 19 3 3 2 3 2" xfId="56068" xr:uid="{00000000-0005-0000-0000-0000FDAC0000}"/>
    <cellStyle name="Migliaia 19 3 3 2 4" xfId="52791" xr:uid="{00000000-0005-0000-0000-0000FEAC0000}"/>
    <cellStyle name="Migliaia 19 3 3 3" xfId="17023" xr:uid="{00000000-0005-0000-0000-0000FFAC0000}"/>
    <cellStyle name="Migliaia 19 3 3 3 2" xfId="33139" xr:uid="{00000000-0005-0000-0000-000000AD0000}"/>
    <cellStyle name="Migliaia 19 3 3 3 3" xfId="48100" xr:uid="{00000000-0005-0000-0000-000001AD0000}"/>
    <cellStyle name="Migliaia 19 3 3 3 4" xfId="54721" xr:uid="{00000000-0005-0000-0000-000002AD0000}"/>
    <cellStyle name="Migliaia 19 3 3 4" xfId="55546" xr:uid="{00000000-0005-0000-0000-000003AD0000}"/>
    <cellStyle name="Migliaia 19 3 3 5" xfId="52264" xr:uid="{00000000-0005-0000-0000-000004AD0000}"/>
    <cellStyle name="Migliaia 19 3 4" xfId="9776" xr:uid="{00000000-0005-0000-0000-000005AD0000}"/>
    <cellStyle name="Migliaia 19 3 4 2" xfId="18193" xr:uid="{00000000-0005-0000-0000-000006AD0000}"/>
    <cellStyle name="Migliaia 19 3 4 2 2" xfId="33660" xr:uid="{00000000-0005-0000-0000-000007AD0000}"/>
    <cellStyle name="Migliaia 19 3 4 2 3" xfId="48621" xr:uid="{00000000-0005-0000-0000-000008AD0000}"/>
    <cellStyle name="Migliaia 19 3 4 2 4" xfId="55145" xr:uid="{00000000-0005-0000-0000-000009AD0000}"/>
    <cellStyle name="Migliaia 19 3 4 3" xfId="26102" xr:uid="{00000000-0005-0000-0000-00000AAD0000}"/>
    <cellStyle name="Migliaia 19 3 4 3 2" xfId="56067" xr:uid="{00000000-0005-0000-0000-00000BAD0000}"/>
    <cellStyle name="Migliaia 19 3 4 4" xfId="41080" xr:uid="{00000000-0005-0000-0000-00000CAD0000}"/>
    <cellStyle name="Migliaia 19 3 4 5" xfId="52790" xr:uid="{00000000-0005-0000-0000-00000DAD0000}"/>
    <cellStyle name="Migliaia 19 3 5" xfId="17021" xr:uid="{00000000-0005-0000-0000-00000EAD0000}"/>
    <cellStyle name="Migliaia 19 3 5 2" xfId="33137" xr:uid="{00000000-0005-0000-0000-00000FAD0000}"/>
    <cellStyle name="Migliaia 19 3 5 3" xfId="48098" xr:uid="{00000000-0005-0000-0000-000010AD0000}"/>
    <cellStyle name="Migliaia 19 3 5 4" xfId="54719" xr:uid="{00000000-0005-0000-0000-000011AD0000}"/>
    <cellStyle name="Migliaia 19 3 6" xfId="19083" xr:uid="{00000000-0005-0000-0000-000012AD0000}"/>
    <cellStyle name="Migliaia 19 3 6 2" xfId="55544" xr:uid="{00000000-0005-0000-0000-000013AD0000}"/>
    <cellStyle name="Migliaia 19 3 7" xfId="34078" xr:uid="{00000000-0005-0000-0000-000014AD0000}"/>
    <cellStyle name="Migliaia 19 3 8" xfId="49018" xr:uid="{00000000-0005-0000-0000-000015AD0000}"/>
    <cellStyle name="Migliaia 19 3 9" xfId="49423" xr:uid="{00000000-0005-0000-0000-000016AD0000}"/>
    <cellStyle name="Migliaia 19 4" xfId="9115" xr:uid="{00000000-0005-0000-0000-000017AD0000}"/>
    <cellStyle name="Migliaia 19 4 2" xfId="17025" xr:uid="{00000000-0005-0000-0000-000018AD0000}"/>
    <cellStyle name="Migliaia 19 4 2 2" xfId="18196" xr:uid="{00000000-0005-0000-0000-000019AD0000}"/>
    <cellStyle name="Migliaia 19 4 2 2 2" xfId="33663" xr:uid="{00000000-0005-0000-0000-00001AAD0000}"/>
    <cellStyle name="Migliaia 19 4 2 2 2 2" xfId="55148" xr:uid="{00000000-0005-0000-0000-00001BAD0000}"/>
    <cellStyle name="Migliaia 19 4 2 2 3" xfId="48624" xr:uid="{00000000-0005-0000-0000-00001CAD0000}"/>
    <cellStyle name="Migliaia 19 4 2 2 3 2" xfId="56070" xr:uid="{00000000-0005-0000-0000-00001DAD0000}"/>
    <cellStyle name="Migliaia 19 4 2 2 4" xfId="52793" xr:uid="{00000000-0005-0000-0000-00001EAD0000}"/>
    <cellStyle name="Migliaia 19 4 2 3" xfId="33141" xr:uid="{00000000-0005-0000-0000-00001FAD0000}"/>
    <cellStyle name="Migliaia 19 4 2 3 2" xfId="54723" xr:uid="{00000000-0005-0000-0000-000020AD0000}"/>
    <cellStyle name="Migliaia 19 4 2 4" xfId="48102" xr:uid="{00000000-0005-0000-0000-000021AD0000}"/>
    <cellStyle name="Migliaia 19 4 2 4 2" xfId="55548" xr:uid="{00000000-0005-0000-0000-000022AD0000}"/>
    <cellStyle name="Migliaia 19 4 2 5" xfId="52266" xr:uid="{00000000-0005-0000-0000-000023AD0000}"/>
    <cellStyle name="Migliaia 19 4 3" xfId="18195" xr:uid="{00000000-0005-0000-0000-000024AD0000}"/>
    <cellStyle name="Migliaia 19 4 3 2" xfId="33662" xr:uid="{00000000-0005-0000-0000-000025AD0000}"/>
    <cellStyle name="Migliaia 19 4 3 2 2" xfId="55147" xr:uid="{00000000-0005-0000-0000-000026AD0000}"/>
    <cellStyle name="Migliaia 19 4 3 3" xfId="48623" xr:uid="{00000000-0005-0000-0000-000027AD0000}"/>
    <cellStyle name="Migliaia 19 4 3 3 2" xfId="56069" xr:uid="{00000000-0005-0000-0000-000028AD0000}"/>
    <cellStyle name="Migliaia 19 4 3 4" xfId="52792" xr:uid="{00000000-0005-0000-0000-000029AD0000}"/>
    <cellStyle name="Migliaia 19 4 4" xfId="17024" xr:uid="{00000000-0005-0000-0000-00002AAD0000}"/>
    <cellStyle name="Migliaia 19 4 4 2" xfId="33140" xr:uid="{00000000-0005-0000-0000-00002BAD0000}"/>
    <cellStyle name="Migliaia 19 4 4 3" xfId="48101" xr:uid="{00000000-0005-0000-0000-00002CAD0000}"/>
    <cellStyle name="Migliaia 19 4 4 4" xfId="54722" xr:uid="{00000000-0005-0000-0000-00002DAD0000}"/>
    <cellStyle name="Migliaia 19 4 5" xfId="51177" xr:uid="{00000000-0005-0000-0000-00002EAD0000}"/>
    <cellStyle name="Migliaia 19 4 5 2" xfId="55547" xr:uid="{00000000-0005-0000-0000-00002FAD0000}"/>
    <cellStyle name="Migliaia 19 4 6" xfId="52265" xr:uid="{00000000-0005-0000-0000-000030AD0000}"/>
    <cellStyle name="Migliaia 19 5" xfId="9116" xr:uid="{00000000-0005-0000-0000-000031AD0000}"/>
    <cellStyle name="Migliaia 19 5 2" xfId="17026" xr:uid="{00000000-0005-0000-0000-000032AD0000}"/>
    <cellStyle name="Migliaia 19 5 2 2" xfId="33142" xr:uid="{00000000-0005-0000-0000-000033AD0000}"/>
    <cellStyle name="Migliaia 19 5 2 3" xfId="48103" xr:uid="{00000000-0005-0000-0000-000034AD0000}"/>
    <cellStyle name="Migliaia 19 5 2 4" xfId="54724" xr:uid="{00000000-0005-0000-0000-000035AD0000}"/>
    <cellStyle name="Migliaia 19 5 3" xfId="51206" xr:uid="{00000000-0005-0000-0000-000036AD0000}"/>
    <cellStyle name="Migliaia 19 5 3 2" xfId="55549" xr:uid="{00000000-0005-0000-0000-000037AD0000}"/>
    <cellStyle name="Migliaia 19 5 4" xfId="52267" xr:uid="{00000000-0005-0000-0000-000038AD0000}"/>
    <cellStyle name="Migliaia 19 6" xfId="9111" xr:uid="{00000000-0005-0000-0000-000039AD0000}"/>
    <cellStyle name="Migliaia 19 6 2" xfId="51166" xr:uid="{00000000-0005-0000-0000-00003AAD0000}"/>
    <cellStyle name="Migliaia 19 6 3" xfId="54535" xr:uid="{00000000-0005-0000-0000-00003BAD0000}"/>
    <cellStyle name="Migliaia 19 7" xfId="9774" xr:uid="{00000000-0005-0000-0000-00003CAD0000}"/>
    <cellStyle name="Migliaia 19 7 2" xfId="26100" xr:uid="{00000000-0005-0000-0000-00003DAD0000}"/>
    <cellStyle name="Migliaia 19 7 3" xfId="41078" xr:uid="{00000000-0005-0000-0000-00003EAD0000}"/>
    <cellStyle name="Migliaia 19 7 4" xfId="55542" xr:uid="{00000000-0005-0000-0000-00003FAD0000}"/>
    <cellStyle name="Migliaia 19 8" xfId="17019" xr:uid="{00000000-0005-0000-0000-000040AD0000}"/>
    <cellStyle name="Migliaia 19 8 2" xfId="33135" xr:uid="{00000000-0005-0000-0000-000041AD0000}"/>
    <cellStyle name="Migliaia 19 8 3" xfId="48096" xr:uid="{00000000-0005-0000-0000-000042AD0000}"/>
    <cellStyle name="Migliaia 19 9" xfId="19081" xr:uid="{00000000-0005-0000-0000-000043AD0000}"/>
    <cellStyle name="Migliaia 2" xfId="327" xr:uid="{00000000-0005-0000-0000-000044AD0000}"/>
    <cellStyle name="Migliaia 2 10" xfId="19085" xr:uid="{00000000-0005-0000-0000-000045AD0000}"/>
    <cellStyle name="Migliaia 2 11" xfId="34080" xr:uid="{00000000-0005-0000-0000-000046AD0000}"/>
    <cellStyle name="Migliaia 2 12" xfId="49020" xr:uid="{00000000-0005-0000-0000-000047AD0000}"/>
    <cellStyle name="Migliaia 2 13" xfId="49425" xr:uid="{00000000-0005-0000-0000-000048AD0000}"/>
    <cellStyle name="Migliaia 2 14" xfId="49831" xr:uid="{00000000-0005-0000-0000-000049AD0000}"/>
    <cellStyle name="Migliaia 2 15" xfId="50239" xr:uid="{00000000-0005-0000-0000-00004AAD0000}"/>
    <cellStyle name="Migliaia 2 16" xfId="50681" xr:uid="{00000000-0005-0000-0000-00004BAD0000}"/>
    <cellStyle name="Migliaia 2 17" xfId="51400" xr:uid="{00000000-0005-0000-0000-00004CAD0000}"/>
    <cellStyle name="Migliaia 2 18" xfId="51813" xr:uid="{00000000-0005-0000-0000-00004DAD0000}"/>
    <cellStyle name="Migliaia 2 19" xfId="52268" xr:uid="{00000000-0005-0000-0000-00004EAD0000}"/>
    <cellStyle name="Migliaia 2 2" xfId="328" xr:uid="{00000000-0005-0000-0000-00004FAD0000}"/>
    <cellStyle name="Migliaia 2 2 10" xfId="49832" xr:uid="{00000000-0005-0000-0000-000050AD0000}"/>
    <cellStyle name="Migliaia 2 2 11" xfId="50240" xr:uid="{00000000-0005-0000-0000-000051AD0000}"/>
    <cellStyle name="Migliaia 2 2 12" xfId="50682" xr:uid="{00000000-0005-0000-0000-000052AD0000}"/>
    <cellStyle name="Migliaia 2 2 13" xfId="51401" xr:uid="{00000000-0005-0000-0000-000053AD0000}"/>
    <cellStyle name="Migliaia 2 2 14" xfId="51814" xr:uid="{00000000-0005-0000-0000-000054AD0000}"/>
    <cellStyle name="Migliaia 2 2 15" xfId="52269" xr:uid="{00000000-0005-0000-0000-000055AD0000}"/>
    <cellStyle name="Migliaia 2 2 2" xfId="1253" xr:uid="{00000000-0005-0000-0000-000056AD0000}"/>
    <cellStyle name="Migliaia 2 2 2 10" xfId="51047" xr:uid="{00000000-0005-0000-0000-000057AD0000}"/>
    <cellStyle name="Migliaia 2 2 2 11" xfId="51643" xr:uid="{00000000-0005-0000-0000-000058AD0000}"/>
    <cellStyle name="Migliaia 2 2 2 12" xfId="52064" xr:uid="{00000000-0005-0000-0000-000059AD0000}"/>
    <cellStyle name="Migliaia 2 2 2 13" xfId="52739" xr:uid="{00000000-0005-0000-0000-00005AAD0000}"/>
    <cellStyle name="Migliaia 2 2 2 2" xfId="10021" xr:uid="{00000000-0005-0000-0000-00005BAD0000}"/>
    <cellStyle name="Migliaia 2 2 2 2 2" xfId="26342" xr:uid="{00000000-0005-0000-0000-00005CAD0000}"/>
    <cellStyle name="Migliaia 2 2 2 2 3" xfId="41310" xr:uid="{00000000-0005-0000-0000-00005DAD0000}"/>
    <cellStyle name="Migliaia 2 2 2 2 4" xfId="55094" xr:uid="{00000000-0005-0000-0000-00005EAD0000}"/>
    <cellStyle name="Migliaia 2 2 2 3" xfId="17949" xr:uid="{00000000-0005-0000-0000-00005FAD0000}"/>
    <cellStyle name="Migliaia 2 2 2 3 2" xfId="33609" xr:uid="{00000000-0005-0000-0000-000060AD0000}"/>
    <cellStyle name="Migliaia 2 2 2 3 3" xfId="48570" xr:uid="{00000000-0005-0000-0000-000061AD0000}"/>
    <cellStyle name="Migliaia 2 2 2 3 4" xfId="56016" xr:uid="{00000000-0005-0000-0000-000062AD0000}"/>
    <cellStyle name="Migliaia 2 2 2 4" xfId="19321" xr:uid="{00000000-0005-0000-0000-000063AD0000}"/>
    <cellStyle name="Migliaia 2 2 2 5" xfId="34311" xr:uid="{00000000-0005-0000-0000-000064AD0000}"/>
    <cellStyle name="Migliaia 2 2 2 6" xfId="49263" xr:uid="{00000000-0005-0000-0000-000065AD0000}"/>
    <cellStyle name="Migliaia 2 2 2 7" xfId="49668" xr:uid="{00000000-0005-0000-0000-000066AD0000}"/>
    <cellStyle name="Migliaia 2 2 2 8" xfId="50077" xr:uid="{00000000-0005-0000-0000-000067AD0000}"/>
    <cellStyle name="Migliaia 2 2 2 9" xfId="50482" xr:uid="{00000000-0005-0000-0000-000068AD0000}"/>
    <cellStyle name="Migliaia 2 2 3" xfId="9118" xr:uid="{00000000-0005-0000-0000-000069AD0000}"/>
    <cellStyle name="Migliaia 2 2 3 2" xfId="54537" xr:uid="{00000000-0005-0000-0000-00006AAD0000}"/>
    <cellStyle name="Migliaia 2 2 4" xfId="9779" xr:uid="{00000000-0005-0000-0000-00006BAD0000}"/>
    <cellStyle name="Migliaia 2 2 4 2" xfId="26105" xr:uid="{00000000-0005-0000-0000-00006CAD0000}"/>
    <cellStyle name="Migliaia 2 2 4 3" xfId="41083" xr:uid="{00000000-0005-0000-0000-00006DAD0000}"/>
    <cellStyle name="Migliaia 2 2 4 4" xfId="55551" xr:uid="{00000000-0005-0000-0000-00006EAD0000}"/>
    <cellStyle name="Migliaia 2 2 5" xfId="17028" xr:uid="{00000000-0005-0000-0000-00006FAD0000}"/>
    <cellStyle name="Migliaia 2 2 5 2" xfId="33144" xr:uid="{00000000-0005-0000-0000-000070AD0000}"/>
    <cellStyle name="Migliaia 2 2 5 3" xfId="48105" xr:uid="{00000000-0005-0000-0000-000071AD0000}"/>
    <cellStyle name="Migliaia 2 2 6" xfId="19086" xr:uid="{00000000-0005-0000-0000-000072AD0000}"/>
    <cellStyle name="Migliaia 2 2 7" xfId="34081" xr:uid="{00000000-0005-0000-0000-000073AD0000}"/>
    <cellStyle name="Migliaia 2 2 8" xfId="49021" xr:uid="{00000000-0005-0000-0000-000074AD0000}"/>
    <cellStyle name="Migliaia 2 2 9" xfId="49426" xr:uid="{00000000-0005-0000-0000-000075AD0000}"/>
    <cellStyle name="Migliaia 2 3" xfId="329" xr:uid="{00000000-0005-0000-0000-000076AD0000}"/>
    <cellStyle name="Migliaia 2 3 10" xfId="49833" xr:uid="{00000000-0005-0000-0000-000077AD0000}"/>
    <cellStyle name="Migliaia 2 3 11" xfId="50241" xr:uid="{00000000-0005-0000-0000-000078AD0000}"/>
    <cellStyle name="Migliaia 2 3 12" xfId="50683" xr:uid="{00000000-0005-0000-0000-000079AD0000}"/>
    <cellStyle name="Migliaia 2 3 13" xfId="51402" xr:uid="{00000000-0005-0000-0000-00007AAD0000}"/>
    <cellStyle name="Migliaia 2 3 14" xfId="51815" xr:uid="{00000000-0005-0000-0000-00007BAD0000}"/>
    <cellStyle name="Migliaia 2 3 15" xfId="52270" xr:uid="{00000000-0005-0000-0000-00007CAD0000}"/>
    <cellStyle name="Migliaia 2 3 2" xfId="1254" xr:uid="{00000000-0005-0000-0000-00007DAD0000}"/>
    <cellStyle name="Migliaia 2 3 2 10" xfId="51048" xr:uid="{00000000-0005-0000-0000-00007EAD0000}"/>
    <cellStyle name="Migliaia 2 3 2 11" xfId="51644" xr:uid="{00000000-0005-0000-0000-00007FAD0000}"/>
    <cellStyle name="Migliaia 2 3 2 12" xfId="52065" xr:uid="{00000000-0005-0000-0000-000080AD0000}"/>
    <cellStyle name="Migliaia 2 3 2 13" xfId="52740" xr:uid="{00000000-0005-0000-0000-000081AD0000}"/>
    <cellStyle name="Migliaia 2 3 2 2" xfId="10022" xr:uid="{00000000-0005-0000-0000-000082AD0000}"/>
    <cellStyle name="Migliaia 2 3 2 2 2" xfId="26343" xr:uid="{00000000-0005-0000-0000-000083AD0000}"/>
    <cellStyle name="Migliaia 2 3 2 2 3" xfId="41311" xr:uid="{00000000-0005-0000-0000-000084AD0000}"/>
    <cellStyle name="Migliaia 2 3 2 2 4" xfId="55095" xr:uid="{00000000-0005-0000-0000-000085AD0000}"/>
    <cellStyle name="Migliaia 2 3 2 3" xfId="17950" xr:uid="{00000000-0005-0000-0000-000086AD0000}"/>
    <cellStyle name="Migliaia 2 3 2 3 2" xfId="33610" xr:uid="{00000000-0005-0000-0000-000087AD0000}"/>
    <cellStyle name="Migliaia 2 3 2 3 3" xfId="48571" xr:uid="{00000000-0005-0000-0000-000088AD0000}"/>
    <cellStyle name="Migliaia 2 3 2 3 4" xfId="56017" xr:uid="{00000000-0005-0000-0000-000089AD0000}"/>
    <cellStyle name="Migliaia 2 3 2 4" xfId="19322" xr:uid="{00000000-0005-0000-0000-00008AAD0000}"/>
    <cellStyle name="Migliaia 2 3 2 5" xfId="34312" xr:uid="{00000000-0005-0000-0000-00008BAD0000}"/>
    <cellStyle name="Migliaia 2 3 2 6" xfId="49264" xr:uid="{00000000-0005-0000-0000-00008CAD0000}"/>
    <cellStyle name="Migliaia 2 3 2 7" xfId="49669" xr:uid="{00000000-0005-0000-0000-00008DAD0000}"/>
    <cellStyle name="Migliaia 2 3 2 8" xfId="50078" xr:uid="{00000000-0005-0000-0000-00008EAD0000}"/>
    <cellStyle name="Migliaia 2 3 2 9" xfId="50483" xr:uid="{00000000-0005-0000-0000-00008FAD0000}"/>
    <cellStyle name="Migliaia 2 3 3" xfId="9119" xr:uid="{00000000-0005-0000-0000-000090AD0000}"/>
    <cellStyle name="Migliaia 2 3 3 2" xfId="54538" xr:uid="{00000000-0005-0000-0000-000091AD0000}"/>
    <cellStyle name="Migliaia 2 3 4" xfId="9780" xr:uid="{00000000-0005-0000-0000-000092AD0000}"/>
    <cellStyle name="Migliaia 2 3 4 2" xfId="26106" xr:uid="{00000000-0005-0000-0000-000093AD0000}"/>
    <cellStyle name="Migliaia 2 3 4 3" xfId="41084" xr:uid="{00000000-0005-0000-0000-000094AD0000}"/>
    <cellStyle name="Migliaia 2 3 4 4" xfId="55552" xr:uid="{00000000-0005-0000-0000-000095AD0000}"/>
    <cellStyle name="Migliaia 2 3 5" xfId="17029" xr:uid="{00000000-0005-0000-0000-000096AD0000}"/>
    <cellStyle name="Migliaia 2 3 5 2" xfId="33145" xr:uid="{00000000-0005-0000-0000-000097AD0000}"/>
    <cellStyle name="Migliaia 2 3 5 3" xfId="48106" xr:uid="{00000000-0005-0000-0000-000098AD0000}"/>
    <cellStyle name="Migliaia 2 3 6" xfId="19087" xr:uid="{00000000-0005-0000-0000-000099AD0000}"/>
    <cellStyle name="Migliaia 2 3 7" xfId="34082" xr:uid="{00000000-0005-0000-0000-00009AAD0000}"/>
    <cellStyle name="Migliaia 2 3 8" xfId="49022" xr:uid="{00000000-0005-0000-0000-00009BAD0000}"/>
    <cellStyle name="Migliaia 2 3 9" xfId="49427" xr:uid="{00000000-0005-0000-0000-00009CAD0000}"/>
    <cellStyle name="Migliaia 2 4" xfId="330" xr:uid="{00000000-0005-0000-0000-00009DAD0000}"/>
    <cellStyle name="Migliaia 2 4 10" xfId="49834" xr:uid="{00000000-0005-0000-0000-00009EAD0000}"/>
    <cellStyle name="Migliaia 2 4 11" xfId="50242" xr:uid="{00000000-0005-0000-0000-00009FAD0000}"/>
    <cellStyle name="Migliaia 2 4 12" xfId="50684" xr:uid="{00000000-0005-0000-0000-0000A0AD0000}"/>
    <cellStyle name="Migliaia 2 4 13" xfId="51403" xr:uid="{00000000-0005-0000-0000-0000A1AD0000}"/>
    <cellStyle name="Migliaia 2 4 14" xfId="51816" xr:uid="{00000000-0005-0000-0000-0000A2AD0000}"/>
    <cellStyle name="Migliaia 2 4 15" xfId="52271" xr:uid="{00000000-0005-0000-0000-0000A3AD0000}"/>
    <cellStyle name="Migliaia 2 4 2" xfId="331" xr:uid="{00000000-0005-0000-0000-0000A4AD0000}"/>
    <cellStyle name="Migliaia 2 4 2 10" xfId="50243" xr:uid="{00000000-0005-0000-0000-0000A5AD0000}"/>
    <cellStyle name="Migliaia 2 4 2 11" xfId="50685" xr:uid="{00000000-0005-0000-0000-0000A6AD0000}"/>
    <cellStyle name="Migliaia 2 4 2 12" xfId="51404" xr:uid="{00000000-0005-0000-0000-0000A7AD0000}"/>
    <cellStyle name="Migliaia 2 4 2 13" xfId="51817" xr:uid="{00000000-0005-0000-0000-0000A8AD0000}"/>
    <cellStyle name="Migliaia 2 4 2 14" xfId="52272" xr:uid="{00000000-0005-0000-0000-0000A9AD0000}"/>
    <cellStyle name="Migliaia 2 4 2 2" xfId="9121" xr:uid="{00000000-0005-0000-0000-0000AAAD0000}"/>
    <cellStyle name="Migliaia 2 4 2 2 2" xfId="54726" xr:uid="{00000000-0005-0000-0000-0000ABAD0000}"/>
    <cellStyle name="Migliaia 2 4 2 3" xfId="9782" xr:uid="{00000000-0005-0000-0000-0000ACAD0000}"/>
    <cellStyle name="Migliaia 2 4 2 3 2" xfId="26108" xr:uid="{00000000-0005-0000-0000-0000ADAD0000}"/>
    <cellStyle name="Migliaia 2 4 2 3 3" xfId="41086" xr:uid="{00000000-0005-0000-0000-0000AEAD0000}"/>
    <cellStyle name="Migliaia 2 4 2 3 4" xfId="55554" xr:uid="{00000000-0005-0000-0000-0000AFAD0000}"/>
    <cellStyle name="Migliaia 2 4 2 4" xfId="17031" xr:uid="{00000000-0005-0000-0000-0000B0AD0000}"/>
    <cellStyle name="Migliaia 2 4 2 4 2" xfId="33147" xr:uid="{00000000-0005-0000-0000-0000B1AD0000}"/>
    <cellStyle name="Migliaia 2 4 2 4 3" xfId="48108" xr:uid="{00000000-0005-0000-0000-0000B2AD0000}"/>
    <cellStyle name="Migliaia 2 4 2 5" xfId="19089" xr:uid="{00000000-0005-0000-0000-0000B3AD0000}"/>
    <cellStyle name="Migliaia 2 4 2 6" xfId="34084" xr:uid="{00000000-0005-0000-0000-0000B4AD0000}"/>
    <cellStyle name="Migliaia 2 4 2 7" xfId="49024" xr:uid="{00000000-0005-0000-0000-0000B5AD0000}"/>
    <cellStyle name="Migliaia 2 4 2 8" xfId="49429" xr:uid="{00000000-0005-0000-0000-0000B6AD0000}"/>
    <cellStyle name="Migliaia 2 4 2 9" xfId="49835" xr:uid="{00000000-0005-0000-0000-0000B7AD0000}"/>
    <cellStyle name="Migliaia 2 4 3" xfId="9120" xr:uid="{00000000-0005-0000-0000-0000B8AD0000}"/>
    <cellStyle name="Migliaia 2 4 3 2" xfId="18198" xr:uid="{00000000-0005-0000-0000-0000B9AD0000}"/>
    <cellStyle name="Migliaia 2 4 3 2 2" xfId="33665" xr:uid="{00000000-0005-0000-0000-0000BAAD0000}"/>
    <cellStyle name="Migliaia 2 4 3 2 2 2" xfId="55150" xr:uid="{00000000-0005-0000-0000-0000BBAD0000}"/>
    <cellStyle name="Migliaia 2 4 3 2 3" xfId="48626" xr:uid="{00000000-0005-0000-0000-0000BCAD0000}"/>
    <cellStyle name="Migliaia 2 4 3 2 3 2" xfId="56072" xr:uid="{00000000-0005-0000-0000-0000BDAD0000}"/>
    <cellStyle name="Migliaia 2 4 3 2 4" xfId="52795" xr:uid="{00000000-0005-0000-0000-0000BEAD0000}"/>
    <cellStyle name="Migliaia 2 4 3 3" xfId="17032" xr:uid="{00000000-0005-0000-0000-0000BFAD0000}"/>
    <cellStyle name="Migliaia 2 4 3 3 2" xfId="33148" xr:uid="{00000000-0005-0000-0000-0000C0AD0000}"/>
    <cellStyle name="Migliaia 2 4 3 3 3" xfId="48109" xr:uid="{00000000-0005-0000-0000-0000C1AD0000}"/>
    <cellStyle name="Migliaia 2 4 3 3 4" xfId="54727" xr:uid="{00000000-0005-0000-0000-0000C2AD0000}"/>
    <cellStyle name="Migliaia 2 4 3 4" xfId="55555" xr:uid="{00000000-0005-0000-0000-0000C3AD0000}"/>
    <cellStyle name="Migliaia 2 4 3 5" xfId="52273" xr:uid="{00000000-0005-0000-0000-0000C4AD0000}"/>
    <cellStyle name="Migliaia 2 4 4" xfId="9781" xr:uid="{00000000-0005-0000-0000-0000C5AD0000}"/>
    <cellStyle name="Migliaia 2 4 4 2" xfId="18197" xr:uid="{00000000-0005-0000-0000-0000C6AD0000}"/>
    <cellStyle name="Migliaia 2 4 4 2 2" xfId="33664" xr:uid="{00000000-0005-0000-0000-0000C7AD0000}"/>
    <cellStyle name="Migliaia 2 4 4 2 3" xfId="48625" xr:uid="{00000000-0005-0000-0000-0000C8AD0000}"/>
    <cellStyle name="Migliaia 2 4 4 2 4" xfId="55149" xr:uid="{00000000-0005-0000-0000-0000C9AD0000}"/>
    <cellStyle name="Migliaia 2 4 4 3" xfId="26107" xr:uid="{00000000-0005-0000-0000-0000CAAD0000}"/>
    <cellStyle name="Migliaia 2 4 4 3 2" xfId="56071" xr:uid="{00000000-0005-0000-0000-0000CBAD0000}"/>
    <cellStyle name="Migliaia 2 4 4 4" xfId="41085" xr:uid="{00000000-0005-0000-0000-0000CCAD0000}"/>
    <cellStyle name="Migliaia 2 4 4 5" xfId="52794" xr:uid="{00000000-0005-0000-0000-0000CDAD0000}"/>
    <cellStyle name="Migliaia 2 4 5" xfId="17030" xr:uid="{00000000-0005-0000-0000-0000CEAD0000}"/>
    <cellStyle name="Migliaia 2 4 5 2" xfId="33146" xr:uid="{00000000-0005-0000-0000-0000CFAD0000}"/>
    <cellStyle name="Migliaia 2 4 5 3" xfId="48107" xr:uid="{00000000-0005-0000-0000-0000D0AD0000}"/>
    <cellStyle name="Migliaia 2 4 5 4" xfId="54725" xr:uid="{00000000-0005-0000-0000-0000D1AD0000}"/>
    <cellStyle name="Migliaia 2 4 6" xfId="19088" xr:uid="{00000000-0005-0000-0000-0000D2AD0000}"/>
    <cellStyle name="Migliaia 2 4 6 2" xfId="55553" xr:uid="{00000000-0005-0000-0000-0000D3AD0000}"/>
    <cellStyle name="Migliaia 2 4 7" xfId="34083" xr:uid="{00000000-0005-0000-0000-0000D4AD0000}"/>
    <cellStyle name="Migliaia 2 4 8" xfId="49023" xr:uid="{00000000-0005-0000-0000-0000D5AD0000}"/>
    <cellStyle name="Migliaia 2 4 9" xfId="49428" xr:uid="{00000000-0005-0000-0000-0000D6AD0000}"/>
    <cellStyle name="Migliaia 2 5" xfId="9122" xr:uid="{00000000-0005-0000-0000-0000D7AD0000}"/>
    <cellStyle name="Migliaia 2 5 2" xfId="17034" xr:uid="{00000000-0005-0000-0000-0000D8AD0000}"/>
    <cellStyle name="Migliaia 2 5 2 2" xfId="18200" xr:uid="{00000000-0005-0000-0000-0000D9AD0000}"/>
    <cellStyle name="Migliaia 2 5 2 2 2" xfId="33667" xr:uid="{00000000-0005-0000-0000-0000DAAD0000}"/>
    <cellStyle name="Migliaia 2 5 2 2 2 2" xfId="55152" xr:uid="{00000000-0005-0000-0000-0000DBAD0000}"/>
    <cellStyle name="Migliaia 2 5 2 2 3" xfId="48628" xr:uid="{00000000-0005-0000-0000-0000DCAD0000}"/>
    <cellStyle name="Migliaia 2 5 2 2 3 2" xfId="56074" xr:uid="{00000000-0005-0000-0000-0000DDAD0000}"/>
    <cellStyle name="Migliaia 2 5 2 2 4" xfId="52797" xr:uid="{00000000-0005-0000-0000-0000DEAD0000}"/>
    <cellStyle name="Migliaia 2 5 2 3" xfId="33150" xr:uid="{00000000-0005-0000-0000-0000DFAD0000}"/>
    <cellStyle name="Migliaia 2 5 2 3 2" xfId="54729" xr:uid="{00000000-0005-0000-0000-0000E0AD0000}"/>
    <cellStyle name="Migliaia 2 5 2 4" xfId="48111" xr:uid="{00000000-0005-0000-0000-0000E1AD0000}"/>
    <cellStyle name="Migliaia 2 5 2 4 2" xfId="55557" xr:uid="{00000000-0005-0000-0000-0000E2AD0000}"/>
    <cellStyle name="Migliaia 2 5 2 5" xfId="52275" xr:uid="{00000000-0005-0000-0000-0000E3AD0000}"/>
    <cellStyle name="Migliaia 2 5 3" xfId="18199" xr:uid="{00000000-0005-0000-0000-0000E4AD0000}"/>
    <cellStyle name="Migliaia 2 5 3 2" xfId="33666" xr:uid="{00000000-0005-0000-0000-0000E5AD0000}"/>
    <cellStyle name="Migliaia 2 5 3 2 2" xfId="55151" xr:uid="{00000000-0005-0000-0000-0000E6AD0000}"/>
    <cellStyle name="Migliaia 2 5 3 3" xfId="48627" xr:uid="{00000000-0005-0000-0000-0000E7AD0000}"/>
    <cellStyle name="Migliaia 2 5 3 3 2" xfId="56073" xr:uid="{00000000-0005-0000-0000-0000E8AD0000}"/>
    <cellStyle name="Migliaia 2 5 3 4" xfId="52796" xr:uid="{00000000-0005-0000-0000-0000E9AD0000}"/>
    <cellStyle name="Migliaia 2 5 4" xfId="17033" xr:uid="{00000000-0005-0000-0000-0000EAAD0000}"/>
    <cellStyle name="Migliaia 2 5 4 2" xfId="33149" xr:uid="{00000000-0005-0000-0000-0000EBAD0000}"/>
    <cellStyle name="Migliaia 2 5 4 3" xfId="48110" xr:uid="{00000000-0005-0000-0000-0000ECAD0000}"/>
    <cellStyle name="Migliaia 2 5 4 4" xfId="54728" xr:uid="{00000000-0005-0000-0000-0000EDAD0000}"/>
    <cellStyle name="Migliaia 2 5 5" xfId="51207" xr:uid="{00000000-0005-0000-0000-0000EEAD0000}"/>
    <cellStyle name="Migliaia 2 5 5 2" xfId="55556" xr:uid="{00000000-0005-0000-0000-0000EFAD0000}"/>
    <cellStyle name="Migliaia 2 5 6" xfId="52274" xr:uid="{00000000-0005-0000-0000-0000F0AD0000}"/>
    <cellStyle name="Migliaia 2 6" xfId="9123" xr:uid="{00000000-0005-0000-0000-0000F1AD0000}"/>
    <cellStyle name="Migliaia 2 6 2" xfId="17035" xr:uid="{00000000-0005-0000-0000-0000F2AD0000}"/>
    <cellStyle name="Migliaia 2 6 2 2" xfId="33151" xr:uid="{00000000-0005-0000-0000-0000F3AD0000}"/>
    <cellStyle name="Migliaia 2 6 2 3" xfId="48112" xr:uid="{00000000-0005-0000-0000-0000F4AD0000}"/>
    <cellStyle name="Migliaia 2 6 2 4" xfId="54730" xr:uid="{00000000-0005-0000-0000-0000F5AD0000}"/>
    <cellStyle name="Migliaia 2 6 3" xfId="50994" xr:uid="{00000000-0005-0000-0000-0000F6AD0000}"/>
    <cellStyle name="Migliaia 2 6 3 2" xfId="55558" xr:uid="{00000000-0005-0000-0000-0000F7AD0000}"/>
    <cellStyle name="Migliaia 2 6 4" xfId="52276" xr:uid="{00000000-0005-0000-0000-0000F8AD0000}"/>
    <cellStyle name="Migliaia 2 7" xfId="9117" xr:uid="{00000000-0005-0000-0000-0000F9AD0000}"/>
    <cellStyle name="Migliaia 2 7 2" xfId="50919" xr:uid="{00000000-0005-0000-0000-0000FAAD0000}"/>
    <cellStyle name="Migliaia 2 7 3" xfId="54536" xr:uid="{00000000-0005-0000-0000-0000FBAD0000}"/>
    <cellStyle name="Migliaia 2 8" xfId="9778" xr:uid="{00000000-0005-0000-0000-0000FCAD0000}"/>
    <cellStyle name="Migliaia 2 8 2" xfId="26104" xr:uid="{00000000-0005-0000-0000-0000FDAD0000}"/>
    <cellStyle name="Migliaia 2 8 3" xfId="41082" xr:uid="{00000000-0005-0000-0000-0000FEAD0000}"/>
    <cellStyle name="Migliaia 2 8 4" xfId="55550" xr:uid="{00000000-0005-0000-0000-0000FFAD0000}"/>
    <cellStyle name="Migliaia 2 9" xfId="17027" xr:uid="{00000000-0005-0000-0000-000000AE0000}"/>
    <cellStyle name="Migliaia 2 9 2" xfId="33143" xr:uid="{00000000-0005-0000-0000-000001AE0000}"/>
    <cellStyle name="Migliaia 2 9 3" xfId="48104" xr:uid="{00000000-0005-0000-0000-000002AE0000}"/>
    <cellStyle name="Migliaia 2_Domestico_reg&amp;naz" xfId="332" xr:uid="{00000000-0005-0000-0000-000003AE0000}"/>
    <cellStyle name="Migliaia 20" xfId="333" xr:uid="{00000000-0005-0000-0000-000004AE0000}"/>
    <cellStyle name="Migliaia 20 10" xfId="34085" xr:uid="{00000000-0005-0000-0000-000005AE0000}"/>
    <cellStyle name="Migliaia 20 11" xfId="49025" xr:uid="{00000000-0005-0000-0000-000006AE0000}"/>
    <cellStyle name="Migliaia 20 12" xfId="49430" xr:uid="{00000000-0005-0000-0000-000007AE0000}"/>
    <cellStyle name="Migliaia 20 13" xfId="49836" xr:uid="{00000000-0005-0000-0000-000008AE0000}"/>
    <cellStyle name="Migliaia 20 14" xfId="50244" xr:uid="{00000000-0005-0000-0000-000009AE0000}"/>
    <cellStyle name="Migliaia 20 15" xfId="50686" xr:uid="{00000000-0005-0000-0000-00000AAE0000}"/>
    <cellStyle name="Migliaia 20 16" xfId="51405" xr:uid="{00000000-0005-0000-0000-00000BAE0000}"/>
    <cellStyle name="Migliaia 20 17" xfId="51818" xr:uid="{00000000-0005-0000-0000-00000CAE0000}"/>
    <cellStyle name="Migliaia 20 18" xfId="52277" xr:uid="{00000000-0005-0000-0000-00000DAE0000}"/>
    <cellStyle name="Migliaia 20 2" xfId="334" xr:uid="{00000000-0005-0000-0000-00000EAE0000}"/>
    <cellStyle name="Migliaia 20 2 10" xfId="49837" xr:uid="{00000000-0005-0000-0000-00000FAE0000}"/>
    <cellStyle name="Migliaia 20 2 11" xfId="50245" xr:uid="{00000000-0005-0000-0000-000010AE0000}"/>
    <cellStyle name="Migliaia 20 2 12" xfId="50687" xr:uid="{00000000-0005-0000-0000-000011AE0000}"/>
    <cellStyle name="Migliaia 20 2 13" xfId="51406" xr:uid="{00000000-0005-0000-0000-000012AE0000}"/>
    <cellStyle name="Migliaia 20 2 14" xfId="51819" xr:uid="{00000000-0005-0000-0000-000013AE0000}"/>
    <cellStyle name="Migliaia 20 2 15" xfId="52278" xr:uid="{00000000-0005-0000-0000-000014AE0000}"/>
    <cellStyle name="Migliaia 20 2 2" xfId="1255" xr:uid="{00000000-0005-0000-0000-000015AE0000}"/>
    <cellStyle name="Migliaia 20 2 2 10" xfId="51049" xr:uid="{00000000-0005-0000-0000-000016AE0000}"/>
    <cellStyle name="Migliaia 20 2 2 11" xfId="51645" xr:uid="{00000000-0005-0000-0000-000017AE0000}"/>
    <cellStyle name="Migliaia 20 2 2 12" xfId="52066" xr:uid="{00000000-0005-0000-0000-000018AE0000}"/>
    <cellStyle name="Migliaia 20 2 2 13" xfId="52798" xr:uid="{00000000-0005-0000-0000-000019AE0000}"/>
    <cellStyle name="Migliaia 20 2 2 2" xfId="10023" xr:uid="{00000000-0005-0000-0000-00001AAE0000}"/>
    <cellStyle name="Migliaia 20 2 2 2 2" xfId="26344" xr:uid="{00000000-0005-0000-0000-00001BAE0000}"/>
    <cellStyle name="Migliaia 20 2 2 2 3" xfId="41312" xr:uid="{00000000-0005-0000-0000-00001CAE0000}"/>
    <cellStyle name="Migliaia 20 2 2 2 4" xfId="55153" xr:uid="{00000000-0005-0000-0000-00001DAE0000}"/>
    <cellStyle name="Migliaia 20 2 2 3" xfId="18201" xr:uid="{00000000-0005-0000-0000-00001EAE0000}"/>
    <cellStyle name="Migliaia 20 2 2 3 2" xfId="33668" xr:uid="{00000000-0005-0000-0000-00001FAE0000}"/>
    <cellStyle name="Migliaia 20 2 2 3 3" xfId="48629" xr:uid="{00000000-0005-0000-0000-000020AE0000}"/>
    <cellStyle name="Migliaia 20 2 2 3 4" xfId="56075" xr:uid="{00000000-0005-0000-0000-000021AE0000}"/>
    <cellStyle name="Migliaia 20 2 2 4" xfId="19323" xr:uid="{00000000-0005-0000-0000-000022AE0000}"/>
    <cellStyle name="Migliaia 20 2 2 5" xfId="34313" xr:uid="{00000000-0005-0000-0000-000023AE0000}"/>
    <cellStyle name="Migliaia 20 2 2 6" xfId="49265" xr:uid="{00000000-0005-0000-0000-000024AE0000}"/>
    <cellStyle name="Migliaia 20 2 2 7" xfId="49670" xr:uid="{00000000-0005-0000-0000-000025AE0000}"/>
    <cellStyle name="Migliaia 20 2 2 8" xfId="50079" xr:uid="{00000000-0005-0000-0000-000026AE0000}"/>
    <cellStyle name="Migliaia 20 2 2 9" xfId="50484" xr:uid="{00000000-0005-0000-0000-000027AE0000}"/>
    <cellStyle name="Migliaia 20 2 3" xfId="9125" xr:uid="{00000000-0005-0000-0000-000028AE0000}"/>
    <cellStyle name="Migliaia 20 2 3 2" xfId="54603" xr:uid="{00000000-0005-0000-0000-000029AE0000}"/>
    <cellStyle name="Migliaia 20 2 4" xfId="9784" xr:uid="{00000000-0005-0000-0000-00002AAE0000}"/>
    <cellStyle name="Migliaia 20 2 4 2" xfId="26110" xr:uid="{00000000-0005-0000-0000-00002BAE0000}"/>
    <cellStyle name="Migliaia 20 2 4 3" xfId="41088" xr:uid="{00000000-0005-0000-0000-00002CAE0000}"/>
    <cellStyle name="Migliaia 20 2 4 4" xfId="55560" xr:uid="{00000000-0005-0000-0000-00002DAE0000}"/>
    <cellStyle name="Migliaia 20 2 5" xfId="17037" xr:uid="{00000000-0005-0000-0000-00002EAE0000}"/>
    <cellStyle name="Migliaia 20 2 5 2" xfId="33153" xr:uid="{00000000-0005-0000-0000-00002FAE0000}"/>
    <cellStyle name="Migliaia 20 2 5 3" xfId="48114" xr:uid="{00000000-0005-0000-0000-000030AE0000}"/>
    <cellStyle name="Migliaia 20 2 6" xfId="19091" xr:uid="{00000000-0005-0000-0000-000031AE0000}"/>
    <cellStyle name="Migliaia 20 2 7" xfId="34086" xr:uid="{00000000-0005-0000-0000-000032AE0000}"/>
    <cellStyle name="Migliaia 20 2 8" xfId="49026" xr:uid="{00000000-0005-0000-0000-000033AE0000}"/>
    <cellStyle name="Migliaia 20 2 9" xfId="49431" xr:uid="{00000000-0005-0000-0000-000034AE0000}"/>
    <cellStyle name="Migliaia 20 3" xfId="335" xr:uid="{00000000-0005-0000-0000-000035AE0000}"/>
    <cellStyle name="Migliaia 20 3 10" xfId="49838" xr:uid="{00000000-0005-0000-0000-000036AE0000}"/>
    <cellStyle name="Migliaia 20 3 11" xfId="50246" xr:uid="{00000000-0005-0000-0000-000037AE0000}"/>
    <cellStyle name="Migliaia 20 3 12" xfId="50688" xr:uid="{00000000-0005-0000-0000-000038AE0000}"/>
    <cellStyle name="Migliaia 20 3 13" xfId="51407" xr:uid="{00000000-0005-0000-0000-000039AE0000}"/>
    <cellStyle name="Migliaia 20 3 14" xfId="51820" xr:uid="{00000000-0005-0000-0000-00003AAE0000}"/>
    <cellStyle name="Migliaia 20 3 15" xfId="52279" xr:uid="{00000000-0005-0000-0000-00003BAE0000}"/>
    <cellStyle name="Migliaia 20 3 2" xfId="336" xr:uid="{00000000-0005-0000-0000-00003CAE0000}"/>
    <cellStyle name="Migliaia 20 3 2 10" xfId="50247" xr:uid="{00000000-0005-0000-0000-00003DAE0000}"/>
    <cellStyle name="Migliaia 20 3 2 11" xfId="50689" xr:uid="{00000000-0005-0000-0000-00003EAE0000}"/>
    <cellStyle name="Migliaia 20 3 2 12" xfId="51408" xr:uid="{00000000-0005-0000-0000-00003FAE0000}"/>
    <cellStyle name="Migliaia 20 3 2 13" xfId="51821" xr:uid="{00000000-0005-0000-0000-000040AE0000}"/>
    <cellStyle name="Migliaia 20 3 2 14" xfId="52280" xr:uid="{00000000-0005-0000-0000-000041AE0000}"/>
    <cellStyle name="Migliaia 20 3 2 2" xfId="9127" xr:uid="{00000000-0005-0000-0000-000042AE0000}"/>
    <cellStyle name="Migliaia 20 3 2 2 2" xfId="54732" xr:uid="{00000000-0005-0000-0000-000043AE0000}"/>
    <cellStyle name="Migliaia 20 3 2 3" xfId="9786" xr:uid="{00000000-0005-0000-0000-000044AE0000}"/>
    <cellStyle name="Migliaia 20 3 2 3 2" xfId="26112" xr:uid="{00000000-0005-0000-0000-000045AE0000}"/>
    <cellStyle name="Migliaia 20 3 2 3 3" xfId="41090" xr:uid="{00000000-0005-0000-0000-000046AE0000}"/>
    <cellStyle name="Migliaia 20 3 2 3 4" xfId="55562" xr:uid="{00000000-0005-0000-0000-000047AE0000}"/>
    <cellStyle name="Migliaia 20 3 2 4" xfId="17039" xr:uid="{00000000-0005-0000-0000-000048AE0000}"/>
    <cellStyle name="Migliaia 20 3 2 4 2" xfId="33155" xr:uid="{00000000-0005-0000-0000-000049AE0000}"/>
    <cellStyle name="Migliaia 20 3 2 4 3" xfId="48116" xr:uid="{00000000-0005-0000-0000-00004AAE0000}"/>
    <cellStyle name="Migliaia 20 3 2 5" xfId="19093" xr:uid="{00000000-0005-0000-0000-00004BAE0000}"/>
    <cellStyle name="Migliaia 20 3 2 6" xfId="34088" xr:uid="{00000000-0005-0000-0000-00004CAE0000}"/>
    <cellStyle name="Migliaia 20 3 2 7" xfId="49028" xr:uid="{00000000-0005-0000-0000-00004DAE0000}"/>
    <cellStyle name="Migliaia 20 3 2 8" xfId="49433" xr:uid="{00000000-0005-0000-0000-00004EAE0000}"/>
    <cellStyle name="Migliaia 20 3 2 9" xfId="49839" xr:uid="{00000000-0005-0000-0000-00004FAE0000}"/>
    <cellStyle name="Migliaia 20 3 3" xfId="9126" xr:uid="{00000000-0005-0000-0000-000050AE0000}"/>
    <cellStyle name="Migliaia 20 3 3 2" xfId="18203" xr:uid="{00000000-0005-0000-0000-000051AE0000}"/>
    <cellStyle name="Migliaia 20 3 3 2 2" xfId="33670" xr:uid="{00000000-0005-0000-0000-000052AE0000}"/>
    <cellStyle name="Migliaia 20 3 3 2 2 2" xfId="55155" xr:uid="{00000000-0005-0000-0000-000053AE0000}"/>
    <cellStyle name="Migliaia 20 3 3 2 3" xfId="48631" xr:uid="{00000000-0005-0000-0000-000054AE0000}"/>
    <cellStyle name="Migliaia 20 3 3 2 3 2" xfId="56077" xr:uid="{00000000-0005-0000-0000-000055AE0000}"/>
    <cellStyle name="Migliaia 20 3 3 2 4" xfId="52800" xr:uid="{00000000-0005-0000-0000-000056AE0000}"/>
    <cellStyle name="Migliaia 20 3 3 3" xfId="17040" xr:uid="{00000000-0005-0000-0000-000057AE0000}"/>
    <cellStyle name="Migliaia 20 3 3 3 2" xfId="33156" xr:uid="{00000000-0005-0000-0000-000058AE0000}"/>
    <cellStyle name="Migliaia 20 3 3 3 3" xfId="48117" xr:uid="{00000000-0005-0000-0000-000059AE0000}"/>
    <cellStyle name="Migliaia 20 3 3 3 4" xfId="54733" xr:uid="{00000000-0005-0000-0000-00005AAE0000}"/>
    <cellStyle name="Migliaia 20 3 3 4" xfId="55563" xr:uid="{00000000-0005-0000-0000-00005BAE0000}"/>
    <cellStyle name="Migliaia 20 3 3 5" xfId="52281" xr:uid="{00000000-0005-0000-0000-00005CAE0000}"/>
    <cellStyle name="Migliaia 20 3 4" xfId="9785" xr:uid="{00000000-0005-0000-0000-00005DAE0000}"/>
    <cellStyle name="Migliaia 20 3 4 2" xfId="18202" xr:uid="{00000000-0005-0000-0000-00005EAE0000}"/>
    <cellStyle name="Migliaia 20 3 4 2 2" xfId="33669" xr:uid="{00000000-0005-0000-0000-00005FAE0000}"/>
    <cellStyle name="Migliaia 20 3 4 2 3" xfId="48630" xr:uid="{00000000-0005-0000-0000-000060AE0000}"/>
    <cellStyle name="Migliaia 20 3 4 2 4" xfId="55154" xr:uid="{00000000-0005-0000-0000-000061AE0000}"/>
    <cellStyle name="Migliaia 20 3 4 3" xfId="26111" xr:uid="{00000000-0005-0000-0000-000062AE0000}"/>
    <cellStyle name="Migliaia 20 3 4 3 2" xfId="56076" xr:uid="{00000000-0005-0000-0000-000063AE0000}"/>
    <cellStyle name="Migliaia 20 3 4 4" xfId="41089" xr:uid="{00000000-0005-0000-0000-000064AE0000}"/>
    <cellStyle name="Migliaia 20 3 4 5" xfId="52799" xr:uid="{00000000-0005-0000-0000-000065AE0000}"/>
    <cellStyle name="Migliaia 20 3 5" xfId="17038" xr:uid="{00000000-0005-0000-0000-000066AE0000}"/>
    <cellStyle name="Migliaia 20 3 5 2" xfId="33154" xr:uid="{00000000-0005-0000-0000-000067AE0000}"/>
    <cellStyle name="Migliaia 20 3 5 3" xfId="48115" xr:uid="{00000000-0005-0000-0000-000068AE0000}"/>
    <cellStyle name="Migliaia 20 3 5 4" xfId="54731" xr:uid="{00000000-0005-0000-0000-000069AE0000}"/>
    <cellStyle name="Migliaia 20 3 6" xfId="19092" xr:uid="{00000000-0005-0000-0000-00006AAE0000}"/>
    <cellStyle name="Migliaia 20 3 6 2" xfId="55561" xr:uid="{00000000-0005-0000-0000-00006BAE0000}"/>
    <cellStyle name="Migliaia 20 3 7" xfId="34087" xr:uid="{00000000-0005-0000-0000-00006CAE0000}"/>
    <cellStyle name="Migliaia 20 3 8" xfId="49027" xr:uid="{00000000-0005-0000-0000-00006DAE0000}"/>
    <cellStyle name="Migliaia 20 3 9" xfId="49432" xr:uid="{00000000-0005-0000-0000-00006EAE0000}"/>
    <cellStyle name="Migliaia 20 4" xfId="9128" xr:uid="{00000000-0005-0000-0000-00006FAE0000}"/>
    <cellStyle name="Migliaia 20 4 2" xfId="17042" xr:uid="{00000000-0005-0000-0000-000070AE0000}"/>
    <cellStyle name="Migliaia 20 4 2 2" xfId="18205" xr:uid="{00000000-0005-0000-0000-000071AE0000}"/>
    <cellStyle name="Migliaia 20 4 2 2 2" xfId="33672" xr:uid="{00000000-0005-0000-0000-000072AE0000}"/>
    <cellStyle name="Migliaia 20 4 2 2 2 2" xfId="55157" xr:uid="{00000000-0005-0000-0000-000073AE0000}"/>
    <cellStyle name="Migliaia 20 4 2 2 3" xfId="48633" xr:uid="{00000000-0005-0000-0000-000074AE0000}"/>
    <cellStyle name="Migliaia 20 4 2 2 3 2" xfId="56079" xr:uid="{00000000-0005-0000-0000-000075AE0000}"/>
    <cellStyle name="Migliaia 20 4 2 2 4" xfId="52802" xr:uid="{00000000-0005-0000-0000-000076AE0000}"/>
    <cellStyle name="Migliaia 20 4 2 3" xfId="33158" xr:uid="{00000000-0005-0000-0000-000077AE0000}"/>
    <cellStyle name="Migliaia 20 4 2 3 2" xfId="54735" xr:uid="{00000000-0005-0000-0000-000078AE0000}"/>
    <cellStyle name="Migliaia 20 4 2 4" xfId="48119" xr:uid="{00000000-0005-0000-0000-000079AE0000}"/>
    <cellStyle name="Migliaia 20 4 2 4 2" xfId="55565" xr:uid="{00000000-0005-0000-0000-00007AAE0000}"/>
    <cellStyle name="Migliaia 20 4 2 5" xfId="52283" xr:uid="{00000000-0005-0000-0000-00007BAE0000}"/>
    <cellStyle name="Migliaia 20 4 3" xfId="18204" xr:uid="{00000000-0005-0000-0000-00007CAE0000}"/>
    <cellStyle name="Migliaia 20 4 3 2" xfId="33671" xr:uid="{00000000-0005-0000-0000-00007DAE0000}"/>
    <cellStyle name="Migliaia 20 4 3 2 2" xfId="55156" xr:uid="{00000000-0005-0000-0000-00007EAE0000}"/>
    <cellStyle name="Migliaia 20 4 3 3" xfId="48632" xr:uid="{00000000-0005-0000-0000-00007FAE0000}"/>
    <cellStyle name="Migliaia 20 4 3 3 2" xfId="56078" xr:uid="{00000000-0005-0000-0000-000080AE0000}"/>
    <cellStyle name="Migliaia 20 4 3 4" xfId="52801" xr:uid="{00000000-0005-0000-0000-000081AE0000}"/>
    <cellStyle name="Migliaia 20 4 4" xfId="17041" xr:uid="{00000000-0005-0000-0000-000082AE0000}"/>
    <cellStyle name="Migliaia 20 4 4 2" xfId="33157" xr:uid="{00000000-0005-0000-0000-000083AE0000}"/>
    <cellStyle name="Migliaia 20 4 4 3" xfId="48118" xr:uid="{00000000-0005-0000-0000-000084AE0000}"/>
    <cellStyle name="Migliaia 20 4 4 4" xfId="54734" xr:uid="{00000000-0005-0000-0000-000085AE0000}"/>
    <cellStyle name="Migliaia 20 4 5" xfId="51165" xr:uid="{00000000-0005-0000-0000-000086AE0000}"/>
    <cellStyle name="Migliaia 20 4 5 2" xfId="55564" xr:uid="{00000000-0005-0000-0000-000087AE0000}"/>
    <cellStyle name="Migliaia 20 4 6" xfId="52282" xr:uid="{00000000-0005-0000-0000-000088AE0000}"/>
    <cellStyle name="Migliaia 20 5" xfId="9129" xr:uid="{00000000-0005-0000-0000-000089AE0000}"/>
    <cellStyle name="Migliaia 20 5 2" xfId="17043" xr:uid="{00000000-0005-0000-0000-00008AAE0000}"/>
    <cellStyle name="Migliaia 20 5 2 2" xfId="33159" xr:uid="{00000000-0005-0000-0000-00008BAE0000}"/>
    <cellStyle name="Migliaia 20 5 2 3" xfId="48120" xr:uid="{00000000-0005-0000-0000-00008CAE0000}"/>
    <cellStyle name="Migliaia 20 5 2 4" xfId="54736" xr:uid="{00000000-0005-0000-0000-00008DAE0000}"/>
    <cellStyle name="Migliaia 20 5 3" xfId="50918" xr:uid="{00000000-0005-0000-0000-00008EAE0000}"/>
    <cellStyle name="Migliaia 20 5 3 2" xfId="55566" xr:uid="{00000000-0005-0000-0000-00008FAE0000}"/>
    <cellStyle name="Migliaia 20 5 4" xfId="52284" xr:uid="{00000000-0005-0000-0000-000090AE0000}"/>
    <cellStyle name="Migliaia 20 6" xfId="9124" xr:uid="{00000000-0005-0000-0000-000091AE0000}"/>
    <cellStyle name="Migliaia 20 6 2" xfId="51208" xr:uid="{00000000-0005-0000-0000-000092AE0000}"/>
    <cellStyle name="Migliaia 20 6 3" xfId="54539" xr:uid="{00000000-0005-0000-0000-000093AE0000}"/>
    <cellStyle name="Migliaia 20 7" xfId="9783" xr:uid="{00000000-0005-0000-0000-000094AE0000}"/>
    <cellStyle name="Migliaia 20 7 2" xfId="26109" xr:uid="{00000000-0005-0000-0000-000095AE0000}"/>
    <cellStyle name="Migliaia 20 7 3" xfId="41087" xr:uid="{00000000-0005-0000-0000-000096AE0000}"/>
    <cellStyle name="Migliaia 20 7 4" xfId="55559" xr:uid="{00000000-0005-0000-0000-000097AE0000}"/>
    <cellStyle name="Migliaia 20 8" xfId="17036" xr:uid="{00000000-0005-0000-0000-000098AE0000}"/>
    <cellStyle name="Migliaia 20 8 2" xfId="33152" xr:uid="{00000000-0005-0000-0000-000099AE0000}"/>
    <cellStyle name="Migliaia 20 8 3" xfId="48113" xr:uid="{00000000-0005-0000-0000-00009AAE0000}"/>
    <cellStyle name="Migliaia 20 9" xfId="19090" xr:uid="{00000000-0005-0000-0000-00009BAE0000}"/>
    <cellStyle name="Migliaia 21" xfId="337" xr:uid="{00000000-0005-0000-0000-00009CAE0000}"/>
    <cellStyle name="Migliaia 21 10" xfId="34089" xr:uid="{00000000-0005-0000-0000-00009DAE0000}"/>
    <cellStyle name="Migliaia 21 11" xfId="49029" xr:uid="{00000000-0005-0000-0000-00009EAE0000}"/>
    <cellStyle name="Migliaia 21 12" xfId="49434" xr:uid="{00000000-0005-0000-0000-00009FAE0000}"/>
    <cellStyle name="Migliaia 21 13" xfId="49840" xr:uid="{00000000-0005-0000-0000-0000A0AE0000}"/>
    <cellStyle name="Migliaia 21 14" xfId="50248" xr:uid="{00000000-0005-0000-0000-0000A1AE0000}"/>
    <cellStyle name="Migliaia 21 15" xfId="50690" xr:uid="{00000000-0005-0000-0000-0000A2AE0000}"/>
    <cellStyle name="Migliaia 21 16" xfId="51409" xr:uid="{00000000-0005-0000-0000-0000A3AE0000}"/>
    <cellStyle name="Migliaia 21 17" xfId="51822" xr:uid="{00000000-0005-0000-0000-0000A4AE0000}"/>
    <cellStyle name="Migliaia 21 18" xfId="52285" xr:uid="{00000000-0005-0000-0000-0000A5AE0000}"/>
    <cellStyle name="Migliaia 21 2" xfId="338" xr:uid="{00000000-0005-0000-0000-0000A6AE0000}"/>
    <cellStyle name="Migliaia 21 2 10" xfId="49841" xr:uid="{00000000-0005-0000-0000-0000A7AE0000}"/>
    <cellStyle name="Migliaia 21 2 11" xfId="50249" xr:uid="{00000000-0005-0000-0000-0000A8AE0000}"/>
    <cellStyle name="Migliaia 21 2 12" xfId="50691" xr:uid="{00000000-0005-0000-0000-0000A9AE0000}"/>
    <cellStyle name="Migliaia 21 2 13" xfId="51410" xr:uid="{00000000-0005-0000-0000-0000AAAE0000}"/>
    <cellStyle name="Migliaia 21 2 14" xfId="51823" xr:uid="{00000000-0005-0000-0000-0000ABAE0000}"/>
    <cellStyle name="Migliaia 21 2 15" xfId="52286" xr:uid="{00000000-0005-0000-0000-0000ACAE0000}"/>
    <cellStyle name="Migliaia 21 2 2" xfId="1256" xr:uid="{00000000-0005-0000-0000-0000ADAE0000}"/>
    <cellStyle name="Migliaia 21 2 2 10" xfId="51050" xr:uid="{00000000-0005-0000-0000-0000AEAE0000}"/>
    <cellStyle name="Migliaia 21 2 2 11" xfId="51646" xr:uid="{00000000-0005-0000-0000-0000AFAE0000}"/>
    <cellStyle name="Migliaia 21 2 2 12" xfId="52067" xr:uid="{00000000-0005-0000-0000-0000B0AE0000}"/>
    <cellStyle name="Migliaia 21 2 2 13" xfId="52803" xr:uid="{00000000-0005-0000-0000-0000B1AE0000}"/>
    <cellStyle name="Migliaia 21 2 2 2" xfId="10024" xr:uid="{00000000-0005-0000-0000-0000B2AE0000}"/>
    <cellStyle name="Migliaia 21 2 2 2 2" xfId="26345" xr:uid="{00000000-0005-0000-0000-0000B3AE0000}"/>
    <cellStyle name="Migliaia 21 2 2 2 3" xfId="41313" xr:uid="{00000000-0005-0000-0000-0000B4AE0000}"/>
    <cellStyle name="Migliaia 21 2 2 2 4" xfId="55158" xr:uid="{00000000-0005-0000-0000-0000B5AE0000}"/>
    <cellStyle name="Migliaia 21 2 2 3" xfId="18206" xr:uid="{00000000-0005-0000-0000-0000B6AE0000}"/>
    <cellStyle name="Migliaia 21 2 2 3 2" xfId="33673" xr:uid="{00000000-0005-0000-0000-0000B7AE0000}"/>
    <cellStyle name="Migliaia 21 2 2 3 3" xfId="48634" xr:uid="{00000000-0005-0000-0000-0000B8AE0000}"/>
    <cellStyle name="Migliaia 21 2 2 3 4" xfId="56080" xr:uid="{00000000-0005-0000-0000-0000B9AE0000}"/>
    <cellStyle name="Migliaia 21 2 2 4" xfId="19324" xr:uid="{00000000-0005-0000-0000-0000BAAE0000}"/>
    <cellStyle name="Migliaia 21 2 2 5" xfId="34314" xr:uid="{00000000-0005-0000-0000-0000BBAE0000}"/>
    <cellStyle name="Migliaia 21 2 2 6" xfId="49266" xr:uid="{00000000-0005-0000-0000-0000BCAE0000}"/>
    <cellStyle name="Migliaia 21 2 2 7" xfId="49671" xr:uid="{00000000-0005-0000-0000-0000BDAE0000}"/>
    <cellStyle name="Migliaia 21 2 2 8" xfId="50080" xr:uid="{00000000-0005-0000-0000-0000BEAE0000}"/>
    <cellStyle name="Migliaia 21 2 2 9" xfId="50485" xr:uid="{00000000-0005-0000-0000-0000BFAE0000}"/>
    <cellStyle name="Migliaia 21 2 3" xfId="9131" xr:uid="{00000000-0005-0000-0000-0000C0AE0000}"/>
    <cellStyle name="Migliaia 21 2 3 2" xfId="54604" xr:uid="{00000000-0005-0000-0000-0000C1AE0000}"/>
    <cellStyle name="Migliaia 21 2 4" xfId="9788" xr:uid="{00000000-0005-0000-0000-0000C2AE0000}"/>
    <cellStyle name="Migliaia 21 2 4 2" xfId="26114" xr:uid="{00000000-0005-0000-0000-0000C3AE0000}"/>
    <cellStyle name="Migliaia 21 2 4 3" xfId="41092" xr:uid="{00000000-0005-0000-0000-0000C4AE0000}"/>
    <cellStyle name="Migliaia 21 2 4 4" xfId="55568" xr:uid="{00000000-0005-0000-0000-0000C5AE0000}"/>
    <cellStyle name="Migliaia 21 2 5" xfId="17045" xr:uid="{00000000-0005-0000-0000-0000C6AE0000}"/>
    <cellStyle name="Migliaia 21 2 5 2" xfId="33161" xr:uid="{00000000-0005-0000-0000-0000C7AE0000}"/>
    <cellStyle name="Migliaia 21 2 5 3" xfId="48122" xr:uid="{00000000-0005-0000-0000-0000C8AE0000}"/>
    <cellStyle name="Migliaia 21 2 6" xfId="19095" xr:uid="{00000000-0005-0000-0000-0000C9AE0000}"/>
    <cellStyle name="Migliaia 21 2 7" xfId="34090" xr:uid="{00000000-0005-0000-0000-0000CAAE0000}"/>
    <cellStyle name="Migliaia 21 2 8" xfId="49030" xr:uid="{00000000-0005-0000-0000-0000CBAE0000}"/>
    <cellStyle name="Migliaia 21 2 9" xfId="49435" xr:uid="{00000000-0005-0000-0000-0000CCAE0000}"/>
    <cellStyle name="Migliaia 21 3" xfId="339" xr:uid="{00000000-0005-0000-0000-0000CDAE0000}"/>
    <cellStyle name="Migliaia 21 3 10" xfId="49842" xr:uid="{00000000-0005-0000-0000-0000CEAE0000}"/>
    <cellStyle name="Migliaia 21 3 11" xfId="50250" xr:uid="{00000000-0005-0000-0000-0000CFAE0000}"/>
    <cellStyle name="Migliaia 21 3 12" xfId="50692" xr:uid="{00000000-0005-0000-0000-0000D0AE0000}"/>
    <cellStyle name="Migliaia 21 3 13" xfId="51411" xr:uid="{00000000-0005-0000-0000-0000D1AE0000}"/>
    <cellStyle name="Migliaia 21 3 14" xfId="51824" xr:uid="{00000000-0005-0000-0000-0000D2AE0000}"/>
    <cellStyle name="Migliaia 21 3 15" xfId="52287" xr:uid="{00000000-0005-0000-0000-0000D3AE0000}"/>
    <cellStyle name="Migliaia 21 3 2" xfId="340" xr:uid="{00000000-0005-0000-0000-0000D4AE0000}"/>
    <cellStyle name="Migliaia 21 3 2 10" xfId="50251" xr:uid="{00000000-0005-0000-0000-0000D5AE0000}"/>
    <cellStyle name="Migliaia 21 3 2 11" xfId="50693" xr:uid="{00000000-0005-0000-0000-0000D6AE0000}"/>
    <cellStyle name="Migliaia 21 3 2 12" xfId="51412" xr:uid="{00000000-0005-0000-0000-0000D7AE0000}"/>
    <cellStyle name="Migliaia 21 3 2 13" xfId="51825" xr:uid="{00000000-0005-0000-0000-0000D8AE0000}"/>
    <cellStyle name="Migliaia 21 3 2 14" xfId="52288" xr:uid="{00000000-0005-0000-0000-0000D9AE0000}"/>
    <cellStyle name="Migliaia 21 3 2 2" xfId="9133" xr:uid="{00000000-0005-0000-0000-0000DAAE0000}"/>
    <cellStyle name="Migliaia 21 3 2 2 2" xfId="54738" xr:uid="{00000000-0005-0000-0000-0000DBAE0000}"/>
    <cellStyle name="Migliaia 21 3 2 3" xfId="9790" xr:uid="{00000000-0005-0000-0000-0000DCAE0000}"/>
    <cellStyle name="Migliaia 21 3 2 3 2" xfId="26116" xr:uid="{00000000-0005-0000-0000-0000DDAE0000}"/>
    <cellStyle name="Migliaia 21 3 2 3 3" xfId="41094" xr:uid="{00000000-0005-0000-0000-0000DEAE0000}"/>
    <cellStyle name="Migliaia 21 3 2 3 4" xfId="55570" xr:uid="{00000000-0005-0000-0000-0000DFAE0000}"/>
    <cellStyle name="Migliaia 21 3 2 4" xfId="17047" xr:uid="{00000000-0005-0000-0000-0000E0AE0000}"/>
    <cellStyle name="Migliaia 21 3 2 4 2" xfId="33163" xr:uid="{00000000-0005-0000-0000-0000E1AE0000}"/>
    <cellStyle name="Migliaia 21 3 2 4 3" xfId="48124" xr:uid="{00000000-0005-0000-0000-0000E2AE0000}"/>
    <cellStyle name="Migliaia 21 3 2 5" xfId="19097" xr:uid="{00000000-0005-0000-0000-0000E3AE0000}"/>
    <cellStyle name="Migliaia 21 3 2 6" xfId="34092" xr:uid="{00000000-0005-0000-0000-0000E4AE0000}"/>
    <cellStyle name="Migliaia 21 3 2 7" xfId="49032" xr:uid="{00000000-0005-0000-0000-0000E5AE0000}"/>
    <cellStyle name="Migliaia 21 3 2 8" xfId="49437" xr:uid="{00000000-0005-0000-0000-0000E6AE0000}"/>
    <cellStyle name="Migliaia 21 3 2 9" xfId="49843" xr:uid="{00000000-0005-0000-0000-0000E7AE0000}"/>
    <cellStyle name="Migliaia 21 3 3" xfId="9132" xr:uid="{00000000-0005-0000-0000-0000E8AE0000}"/>
    <cellStyle name="Migliaia 21 3 3 2" xfId="18208" xr:uid="{00000000-0005-0000-0000-0000E9AE0000}"/>
    <cellStyle name="Migliaia 21 3 3 2 2" xfId="33675" xr:uid="{00000000-0005-0000-0000-0000EAAE0000}"/>
    <cellStyle name="Migliaia 21 3 3 2 2 2" xfId="55160" xr:uid="{00000000-0005-0000-0000-0000EBAE0000}"/>
    <cellStyle name="Migliaia 21 3 3 2 3" xfId="48636" xr:uid="{00000000-0005-0000-0000-0000ECAE0000}"/>
    <cellStyle name="Migliaia 21 3 3 2 3 2" xfId="56082" xr:uid="{00000000-0005-0000-0000-0000EDAE0000}"/>
    <cellStyle name="Migliaia 21 3 3 2 4" xfId="52805" xr:uid="{00000000-0005-0000-0000-0000EEAE0000}"/>
    <cellStyle name="Migliaia 21 3 3 3" xfId="17048" xr:uid="{00000000-0005-0000-0000-0000EFAE0000}"/>
    <cellStyle name="Migliaia 21 3 3 3 2" xfId="33164" xr:uid="{00000000-0005-0000-0000-0000F0AE0000}"/>
    <cellStyle name="Migliaia 21 3 3 3 3" xfId="48125" xr:uid="{00000000-0005-0000-0000-0000F1AE0000}"/>
    <cellStyle name="Migliaia 21 3 3 3 4" xfId="54739" xr:uid="{00000000-0005-0000-0000-0000F2AE0000}"/>
    <cellStyle name="Migliaia 21 3 3 4" xfId="55571" xr:uid="{00000000-0005-0000-0000-0000F3AE0000}"/>
    <cellStyle name="Migliaia 21 3 3 5" xfId="52289" xr:uid="{00000000-0005-0000-0000-0000F4AE0000}"/>
    <cellStyle name="Migliaia 21 3 4" xfId="9789" xr:uid="{00000000-0005-0000-0000-0000F5AE0000}"/>
    <cellStyle name="Migliaia 21 3 4 2" xfId="18207" xr:uid="{00000000-0005-0000-0000-0000F6AE0000}"/>
    <cellStyle name="Migliaia 21 3 4 2 2" xfId="33674" xr:uid="{00000000-0005-0000-0000-0000F7AE0000}"/>
    <cellStyle name="Migliaia 21 3 4 2 3" xfId="48635" xr:uid="{00000000-0005-0000-0000-0000F8AE0000}"/>
    <cellStyle name="Migliaia 21 3 4 2 4" xfId="55159" xr:uid="{00000000-0005-0000-0000-0000F9AE0000}"/>
    <cellStyle name="Migliaia 21 3 4 3" xfId="26115" xr:uid="{00000000-0005-0000-0000-0000FAAE0000}"/>
    <cellStyle name="Migliaia 21 3 4 3 2" xfId="56081" xr:uid="{00000000-0005-0000-0000-0000FBAE0000}"/>
    <cellStyle name="Migliaia 21 3 4 4" xfId="41093" xr:uid="{00000000-0005-0000-0000-0000FCAE0000}"/>
    <cellStyle name="Migliaia 21 3 4 5" xfId="52804" xr:uid="{00000000-0005-0000-0000-0000FDAE0000}"/>
    <cellStyle name="Migliaia 21 3 5" xfId="17046" xr:uid="{00000000-0005-0000-0000-0000FEAE0000}"/>
    <cellStyle name="Migliaia 21 3 5 2" xfId="33162" xr:uid="{00000000-0005-0000-0000-0000FFAE0000}"/>
    <cellStyle name="Migliaia 21 3 5 3" xfId="48123" xr:uid="{00000000-0005-0000-0000-000000AF0000}"/>
    <cellStyle name="Migliaia 21 3 5 4" xfId="54737" xr:uid="{00000000-0005-0000-0000-000001AF0000}"/>
    <cellStyle name="Migliaia 21 3 6" xfId="19096" xr:uid="{00000000-0005-0000-0000-000002AF0000}"/>
    <cellStyle name="Migliaia 21 3 6 2" xfId="55569" xr:uid="{00000000-0005-0000-0000-000003AF0000}"/>
    <cellStyle name="Migliaia 21 3 7" xfId="34091" xr:uid="{00000000-0005-0000-0000-000004AF0000}"/>
    <cellStyle name="Migliaia 21 3 8" xfId="49031" xr:uid="{00000000-0005-0000-0000-000005AF0000}"/>
    <cellStyle name="Migliaia 21 3 9" xfId="49436" xr:uid="{00000000-0005-0000-0000-000006AF0000}"/>
    <cellStyle name="Migliaia 21 4" xfId="9134" xr:uid="{00000000-0005-0000-0000-000007AF0000}"/>
    <cellStyle name="Migliaia 21 4 2" xfId="17050" xr:uid="{00000000-0005-0000-0000-000008AF0000}"/>
    <cellStyle name="Migliaia 21 4 2 2" xfId="18210" xr:uid="{00000000-0005-0000-0000-000009AF0000}"/>
    <cellStyle name="Migliaia 21 4 2 2 2" xfId="33677" xr:uid="{00000000-0005-0000-0000-00000AAF0000}"/>
    <cellStyle name="Migliaia 21 4 2 2 2 2" xfId="55162" xr:uid="{00000000-0005-0000-0000-00000BAF0000}"/>
    <cellStyle name="Migliaia 21 4 2 2 3" xfId="48638" xr:uid="{00000000-0005-0000-0000-00000CAF0000}"/>
    <cellStyle name="Migliaia 21 4 2 2 3 2" xfId="56084" xr:uid="{00000000-0005-0000-0000-00000DAF0000}"/>
    <cellStyle name="Migliaia 21 4 2 2 4" xfId="52807" xr:uid="{00000000-0005-0000-0000-00000EAF0000}"/>
    <cellStyle name="Migliaia 21 4 2 3" xfId="33166" xr:uid="{00000000-0005-0000-0000-00000FAF0000}"/>
    <cellStyle name="Migliaia 21 4 2 3 2" xfId="54741" xr:uid="{00000000-0005-0000-0000-000010AF0000}"/>
    <cellStyle name="Migliaia 21 4 2 4" xfId="48127" xr:uid="{00000000-0005-0000-0000-000011AF0000}"/>
    <cellStyle name="Migliaia 21 4 2 4 2" xfId="55573" xr:uid="{00000000-0005-0000-0000-000012AF0000}"/>
    <cellStyle name="Migliaia 21 4 2 5" xfId="52291" xr:uid="{00000000-0005-0000-0000-000013AF0000}"/>
    <cellStyle name="Migliaia 21 4 3" xfId="18209" xr:uid="{00000000-0005-0000-0000-000014AF0000}"/>
    <cellStyle name="Migliaia 21 4 3 2" xfId="33676" xr:uid="{00000000-0005-0000-0000-000015AF0000}"/>
    <cellStyle name="Migliaia 21 4 3 2 2" xfId="55161" xr:uid="{00000000-0005-0000-0000-000016AF0000}"/>
    <cellStyle name="Migliaia 21 4 3 3" xfId="48637" xr:uid="{00000000-0005-0000-0000-000017AF0000}"/>
    <cellStyle name="Migliaia 21 4 3 3 2" xfId="56083" xr:uid="{00000000-0005-0000-0000-000018AF0000}"/>
    <cellStyle name="Migliaia 21 4 3 4" xfId="52806" xr:uid="{00000000-0005-0000-0000-000019AF0000}"/>
    <cellStyle name="Migliaia 21 4 4" xfId="17049" xr:uid="{00000000-0005-0000-0000-00001AAF0000}"/>
    <cellStyle name="Migliaia 21 4 4 2" xfId="33165" xr:uid="{00000000-0005-0000-0000-00001BAF0000}"/>
    <cellStyle name="Migliaia 21 4 4 3" xfId="48126" xr:uid="{00000000-0005-0000-0000-00001CAF0000}"/>
    <cellStyle name="Migliaia 21 4 4 4" xfId="54740" xr:uid="{00000000-0005-0000-0000-00001DAF0000}"/>
    <cellStyle name="Migliaia 21 4 5" xfId="50993" xr:uid="{00000000-0005-0000-0000-00001EAF0000}"/>
    <cellStyle name="Migliaia 21 4 5 2" xfId="55572" xr:uid="{00000000-0005-0000-0000-00001FAF0000}"/>
    <cellStyle name="Migliaia 21 4 6" xfId="52290" xr:uid="{00000000-0005-0000-0000-000020AF0000}"/>
    <cellStyle name="Migliaia 21 5" xfId="9135" xr:uid="{00000000-0005-0000-0000-000021AF0000}"/>
    <cellStyle name="Migliaia 21 5 2" xfId="17051" xr:uid="{00000000-0005-0000-0000-000022AF0000}"/>
    <cellStyle name="Migliaia 21 5 2 2" xfId="33167" xr:uid="{00000000-0005-0000-0000-000023AF0000}"/>
    <cellStyle name="Migliaia 21 5 2 3" xfId="48128" xr:uid="{00000000-0005-0000-0000-000024AF0000}"/>
    <cellStyle name="Migliaia 21 5 2 4" xfId="54742" xr:uid="{00000000-0005-0000-0000-000025AF0000}"/>
    <cellStyle name="Migliaia 21 5 3" xfId="51137" xr:uid="{00000000-0005-0000-0000-000026AF0000}"/>
    <cellStyle name="Migliaia 21 5 3 2" xfId="55574" xr:uid="{00000000-0005-0000-0000-000027AF0000}"/>
    <cellStyle name="Migliaia 21 5 4" xfId="52292" xr:uid="{00000000-0005-0000-0000-000028AF0000}"/>
    <cellStyle name="Migliaia 21 6" xfId="9130" xr:uid="{00000000-0005-0000-0000-000029AF0000}"/>
    <cellStyle name="Migliaia 21 6 2" xfId="50992" xr:uid="{00000000-0005-0000-0000-00002AAF0000}"/>
    <cellStyle name="Migliaia 21 6 3" xfId="54540" xr:uid="{00000000-0005-0000-0000-00002BAF0000}"/>
    <cellStyle name="Migliaia 21 7" xfId="9787" xr:uid="{00000000-0005-0000-0000-00002CAF0000}"/>
    <cellStyle name="Migliaia 21 7 2" xfId="26113" xr:uid="{00000000-0005-0000-0000-00002DAF0000}"/>
    <cellStyle name="Migliaia 21 7 3" xfId="41091" xr:uid="{00000000-0005-0000-0000-00002EAF0000}"/>
    <cellStyle name="Migliaia 21 7 4" xfId="55567" xr:uid="{00000000-0005-0000-0000-00002FAF0000}"/>
    <cellStyle name="Migliaia 21 8" xfId="17044" xr:uid="{00000000-0005-0000-0000-000030AF0000}"/>
    <cellStyle name="Migliaia 21 8 2" xfId="33160" xr:uid="{00000000-0005-0000-0000-000031AF0000}"/>
    <cellStyle name="Migliaia 21 8 3" xfId="48121" xr:uid="{00000000-0005-0000-0000-000032AF0000}"/>
    <cellStyle name="Migliaia 21 9" xfId="19094" xr:uid="{00000000-0005-0000-0000-000033AF0000}"/>
    <cellStyle name="Migliaia 22" xfId="341" xr:uid="{00000000-0005-0000-0000-000034AF0000}"/>
    <cellStyle name="Migliaia 22 10" xfId="34093" xr:uid="{00000000-0005-0000-0000-000035AF0000}"/>
    <cellStyle name="Migliaia 22 11" xfId="49033" xr:uid="{00000000-0005-0000-0000-000036AF0000}"/>
    <cellStyle name="Migliaia 22 12" xfId="49438" xr:uid="{00000000-0005-0000-0000-000037AF0000}"/>
    <cellStyle name="Migliaia 22 13" xfId="49844" xr:uid="{00000000-0005-0000-0000-000038AF0000}"/>
    <cellStyle name="Migliaia 22 14" xfId="50252" xr:uid="{00000000-0005-0000-0000-000039AF0000}"/>
    <cellStyle name="Migliaia 22 15" xfId="50694" xr:uid="{00000000-0005-0000-0000-00003AAF0000}"/>
    <cellStyle name="Migliaia 22 16" xfId="51413" xr:uid="{00000000-0005-0000-0000-00003BAF0000}"/>
    <cellStyle name="Migliaia 22 17" xfId="51826" xr:uid="{00000000-0005-0000-0000-00003CAF0000}"/>
    <cellStyle name="Migliaia 22 18" xfId="52293" xr:uid="{00000000-0005-0000-0000-00003DAF0000}"/>
    <cellStyle name="Migliaia 22 2" xfId="342" xr:uid="{00000000-0005-0000-0000-00003EAF0000}"/>
    <cellStyle name="Migliaia 22 2 10" xfId="49845" xr:uid="{00000000-0005-0000-0000-00003FAF0000}"/>
    <cellStyle name="Migliaia 22 2 11" xfId="50253" xr:uid="{00000000-0005-0000-0000-000040AF0000}"/>
    <cellStyle name="Migliaia 22 2 12" xfId="50695" xr:uid="{00000000-0005-0000-0000-000041AF0000}"/>
    <cellStyle name="Migliaia 22 2 13" xfId="51414" xr:uid="{00000000-0005-0000-0000-000042AF0000}"/>
    <cellStyle name="Migliaia 22 2 14" xfId="51827" xr:uid="{00000000-0005-0000-0000-000043AF0000}"/>
    <cellStyle name="Migliaia 22 2 15" xfId="52294" xr:uid="{00000000-0005-0000-0000-000044AF0000}"/>
    <cellStyle name="Migliaia 22 2 2" xfId="1257" xr:uid="{00000000-0005-0000-0000-000045AF0000}"/>
    <cellStyle name="Migliaia 22 2 2 10" xfId="51051" xr:uid="{00000000-0005-0000-0000-000046AF0000}"/>
    <cellStyle name="Migliaia 22 2 2 11" xfId="51647" xr:uid="{00000000-0005-0000-0000-000047AF0000}"/>
    <cellStyle name="Migliaia 22 2 2 12" xfId="52068" xr:uid="{00000000-0005-0000-0000-000048AF0000}"/>
    <cellStyle name="Migliaia 22 2 2 13" xfId="52808" xr:uid="{00000000-0005-0000-0000-000049AF0000}"/>
    <cellStyle name="Migliaia 22 2 2 2" xfId="10025" xr:uid="{00000000-0005-0000-0000-00004AAF0000}"/>
    <cellStyle name="Migliaia 22 2 2 2 2" xfId="26346" xr:uid="{00000000-0005-0000-0000-00004BAF0000}"/>
    <cellStyle name="Migliaia 22 2 2 2 3" xfId="41314" xr:uid="{00000000-0005-0000-0000-00004CAF0000}"/>
    <cellStyle name="Migliaia 22 2 2 2 4" xfId="55163" xr:uid="{00000000-0005-0000-0000-00004DAF0000}"/>
    <cellStyle name="Migliaia 22 2 2 3" xfId="18211" xr:uid="{00000000-0005-0000-0000-00004EAF0000}"/>
    <cellStyle name="Migliaia 22 2 2 3 2" xfId="33678" xr:uid="{00000000-0005-0000-0000-00004FAF0000}"/>
    <cellStyle name="Migliaia 22 2 2 3 3" xfId="48639" xr:uid="{00000000-0005-0000-0000-000050AF0000}"/>
    <cellStyle name="Migliaia 22 2 2 3 4" xfId="56085" xr:uid="{00000000-0005-0000-0000-000051AF0000}"/>
    <cellStyle name="Migliaia 22 2 2 4" xfId="19325" xr:uid="{00000000-0005-0000-0000-000052AF0000}"/>
    <cellStyle name="Migliaia 22 2 2 5" xfId="34315" xr:uid="{00000000-0005-0000-0000-000053AF0000}"/>
    <cellStyle name="Migliaia 22 2 2 6" xfId="49267" xr:uid="{00000000-0005-0000-0000-000054AF0000}"/>
    <cellStyle name="Migliaia 22 2 2 7" xfId="49672" xr:uid="{00000000-0005-0000-0000-000055AF0000}"/>
    <cellStyle name="Migliaia 22 2 2 8" xfId="50081" xr:uid="{00000000-0005-0000-0000-000056AF0000}"/>
    <cellStyle name="Migliaia 22 2 2 9" xfId="50486" xr:uid="{00000000-0005-0000-0000-000057AF0000}"/>
    <cellStyle name="Migliaia 22 2 3" xfId="9137" xr:uid="{00000000-0005-0000-0000-000058AF0000}"/>
    <cellStyle name="Migliaia 22 2 3 2" xfId="54605" xr:uid="{00000000-0005-0000-0000-000059AF0000}"/>
    <cellStyle name="Migliaia 22 2 4" xfId="9792" xr:uid="{00000000-0005-0000-0000-00005AAF0000}"/>
    <cellStyle name="Migliaia 22 2 4 2" xfId="26118" xr:uid="{00000000-0005-0000-0000-00005BAF0000}"/>
    <cellStyle name="Migliaia 22 2 4 3" xfId="41096" xr:uid="{00000000-0005-0000-0000-00005CAF0000}"/>
    <cellStyle name="Migliaia 22 2 4 4" xfId="55576" xr:uid="{00000000-0005-0000-0000-00005DAF0000}"/>
    <cellStyle name="Migliaia 22 2 5" xfId="17053" xr:uid="{00000000-0005-0000-0000-00005EAF0000}"/>
    <cellStyle name="Migliaia 22 2 5 2" xfId="33169" xr:uid="{00000000-0005-0000-0000-00005FAF0000}"/>
    <cellStyle name="Migliaia 22 2 5 3" xfId="48130" xr:uid="{00000000-0005-0000-0000-000060AF0000}"/>
    <cellStyle name="Migliaia 22 2 6" xfId="19099" xr:uid="{00000000-0005-0000-0000-000061AF0000}"/>
    <cellStyle name="Migliaia 22 2 7" xfId="34094" xr:uid="{00000000-0005-0000-0000-000062AF0000}"/>
    <cellStyle name="Migliaia 22 2 8" xfId="49034" xr:uid="{00000000-0005-0000-0000-000063AF0000}"/>
    <cellStyle name="Migliaia 22 2 9" xfId="49439" xr:uid="{00000000-0005-0000-0000-000064AF0000}"/>
    <cellStyle name="Migliaia 22 3" xfId="343" xr:uid="{00000000-0005-0000-0000-000065AF0000}"/>
    <cellStyle name="Migliaia 22 3 10" xfId="49846" xr:uid="{00000000-0005-0000-0000-000066AF0000}"/>
    <cellStyle name="Migliaia 22 3 11" xfId="50254" xr:uid="{00000000-0005-0000-0000-000067AF0000}"/>
    <cellStyle name="Migliaia 22 3 12" xfId="50696" xr:uid="{00000000-0005-0000-0000-000068AF0000}"/>
    <cellStyle name="Migliaia 22 3 13" xfId="51415" xr:uid="{00000000-0005-0000-0000-000069AF0000}"/>
    <cellStyle name="Migliaia 22 3 14" xfId="51828" xr:uid="{00000000-0005-0000-0000-00006AAF0000}"/>
    <cellStyle name="Migliaia 22 3 15" xfId="52295" xr:uid="{00000000-0005-0000-0000-00006BAF0000}"/>
    <cellStyle name="Migliaia 22 3 2" xfId="344" xr:uid="{00000000-0005-0000-0000-00006CAF0000}"/>
    <cellStyle name="Migliaia 22 3 2 10" xfId="50255" xr:uid="{00000000-0005-0000-0000-00006DAF0000}"/>
    <cellStyle name="Migliaia 22 3 2 11" xfId="50697" xr:uid="{00000000-0005-0000-0000-00006EAF0000}"/>
    <cellStyle name="Migliaia 22 3 2 12" xfId="51416" xr:uid="{00000000-0005-0000-0000-00006FAF0000}"/>
    <cellStyle name="Migliaia 22 3 2 13" xfId="51829" xr:uid="{00000000-0005-0000-0000-000070AF0000}"/>
    <cellStyle name="Migliaia 22 3 2 14" xfId="52296" xr:uid="{00000000-0005-0000-0000-000071AF0000}"/>
    <cellStyle name="Migliaia 22 3 2 2" xfId="9139" xr:uid="{00000000-0005-0000-0000-000072AF0000}"/>
    <cellStyle name="Migliaia 22 3 2 2 2" xfId="54744" xr:uid="{00000000-0005-0000-0000-000073AF0000}"/>
    <cellStyle name="Migliaia 22 3 2 3" xfId="9794" xr:uid="{00000000-0005-0000-0000-000074AF0000}"/>
    <cellStyle name="Migliaia 22 3 2 3 2" xfId="26120" xr:uid="{00000000-0005-0000-0000-000075AF0000}"/>
    <cellStyle name="Migliaia 22 3 2 3 3" xfId="41098" xr:uid="{00000000-0005-0000-0000-000076AF0000}"/>
    <cellStyle name="Migliaia 22 3 2 3 4" xfId="55578" xr:uid="{00000000-0005-0000-0000-000077AF0000}"/>
    <cellStyle name="Migliaia 22 3 2 4" xfId="17055" xr:uid="{00000000-0005-0000-0000-000078AF0000}"/>
    <cellStyle name="Migliaia 22 3 2 4 2" xfId="33171" xr:uid="{00000000-0005-0000-0000-000079AF0000}"/>
    <cellStyle name="Migliaia 22 3 2 4 3" xfId="48132" xr:uid="{00000000-0005-0000-0000-00007AAF0000}"/>
    <cellStyle name="Migliaia 22 3 2 5" xfId="19101" xr:uid="{00000000-0005-0000-0000-00007BAF0000}"/>
    <cellStyle name="Migliaia 22 3 2 6" xfId="34096" xr:uid="{00000000-0005-0000-0000-00007CAF0000}"/>
    <cellStyle name="Migliaia 22 3 2 7" xfId="49036" xr:uid="{00000000-0005-0000-0000-00007DAF0000}"/>
    <cellStyle name="Migliaia 22 3 2 8" xfId="49441" xr:uid="{00000000-0005-0000-0000-00007EAF0000}"/>
    <cellStyle name="Migliaia 22 3 2 9" xfId="49847" xr:uid="{00000000-0005-0000-0000-00007FAF0000}"/>
    <cellStyle name="Migliaia 22 3 3" xfId="9138" xr:uid="{00000000-0005-0000-0000-000080AF0000}"/>
    <cellStyle name="Migliaia 22 3 3 2" xfId="18213" xr:uid="{00000000-0005-0000-0000-000081AF0000}"/>
    <cellStyle name="Migliaia 22 3 3 2 2" xfId="33680" xr:uid="{00000000-0005-0000-0000-000082AF0000}"/>
    <cellStyle name="Migliaia 22 3 3 2 2 2" xfId="55165" xr:uid="{00000000-0005-0000-0000-000083AF0000}"/>
    <cellStyle name="Migliaia 22 3 3 2 3" xfId="48641" xr:uid="{00000000-0005-0000-0000-000084AF0000}"/>
    <cellStyle name="Migliaia 22 3 3 2 3 2" xfId="56087" xr:uid="{00000000-0005-0000-0000-000085AF0000}"/>
    <cellStyle name="Migliaia 22 3 3 2 4" xfId="52810" xr:uid="{00000000-0005-0000-0000-000086AF0000}"/>
    <cellStyle name="Migliaia 22 3 3 3" xfId="17056" xr:uid="{00000000-0005-0000-0000-000087AF0000}"/>
    <cellStyle name="Migliaia 22 3 3 3 2" xfId="33172" xr:uid="{00000000-0005-0000-0000-000088AF0000}"/>
    <cellStyle name="Migliaia 22 3 3 3 3" xfId="48133" xr:uid="{00000000-0005-0000-0000-000089AF0000}"/>
    <cellStyle name="Migliaia 22 3 3 3 4" xfId="54745" xr:uid="{00000000-0005-0000-0000-00008AAF0000}"/>
    <cellStyle name="Migliaia 22 3 3 4" xfId="55579" xr:uid="{00000000-0005-0000-0000-00008BAF0000}"/>
    <cellStyle name="Migliaia 22 3 3 5" xfId="52297" xr:uid="{00000000-0005-0000-0000-00008CAF0000}"/>
    <cellStyle name="Migliaia 22 3 4" xfId="9793" xr:uid="{00000000-0005-0000-0000-00008DAF0000}"/>
    <cellStyle name="Migliaia 22 3 4 2" xfId="18212" xr:uid="{00000000-0005-0000-0000-00008EAF0000}"/>
    <cellStyle name="Migliaia 22 3 4 2 2" xfId="33679" xr:uid="{00000000-0005-0000-0000-00008FAF0000}"/>
    <cellStyle name="Migliaia 22 3 4 2 3" xfId="48640" xr:uid="{00000000-0005-0000-0000-000090AF0000}"/>
    <cellStyle name="Migliaia 22 3 4 2 4" xfId="55164" xr:uid="{00000000-0005-0000-0000-000091AF0000}"/>
    <cellStyle name="Migliaia 22 3 4 3" xfId="26119" xr:uid="{00000000-0005-0000-0000-000092AF0000}"/>
    <cellStyle name="Migliaia 22 3 4 3 2" xfId="56086" xr:uid="{00000000-0005-0000-0000-000093AF0000}"/>
    <cellStyle name="Migliaia 22 3 4 4" xfId="41097" xr:uid="{00000000-0005-0000-0000-000094AF0000}"/>
    <cellStyle name="Migliaia 22 3 4 5" xfId="52809" xr:uid="{00000000-0005-0000-0000-000095AF0000}"/>
    <cellStyle name="Migliaia 22 3 5" xfId="17054" xr:uid="{00000000-0005-0000-0000-000096AF0000}"/>
    <cellStyle name="Migliaia 22 3 5 2" xfId="33170" xr:uid="{00000000-0005-0000-0000-000097AF0000}"/>
    <cellStyle name="Migliaia 22 3 5 3" xfId="48131" xr:uid="{00000000-0005-0000-0000-000098AF0000}"/>
    <cellStyle name="Migliaia 22 3 5 4" xfId="54743" xr:uid="{00000000-0005-0000-0000-000099AF0000}"/>
    <cellStyle name="Migliaia 22 3 6" xfId="19100" xr:uid="{00000000-0005-0000-0000-00009AAF0000}"/>
    <cellStyle name="Migliaia 22 3 6 2" xfId="55577" xr:uid="{00000000-0005-0000-0000-00009BAF0000}"/>
    <cellStyle name="Migliaia 22 3 7" xfId="34095" xr:uid="{00000000-0005-0000-0000-00009CAF0000}"/>
    <cellStyle name="Migliaia 22 3 8" xfId="49035" xr:uid="{00000000-0005-0000-0000-00009DAF0000}"/>
    <cellStyle name="Migliaia 22 3 9" xfId="49440" xr:uid="{00000000-0005-0000-0000-00009EAF0000}"/>
    <cellStyle name="Migliaia 22 4" xfId="9140" xr:uid="{00000000-0005-0000-0000-00009FAF0000}"/>
    <cellStyle name="Migliaia 22 4 2" xfId="17058" xr:uid="{00000000-0005-0000-0000-0000A0AF0000}"/>
    <cellStyle name="Migliaia 22 4 2 2" xfId="18215" xr:uid="{00000000-0005-0000-0000-0000A1AF0000}"/>
    <cellStyle name="Migliaia 22 4 2 2 2" xfId="33682" xr:uid="{00000000-0005-0000-0000-0000A2AF0000}"/>
    <cellStyle name="Migliaia 22 4 2 2 2 2" xfId="55167" xr:uid="{00000000-0005-0000-0000-0000A3AF0000}"/>
    <cellStyle name="Migliaia 22 4 2 2 3" xfId="48643" xr:uid="{00000000-0005-0000-0000-0000A4AF0000}"/>
    <cellStyle name="Migliaia 22 4 2 2 3 2" xfId="56089" xr:uid="{00000000-0005-0000-0000-0000A5AF0000}"/>
    <cellStyle name="Migliaia 22 4 2 2 4" xfId="52812" xr:uid="{00000000-0005-0000-0000-0000A6AF0000}"/>
    <cellStyle name="Migliaia 22 4 2 3" xfId="33174" xr:uid="{00000000-0005-0000-0000-0000A7AF0000}"/>
    <cellStyle name="Migliaia 22 4 2 3 2" xfId="54747" xr:uid="{00000000-0005-0000-0000-0000A8AF0000}"/>
    <cellStyle name="Migliaia 22 4 2 4" xfId="48135" xr:uid="{00000000-0005-0000-0000-0000A9AF0000}"/>
    <cellStyle name="Migliaia 22 4 2 4 2" xfId="55581" xr:uid="{00000000-0005-0000-0000-0000AAAF0000}"/>
    <cellStyle name="Migliaia 22 4 2 5" xfId="52299" xr:uid="{00000000-0005-0000-0000-0000ABAF0000}"/>
    <cellStyle name="Migliaia 22 4 3" xfId="18214" xr:uid="{00000000-0005-0000-0000-0000ACAF0000}"/>
    <cellStyle name="Migliaia 22 4 3 2" xfId="33681" xr:uid="{00000000-0005-0000-0000-0000ADAF0000}"/>
    <cellStyle name="Migliaia 22 4 3 2 2" xfId="55166" xr:uid="{00000000-0005-0000-0000-0000AEAF0000}"/>
    <cellStyle name="Migliaia 22 4 3 3" xfId="48642" xr:uid="{00000000-0005-0000-0000-0000AFAF0000}"/>
    <cellStyle name="Migliaia 22 4 3 3 2" xfId="56088" xr:uid="{00000000-0005-0000-0000-0000B0AF0000}"/>
    <cellStyle name="Migliaia 22 4 3 4" xfId="52811" xr:uid="{00000000-0005-0000-0000-0000B1AF0000}"/>
    <cellStyle name="Migliaia 22 4 4" xfId="17057" xr:uid="{00000000-0005-0000-0000-0000B2AF0000}"/>
    <cellStyle name="Migliaia 22 4 4 2" xfId="33173" xr:uid="{00000000-0005-0000-0000-0000B3AF0000}"/>
    <cellStyle name="Migliaia 22 4 4 3" xfId="48134" xr:uid="{00000000-0005-0000-0000-0000B4AF0000}"/>
    <cellStyle name="Migliaia 22 4 4 4" xfId="54746" xr:uid="{00000000-0005-0000-0000-0000B5AF0000}"/>
    <cellStyle name="Migliaia 22 4 5" xfId="51209" xr:uid="{00000000-0005-0000-0000-0000B6AF0000}"/>
    <cellStyle name="Migliaia 22 4 5 2" xfId="55580" xr:uid="{00000000-0005-0000-0000-0000B7AF0000}"/>
    <cellStyle name="Migliaia 22 4 6" xfId="52298" xr:uid="{00000000-0005-0000-0000-0000B8AF0000}"/>
    <cellStyle name="Migliaia 22 5" xfId="9141" xr:uid="{00000000-0005-0000-0000-0000B9AF0000}"/>
    <cellStyle name="Migliaia 22 5 2" xfId="17059" xr:uid="{00000000-0005-0000-0000-0000BAAF0000}"/>
    <cellStyle name="Migliaia 22 5 2 2" xfId="33175" xr:uid="{00000000-0005-0000-0000-0000BBAF0000}"/>
    <cellStyle name="Migliaia 22 5 2 3" xfId="48136" xr:uid="{00000000-0005-0000-0000-0000BCAF0000}"/>
    <cellStyle name="Migliaia 22 5 2 4" xfId="54748" xr:uid="{00000000-0005-0000-0000-0000BDAF0000}"/>
    <cellStyle name="Migliaia 22 5 3" xfId="51136" xr:uid="{00000000-0005-0000-0000-0000BEAF0000}"/>
    <cellStyle name="Migliaia 22 5 3 2" xfId="55582" xr:uid="{00000000-0005-0000-0000-0000BFAF0000}"/>
    <cellStyle name="Migliaia 22 5 4" xfId="52300" xr:uid="{00000000-0005-0000-0000-0000C0AF0000}"/>
    <cellStyle name="Migliaia 22 6" xfId="9136" xr:uid="{00000000-0005-0000-0000-0000C1AF0000}"/>
    <cellStyle name="Migliaia 22 6 2" xfId="50991" xr:uid="{00000000-0005-0000-0000-0000C2AF0000}"/>
    <cellStyle name="Migliaia 22 6 3" xfId="54541" xr:uid="{00000000-0005-0000-0000-0000C3AF0000}"/>
    <cellStyle name="Migliaia 22 7" xfId="9791" xr:uid="{00000000-0005-0000-0000-0000C4AF0000}"/>
    <cellStyle name="Migliaia 22 7 2" xfId="26117" xr:uid="{00000000-0005-0000-0000-0000C5AF0000}"/>
    <cellStyle name="Migliaia 22 7 3" xfId="41095" xr:uid="{00000000-0005-0000-0000-0000C6AF0000}"/>
    <cellStyle name="Migliaia 22 7 4" xfId="55575" xr:uid="{00000000-0005-0000-0000-0000C7AF0000}"/>
    <cellStyle name="Migliaia 22 8" xfId="17052" xr:uid="{00000000-0005-0000-0000-0000C8AF0000}"/>
    <cellStyle name="Migliaia 22 8 2" xfId="33168" xr:uid="{00000000-0005-0000-0000-0000C9AF0000}"/>
    <cellStyle name="Migliaia 22 8 3" xfId="48129" xr:uid="{00000000-0005-0000-0000-0000CAAF0000}"/>
    <cellStyle name="Migliaia 22 9" xfId="19098" xr:uid="{00000000-0005-0000-0000-0000CBAF0000}"/>
    <cellStyle name="Migliaia 23" xfId="345" xr:uid="{00000000-0005-0000-0000-0000CCAF0000}"/>
    <cellStyle name="Migliaia 23 10" xfId="34097" xr:uid="{00000000-0005-0000-0000-0000CDAF0000}"/>
    <cellStyle name="Migliaia 23 11" xfId="49037" xr:uid="{00000000-0005-0000-0000-0000CEAF0000}"/>
    <cellStyle name="Migliaia 23 12" xfId="49442" xr:uid="{00000000-0005-0000-0000-0000CFAF0000}"/>
    <cellStyle name="Migliaia 23 13" xfId="49848" xr:uid="{00000000-0005-0000-0000-0000D0AF0000}"/>
    <cellStyle name="Migliaia 23 14" xfId="50256" xr:uid="{00000000-0005-0000-0000-0000D1AF0000}"/>
    <cellStyle name="Migliaia 23 15" xfId="50698" xr:uid="{00000000-0005-0000-0000-0000D2AF0000}"/>
    <cellStyle name="Migliaia 23 16" xfId="51417" xr:uid="{00000000-0005-0000-0000-0000D3AF0000}"/>
    <cellStyle name="Migliaia 23 17" xfId="51830" xr:uid="{00000000-0005-0000-0000-0000D4AF0000}"/>
    <cellStyle name="Migliaia 23 18" xfId="52301" xr:uid="{00000000-0005-0000-0000-0000D5AF0000}"/>
    <cellStyle name="Migliaia 23 2" xfId="346" xr:uid="{00000000-0005-0000-0000-0000D6AF0000}"/>
    <cellStyle name="Migliaia 23 2 10" xfId="49849" xr:uid="{00000000-0005-0000-0000-0000D7AF0000}"/>
    <cellStyle name="Migliaia 23 2 11" xfId="50257" xr:uid="{00000000-0005-0000-0000-0000D8AF0000}"/>
    <cellStyle name="Migliaia 23 2 12" xfId="50699" xr:uid="{00000000-0005-0000-0000-0000D9AF0000}"/>
    <cellStyle name="Migliaia 23 2 13" xfId="51418" xr:uid="{00000000-0005-0000-0000-0000DAAF0000}"/>
    <cellStyle name="Migliaia 23 2 14" xfId="51831" xr:uid="{00000000-0005-0000-0000-0000DBAF0000}"/>
    <cellStyle name="Migliaia 23 2 15" xfId="52302" xr:uid="{00000000-0005-0000-0000-0000DCAF0000}"/>
    <cellStyle name="Migliaia 23 2 2" xfId="1258" xr:uid="{00000000-0005-0000-0000-0000DDAF0000}"/>
    <cellStyle name="Migliaia 23 2 2 10" xfId="51052" xr:uid="{00000000-0005-0000-0000-0000DEAF0000}"/>
    <cellStyle name="Migliaia 23 2 2 11" xfId="51648" xr:uid="{00000000-0005-0000-0000-0000DFAF0000}"/>
    <cellStyle name="Migliaia 23 2 2 12" xfId="52069" xr:uid="{00000000-0005-0000-0000-0000E0AF0000}"/>
    <cellStyle name="Migliaia 23 2 2 13" xfId="52813" xr:uid="{00000000-0005-0000-0000-0000E1AF0000}"/>
    <cellStyle name="Migliaia 23 2 2 2" xfId="10026" xr:uid="{00000000-0005-0000-0000-0000E2AF0000}"/>
    <cellStyle name="Migliaia 23 2 2 2 2" xfId="26347" xr:uid="{00000000-0005-0000-0000-0000E3AF0000}"/>
    <cellStyle name="Migliaia 23 2 2 2 3" xfId="41315" xr:uid="{00000000-0005-0000-0000-0000E4AF0000}"/>
    <cellStyle name="Migliaia 23 2 2 2 4" xfId="55168" xr:uid="{00000000-0005-0000-0000-0000E5AF0000}"/>
    <cellStyle name="Migliaia 23 2 2 3" xfId="18216" xr:uid="{00000000-0005-0000-0000-0000E6AF0000}"/>
    <cellStyle name="Migliaia 23 2 2 3 2" xfId="33683" xr:uid="{00000000-0005-0000-0000-0000E7AF0000}"/>
    <cellStyle name="Migliaia 23 2 2 3 3" xfId="48644" xr:uid="{00000000-0005-0000-0000-0000E8AF0000}"/>
    <cellStyle name="Migliaia 23 2 2 3 4" xfId="56090" xr:uid="{00000000-0005-0000-0000-0000E9AF0000}"/>
    <cellStyle name="Migliaia 23 2 2 4" xfId="19326" xr:uid="{00000000-0005-0000-0000-0000EAAF0000}"/>
    <cellStyle name="Migliaia 23 2 2 5" xfId="34316" xr:uid="{00000000-0005-0000-0000-0000EBAF0000}"/>
    <cellStyle name="Migliaia 23 2 2 6" xfId="49268" xr:uid="{00000000-0005-0000-0000-0000ECAF0000}"/>
    <cellStyle name="Migliaia 23 2 2 7" xfId="49673" xr:uid="{00000000-0005-0000-0000-0000EDAF0000}"/>
    <cellStyle name="Migliaia 23 2 2 8" xfId="50082" xr:uid="{00000000-0005-0000-0000-0000EEAF0000}"/>
    <cellStyle name="Migliaia 23 2 2 9" xfId="50487" xr:uid="{00000000-0005-0000-0000-0000EFAF0000}"/>
    <cellStyle name="Migliaia 23 2 3" xfId="9143" xr:uid="{00000000-0005-0000-0000-0000F0AF0000}"/>
    <cellStyle name="Migliaia 23 2 3 2" xfId="54606" xr:uid="{00000000-0005-0000-0000-0000F1AF0000}"/>
    <cellStyle name="Migliaia 23 2 4" xfId="9796" xr:uid="{00000000-0005-0000-0000-0000F2AF0000}"/>
    <cellStyle name="Migliaia 23 2 4 2" xfId="26122" xr:uid="{00000000-0005-0000-0000-0000F3AF0000}"/>
    <cellStyle name="Migliaia 23 2 4 3" xfId="41100" xr:uid="{00000000-0005-0000-0000-0000F4AF0000}"/>
    <cellStyle name="Migliaia 23 2 4 4" xfId="55584" xr:uid="{00000000-0005-0000-0000-0000F5AF0000}"/>
    <cellStyle name="Migliaia 23 2 5" xfId="17061" xr:uid="{00000000-0005-0000-0000-0000F6AF0000}"/>
    <cellStyle name="Migliaia 23 2 5 2" xfId="33177" xr:uid="{00000000-0005-0000-0000-0000F7AF0000}"/>
    <cellStyle name="Migliaia 23 2 5 3" xfId="48138" xr:uid="{00000000-0005-0000-0000-0000F8AF0000}"/>
    <cellStyle name="Migliaia 23 2 6" xfId="19103" xr:uid="{00000000-0005-0000-0000-0000F9AF0000}"/>
    <cellStyle name="Migliaia 23 2 7" xfId="34098" xr:uid="{00000000-0005-0000-0000-0000FAAF0000}"/>
    <cellStyle name="Migliaia 23 2 8" xfId="49038" xr:uid="{00000000-0005-0000-0000-0000FBAF0000}"/>
    <cellStyle name="Migliaia 23 2 9" xfId="49443" xr:uid="{00000000-0005-0000-0000-0000FCAF0000}"/>
    <cellStyle name="Migliaia 23 3" xfId="347" xr:uid="{00000000-0005-0000-0000-0000FDAF0000}"/>
    <cellStyle name="Migliaia 23 3 10" xfId="49850" xr:uid="{00000000-0005-0000-0000-0000FEAF0000}"/>
    <cellStyle name="Migliaia 23 3 11" xfId="50258" xr:uid="{00000000-0005-0000-0000-0000FFAF0000}"/>
    <cellStyle name="Migliaia 23 3 12" xfId="50700" xr:uid="{00000000-0005-0000-0000-000000B00000}"/>
    <cellStyle name="Migliaia 23 3 13" xfId="51419" xr:uid="{00000000-0005-0000-0000-000001B00000}"/>
    <cellStyle name="Migliaia 23 3 14" xfId="51832" xr:uid="{00000000-0005-0000-0000-000002B00000}"/>
    <cellStyle name="Migliaia 23 3 15" xfId="52303" xr:uid="{00000000-0005-0000-0000-000003B00000}"/>
    <cellStyle name="Migliaia 23 3 2" xfId="348" xr:uid="{00000000-0005-0000-0000-000004B00000}"/>
    <cellStyle name="Migliaia 23 3 2 10" xfId="50259" xr:uid="{00000000-0005-0000-0000-000005B00000}"/>
    <cellStyle name="Migliaia 23 3 2 11" xfId="50701" xr:uid="{00000000-0005-0000-0000-000006B00000}"/>
    <cellStyle name="Migliaia 23 3 2 12" xfId="51420" xr:uid="{00000000-0005-0000-0000-000007B00000}"/>
    <cellStyle name="Migliaia 23 3 2 13" xfId="51833" xr:uid="{00000000-0005-0000-0000-000008B00000}"/>
    <cellStyle name="Migliaia 23 3 2 14" xfId="52304" xr:uid="{00000000-0005-0000-0000-000009B00000}"/>
    <cellStyle name="Migliaia 23 3 2 2" xfId="9145" xr:uid="{00000000-0005-0000-0000-00000AB00000}"/>
    <cellStyle name="Migliaia 23 3 2 2 2" xfId="54750" xr:uid="{00000000-0005-0000-0000-00000BB00000}"/>
    <cellStyle name="Migliaia 23 3 2 3" xfId="9798" xr:uid="{00000000-0005-0000-0000-00000CB00000}"/>
    <cellStyle name="Migliaia 23 3 2 3 2" xfId="26124" xr:uid="{00000000-0005-0000-0000-00000DB00000}"/>
    <cellStyle name="Migliaia 23 3 2 3 3" xfId="41102" xr:uid="{00000000-0005-0000-0000-00000EB00000}"/>
    <cellStyle name="Migliaia 23 3 2 3 4" xfId="55586" xr:uid="{00000000-0005-0000-0000-00000FB00000}"/>
    <cellStyle name="Migliaia 23 3 2 4" xfId="17063" xr:uid="{00000000-0005-0000-0000-000010B00000}"/>
    <cellStyle name="Migliaia 23 3 2 4 2" xfId="33179" xr:uid="{00000000-0005-0000-0000-000011B00000}"/>
    <cellStyle name="Migliaia 23 3 2 4 3" xfId="48140" xr:uid="{00000000-0005-0000-0000-000012B00000}"/>
    <cellStyle name="Migliaia 23 3 2 5" xfId="19105" xr:uid="{00000000-0005-0000-0000-000013B00000}"/>
    <cellStyle name="Migliaia 23 3 2 6" xfId="34100" xr:uid="{00000000-0005-0000-0000-000014B00000}"/>
    <cellStyle name="Migliaia 23 3 2 7" xfId="49040" xr:uid="{00000000-0005-0000-0000-000015B00000}"/>
    <cellStyle name="Migliaia 23 3 2 8" xfId="49445" xr:uid="{00000000-0005-0000-0000-000016B00000}"/>
    <cellStyle name="Migliaia 23 3 2 9" xfId="49851" xr:uid="{00000000-0005-0000-0000-000017B00000}"/>
    <cellStyle name="Migliaia 23 3 3" xfId="9144" xr:uid="{00000000-0005-0000-0000-000018B00000}"/>
    <cellStyle name="Migliaia 23 3 3 2" xfId="18218" xr:uid="{00000000-0005-0000-0000-000019B00000}"/>
    <cellStyle name="Migliaia 23 3 3 2 2" xfId="33685" xr:uid="{00000000-0005-0000-0000-00001AB00000}"/>
    <cellStyle name="Migliaia 23 3 3 2 2 2" xfId="55170" xr:uid="{00000000-0005-0000-0000-00001BB00000}"/>
    <cellStyle name="Migliaia 23 3 3 2 3" xfId="48646" xr:uid="{00000000-0005-0000-0000-00001CB00000}"/>
    <cellStyle name="Migliaia 23 3 3 2 3 2" xfId="56092" xr:uid="{00000000-0005-0000-0000-00001DB00000}"/>
    <cellStyle name="Migliaia 23 3 3 2 4" xfId="52815" xr:uid="{00000000-0005-0000-0000-00001EB00000}"/>
    <cellStyle name="Migliaia 23 3 3 3" xfId="17064" xr:uid="{00000000-0005-0000-0000-00001FB00000}"/>
    <cellStyle name="Migliaia 23 3 3 3 2" xfId="33180" xr:uid="{00000000-0005-0000-0000-000020B00000}"/>
    <cellStyle name="Migliaia 23 3 3 3 3" xfId="48141" xr:uid="{00000000-0005-0000-0000-000021B00000}"/>
    <cellStyle name="Migliaia 23 3 3 3 4" xfId="54751" xr:uid="{00000000-0005-0000-0000-000022B00000}"/>
    <cellStyle name="Migliaia 23 3 3 4" xfId="55587" xr:uid="{00000000-0005-0000-0000-000023B00000}"/>
    <cellStyle name="Migliaia 23 3 3 5" xfId="52305" xr:uid="{00000000-0005-0000-0000-000024B00000}"/>
    <cellStyle name="Migliaia 23 3 4" xfId="9797" xr:uid="{00000000-0005-0000-0000-000025B00000}"/>
    <cellStyle name="Migliaia 23 3 4 2" xfId="18217" xr:uid="{00000000-0005-0000-0000-000026B00000}"/>
    <cellStyle name="Migliaia 23 3 4 2 2" xfId="33684" xr:uid="{00000000-0005-0000-0000-000027B00000}"/>
    <cellStyle name="Migliaia 23 3 4 2 3" xfId="48645" xr:uid="{00000000-0005-0000-0000-000028B00000}"/>
    <cellStyle name="Migliaia 23 3 4 2 4" xfId="55169" xr:uid="{00000000-0005-0000-0000-000029B00000}"/>
    <cellStyle name="Migliaia 23 3 4 3" xfId="26123" xr:uid="{00000000-0005-0000-0000-00002AB00000}"/>
    <cellStyle name="Migliaia 23 3 4 3 2" xfId="56091" xr:uid="{00000000-0005-0000-0000-00002BB00000}"/>
    <cellStyle name="Migliaia 23 3 4 4" xfId="41101" xr:uid="{00000000-0005-0000-0000-00002CB00000}"/>
    <cellStyle name="Migliaia 23 3 4 5" xfId="52814" xr:uid="{00000000-0005-0000-0000-00002DB00000}"/>
    <cellStyle name="Migliaia 23 3 5" xfId="17062" xr:uid="{00000000-0005-0000-0000-00002EB00000}"/>
    <cellStyle name="Migliaia 23 3 5 2" xfId="33178" xr:uid="{00000000-0005-0000-0000-00002FB00000}"/>
    <cellStyle name="Migliaia 23 3 5 3" xfId="48139" xr:uid="{00000000-0005-0000-0000-000030B00000}"/>
    <cellStyle name="Migliaia 23 3 5 4" xfId="54749" xr:uid="{00000000-0005-0000-0000-000031B00000}"/>
    <cellStyle name="Migliaia 23 3 6" xfId="19104" xr:uid="{00000000-0005-0000-0000-000032B00000}"/>
    <cellStyle name="Migliaia 23 3 6 2" xfId="55585" xr:uid="{00000000-0005-0000-0000-000033B00000}"/>
    <cellStyle name="Migliaia 23 3 7" xfId="34099" xr:uid="{00000000-0005-0000-0000-000034B00000}"/>
    <cellStyle name="Migliaia 23 3 8" xfId="49039" xr:uid="{00000000-0005-0000-0000-000035B00000}"/>
    <cellStyle name="Migliaia 23 3 9" xfId="49444" xr:uid="{00000000-0005-0000-0000-000036B00000}"/>
    <cellStyle name="Migliaia 23 4" xfId="9146" xr:uid="{00000000-0005-0000-0000-000037B00000}"/>
    <cellStyle name="Migliaia 23 4 2" xfId="17066" xr:uid="{00000000-0005-0000-0000-000038B00000}"/>
    <cellStyle name="Migliaia 23 4 2 2" xfId="18220" xr:uid="{00000000-0005-0000-0000-000039B00000}"/>
    <cellStyle name="Migliaia 23 4 2 2 2" xfId="33687" xr:uid="{00000000-0005-0000-0000-00003AB00000}"/>
    <cellStyle name="Migliaia 23 4 2 2 2 2" xfId="55172" xr:uid="{00000000-0005-0000-0000-00003BB00000}"/>
    <cellStyle name="Migliaia 23 4 2 2 3" xfId="48648" xr:uid="{00000000-0005-0000-0000-00003CB00000}"/>
    <cellStyle name="Migliaia 23 4 2 2 3 2" xfId="56094" xr:uid="{00000000-0005-0000-0000-00003DB00000}"/>
    <cellStyle name="Migliaia 23 4 2 2 4" xfId="52817" xr:uid="{00000000-0005-0000-0000-00003EB00000}"/>
    <cellStyle name="Migliaia 23 4 2 3" xfId="33182" xr:uid="{00000000-0005-0000-0000-00003FB00000}"/>
    <cellStyle name="Migliaia 23 4 2 3 2" xfId="54753" xr:uid="{00000000-0005-0000-0000-000040B00000}"/>
    <cellStyle name="Migliaia 23 4 2 4" xfId="48143" xr:uid="{00000000-0005-0000-0000-000041B00000}"/>
    <cellStyle name="Migliaia 23 4 2 4 2" xfId="55589" xr:uid="{00000000-0005-0000-0000-000042B00000}"/>
    <cellStyle name="Migliaia 23 4 2 5" xfId="52307" xr:uid="{00000000-0005-0000-0000-000043B00000}"/>
    <cellStyle name="Migliaia 23 4 3" xfId="18219" xr:uid="{00000000-0005-0000-0000-000044B00000}"/>
    <cellStyle name="Migliaia 23 4 3 2" xfId="33686" xr:uid="{00000000-0005-0000-0000-000045B00000}"/>
    <cellStyle name="Migliaia 23 4 3 2 2" xfId="55171" xr:uid="{00000000-0005-0000-0000-000046B00000}"/>
    <cellStyle name="Migliaia 23 4 3 3" xfId="48647" xr:uid="{00000000-0005-0000-0000-000047B00000}"/>
    <cellStyle name="Migliaia 23 4 3 3 2" xfId="56093" xr:uid="{00000000-0005-0000-0000-000048B00000}"/>
    <cellStyle name="Migliaia 23 4 3 4" xfId="52816" xr:uid="{00000000-0005-0000-0000-000049B00000}"/>
    <cellStyle name="Migliaia 23 4 4" xfId="17065" xr:uid="{00000000-0005-0000-0000-00004AB00000}"/>
    <cellStyle name="Migliaia 23 4 4 2" xfId="33181" xr:uid="{00000000-0005-0000-0000-00004BB00000}"/>
    <cellStyle name="Migliaia 23 4 4 3" xfId="48142" xr:uid="{00000000-0005-0000-0000-00004CB00000}"/>
    <cellStyle name="Migliaia 23 4 4 4" xfId="54752" xr:uid="{00000000-0005-0000-0000-00004DB00000}"/>
    <cellStyle name="Migliaia 23 4 5" xfId="51135" xr:uid="{00000000-0005-0000-0000-00004EB00000}"/>
    <cellStyle name="Migliaia 23 4 5 2" xfId="55588" xr:uid="{00000000-0005-0000-0000-00004FB00000}"/>
    <cellStyle name="Migliaia 23 4 6" xfId="52306" xr:uid="{00000000-0005-0000-0000-000050B00000}"/>
    <cellStyle name="Migliaia 23 5" xfId="9147" xr:uid="{00000000-0005-0000-0000-000051B00000}"/>
    <cellStyle name="Migliaia 23 5 2" xfId="17067" xr:uid="{00000000-0005-0000-0000-000052B00000}"/>
    <cellStyle name="Migliaia 23 5 2 2" xfId="33183" xr:uid="{00000000-0005-0000-0000-000053B00000}"/>
    <cellStyle name="Migliaia 23 5 2 3" xfId="48144" xr:uid="{00000000-0005-0000-0000-000054B00000}"/>
    <cellStyle name="Migliaia 23 5 2 4" xfId="54754" xr:uid="{00000000-0005-0000-0000-000055B00000}"/>
    <cellStyle name="Migliaia 23 5 3" xfId="50990" xr:uid="{00000000-0005-0000-0000-000056B00000}"/>
    <cellStyle name="Migliaia 23 5 3 2" xfId="55590" xr:uid="{00000000-0005-0000-0000-000057B00000}"/>
    <cellStyle name="Migliaia 23 5 4" xfId="52308" xr:uid="{00000000-0005-0000-0000-000058B00000}"/>
    <cellStyle name="Migliaia 23 6" xfId="9142" xr:uid="{00000000-0005-0000-0000-000059B00000}"/>
    <cellStyle name="Migliaia 23 6 2" xfId="51210" xr:uid="{00000000-0005-0000-0000-00005AB00000}"/>
    <cellStyle name="Migliaia 23 6 3" xfId="54542" xr:uid="{00000000-0005-0000-0000-00005BB00000}"/>
    <cellStyle name="Migliaia 23 7" xfId="9795" xr:uid="{00000000-0005-0000-0000-00005CB00000}"/>
    <cellStyle name="Migliaia 23 7 2" xfId="26121" xr:uid="{00000000-0005-0000-0000-00005DB00000}"/>
    <cellStyle name="Migliaia 23 7 3" xfId="41099" xr:uid="{00000000-0005-0000-0000-00005EB00000}"/>
    <cellStyle name="Migliaia 23 7 4" xfId="55583" xr:uid="{00000000-0005-0000-0000-00005FB00000}"/>
    <cellStyle name="Migliaia 23 8" xfId="17060" xr:uid="{00000000-0005-0000-0000-000060B00000}"/>
    <cellStyle name="Migliaia 23 8 2" xfId="33176" xr:uid="{00000000-0005-0000-0000-000061B00000}"/>
    <cellStyle name="Migliaia 23 8 3" xfId="48137" xr:uid="{00000000-0005-0000-0000-000062B00000}"/>
    <cellStyle name="Migliaia 23 9" xfId="19102" xr:uid="{00000000-0005-0000-0000-000063B00000}"/>
    <cellStyle name="Migliaia 24" xfId="349" xr:uid="{00000000-0005-0000-0000-000064B00000}"/>
    <cellStyle name="Migliaia 24 10" xfId="34101" xr:uid="{00000000-0005-0000-0000-000065B00000}"/>
    <cellStyle name="Migliaia 24 11" xfId="49041" xr:uid="{00000000-0005-0000-0000-000066B00000}"/>
    <cellStyle name="Migliaia 24 12" xfId="49446" xr:uid="{00000000-0005-0000-0000-000067B00000}"/>
    <cellStyle name="Migliaia 24 13" xfId="49852" xr:uid="{00000000-0005-0000-0000-000068B00000}"/>
    <cellStyle name="Migliaia 24 14" xfId="50260" xr:uid="{00000000-0005-0000-0000-000069B00000}"/>
    <cellStyle name="Migliaia 24 15" xfId="50702" xr:uid="{00000000-0005-0000-0000-00006AB00000}"/>
    <cellStyle name="Migliaia 24 16" xfId="51421" xr:uid="{00000000-0005-0000-0000-00006BB00000}"/>
    <cellStyle name="Migliaia 24 17" xfId="51834" xr:uid="{00000000-0005-0000-0000-00006CB00000}"/>
    <cellStyle name="Migliaia 24 18" xfId="52309" xr:uid="{00000000-0005-0000-0000-00006DB00000}"/>
    <cellStyle name="Migliaia 24 2" xfId="350" xr:uid="{00000000-0005-0000-0000-00006EB00000}"/>
    <cellStyle name="Migliaia 24 2 10" xfId="49853" xr:uid="{00000000-0005-0000-0000-00006FB00000}"/>
    <cellStyle name="Migliaia 24 2 11" xfId="50261" xr:uid="{00000000-0005-0000-0000-000070B00000}"/>
    <cellStyle name="Migliaia 24 2 12" xfId="50703" xr:uid="{00000000-0005-0000-0000-000071B00000}"/>
    <cellStyle name="Migliaia 24 2 13" xfId="51422" xr:uid="{00000000-0005-0000-0000-000072B00000}"/>
    <cellStyle name="Migliaia 24 2 14" xfId="51835" xr:uid="{00000000-0005-0000-0000-000073B00000}"/>
    <cellStyle name="Migliaia 24 2 15" xfId="52310" xr:uid="{00000000-0005-0000-0000-000074B00000}"/>
    <cellStyle name="Migliaia 24 2 2" xfId="1259" xr:uid="{00000000-0005-0000-0000-000075B00000}"/>
    <cellStyle name="Migliaia 24 2 2 10" xfId="51053" xr:uid="{00000000-0005-0000-0000-000076B00000}"/>
    <cellStyle name="Migliaia 24 2 2 11" xfId="51649" xr:uid="{00000000-0005-0000-0000-000077B00000}"/>
    <cellStyle name="Migliaia 24 2 2 12" xfId="52070" xr:uid="{00000000-0005-0000-0000-000078B00000}"/>
    <cellStyle name="Migliaia 24 2 2 13" xfId="52818" xr:uid="{00000000-0005-0000-0000-000079B00000}"/>
    <cellStyle name="Migliaia 24 2 2 2" xfId="10027" xr:uid="{00000000-0005-0000-0000-00007AB00000}"/>
    <cellStyle name="Migliaia 24 2 2 2 2" xfId="26348" xr:uid="{00000000-0005-0000-0000-00007BB00000}"/>
    <cellStyle name="Migliaia 24 2 2 2 3" xfId="41316" xr:uid="{00000000-0005-0000-0000-00007CB00000}"/>
    <cellStyle name="Migliaia 24 2 2 2 4" xfId="55173" xr:uid="{00000000-0005-0000-0000-00007DB00000}"/>
    <cellStyle name="Migliaia 24 2 2 3" xfId="18221" xr:uid="{00000000-0005-0000-0000-00007EB00000}"/>
    <cellStyle name="Migliaia 24 2 2 3 2" xfId="33688" xr:uid="{00000000-0005-0000-0000-00007FB00000}"/>
    <cellStyle name="Migliaia 24 2 2 3 3" xfId="48649" xr:uid="{00000000-0005-0000-0000-000080B00000}"/>
    <cellStyle name="Migliaia 24 2 2 3 4" xfId="56095" xr:uid="{00000000-0005-0000-0000-000081B00000}"/>
    <cellStyle name="Migliaia 24 2 2 4" xfId="19327" xr:uid="{00000000-0005-0000-0000-000082B00000}"/>
    <cellStyle name="Migliaia 24 2 2 5" xfId="34317" xr:uid="{00000000-0005-0000-0000-000083B00000}"/>
    <cellStyle name="Migliaia 24 2 2 6" xfId="49269" xr:uid="{00000000-0005-0000-0000-000084B00000}"/>
    <cellStyle name="Migliaia 24 2 2 7" xfId="49674" xr:uid="{00000000-0005-0000-0000-000085B00000}"/>
    <cellStyle name="Migliaia 24 2 2 8" xfId="50083" xr:uid="{00000000-0005-0000-0000-000086B00000}"/>
    <cellStyle name="Migliaia 24 2 2 9" xfId="50488" xr:uid="{00000000-0005-0000-0000-000087B00000}"/>
    <cellStyle name="Migliaia 24 2 3" xfId="9149" xr:uid="{00000000-0005-0000-0000-000088B00000}"/>
    <cellStyle name="Migliaia 24 2 3 2" xfId="54607" xr:uid="{00000000-0005-0000-0000-000089B00000}"/>
    <cellStyle name="Migliaia 24 2 4" xfId="9800" xr:uid="{00000000-0005-0000-0000-00008AB00000}"/>
    <cellStyle name="Migliaia 24 2 4 2" xfId="26126" xr:uid="{00000000-0005-0000-0000-00008BB00000}"/>
    <cellStyle name="Migliaia 24 2 4 3" xfId="41104" xr:uid="{00000000-0005-0000-0000-00008CB00000}"/>
    <cellStyle name="Migliaia 24 2 4 4" xfId="55592" xr:uid="{00000000-0005-0000-0000-00008DB00000}"/>
    <cellStyle name="Migliaia 24 2 5" xfId="17069" xr:uid="{00000000-0005-0000-0000-00008EB00000}"/>
    <cellStyle name="Migliaia 24 2 5 2" xfId="33185" xr:uid="{00000000-0005-0000-0000-00008FB00000}"/>
    <cellStyle name="Migliaia 24 2 5 3" xfId="48146" xr:uid="{00000000-0005-0000-0000-000090B00000}"/>
    <cellStyle name="Migliaia 24 2 6" xfId="19107" xr:uid="{00000000-0005-0000-0000-000091B00000}"/>
    <cellStyle name="Migliaia 24 2 7" xfId="34102" xr:uid="{00000000-0005-0000-0000-000092B00000}"/>
    <cellStyle name="Migliaia 24 2 8" xfId="49042" xr:uid="{00000000-0005-0000-0000-000093B00000}"/>
    <cellStyle name="Migliaia 24 2 9" xfId="49447" xr:uid="{00000000-0005-0000-0000-000094B00000}"/>
    <cellStyle name="Migliaia 24 3" xfId="351" xr:uid="{00000000-0005-0000-0000-000095B00000}"/>
    <cellStyle name="Migliaia 24 3 10" xfId="49854" xr:uid="{00000000-0005-0000-0000-000096B00000}"/>
    <cellStyle name="Migliaia 24 3 11" xfId="50262" xr:uid="{00000000-0005-0000-0000-000097B00000}"/>
    <cellStyle name="Migliaia 24 3 12" xfId="50704" xr:uid="{00000000-0005-0000-0000-000098B00000}"/>
    <cellStyle name="Migliaia 24 3 13" xfId="51423" xr:uid="{00000000-0005-0000-0000-000099B00000}"/>
    <cellStyle name="Migliaia 24 3 14" xfId="51836" xr:uid="{00000000-0005-0000-0000-00009AB00000}"/>
    <cellStyle name="Migliaia 24 3 15" xfId="52311" xr:uid="{00000000-0005-0000-0000-00009BB00000}"/>
    <cellStyle name="Migliaia 24 3 2" xfId="352" xr:uid="{00000000-0005-0000-0000-00009CB00000}"/>
    <cellStyle name="Migliaia 24 3 2 10" xfId="50263" xr:uid="{00000000-0005-0000-0000-00009DB00000}"/>
    <cellStyle name="Migliaia 24 3 2 11" xfId="50705" xr:uid="{00000000-0005-0000-0000-00009EB00000}"/>
    <cellStyle name="Migliaia 24 3 2 12" xfId="51424" xr:uid="{00000000-0005-0000-0000-00009FB00000}"/>
    <cellStyle name="Migliaia 24 3 2 13" xfId="51837" xr:uid="{00000000-0005-0000-0000-0000A0B00000}"/>
    <cellStyle name="Migliaia 24 3 2 14" xfId="52312" xr:uid="{00000000-0005-0000-0000-0000A1B00000}"/>
    <cellStyle name="Migliaia 24 3 2 2" xfId="9151" xr:uid="{00000000-0005-0000-0000-0000A2B00000}"/>
    <cellStyle name="Migliaia 24 3 2 2 2" xfId="54756" xr:uid="{00000000-0005-0000-0000-0000A3B00000}"/>
    <cellStyle name="Migliaia 24 3 2 3" xfId="9802" xr:uid="{00000000-0005-0000-0000-0000A4B00000}"/>
    <cellStyle name="Migliaia 24 3 2 3 2" xfId="26128" xr:uid="{00000000-0005-0000-0000-0000A5B00000}"/>
    <cellStyle name="Migliaia 24 3 2 3 3" xfId="41106" xr:uid="{00000000-0005-0000-0000-0000A6B00000}"/>
    <cellStyle name="Migliaia 24 3 2 3 4" xfId="55594" xr:uid="{00000000-0005-0000-0000-0000A7B00000}"/>
    <cellStyle name="Migliaia 24 3 2 4" xfId="17071" xr:uid="{00000000-0005-0000-0000-0000A8B00000}"/>
    <cellStyle name="Migliaia 24 3 2 4 2" xfId="33187" xr:uid="{00000000-0005-0000-0000-0000A9B00000}"/>
    <cellStyle name="Migliaia 24 3 2 4 3" xfId="48148" xr:uid="{00000000-0005-0000-0000-0000AAB00000}"/>
    <cellStyle name="Migliaia 24 3 2 5" xfId="19109" xr:uid="{00000000-0005-0000-0000-0000ABB00000}"/>
    <cellStyle name="Migliaia 24 3 2 6" xfId="34104" xr:uid="{00000000-0005-0000-0000-0000ACB00000}"/>
    <cellStyle name="Migliaia 24 3 2 7" xfId="49044" xr:uid="{00000000-0005-0000-0000-0000ADB00000}"/>
    <cellStyle name="Migliaia 24 3 2 8" xfId="49449" xr:uid="{00000000-0005-0000-0000-0000AEB00000}"/>
    <cellStyle name="Migliaia 24 3 2 9" xfId="49855" xr:uid="{00000000-0005-0000-0000-0000AFB00000}"/>
    <cellStyle name="Migliaia 24 3 3" xfId="9150" xr:uid="{00000000-0005-0000-0000-0000B0B00000}"/>
    <cellStyle name="Migliaia 24 3 3 2" xfId="18223" xr:uid="{00000000-0005-0000-0000-0000B1B00000}"/>
    <cellStyle name="Migliaia 24 3 3 2 2" xfId="33690" xr:uid="{00000000-0005-0000-0000-0000B2B00000}"/>
    <cellStyle name="Migliaia 24 3 3 2 2 2" xfId="55175" xr:uid="{00000000-0005-0000-0000-0000B3B00000}"/>
    <cellStyle name="Migliaia 24 3 3 2 3" xfId="48651" xr:uid="{00000000-0005-0000-0000-0000B4B00000}"/>
    <cellStyle name="Migliaia 24 3 3 2 3 2" xfId="56097" xr:uid="{00000000-0005-0000-0000-0000B5B00000}"/>
    <cellStyle name="Migliaia 24 3 3 2 4" xfId="52820" xr:uid="{00000000-0005-0000-0000-0000B6B00000}"/>
    <cellStyle name="Migliaia 24 3 3 3" xfId="17072" xr:uid="{00000000-0005-0000-0000-0000B7B00000}"/>
    <cellStyle name="Migliaia 24 3 3 3 2" xfId="33188" xr:uid="{00000000-0005-0000-0000-0000B8B00000}"/>
    <cellStyle name="Migliaia 24 3 3 3 3" xfId="48149" xr:uid="{00000000-0005-0000-0000-0000B9B00000}"/>
    <cellStyle name="Migliaia 24 3 3 3 4" xfId="54757" xr:uid="{00000000-0005-0000-0000-0000BAB00000}"/>
    <cellStyle name="Migliaia 24 3 3 4" xfId="55595" xr:uid="{00000000-0005-0000-0000-0000BBB00000}"/>
    <cellStyle name="Migliaia 24 3 3 5" xfId="52313" xr:uid="{00000000-0005-0000-0000-0000BCB00000}"/>
    <cellStyle name="Migliaia 24 3 4" xfId="9801" xr:uid="{00000000-0005-0000-0000-0000BDB00000}"/>
    <cellStyle name="Migliaia 24 3 4 2" xfId="18222" xr:uid="{00000000-0005-0000-0000-0000BEB00000}"/>
    <cellStyle name="Migliaia 24 3 4 2 2" xfId="33689" xr:uid="{00000000-0005-0000-0000-0000BFB00000}"/>
    <cellStyle name="Migliaia 24 3 4 2 3" xfId="48650" xr:uid="{00000000-0005-0000-0000-0000C0B00000}"/>
    <cellStyle name="Migliaia 24 3 4 2 4" xfId="55174" xr:uid="{00000000-0005-0000-0000-0000C1B00000}"/>
    <cellStyle name="Migliaia 24 3 4 3" xfId="26127" xr:uid="{00000000-0005-0000-0000-0000C2B00000}"/>
    <cellStyle name="Migliaia 24 3 4 3 2" xfId="56096" xr:uid="{00000000-0005-0000-0000-0000C3B00000}"/>
    <cellStyle name="Migliaia 24 3 4 4" xfId="41105" xr:uid="{00000000-0005-0000-0000-0000C4B00000}"/>
    <cellStyle name="Migliaia 24 3 4 5" xfId="52819" xr:uid="{00000000-0005-0000-0000-0000C5B00000}"/>
    <cellStyle name="Migliaia 24 3 5" xfId="17070" xr:uid="{00000000-0005-0000-0000-0000C6B00000}"/>
    <cellStyle name="Migliaia 24 3 5 2" xfId="33186" xr:uid="{00000000-0005-0000-0000-0000C7B00000}"/>
    <cellStyle name="Migliaia 24 3 5 3" xfId="48147" xr:uid="{00000000-0005-0000-0000-0000C8B00000}"/>
    <cellStyle name="Migliaia 24 3 5 4" xfId="54755" xr:uid="{00000000-0005-0000-0000-0000C9B00000}"/>
    <cellStyle name="Migliaia 24 3 6" xfId="19108" xr:uid="{00000000-0005-0000-0000-0000CAB00000}"/>
    <cellStyle name="Migliaia 24 3 6 2" xfId="55593" xr:uid="{00000000-0005-0000-0000-0000CBB00000}"/>
    <cellStyle name="Migliaia 24 3 7" xfId="34103" xr:uid="{00000000-0005-0000-0000-0000CCB00000}"/>
    <cellStyle name="Migliaia 24 3 8" xfId="49043" xr:uid="{00000000-0005-0000-0000-0000CDB00000}"/>
    <cellStyle name="Migliaia 24 3 9" xfId="49448" xr:uid="{00000000-0005-0000-0000-0000CEB00000}"/>
    <cellStyle name="Migliaia 24 4" xfId="9152" xr:uid="{00000000-0005-0000-0000-0000CFB00000}"/>
    <cellStyle name="Migliaia 24 4 2" xfId="17074" xr:uid="{00000000-0005-0000-0000-0000D0B00000}"/>
    <cellStyle name="Migliaia 24 4 2 2" xfId="18225" xr:uid="{00000000-0005-0000-0000-0000D1B00000}"/>
    <cellStyle name="Migliaia 24 4 2 2 2" xfId="33692" xr:uid="{00000000-0005-0000-0000-0000D2B00000}"/>
    <cellStyle name="Migliaia 24 4 2 2 2 2" xfId="55177" xr:uid="{00000000-0005-0000-0000-0000D3B00000}"/>
    <cellStyle name="Migliaia 24 4 2 2 3" xfId="48653" xr:uid="{00000000-0005-0000-0000-0000D4B00000}"/>
    <cellStyle name="Migliaia 24 4 2 2 3 2" xfId="56099" xr:uid="{00000000-0005-0000-0000-0000D5B00000}"/>
    <cellStyle name="Migliaia 24 4 2 2 4" xfId="52822" xr:uid="{00000000-0005-0000-0000-0000D6B00000}"/>
    <cellStyle name="Migliaia 24 4 2 3" xfId="33190" xr:uid="{00000000-0005-0000-0000-0000D7B00000}"/>
    <cellStyle name="Migliaia 24 4 2 3 2" xfId="54759" xr:uid="{00000000-0005-0000-0000-0000D8B00000}"/>
    <cellStyle name="Migliaia 24 4 2 4" xfId="48151" xr:uid="{00000000-0005-0000-0000-0000D9B00000}"/>
    <cellStyle name="Migliaia 24 4 2 4 2" xfId="55597" xr:uid="{00000000-0005-0000-0000-0000DAB00000}"/>
    <cellStyle name="Migliaia 24 4 2 5" xfId="52315" xr:uid="{00000000-0005-0000-0000-0000DBB00000}"/>
    <cellStyle name="Migliaia 24 4 3" xfId="18224" xr:uid="{00000000-0005-0000-0000-0000DCB00000}"/>
    <cellStyle name="Migliaia 24 4 3 2" xfId="33691" xr:uid="{00000000-0005-0000-0000-0000DDB00000}"/>
    <cellStyle name="Migliaia 24 4 3 2 2" xfId="55176" xr:uid="{00000000-0005-0000-0000-0000DEB00000}"/>
    <cellStyle name="Migliaia 24 4 3 3" xfId="48652" xr:uid="{00000000-0005-0000-0000-0000DFB00000}"/>
    <cellStyle name="Migliaia 24 4 3 3 2" xfId="56098" xr:uid="{00000000-0005-0000-0000-0000E0B00000}"/>
    <cellStyle name="Migliaia 24 4 3 4" xfId="52821" xr:uid="{00000000-0005-0000-0000-0000E1B00000}"/>
    <cellStyle name="Migliaia 24 4 4" xfId="17073" xr:uid="{00000000-0005-0000-0000-0000E2B00000}"/>
    <cellStyle name="Migliaia 24 4 4 2" xfId="33189" xr:uid="{00000000-0005-0000-0000-0000E3B00000}"/>
    <cellStyle name="Migliaia 24 4 4 3" xfId="48150" xr:uid="{00000000-0005-0000-0000-0000E4B00000}"/>
    <cellStyle name="Migliaia 24 4 4 4" xfId="54758" xr:uid="{00000000-0005-0000-0000-0000E5B00000}"/>
    <cellStyle name="Migliaia 24 4 5" xfId="50989" xr:uid="{00000000-0005-0000-0000-0000E6B00000}"/>
    <cellStyle name="Migliaia 24 4 5 2" xfId="55596" xr:uid="{00000000-0005-0000-0000-0000E7B00000}"/>
    <cellStyle name="Migliaia 24 4 6" xfId="52314" xr:uid="{00000000-0005-0000-0000-0000E8B00000}"/>
    <cellStyle name="Migliaia 24 5" xfId="9153" xr:uid="{00000000-0005-0000-0000-0000E9B00000}"/>
    <cellStyle name="Migliaia 24 5 2" xfId="17075" xr:uid="{00000000-0005-0000-0000-0000EAB00000}"/>
    <cellStyle name="Migliaia 24 5 2 2" xfId="33191" xr:uid="{00000000-0005-0000-0000-0000EBB00000}"/>
    <cellStyle name="Migliaia 24 5 2 3" xfId="48152" xr:uid="{00000000-0005-0000-0000-0000ECB00000}"/>
    <cellStyle name="Migliaia 24 5 2 4" xfId="54760" xr:uid="{00000000-0005-0000-0000-0000EDB00000}"/>
    <cellStyle name="Migliaia 24 5 3" xfId="51134" xr:uid="{00000000-0005-0000-0000-0000EEB00000}"/>
    <cellStyle name="Migliaia 24 5 3 2" xfId="55598" xr:uid="{00000000-0005-0000-0000-0000EFB00000}"/>
    <cellStyle name="Migliaia 24 5 4" xfId="52316" xr:uid="{00000000-0005-0000-0000-0000F0B00000}"/>
    <cellStyle name="Migliaia 24 6" xfId="9148" xr:uid="{00000000-0005-0000-0000-0000F1B00000}"/>
    <cellStyle name="Migliaia 24 6 2" xfId="50988" xr:uid="{00000000-0005-0000-0000-0000F2B00000}"/>
    <cellStyle name="Migliaia 24 6 3" xfId="54543" xr:uid="{00000000-0005-0000-0000-0000F3B00000}"/>
    <cellStyle name="Migliaia 24 7" xfId="9799" xr:uid="{00000000-0005-0000-0000-0000F4B00000}"/>
    <cellStyle name="Migliaia 24 7 2" xfId="26125" xr:uid="{00000000-0005-0000-0000-0000F5B00000}"/>
    <cellStyle name="Migliaia 24 7 3" xfId="41103" xr:uid="{00000000-0005-0000-0000-0000F6B00000}"/>
    <cellStyle name="Migliaia 24 7 4" xfId="55591" xr:uid="{00000000-0005-0000-0000-0000F7B00000}"/>
    <cellStyle name="Migliaia 24 8" xfId="17068" xr:uid="{00000000-0005-0000-0000-0000F8B00000}"/>
    <cellStyle name="Migliaia 24 8 2" xfId="33184" xr:uid="{00000000-0005-0000-0000-0000F9B00000}"/>
    <cellStyle name="Migliaia 24 8 3" xfId="48145" xr:uid="{00000000-0005-0000-0000-0000FAB00000}"/>
    <cellStyle name="Migliaia 24 9" xfId="19106" xr:uid="{00000000-0005-0000-0000-0000FBB00000}"/>
    <cellStyle name="Migliaia 25" xfId="353" xr:uid="{00000000-0005-0000-0000-0000FCB00000}"/>
    <cellStyle name="Migliaia 25 10" xfId="34105" xr:uid="{00000000-0005-0000-0000-0000FDB00000}"/>
    <cellStyle name="Migliaia 25 11" xfId="49045" xr:uid="{00000000-0005-0000-0000-0000FEB00000}"/>
    <cellStyle name="Migliaia 25 12" xfId="49450" xr:uid="{00000000-0005-0000-0000-0000FFB00000}"/>
    <cellStyle name="Migliaia 25 13" xfId="49856" xr:uid="{00000000-0005-0000-0000-000000B10000}"/>
    <cellStyle name="Migliaia 25 14" xfId="50264" xr:uid="{00000000-0005-0000-0000-000001B10000}"/>
    <cellStyle name="Migliaia 25 15" xfId="50706" xr:uid="{00000000-0005-0000-0000-000002B10000}"/>
    <cellStyle name="Migliaia 25 16" xfId="51425" xr:uid="{00000000-0005-0000-0000-000003B10000}"/>
    <cellStyle name="Migliaia 25 17" xfId="51838" xr:uid="{00000000-0005-0000-0000-000004B10000}"/>
    <cellStyle name="Migliaia 25 18" xfId="52317" xr:uid="{00000000-0005-0000-0000-000005B10000}"/>
    <cellStyle name="Migliaia 25 2" xfId="354" xr:uid="{00000000-0005-0000-0000-000006B10000}"/>
    <cellStyle name="Migliaia 25 2 10" xfId="49857" xr:uid="{00000000-0005-0000-0000-000007B10000}"/>
    <cellStyle name="Migliaia 25 2 11" xfId="50265" xr:uid="{00000000-0005-0000-0000-000008B10000}"/>
    <cellStyle name="Migliaia 25 2 12" xfId="50707" xr:uid="{00000000-0005-0000-0000-000009B10000}"/>
    <cellStyle name="Migliaia 25 2 13" xfId="51426" xr:uid="{00000000-0005-0000-0000-00000AB10000}"/>
    <cellStyle name="Migliaia 25 2 14" xfId="51839" xr:uid="{00000000-0005-0000-0000-00000BB10000}"/>
    <cellStyle name="Migliaia 25 2 15" xfId="52318" xr:uid="{00000000-0005-0000-0000-00000CB10000}"/>
    <cellStyle name="Migliaia 25 2 2" xfId="1260" xr:uid="{00000000-0005-0000-0000-00000DB10000}"/>
    <cellStyle name="Migliaia 25 2 2 10" xfId="51054" xr:uid="{00000000-0005-0000-0000-00000EB10000}"/>
    <cellStyle name="Migliaia 25 2 2 11" xfId="51650" xr:uid="{00000000-0005-0000-0000-00000FB10000}"/>
    <cellStyle name="Migliaia 25 2 2 12" xfId="52071" xr:uid="{00000000-0005-0000-0000-000010B10000}"/>
    <cellStyle name="Migliaia 25 2 2 13" xfId="52823" xr:uid="{00000000-0005-0000-0000-000011B10000}"/>
    <cellStyle name="Migliaia 25 2 2 2" xfId="10028" xr:uid="{00000000-0005-0000-0000-000012B10000}"/>
    <cellStyle name="Migliaia 25 2 2 2 2" xfId="26349" xr:uid="{00000000-0005-0000-0000-000013B10000}"/>
    <cellStyle name="Migliaia 25 2 2 2 3" xfId="41317" xr:uid="{00000000-0005-0000-0000-000014B10000}"/>
    <cellStyle name="Migliaia 25 2 2 2 4" xfId="55178" xr:uid="{00000000-0005-0000-0000-000015B10000}"/>
    <cellStyle name="Migliaia 25 2 2 3" xfId="18226" xr:uid="{00000000-0005-0000-0000-000016B10000}"/>
    <cellStyle name="Migliaia 25 2 2 3 2" xfId="33693" xr:uid="{00000000-0005-0000-0000-000017B10000}"/>
    <cellStyle name="Migliaia 25 2 2 3 3" xfId="48654" xr:uid="{00000000-0005-0000-0000-000018B10000}"/>
    <cellStyle name="Migliaia 25 2 2 3 4" xfId="56100" xr:uid="{00000000-0005-0000-0000-000019B10000}"/>
    <cellStyle name="Migliaia 25 2 2 4" xfId="19328" xr:uid="{00000000-0005-0000-0000-00001AB10000}"/>
    <cellStyle name="Migliaia 25 2 2 5" xfId="34318" xr:uid="{00000000-0005-0000-0000-00001BB10000}"/>
    <cellStyle name="Migliaia 25 2 2 6" xfId="49270" xr:uid="{00000000-0005-0000-0000-00001CB10000}"/>
    <cellStyle name="Migliaia 25 2 2 7" xfId="49675" xr:uid="{00000000-0005-0000-0000-00001DB10000}"/>
    <cellStyle name="Migliaia 25 2 2 8" xfId="50084" xr:uid="{00000000-0005-0000-0000-00001EB10000}"/>
    <cellStyle name="Migliaia 25 2 2 9" xfId="50489" xr:uid="{00000000-0005-0000-0000-00001FB10000}"/>
    <cellStyle name="Migliaia 25 2 3" xfId="9155" xr:uid="{00000000-0005-0000-0000-000020B10000}"/>
    <cellStyle name="Migliaia 25 2 3 2" xfId="54608" xr:uid="{00000000-0005-0000-0000-000021B10000}"/>
    <cellStyle name="Migliaia 25 2 4" xfId="9804" xr:uid="{00000000-0005-0000-0000-000022B10000}"/>
    <cellStyle name="Migliaia 25 2 4 2" xfId="26130" xr:uid="{00000000-0005-0000-0000-000023B10000}"/>
    <cellStyle name="Migliaia 25 2 4 3" xfId="41108" xr:uid="{00000000-0005-0000-0000-000024B10000}"/>
    <cellStyle name="Migliaia 25 2 4 4" xfId="55600" xr:uid="{00000000-0005-0000-0000-000025B10000}"/>
    <cellStyle name="Migliaia 25 2 5" xfId="17077" xr:uid="{00000000-0005-0000-0000-000026B10000}"/>
    <cellStyle name="Migliaia 25 2 5 2" xfId="33193" xr:uid="{00000000-0005-0000-0000-000027B10000}"/>
    <cellStyle name="Migliaia 25 2 5 3" xfId="48154" xr:uid="{00000000-0005-0000-0000-000028B10000}"/>
    <cellStyle name="Migliaia 25 2 6" xfId="19111" xr:uid="{00000000-0005-0000-0000-000029B10000}"/>
    <cellStyle name="Migliaia 25 2 7" xfId="34106" xr:uid="{00000000-0005-0000-0000-00002AB10000}"/>
    <cellStyle name="Migliaia 25 2 8" xfId="49046" xr:uid="{00000000-0005-0000-0000-00002BB10000}"/>
    <cellStyle name="Migliaia 25 2 9" xfId="49451" xr:uid="{00000000-0005-0000-0000-00002CB10000}"/>
    <cellStyle name="Migliaia 25 3" xfId="355" xr:uid="{00000000-0005-0000-0000-00002DB10000}"/>
    <cellStyle name="Migliaia 25 3 10" xfId="49858" xr:uid="{00000000-0005-0000-0000-00002EB10000}"/>
    <cellStyle name="Migliaia 25 3 11" xfId="50266" xr:uid="{00000000-0005-0000-0000-00002FB10000}"/>
    <cellStyle name="Migliaia 25 3 12" xfId="50708" xr:uid="{00000000-0005-0000-0000-000030B10000}"/>
    <cellStyle name="Migliaia 25 3 13" xfId="51427" xr:uid="{00000000-0005-0000-0000-000031B10000}"/>
    <cellStyle name="Migliaia 25 3 14" xfId="51840" xr:uid="{00000000-0005-0000-0000-000032B10000}"/>
    <cellStyle name="Migliaia 25 3 15" xfId="52319" xr:uid="{00000000-0005-0000-0000-000033B10000}"/>
    <cellStyle name="Migliaia 25 3 2" xfId="356" xr:uid="{00000000-0005-0000-0000-000034B10000}"/>
    <cellStyle name="Migliaia 25 3 2 10" xfId="50267" xr:uid="{00000000-0005-0000-0000-000035B10000}"/>
    <cellStyle name="Migliaia 25 3 2 11" xfId="50709" xr:uid="{00000000-0005-0000-0000-000036B10000}"/>
    <cellStyle name="Migliaia 25 3 2 12" xfId="51428" xr:uid="{00000000-0005-0000-0000-000037B10000}"/>
    <cellStyle name="Migliaia 25 3 2 13" xfId="51841" xr:uid="{00000000-0005-0000-0000-000038B10000}"/>
    <cellStyle name="Migliaia 25 3 2 14" xfId="52320" xr:uid="{00000000-0005-0000-0000-000039B10000}"/>
    <cellStyle name="Migliaia 25 3 2 2" xfId="9157" xr:uid="{00000000-0005-0000-0000-00003AB10000}"/>
    <cellStyle name="Migliaia 25 3 2 2 2" xfId="54762" xr:uid="{00000000-0005-0000-0000-00003BB10000}"/>
    <cellStyle name="Migliaia 25 3 2 3" xfId="9806" xr:uid="{00000000-0005-0000-0000-00003CB10000}"/>
    <cellStyle name="Migliaia 25 3 2 3 2" xfId="26132" xr:uid="{00000000-0005-0000-0000-00003DB10000}"/>
    <cellStyle name="Migliaia 25 3 2 3 3" xfId="41110" xr:uid="{00000000-0005-0000-0000-00003EB10000}"/>
    <cellStyle name="Migliaia 25 3 2 3 4" xfId="55602" xr:uid="{00000000-0005-0000-0000-00003FB10000}"/>
    <cellStyle name="Migliaia 25 3 2 4" xfId="17079" xr:uid="{00000000-0005-0000-0000-000040B10000}"/>
    <cellStyle name="Migliaia 25 3 2 4 2" xfId="33195" xr:uid="{00000000-0005-0000-0000-000041B10000}"/>
    <cellStyle name="Migliaia 25 3 2 4 3" xfId="48156" xr:uid="{00000000-0005-0000-0000-000042B10000}"/>
    <cellStyle name="Migliaia 25 3 2 5" xfId="19113" xr:uid="{00000000-0005-0000-0000-000043B10000}"/>
    <cellStyle name="Migliaia 25 3 2 6" xfId="34108" xr:uid="{00000000-0005-0000-0000-000044B10000}"/>
    <cellStyle name="Migliaia 25 3 2 7" xfId="49048" xr:uid="{00000000-0005-0000-0000-000045B10000}"/>
    <cellStyle name="Migliaia 25 3 2 8" xfId="49453" xr:uid="{00000000-0005-0000-0000-000046B10000}"/>
    <cellStyle name="Migliaia 25 3 2 9" xfId="49859" xr:uid="{00000000-0005-0000-0000-000047B10000}"/>
    <cellStyle name="Migliaia 25 3 3" xfId="9156" xr:uid="{00000000-0005-0000-0000-000048B10000}"/>
    <cellStyle name="Migliaia 25 3 3 2" xfId="18228" xr:uid="{00000000-0005-0000-0000-000049B10000}"/>
    <cellStyle name="Migliaia 25 3 3 2 2" xfId="33695" xr:uid="{00000000-0005-0000-0000-00004AB10000}"/>
    <cellStyle name="Migliaia 25 3 3 2 2 2" xfId="55180" xr:uid="{00000000-0005-0000-0000-00004BB10000}"/>
    <cellStyle name="Migliaia 25 3 3 2 3" xfId="48656" xr:uid="{00000000-0005-0000-0000-00004CB10000}"/>
    <cellStyle name="Migliaia 25 3 3 2 3 2" xfId="56102" xr:uid="{00000000-0005-0000-0000-00004DB10000}"/>
    <cellStyle name="Migliaia 25 3 3 2 4" xfId="52825" xr:uid="{00000000-0005-0000-0000-00004EB10000}"/>
    <cellStyle name="Migliaia 25 3 3 3" xfId="17080" xr:uid="{00000000-0005-0000-0000-00004FB10000}"/>
    <cellStyle name="Migliaia 25 3 3 3 2" xfId="33196" xr:uid="{00000000-0005-0000-0000-000050B10000}"/>
    <cellStyle name="Migliaia 25 3 3 3 3" xfId="48157" xr:uid="{00000000-0005-0000-0000-000051B10000}"/>
    <cellStyle name="Migliaia 25 3 3 3 4" xfId="54763" xr:uid="{00000000-0005-0000-0000-000052B10000}"/>
    <cellStyle name="Migliaia 25 3 3 4" xfId="55603" xr:uid="{00000000-0005-0000-0000-000053B10000}"/>
    <cellStyle name="Migliaia 25 3 3 5" xfId="52321" xr:uid="{00000000-0005-0000-0000-000054B10000}"/>
    <cellStyle name="Migliaia 25 3 4" xfId="9805" xr:uid="{00000000-0005-0000-0000-000055B10000}"/>
    <cellStyle name="Migliaia 25 3 4 2" xfId="18227" xr:uid="{00000000-0005-0000-0000-000056B10000}"/>
    <cellStyle name="Migliaia 25 3 4 2 2" xfId="33694" xr:uid="{00000000-0005-0000-0000-000057B10000}"/>
    <cellStyle name="Migliaia 25 3 4 2 3" xfId="48655" xr:uid="{00000000-0005-0000-0000-000058B10000}"/>
    <cellStyle name="Migliaia 25 3 4 2 4" xfId="55179" xr:uid="{00000000-0005-0000-0000-000059B10000}"/>
    <cellStyle name="Migliaia 25 3 4 3" xfId="26131" xr:uid="{00000000-0005-0000-0000-00005AB10000}"/>
    <cellStyle name="Migliaia 25 3 4 3 2" xfId="56101" xr:uid="{00000000-0005-0000-0000-00005BB10000}"/>
    <cellStyle name="Migliaia 25 3 4 4" xfId="41109" xr:uid="{00000000-0005-0000-0000-00005CB10000}"/>
    <cellStyle name="Migliaia 25 3 4 5" xfId="52824" xr:uid="{00000000-0005-0000-0000-00005DB10000}"/>
    <cellStyle name="Migliaia 25 3 5" xfId="17078" xr:uid="{00000000-0005-0000-0000-00005EB10000}"/>
    <cellStyle name="Migliaia 25 3 5 2" xfId="33194" xr:uid="{00000000-0005-0000-0000-00005FB10000}"/>
    <cellStyle name="Migliaia 25 3 5 3" xfId="48155" xr:uid="{00000000-0005-0000-0000-000060B10000}"/>
    <cellStyle name="Migliaia 25 3 5 4" xfId="54761" xr:uid="{00000000-0005-0000-0000-000061B10000}"/>
    <cellStyle name="Migliaia 25 3 6" xfId="19112" xr:uid="{00000000-0005-0000-0000-000062B10000}"/>
    <cellStyle name="Migliaia 25 3 6 2" xfId="55601" xr:uid="{00000000-0005-0000-0000-000063B10000}"/>
    <cellStyle name="Migliaia 25 3 7" xfId="34107" xr:uid="{00000000-0005-0000-0000-000064B10000}"/>
    <cellStyle name="Migliaia 25 3 8" xfId="49047" xr:uid="{00000000-0005-0000-0000-000065B10000}"/>
    <cellStyle name="Migliaia 25 3 9" xfId="49452" xr:uid="{00000000-0005-0000-0000-000066B10000}"/>
    <cellStyle name="Migliaia 25 4" xfId="9158" xr:uid="{00000000-0005-0000-0000-000067B10000}"/>
    <cellStyle name="Migliaia 25 4 2" xfId="17082" xr:uid="{00000000-0005-0000-0000-000068B10000}"/>
    <cellStyle name="Migliaia 25 4 2 2" xfId="18230" xr:uid="{00000000-0005-0000-0000-000069B10000}"/>
    <cellStyle name="Migliaia 25 4 2 2 2" xfId="33697" xr:uid="{00000000-0005-0000-0000-00006AB10000}"/>
    <cellStyle name="Migliaia 25 4 2 2 2 2" xfId="55182" xr:uid="{00000000-0005-0000-0000-00006BB10000}"/>
    <cellStyle name="Migliaia 25 4 2 2 3" xfId="48658" xr:uid="{00000000-0005-0000-0000-00006CB10000}"/>
    <cellStyle name="Migliaia 25 4 2 2 3 2" xfId="56104" xr:uid="{00000000-0005-0000-0000-00006DB10000}"/>
    <cellStyle name="Migliaia 25 4 2 2 4" xfId="52827" xr:uid="{00000000-0005-0000-0000-00006EB10000}"/>
    <cellStyle name="Migliaia 25 4 2 3" xfId="33198" xr:uid="{00000000-0005-0000-0000-00006FB10000}"/>
    <cellStyle name="Migliaia 25 4 2 3 2" xfId="54765" xr:uid="{00000000-0005-0000-0000-000070B10000}"/>
    <cellStyle name="Migliaia 25 4 2 4" xfId="48159" xr:uid="{00000000-0005-0000-0000-000071B10000}"/>
    <cellStyle name="Migliaia 25 4 2 4 2" xfId="55605" xr:uid="{00000000-0005-0000-0000-000072B10000}"/>
    <cellStyle name="Migliaia 25 4 2 5" xfId="52323" xr:uid="{00000000-0005-0000-0000-000073B10000}"/>
    <cellStyle name="Migliaia 25 4 3" xfId="18229" xr:uid="{00000000-0005-0000-0000-000074B10000}"/>
    <cellStyle name="Migliaia 25 4 3 2" xfId="33696" xr:uid="{00000000-0005-0000-0000-000075B10000}"/>
    <cellStyle name="Migliaia 25 4 3 2 2" xfId="55181" xr:uid="{00000000-0005-0000-0000-000076B10000}"/>
    <cellStyle name="Migliaia 25 4 3 3" xfId="48657" xr:uid="{00000000-0005-0000-0000-000077B10000}"/>
    <cellStyle name="Migliaia 25 4 3 3 2" xfId="56103" xr:uid="{00000000-0005-0000-0000-000078B10000}"/>
    <cellStyle name="Migliaia 25 4 3 4" xfId="52826" xr:uid="{00000000-0005-0000-0000-000079B10000}"/>
    <cellStyle name="Migliaia 25 4 4" xfId="17081" xr:uid="{00000000-0005-0000-0000-00007AB10000}"/>
    <cellStyle name="Migliaia 25 4 4 2" xfId="33197" xr:uid="{00000000-0005-0000-0000-00007BB10000}"/>
    <cellStyle name="Migliaia 25 4 4 3" xfId="48158" xr:uid="{00000000-0005-0000-0000-00007CB10000}"/>
    <cellStyle name="Migliaia 25 4 4 4" xfId="54764" xr:uid="{00000000-0005-0000-0000-00007DB10000}"/>
    <cellStyle name="Migliaia 25 4 5" xfId="51211" xr:uid="{00000000-0005-0000-0000-00007EB10000}"/>
    <cellStyle name="Migliaia 25 4 5 2" xfId="55604" xr:uid="{00000000-0005-0000-0000-00007FB10000}"/>
    <cellStyle name="Migliaia 25 4 6" xfId="52322" xr:uid="{00000000-0005-0000-0000-000080B10000}"/>
    <cellStyle name="Migliaia 25 5" xfId="9159" xr:uid="{00000000-0005-0000-0000-000081B10000}"/>
    <cellStyle name="Migliaia 25 5 2" xfId="17083" xr:uid="{00000000-0005-0000-0000-000082B10000}"/>
    <cellStyle name="Migliaia 25 5 2 2" xfId="33199" xr:uid="{00000000-0005-0000-0000-000083B10000}"/>
    <cellStyle name="Migliaia 25 5 2 3" xfId="48160" xr:uid="{00000000-0005-0000-0000-000084B10000}"/>
    <cellStyle name="Migliaia 25 5 2 4" xfId="54766" xr:uid="{00000000-0005-0000-0000-000085B10000}"/>
    <cellStyle name="Migliaia 25 5 3" xfId="51178" xr:uid="{00000000-0005-0000-0000-000086B10000}"/>
    <cellStyle name="Migliaia 25 5 3 2" xfId="55606" xr:uid="{00000000-0005-0000-0000-000087B10000}"/>
    <cellStyle name="Migliaia 25 5 4" xfId="52324" xr:uid="{00000000-0005-0000-0000-000088B10000}"/>
    <cellStyle name="Migliaia 25 6" xfId="9154" xr:uid="{00000000-0005-0000-0000-000089B10000}"/>
    <cellStyle name="Migliaia 25 6 2" xfId="51133" xr:uid="{00000000-0005-0000-0000-00008AB10000}"/>
    <cellStyle name="Migliaia 25 6 3" xfId="54544" xr:uid="{00000000-0005-0000-0000-00008BB10000}"/>
    <cellStyle name="Migliaia 25 7" xfId="9803" xr:uid="{00000000-0005-0000-0000-00008CB10000}"/>
    <cellStyle name="Migliaia 25 7 2" xfId="26129" xr:uid="{00000000-0005-0000-0000-00008DB10000}"/>
    <cellStyle name="Migliaia 25 7 3" xfId="41107" xr:uid="{00000000-0005-0000-0000-00008EB10000}"/>
    <cellStyle name="Migliaia 25 7 4" xfId="55599" xr:uid="{00000000-0005-0000-0000-00008FB10000}"/>
    <cellStyle name="Migliaia 25 8" xfId="17076" xr:uid="{00000000-0005-0000-0000-000090B10000}"/>
    <cellStyle name="Migliaia 25 8 2" xfId="33192" xr:uid="{00000000-0005-0000-0000-000091B10000}"/>
    <cellStyle name="Migliaia 25 8 3" xfId="48153" xr:uid="{00000000-0005-0000-0000-000092B10000}"/>
    <cellStyle name="Migliaia 25 9" xfId="19110" xr:uid="{00000000-0005-0000-0000-000093B10000}"/>
    <cellStyle name="Migliaia 26" xfId="357" xr:uid="{00000000-0005-0000-0000-000094B10000}"/>
    <cellStyle name="Migliaia 26 10" xfId="34109" xr:uid="{00000000-0005-0000-0000-000095B10000}"/>
    <cellStyle name="Migliaia 26 11" xfId="49049" xr:uid="{00000000-0005-0000-0000-000096B10000}"/>
    <cellStyle name="Migliaia 26 12" xfId="49454" xr:uid="{00000000-0005-0000-0000-000097B10000}"/>
    <cellStyle name="Migliaia 26 13" xfId="49860" xr:uid="{00000000-0005-0000-0000-000098B10000}"/>
    <cellStyle name="Migliaia 26 14" xfId="50268" xr:uid="{00000000-0005-0000-0000-000099B10000}"/>
    <cellStyle name="Migliaia 26 15" xfId="50710" xr:uid="{00000000-0005-0000-0000-00009AB10000}"/>
    <cellStyle name="Migliaia 26 16" xfId="51429" xr:uid="{00000000-0005-0000-0000-00009BB10000}"/>
    <cellStyle name="Migliaia 26 17" xfId="51842" xr:uid="{00000000-0005-0000-0000-00009CB10000}"/>
    <cellStyle name="Migliaia 26 18" xfId="52325" xr:uid="{00000000-0005-0000-0000-00009DB10000}"/>
    <cellStyle name="Migliaia 26 2" xfId="358" xr:uid="{00000000-0005-0000-0000-00009EB10000}"/>
    <cellStyle name="Migliaia 26 2 10" xfId="49861" xr:uid="{00000000-0005-0000-0000-00009FB10000}"/>
    <cellStyle name="Migliaia 26 2 11" xfId="50269" xr:uid="{00000000-0005-0000-0000-0000A0B10000}"/>
    <cellStyle name="Migliaia 26 2 12" xfId="50711" xr:uid="{00000000-0005-0000-0000-0000A1B10000}"/>
    <cellStyle name="Migliaia 26 2 13" xfId="51430" xr:uid="{00000000-0005-0000-0000-0000A2B10000}"/>
    <cellStyle name="Migliaia 26 2 14" xfId="51843" xr:uid="{00000000-0005-0000-0000-0000A3B10000}"/>
    <cellStyle name="Migliaia 26 2 15" xfId="52326" xr:uid="{00000000-0005-0000-0000-0000A4B10000}"/>
    <cellStyle name="Migliaia 26 2 2" xfId="1261" xr:uid="{00000000-0005-0000-0000-0000A5B10000}"/>
    <cellStyle name="Migliaia 26 2 2 10" xfId="51055" xr:uid="{00000000-0005-0000-0000-0000A6B10000}"/>
    <cellStyle name="Migliaia 26 2 2 11" xfId="51651" xr:uid="{00000000-0005-0000-0000-0000A7B10000}"/>
    <cellStyle name="Migliaia 26 2 2 12" xfId="52072" xr:uid="{00000000-0005-0000-0000-0000A8B10000}"/>
    <cellStyle name="Migliaia 26 2 2 13" xfId="52828" xr:uid="{00000000-0005-0000-0000-0000A9B10000}"/>
    <cellStyle name="Migliaia 26 2 2 2" xfId="10029" xr:uid="{00000000-0005-0000-0000-0000AAB10000}"/>
    <cellStyle name="Migliaia 26 2 2 2 2" xfId="26350" xr:uid="{00000000-0005-0000-0000-0000ABB10000}"/>
    <cellStyle name="Migliaia 26 2 2 2 3" xfId="41318" xr:uid="{00000000-0005-0000-0000-0000ACB10000}"/>
    <cellStyle name="Migliaia 26 2 2 2 4" xfId="55183" xr:uid="{00000000-0005-0000-0000-0000ADB10000}"/>
    <cellStyle name="Migliaia 26 2 2 3" xfId="18231" xr:uid="{00000000-0005-0000-0000-0000AEB10000}"/>
    <cellStyle name="Migliaia 26 2 2 3 2" xfId="33698" xr:uid="{00000000-0005-0000-0000-0000AFB10000}"/>
    <cellStyle name="Migliaia 26 2 2 3 3" xfId="48659" xr:uid="{00000000-0005-0000-0000-0000B0B10000}"/>
    <cellStyle name="Migliaia 26 2 2 3 4" xfId="56105" xr:uid="{00000000-0005-0000-0000-0000B1B10000}"/>
    <cellStyle name="Migliaia 26 2 2 4" xfId="19329" xr:uid="{00000000-0005-0000-0000-0000B2B10000}"/>
    <cellStyle name="Migliaia 26 2 2 5" xfId="34319" xr:uid="{00000000-0005-0000-0000-0000B3B10000}"/>
    <cellStyle name="Migliaia 26 2 2 6" xfId="49271" xr:uid="{00000000-0005-0000-0000-0000B4B10000}"/>
    <cellStyle name="Migliaia 26 2 2 7" xfId="49676" xr:uid="{00000000-0005-0000-0000-0000B5B10000}"/>
    <cellStyle name="Migliaia 26 2 2 8" xfId="50085" xr:uid="{00000000-0005-0000-0000-0000B6B10000}"/>
    <cellStyle name="Migliaia 26 2 2 9" xfId="50490" xr:uid="{00000000-0005-0000-0000-0000B7B10000}"/>
    <cellStyle name="Migliaia 26 2 3" xfId="9161" xr:uid="{00000000-0005-0000-0000-0000B8B10000}"/>
    <cellStyle name="Migliaia 26 2 3 2" xfId="54609" xr:uid="{00000000-0005-0000-0000-0000B9B10000}"/>
    <cellStyle name="Migliaia 26 2 4" xfId="9808" xr:uid="{00000000-0005-0000-0000-0000BAB10000}"/>
    <cellStyle name="Migliaia 26 2 4 2" xfId="26134" xr:uid="{00000000-0005-0000-0000-0000BBB10000}"/>
    <cellStyle name="Migliaia 26 2 4 3" xfId="41112" xr:uid="{00000000-0005-0000-0000-0000BCB10000}"/>
    <cellStyle name="Migliaia 26 2 4 4" xfId="55608" xr:uid="{00000000-0005-0000-0000-0000BDB10000}"/>
    <cellStyle name="Migliaia 26 2 5" xfId="17085" xr:uid="{00000000-0005-0000-0000-0000BEB10000}"/>
    <cellStyle name="Migliaia 26 2 5 2" xfId="33201" xr:uid="{00000000-0005-0000-0000-0000BFB10000}"/>
    <cellStyle name="Migliaia 26 2 5 3" xfId="48162" xr:uid="{00000000-0005-0000-0000-0000C0B10000}"/>
    <cellStyle name="Migliaia 26 2 6" xfId="19115" xr:uid="{00000000-0005-0000-0000-0000C1B10000}"/>
    <cellStyle name="Migliaia 26 2 7" xfId="34110" xr:uid="{00000000-0005-0000-0000-0000C2B10000}"/>
    <cellStyle name="Migliaia 26 2 8" xfId="49050" xr:uid="{00000000-0005-0000-0000-0000C3B10000}"/>
    <cellStyle name="Migliaia 26 2 9" xfId="49455" xr:uid="{00000000-0005-0000-0000-0000C4B10000}"/>
    <cellStyle name="Migliaia 26 3" xfId="359" xr:uid="{00000000-0005-0000-0000-0000C5B10000}"/>
    <cellStyle name="Migliaia 26 3 10" xfId="49862" xr:uid="{00000000-0005-0000-0000-0000C6B10000}"/>
    <cellStyle name="Migliaia 26 3 11" xfId="50270" xr:uid="{00000000-0005-0000-0000-0000C7B10000}"/>
    <cellStyle name="Migliaia 26 3 12" xfId="50712" xr:uid="{00000000-0005-0000-0000-0000C8B10000}"/>
    <cellStyle name="Migliaia 26 3 13" xfId="51431" xr:uid="{00000000-0005-0000-0000-0000C9B10000}"/>
    <cellStyle name="Migliaia 26 3 14" xfId="51844" xr:uid="{00000000-0005-0000-0000-0000CAB10000}"/>
    <cellStyle name="Migliaia 26 3 15" xfId="52327" xr:uid="{00000000-0005-0000-0000-0000CBB10000}"/>
    <cellStyle name="Migliaia 26 3 2" xfId="360" xr:uid="{00000000-0005-0000-0000-0000CCB10000}"/>
    <cellStyle name="Migliaia 26 3 2 10" xfId="50271" xr:uid="{00000000-0005-0000-0000-0000CDB10000}"/>
    <cellStyle name="Migliaia 26 3 2 11" xfId="50713" xr:uid="{00000000-0005-0000-0000-0000CEB10000}"/>
    <cellStyle name="Migliaia 26 3 2 12" xfId="51432" xr:uid="{00000000-0005-0000-0000-0000CFB10000}"/>
    <cellStyle name="Migliaia 26 3 2 13" xfId="51845" xr:uid="{00000000-0005-0000-0000-0000D0B10000}"/>
    <cellStyle name="Migliaia 26 3 2 14" xfId="52328" xr:uid="{00000000-0005-0000-0000-0000D1B10000}"/>
    <cellStyle name="Migliaia 26 3 2 2" xfId="9163" xr:uid="{00000000-0005-0000-0000-0000D2B10000}"/>
    <cellStyle name="Migliaia 26 3 2 2 2" xfId="54768" xr:uid="{00000000-0005-0000-0000-0000D3B10000}"/>
    <cellStyle name="Migliaia 26 3 2 3" xfId="9810" xr:uid="{00000000-0005-0000-0000-0000D4B10000}"/>
    <cellStyle name="Migliaia 26 3 2 3 2" xfId="26136" xr:uid="{00000000-0005-0000-0000-0000D5B10000}"/>
    <cellStyle name="Migliaia 26 3 2 3 3" xfId="41114" xr:uid="{00000000-0005-0000-0000-0000D6B10000}"/>
    <cellStyle name="Migliaia 26 3 2 3 4" xfId="55610" xr:uid="{00000000-0005-0000-0000-0000D7B10000}"/>
    <cellStyle name="Migliaia 26 3 2 4" xfId="17087" xr:uid="{00000000-0005-0000-0000-0000D8B10000}"/>
    <cellStyle name="Migliaia 26 3 2 4 2" xfId="33203" xr:uid="{00000000-0005-0000-0000-0000D9B10000}"/>
    <cellStyle name="Migliaia 26 3 2 4 3" xfId="48164" xr:uid="{00000000-0005-0000-0000-0000DAB10000}"/>
    <cellStyle name="Migliaia 26 3 2 5" xfId="19117" xr:uid="{00000000-0005-0000-0000-0000DBB10000}"/>
    <cellStyle name="Migliaia 26 3 2 6" xfId="34112" xr:uid="{00000000-0005-0000-0000-0000DCB10000}"/>
    <cellStyle name="Migliaia 26 3 2 7" xfId="49052" xr:uid="{00000000-0005-0000-0000-0000DDB10000}"/>
    <cellStyle name="Migliaia 26 3 2 8" xfId="49457" xr:uid="{00000000-0005-0000-0000-0000DEB10000}"/>
    <cellStyle name="Migliaia 26 3 2 9" xfId="49863" xr:uid="{00000000-0005-0000-0000-0000DFB10000}"/>
    <cellStyle name="Migliaia 26 3 3" xfId="9162" xr:uid="{00000000-0005-0000-0000-0000E0B10000}"/>
    <cellStyle name="Migliaia 26 3 3 2" xfId="18233" xr:uid="{00000000-0005-0000-0000-0000E1B10000}"/>
    <cellStyle name="Migliaia 26 3 3 2 2" xfId="33700" xr:uid="{00000000-0005-0000-0000-0000E2B10000}"/>
    <cellStyle name="Migliaia 26 3 3 2 2 2" xfId="55185" xr:uid="{00000000-0005-0000-0000-0000E3B10000}"/>
    <cellStyle name="Migliaia 26 3 3 2 3" xfId="48661" xr:uid="{00000000-0005-0000-0000-0000E4B10000}"/>
    <cellStyle name="Migliaia 26 3 3 2 3 2" xfId="56107" xr:uid="{00000000-0005-0000-0000-0000E5B10000}"/>
    <cellStyle name="Migliaia 26 3 3 2 4" xfId="52830" xr:uid="{00000000-0005-0000-0000-0000E6B10000}"/>
    <cellStyle name="Migliaia 26 3 3 3" xfId="17088" xr:uid="{00000000-0005-0000-0000-0000E7B10000}"/>
    <cellStyle name="Migliaia 26 3 3 3 2" xfId="33204" xr:uid="{00000000-0005-0000-0000-0000E8B10000}"/>
    <cellStyle name="Migliaia 26 3 3 3 3" xfId="48165" xr:uid="{00000000-0005-0000-0000-0000E9B10000}"/>
    <cellStyle name="Migliaia 26 3 3 3 4" xfId="54769" xr:uid="{00000000-0005-0000-0000-0000EAB10000}"/>
    <cellStyle name="Migliaia 26 3 3 4" xfId="55611" xr:uid="{00000000-0005-0000-0000-0000EBB10000}"/>
    <cellStyle name="Migliaia 26 3 3 5" xfId="52329" xr:uid="{00000000-0005-0000-0000-0000ECB10000}"/>
    <cellStyle name="Migliaia 26 3 4" xfId="9809" xr:uid="{00000000-0005-0000-0000-0000EDB10000}"/>
    <cellStyle name="Migliaia 26 3 4 2" xfId="18232" xr:uid="{00000000-0005-0000-0000-0000EEB10000}"/>
    <cellStyle name="Migliaia 26 3 4 2 2" xfId="33699" xr:uid="{00000000-0005-0000-0000-0000EFB10000}"/>
    <cellStyle name="Migliaia 26 3 4 2 3" xfId="48660" xr:uid="{00000000-0005-0000-0000-0000F0B10000}"/>
    <cellStyle name="Migliaia 26 3 4 2 4" xfId="55184" xr:uid="{00000000-0005-0000-0000-0000F1B10000}"/>
    <cellStyle name="Migliaia 26 3 4 3" xfId="26135" xr:uid="{00000000-0005-0000-0000-0000F2B10000}"/>
    <cellStyle name="Migliaia 26 3 4 3 2" xfId="56106" xr:uid="{00000000-0005-0000-0000-0000F3B10000}"/>
    <cellStyle name="Migliaia 26 3 4 4" xfId="41113" xr:uid="{00000000-0005-0000-0000-0000F4B10000}"/>
    <cellStyle name="Migliaia 26 3 4 5" xfId="52829" xr:uid="{00000000-0005-0000-0000-0000F5B10000}"/>
    <cellStyle name="Migliaia 26 3 5" xfId="17086" xr:uid="{00000000-0005-0000-0000-0000F6B10000}"/>
    <cellStyle name="Migliaia 26 3 5 2" xfId="33202" xr:uid="{00000000-0005-0000-0000-0000F7B10000}"/>
    <cellStyle name="Migliaia 26 3 5 3" xfId="48163" xr:uid="{00000000-0005-0000-0000-0000F8B10000}"/>
    <cellStyle name="Migliaia 26 3 5 4" xfId="54767" xr:uid="{00000000-0005-0000-0000-0000F9B10000}"/>
    <cellStyle name="Migliaia 26 3 6" xfId="19116" xr:uid="{00000000-0005-0000-0000-0000FAB10000}"/>
    <cellStyle name="Migliaia 26 3 6 2" xfId="55609" xr:uid="{00000000-0005-0000-0000-0000FBB10000}"/>
    <cellStyle name="Migliaia 26 3 7" xfId="34111" xr:uid="{00000000-0005-0000-0000-0000FCB10000}"/>
    <cellStyle name="Migliaia 26 3 8" xfId="49051" xr:uid="{00000000-0005-0000-0000-0000FDB10000}"/>
    <cellStyle name="Migliaia 26 3 9" xfId="49456" xr:uid="{00000000-0005-0000-0000-0000FEB10000}"/>
    <cellStyle name="Migliaia 26 4" xfId="9164" xr:uid="{00000000-0005-0000-0000-0000FFB10000}"/>
    <cellStyle name="Migliaia 26 4 2" xfId="17090" xr:uid="{00000000-0005-0000-0000-000000B20000}"/>
    <cellStyle name="Migliaia 26 4 2 2" xfId="18235" xr:uid="{00000000-0005-0000-0000-000001B20000}"/>
    <cellStyle name="Migliaia 26 4 2 2 2" xfId="33702" xr:uid="{00000000-0005-0000-0000-000002B20000}"/>
    <cellStyle name="Migliaia 26 4 2 2 2 2" xfId="55187" xr:uid="{00000000-0005-0000-0000-000003B20000}"/>
    <cellStyle name="Migliaia 26 4 2 2 3" xfId="48663" xr:uid="{00000000-0005-0000-0000-000004B20000}"/>
    <cellStyle name="Migliaia 26 4 2 2 3 2" xfId="56109" xr:uid="{00000000-0005-0000-0000-000005B20000}"/>
    <cellStyle name="Migliaia 26 4 2 2 4" xfId="52832" xr:uid="{00000000-0005-0000-0000-000006B20000}"/>
    <cellStyle name="Migliaia 26 4 2 3" xfId="33206" xr:uid="{00000000-0005-0000-0000-000007B20000}"/>
    <cellStyle name="Migliaia 26 4 2 3 2" xfId="54771" xr:uid="{00000000-0005-0000-0000-000008B20000}"/>
    <cellStyle name="Migliaia 26 4 2 4" xfId="48167" xr:uid="{00000000-0005-0000-0000-000009B20000}"/>
    <cellStyle name="Migliaia 26 4 2 4 2" xfId="55613" xr:uid="{00000000-0005-0000-0000-00000AB20000}"/>
    <cellStyle name="Migliaia 26 4 2 5" xfId="52331" xr:uid="{00000000-0005-0000-0000-00000BB20000}"/>
    <cellStyle name="Migliaia 26 4 3" xfId="18234" xr:uid="{00000000-0005-0000-0000-00000CB20000}"/>
    <cellStyle name="Migliaia 26 4 3 2" xfId="33701" xr:uid="{00000000-0005-0000-0000-00000DB20000}"/>
    <cellStyle name="Migliaia 26 4 3 2 2" xfId="55186" xr:uid="{00000000-0005-0000-0000-00000EB20000}"/>
    <cellStyle name="Migliaia 26 4 3 3" xfId="48662" xr:uid="{00000000-0005-0000-0000-00000FB20000}"/>
    <cellStyle name="Migliaia 26 4 3 3 2" xfId="56108" xr:uid="{00000000-0005-0000-0000-000010B20000}"/>
    <cellStyle name="Migliaia 26 4 3 4" xfId="52831" xr:uid="{00000000-0005-0000-0000-000011B20000}"/>
    <cellStyle name="Migliaia 26 4 4" xfId="17089" xr:uid="{00000000-0005-0000-0000-000012B20000}"/>
    <cellStyle name="Migliaia 26 4 4 2" xfId="33205" xr:uid="{00000000-0005-0000-0000-000013B20000}"/>
    <cellStyle name="Migliaia 26 4 4 3" xfId="48166" xr:uid="{00000000-0005-0000-0000-000014B20000}"/>
    <cellStyle name="Migliaia 26 4 4 4" xfId="54770" xr:uid="{00000000-0005-0000-0000-000015B20000}"/>
    <cellStyle name="Migliaia 26 4 5" xfId="51212" xr:uid="{00000000-0005-0000-0000-000016B20000}"/>
    <cellStyle name="Migliaia 26 4 5 2" xfId="55612" xr:uid="{00000000-0005-0000-0000-000017B20000}"/>
    <cellStyle name="Migliaia 26 4 6" xfId="52330" xr:uid="{00000000-0005-0000-0000-000018B20000}"/>
    <cellStyle name="Migliaia 26 5" xfId="9165" xr:uid="{00000000-0005-0000-0000-000019B20000}"/>
    <cellStyle name="Migliaia 26 5 2" xfId="17091" xr:uid="{00000000-0005-0000-0000-00001AB20000}"/>
    <cellStyle name="Migliaia 26 5 2 2" xfId="33207" xr:uid="{00000000-0005-0000-0000-00001BB20000}"/>
    <cellStyle name="Migliaia 26 5 2 3" xfId="48168" xr:uid="{00000000-0005-0000-0000-00001CB20000}"/>
    <cellStyle name="Migliaia 26 5 2 4" xfId="54772" xr:uid="{00000000-0005-0000-0000-00001DB20000}"/>
    <cellStyle name="Migliaia 26 5 3" xfId="51179" xr:uid="{00000000-0005-0000-0000-00001EB20000}"/>
    <cellStyle name="Migliaia 26 5 3 2" xfId="55614" xr:uid="{00000000-0005-0000-0000-00001FB20000}"/>
    <cellStyle name="Migliaia 26 5 4" xfId="52332" xr:uid="{00000000-0005-0000-0000-000020B20000}"/>
    <cellStyle name="Migliaia 26 6" xfId="9160" xr:uid="{00000000-0005-0000-0000-000021B20000}"/>
    <cellStyle name="Migliaia 26 6 2" xfId="50987" xr:uid="{00000000-0005-0000-0000-000022B20000}"/>
    <cellStyle name="Migliaia 26 6 3" xfId="54545" xr:uid="{00000000-0005-0000-0000-000023B20000}"/>
    <cellStyle name="Migliaia 26 7" xfId="9807" xr:uid="{00000000-0005-0000-0000-000024B20000}"/>
    <cellStyle name="Migliaia 26 7 2" xfId="26133" xr:uid="{00000000-0005-0000-0000-000025B20000}"/>
    <cellStyle name="Migliaia 26 7 3" xfId="41111" xr:uid="{00000000-0005-0000-0000-000026B20000}"/>
    <cellStyle name="Migliaia 26 7 4" xfId="55607" xr:uid="{00000000-0005-0000-0000-000027B20000}"/>
    <cellStyle name="Migliaia 26 8" xfId="17084" xr:uid="{00000000-0005-0000-0000-000028B20000}"/>
    <cellStyle name="Migliaia 26 8 2" xfId="33200" xr:uid="{00000000-0005-0000-0000-000029B20000}"/>
    <cellStyle name="Migliaia 26 8 3" xfId="48161" xr:uid="{00000000-0005-0000-0000-00002AB20000}"/>
    <cellStyle name="Migliaia 26 9" xfId="19114" xr:uid="{00000000-0005-0000-0000-00002BB20000}"/>
    <cellStyle name="Migliaia 27" xfId="361" xr:uid="{00000000-0005-0000-0000-00002CB20000}"/>
    <cellStyle name="Migliaia 27 10" xfId="34113" xr:uid="{00000000-0005-0000-0000-00002DB20000}"/>
    <cellStyle name="Migliaia 27 11" xfId="49053" xr:uid="{00000000-0005-0000-0000-00002EB20000}"/>
    <cellStyle name="Migliaia 27 12" xfId="49458" xr:uid="{00000000-0005-0000-0000-00002FB20000}"/>
    <cellStyle name="Migliaia 27 13" xfId="49864" xr:uid="{00000000-0005-0000-0000-000030B20000}"/>
    <cellStyle name="Migliaia 27 14" xfId="50272" xr:uid="{00000000-0005-0000-0000-000031B20000}"/>
    <cellStyle name="Migliaia 27 15" xfId="50714" xr:uid="{00000000-0005-0000-0000-000032B20000}"/>
    <cellStyle name="Migliaia 27 16" xfId="51433" xr:uid="{00000000-0005-0000-0000-000033B20000}"/>
    <cellStyle name="Migliaia 27 17" xfId="51846" xr:uid="{00000000-0005-0000-0000-000034B20000}"/>
    <cellStyle name="Migliaia 27 18" xfId="52333" xr:uid="{00000000-0005-0000-0000-000035B20000}"/>
    <cellStyle name="Migliaia 27 2" xfId="362" xr:uid="{00000000-0005-0000-0000-000036B20000}"/>
    <cellStyle name="Migliaia 27 2 10" xfId="49865" xr:uid="{00000000-0005-0000-0000-000037B20000}"/>
    <cellStyle name="Migliaia 27 2 11" xfId="50273" xr:uid="{00000000-0005-0000-0000-000038B20000}"/>
    <cellStyle name="Migliaia 27 2 12" xfId="50715" xr:uid="{00000000-0005-0000-0000-000039B20000}"/>
    <cellStyle name="Migliaia 27 2 13" xfId="51434" xr:uid="{00000000-0005-0000-0000-00003AB20000}"/>
    <cellStyle name="Migliaia 27 2 14" xfId="51847" xr:uid="{00000000-0005-0000-0000-00003BB20000}"/>
    <cellStyle name="Migliaia 27 2 15" xfId="52334" xr:uid="{00000000-0005-0000-0000-00003CB20000}"/>
    <cellStyle name="Migliaia 27 2 2" xfId="1262" xr:uid="{00000000-0005-0000-0000-00003DB20000}"/>
    <cellStyle name="Migliaia 27 2 2 10" xfId="51056" xr:uid="{00000000-0005-0000-0000-00003EB20000}"/>
    <cellStyle name="Migliaia 27 2 2 11" xfId="51652" xr:uid="{00000000-0005-0000-0000-00003FB20000}"/>
    <cellStyle name="Migliaia 27 2 2 12" xfId="52073" xr:uid="{00000000-0005-0000-0000-000040B20000}"/>
    <cellStyle name="Migliaia 27 2 2 13" xfId="52833" xr:uid="{00000000-0005-0000-0000-000041B20000}"/>
    <cellStyle name="Migliaia 27 2 2 2" xfId="10030" xr:uid="{00000000-0005-0000-0000-000042B20000}"/>
    <cellStyle name="Migliaia 27 2 2 2 2" xfId="26351" xr:uid="{00000000-0005-0000-0000-000043B20000}"/>
    <cellStyle name="Migliaia 27 2 2 2 3" xfId="41319" xr:uid="{00000000-0005-0000-0000-000044B20000}"/>
    <cellStyle name="Migliaia 27 2 2 2 4" xfId="55188" xr:uid="{00000000-0005-0000-0000-000045B20000}"/>
    <cellStyle name="Migliaia 27 2 2 3" xfId="18236" xr:uid="{00000000-0005-0000-0000-000046B20000}"/>
    <cellStyle name="Migliaia 27 2 2 3 2" xfId="33703" xr:uid="{00000000-0005-0000-0000-000047B20000}"/>
    <cellStyle name="Migliaia 27 2 2 3 3" xfId="48664" xr:uid="{00000000-0005-0000-0000-000048B20000}"/>
    <cellStyle name="Migliaia 27 2 2 3 4" xfId="56110" xr:uid="{00000000-0005-0000-0000-000049B20000}"/>
    <cellStyle name="Migliaia 27 2 2 4" xfId="19330" xr:uid="{00000000-0005-0000-0000-00004AB20000}"/>
    <cellStyle name="Migliaia 27 2 2 5" xfId="34320" xr:uid="{00000000-0005-0000-0000-00004BB20000}"/>
    <cellStyle name="Migliaia 27 2 2 6" xfId="49272" xr:uid="{00000000-0005-0000-0000-00004CB20000}"/>
    <cellStyle name="Migliaia 27 2 2 7" xfId="49677" xr:uid="{00000000-0005-0000-0000-00004DB20000}"/>
    <cellStyle name="Migliaia 27 2 2 8" xfId="50086" xr:uid="{00000000-0005-0000-0000-00004EB20000}"/>
    <cellStyle name="Migliaia 27 2 2 9" xfId="50491" xr:uid="{00000000-0005-0000-0000-00004FB20000}"/>
    <cellStyle name="Migliaia 27 2 3" xfId="9167" xr:uid="{00000000-0005-0000-0000-000050B20000}"/>
    <cellStyle name="Migliaia 27 2 3 2" xfId="54610" xr:uid="{00000000-0005-0000-0000-000051B20000}"/>
    <cellStyle name="Migliaia 27 2 4" xfId="9812" xr:uid="{00000000-0005-0000-0000-000052B20000}"/>
    <cellStyle name="Migliaia 27 2 4 2" xfId="26138" xr:uid="{00000000-0005-0000-0000-000053B20000}"/>
    <cellStyle name="Migliaia 27 2 4 3" xfId="41116" xr:uid="{00000000-0005-0000-0000-000054B20000}"/>
    <cellStyle name="Migliaia 27 2 4 4" xfId="55616" xr:uid="{00000000-0005-0000-0000-000055B20000}"/>
    <cellStyle name="Migliaia 27 2 5" xfId="17093" xr:uid="{00000000-0005-0000-0000-000056B20000}"/>
    <cellStyle name="Migliaia 27 2 5 2" xfId="33209" xr:uid="{00000000-0005-0000-0000-000057B20000}"/>
    <cellStyle name="Migliaia 27 2 5 3" xfId="48170" xr:uid="{00000000-0005-0000-0000-000058B20000}"/>
    <cellStyle name="Migliaia 27 2 6" xfId="19119" xr:uid="{00000000-0005-0000-0000-000059B20000}"/>
    <cellStyle name="Migliaia 27 2 7" xfId="34114" xr:uid="{00000000-0005-0000-0000-00005AB20000}"/>
    <cellStyle name="Migliaia 27 2 8" xfId="49054" xr:uid="{00000000-0005-0000-0000-00005BB20000}"/>
    <cellStyle name="Migliaia 27 2 9" xfId="49459" xr:uid="{00000000-0005-0000-0000-00005CB20000}"/>
    <cellStyle name="Migliaia 27 3" xfId="363" xr:uid="{00000000-0005-0000-0000-00005DB20000}"/>
    <cellStyle name="Migliaia 27 3 10" xfId="49866" xr:uid="{00000000-0005-0000-0000-00005EB20000}"/>
    <cellStyle name="Migliaia 27 3 11" xfId="50274" xr:uid="{00000000-0005-0000-0000-00005FB20000}"/>
    <cellStyle name="Migliaia 27 3 12" xfId="50716" xr:uid="{00000000-0005-0000-0000-000060B20000}"/>
    <cellStyle name="Migliaia 27 3 13" xfId="51435" xr:uid="{00000000-0005-0000-0000-000061B20000}"/>
    <cellStyle name="Migliaia 27 3 14" xfId="51848" xr:uid="{00000000-0005-0000-0000-000062B20000}"/>
    <cellStyle name="Migliaia 27 3 15" xfId="52335" xr:uid="{00000000-0005-0000-0000-000063B20000}"/>
    <cellStyle name="Migliaia 27 3 2" xfId="364" xr:uid="{00000000-0005-0000-0000-000064B20000}"/>
    <cellStyle name="Migliaia 27 3 2 10" xfId="50275" xr:uid="{00000000-0005-0000-0000-000065B20000}"/>
    <cellStyle name="Migliaia 27 3 2 11" xfId="50717" xr:uid="{00000000-0005-0000-0000-000066B20000}"/>
    <cellStyle name="Migliaia 27 3 2 12" xfId="51436" xr:uid="{00000000-0005-0000-0000-000067B20000}"/>
    <cellStyle name="Migliaia 27 3 2 13" xfId="51849" xr:uid="{00000000-0005-0000-0000-000068B20000}"/>
    <cellStyle name="Migliaia 27 3 2 14" xfId="52336" xr:uid="{00000000-0005-0000-0000-000069B20000}"/>
    <cellStyle name="Migliaia 27 3 2 2" xfId="9169" xr:uid="{00000000-0005-0000-0000-00006AB20000}"/>
    <cellStyle name="Migliaia 27 3 2 2 2" xfId="54774" xr:uid="{00000000-0005-0000-0000-00006BB20000}"/>
    <cellStyle name="Migliaia 27 3 2 3" xfId="9814" xr:uid="{00000000-0005-0000-0000-00006CB20000}"/>
    <cellStyle name="Migliaia 27 3 2 3 2" xfId="26140" xr:uid="{00000000-0005-0000-0000-00006DB20000}"/>
    <cellStyle name="Migliaia 27 3 2 3 3" xfId="41118" xr:uid="{00000000-0005-0000-0000-00006EB20000}"/>
    <cellStyle name="Migliaia 27 3 2 3 4" xfId="55618" xr:uid="{00000000-0005-0000-0000-00006FB20000}"/>
    <cellStyle name="Migliaia 27 3 2 4" xfId="17095" xr:uid="{00000000-0005-0000-0000-000070B20000}"/>
    <cellStyle name="Migliaia 27 3 2 4 2" xfId="33211" xr:uid="{00000000-0005-0000-0000-000071B20000}"/>
    <cellStyle name="Migliaia 27 3 2 4 3" xfId="48172" xr:uid="{00000000-0005-0000-0000-000072B20000}"/>
    <cellStyle name="Migliaia 27 3 2 5" xfId="19121" xr:uid="{00000000-0005-0000-0000-000073B20000}"/>
    <cellStyle name="Migliaia 27 3 2 6" xfId="34116" xr:uid="{00000000-0005-0000-0000-000074B20000}"/>
    <cellStyle name="Migliaia 27 3 2 7" xfId="49056" xr:uid="{00000000-0005-0000-0000-000075B20000}"/>
    <cellStyle name="Migliaia 27 3 2 8" xfId="49461" xr:uid="{00000000-0005-0000-0000-000076B20000}"/>
    <cellStyle name="Migliaia 27 3 2 9" xfId="49867" xr:uid="{00000000-0005-0000-0000-000077B20000}"/>
    <cellStyle name="Migliaia 27 3 3" xfId="9168" xr:uid="{00000000-0005-0000-0000-000078B20000}"/>
    <cellStyle name="Migliaia 27 3 3 2" xfId="18238" xr:uid="{00000000-0005-0000-0000-000079B20000}"/>
    <cellStyle name="Migliaia 27 3 3 2 2" xfId="33705" xr:uid="{00000000-0005-0000-0000-00007AB20000}"/>
    <cellStyle name="Migliaia 27 3 3 2 2 2" xfId="55190" xr:uid="{00000000-0005-0000-0000-00007BB20000}"/>
    <cellStyle name="Migliaia 27 3 3 2 3" xfId="48666" xr:uid="{00000000-0005-0000-0000-00007CB20000}"/>
    <cellStyle name="Migliaia 27 3 3 2 3 2" xfId="56112" xr:uid="{00000000-0005-0000-0000-00007DB20000}"/>
    <cellStyle name="Migliaia 27 3 3 2 4" xfId="52835" xr:uid="{00000000-0005-0000-0000-00007EB20000}"/>
    <cellStyle name="Migliaia 27 3 3 3" xfId="17096" xr:uid="{00000000-0005-0000-0000-00007FB20000}"/>
    <cellStyle name="Migliaia 27 3 3 3 2" xfId="33212" xr:uid="{00000000-0005-0000-0000-000080B20000}"/>
    <cellStyle name="Migliaia 27 3 3 3 3" xfId="48173" xr:uid="{00000000-0005-0000-0000-000081B20000}"/>
    <cellStyle name="Migliaia 27 3 3 3 4" xfId="54775" xr:uid="{00000000-0005-0000-0000-000082B20000}"/>
    <cellStyle name="Migliaia 27 3 3 4" xfId="55619" xr:uid="{00000000-0005-0000-0000-000083B20000}"/>
    <cellStyle name="Migliaia 27 3 3 5" xfId="52337" xr:uid="{00000000-0005-0000-0000-000084B20000}"/>
    <cellStyle name="Migliaia 27 3 4" xfId="9813" xr:uid="{00000000-0005-0000-0000-000085B20000}"/>
    <cellStyle name="Migliaia 27 3 4 2" xfId="18237" xr:uid="{00000000-0005-0000-0000-000086B20000}"/>
    <cellStyle name="Migliaia 27 3 4 2 2" xfId="33704" xr:uid="{00000000-0005-0000-0000-000087B20000}"/>
    <cellStyle name="Migliaia 27 3 4 2 3" xfId="48665" xr:uid="{00000000-0005-0000-0000-000088B20000}"/>
    <cellStyle name="Migliaia 27 3 4 2 4" xfId="55189" xr:uid="{00000000-0005-0000-0000-000089B20000}"/>
    <cellStyle name="Migliaia 27 3 4 3" xfId="26139" xr:uid="{00000000-0005-0000-0000-00008AB20000}"/>
    <cellStyle name="Migliaia 27 3 4 3 2" xfId="56111" xr:uid="{00000000-0005-0000-0000-00008BB20000}"/>
    <cellStyle name="Migliaia 27 3 4 4" xfId="41117" xr:uid="{00000000-0005-0000-0000-00008CB20000}"/>
    <cellStyle name="Migliaia 27 3 4 5" xfId="52834" xr:uid="{00000000-0005-0000-0000-00008DB20000}"/>
    <cellStyle name="Migliaia 27 3 5" xfId="17094" xr:uid="{00000000-0005-0000-0000-00008EB20000}"/>
    <cellStyle name="Migliaia 27 3 5 2" xfId="33210" xr:uid="{00000000-0005-0000-0000-00008FB20000}"/>
    <cellStyle name="Migliaia 27 3 5 3" xfId="48171" xr:uid="{00000000-0005-0000-0000-000090B20000}"/>
    <cellStyle name="Migliaia 27 3 5 4" xfId="54773" xr:uid="{00000000-0005-0000-0000-000091B20000}"/>
    <cellStyle name="Migliaia 27 3 6" xfId="19120" xr:uid="{00000000-0005-0000-0000-000092B20000}"/>
    <cellStyle name="Migliaia 27 3 6 2" xfId="55617" xr:uid="{00000000-0005-0000-0000-000093B20000}"/>
    <cellStyle name="Migliaia 27 3 7" xfId="34115" xr:uid="{00000000-0005-0000-0000-000094B20000}"/>
    <cellStyle name="Migliaia 27 3 8" xfId="49055" xr:uid="{00000000-0005-0000-0000-000095B20000}"/>
    <cellStyle name="Migliaia 27 3 9" xfId="49460" xr:uid="{00000000-0005-0000-0000-000096B20000}"/>
    <cellStyle name="Migliaia 27 4" xfId="9170" xr:uid="{00000000-0005-0000-0000-000097B20000}"/>
    <cellStyle name="Migliaia 27 4 2" xfId="17098" xr:uid="{00000000-0005-0000-0000-000098B20000}"/>
    <cellStyle name="Migliaia 27 4 2 2" xfId="18240" xr:uid="{00000000-0005-0000-0000-000099B20000}"/>
    <cellStyle name="Migliaia 27 4 2 2 2" xfId="33707" xr:uid="{00000000-0005-0000-0000-00009AB20000}"/>
    <cellStyle name="Migliaia 27 4 2 2 2 2" xfId="55192" xr:uid="{00000000-0005-0000-0000-00009BB20000}"/>
    <cellStyle name="Migliaia 27 4 2 2 3" xfId="48668" xr:uid="{00000000-0005-0000-0000-00009CB20000}"/>
    <cellStyle name="Migliaia 27 4 2 2 3 2" xfId="56114" xr:uid="{00000000-0005-0000-0000-00009DB20000}"/>
    <cellStyle name="Migliaia 27 4 2 2 4" xfId="52837" xr:uid="{00000000-0005-0000-0000-00009EB20000}"/>
    <cellStyle name="Migliaia 27 4 2 3" xfId="33214" xr:uid="{00000000-0005-0000-0000-00009FB20000}"/>
    <cellStyle name="Migliaia 27 4 2 3 2" xfId="54777" xr:uid="{00000000-0005-0000-0000-0000A0B20000}"/>
    <cellStyle name="Migliaia 27 4 2 4" xfId="48175" xr:uid="{00000000-0005-0000-0000-0000A1B20000}"/>
    <cellStyle name="Migliaia 27 4 2 4 2" xfId="55621" xr:uid="{00000000-0005-0000-0000-0000A2B20000}"/>
    <cellStyle name="Migliaia 27 4 2 5" xfId="52339" xr:uid="{00000000-0005-0000-0000-0000A3B20000}"/>
    <cellStyle name="Migliaia 27 4 3" xfId="18239" xr:uid="{00000000-0005-0000-0000-0000A4B20000}"/>
    <cellStyle name="Migliaia 27 4 3 2" xfId="33706" xr:uid="{00000000-0005-0000-0000-0000A5B20000}"/>
    <cellStyle name="Migliaia 27 4 3 2 2" xfId="55191" xr:uid="{00000000-0005-0000-0000-0000A6B20000}"/>
    <cellStyle name="Migliaia 27 4 3 3" xfId="48667" xr:uid="{00000000-0005-0000-0000-0000A7B20000}"/>
    <cellStyle name="Migliaia 27 4 3 3 2" xfId="56113" xr:uid="{00000000-0005-0000-0000-0000A8B20000}"/>
    <cellStyle name="Migliaia 27 4 3 4" xfId="52836" xr:uid="{00000000-0005-0000-0000-0000A9B20000}"/>
    <cellStyle name="Migliaia 27 4 4" xfId="17097" xr:uid="{00000000-0005-0000-0000-0000AAB20000}"/>
    <cellStyle name="Migliaia 27 4 4 2" xfId="33213" xr:uid="{00000000-0005-0000-0000-0000ABB20000}"/>
    <cellStyle name="Migliaia 27 4 4 3" xfId="48174" xr:uid="{00000000-0005-0000-0000-0000ACB20000}"/>
    <cellStyle name="Migliaia 27 4 4 4" xfId="54776" xr:uid="{00000000-0005-0000-0000-0000ADB20000}"/>
    <cellStyle name="Migliaia 27 4 5" xfId="50986" xr:uid="{00000000-0005-0000-0000-0000AEB20000}"/>
    <cellStyle name="Migliaia 27 4 5 2" xfId="55620" xr:uid="{00000000-0005-0000-0000-0000AFB20000}"/>
    <cellStyle name="Migliaia 27 4 6" xfId="52338" xr:uid="{00000000-0005-0000-0000-0000B0B20000}"/>
    <cellStyle name="Migliaia 27 5" xfId="9171" xr:uid="{00000000-0005-0000-0000-0000B1B20000}"/>
    <cellStyle name="Migliaia 27 5 2" xfId="17099" xr:uid="{00000000-0005-0000-0000-0000B2B20000}"/>
    <cellStyle name="Migliaia 27 5 2 2" xfId="33215" xr:uid="{00000000-0005-0000-0000-0000B3B20000}"/>
    <cellStyle name="Migliaia 27 5 2 3" xfId="48176" xr:uid="{00000000-0005-0000-0000-0000B4B20000}"/>
    <cellStyle name="Migliaia 27 5 2 4" xfId="54778" xr:uid="{00000000-0005-0000-0000-0000B5B20000}"/>
    <cellStyle name="Migliaia 27 5 3" xfId="51213" xr:uid="{00000000-0005-0000-0000-0000B6B20000}"/>
    <cellStyle name="Migliaia 27 5 3 2" xfId="55622" xr:uid="{00000000-0005-0000-0000-0000B7B20000}"/>
    <cellStyle name="Migliaia 27 5 4" xfId="52340" xr:uid="{00000000-0005-0000-0000-0000B8B20000}"/>
    <cellStyle name="Migliaia 27 6" xfId="9166" xr:uid="{00000000-0005-0000-0000-0000B9B20000}"/>
    <cellStyle name="Migliaia 27 6 2" xfId="51164" xr:uid="{00000000-0005-0000-0000-0000BAB20000}"/>
    <cellStyle name="Migliaia 27 6 3" xfId="54546" xr:uid="{00000000-0005-0000-0000-0000BBB20000}"/>
    <cellStyle name="Migliaia 27 7" xfId="9811" xr:uid="{00000000-0005-0000-0000-0000BCB20000}"/>
    <cellStyle name="Migliaia 27 7 2" xfId="26137" xr:uid="{00000000-0005-0000-0000-0000BDB20000}"/>
    <cellStyle name="Migliaia 27 7 3" xfId="41115" xr:uid="{00000000-0005-0000-0000-0000BEB20000}"/>
    <cellStyle name="Migliaia 27 7 4" xfId="55615" xr:uid="{00000000-0005-0000-0000-0000BFB20000}"/>
    <cellStyle name="Migliaia 27 8" xfId="17092" xr:uid="{00000000-0005-0000-0000-0000C0B20000}"/>
    <cellStyle name="Migliaia 27 8 2" xfId="33208" xr:uid="{00000000-0005-0000-0000-0000C1B20000}"/>
    <cellStyle name="Migliaia 27 8 3" xfId="48169" xr:uid="{00000000-0005-0000-0000-0000C2B20000}"/>
    <cellStyle name="Migliaia 27 9" xfId="19118" xr:uid="{00000000-0005-0000-0000-0000C3B20000}"/>
    <cellStyle name="Migliaia 28" xfId="365" xr:uid="{00000000-0005-0000-0000-0000C4B20000}"/>
    <cellStyle name="Migliaia 28 10" xfId="34117" xr:uid="{00000000-0005-0000-0000-0000C5B20000}"/>
    <cellStyle name="Migliaia 28 11" xfId="49057" xr:uid="{00000000-0005-0000-0000-0000C6B20000}"/>
    <cellStyle name="Migliaia 28 12" xfId="49462" xr:uid="{00000000-0005-0000-0000-0000C7B20000}"/>
    <cellStyle name="Migliaia 28 13" xfId="49868" xr:uid="{00000000-0005-0000-0000-0000C8B20000}"/>
    <cellStyle name="Migliaia 28 14" xfId="50276" xr:uid="{00000000-0005-0000-0000-0000C9B20000}"/>
    <cellStyle name="Migliaia 28 15" xfId="50718" xr:uid="{00000000-0005-0000-0000-0000CAB20000}"/>
    <cellStyle name="Migliaia 28 16" xfId="51437" xr:uid="{00000000-0005-0000-0000-0000CBB20000}"/>
    <cellStyle name="Migliaia 28 17" xfId="51850" xr:uid="{00000000-0005-0000-0000-0000CCB20000}"/>
    <cellStyle name="Migliaia 28 18" xfId="52341" xr:uid="{00000000-0005-0000-0000-0000CDB20000}"/>
    <cellStyle name="Migliaia 28 2" xfId="366" xr:uid="{00000000-0005-0000-0000-0000CEB20000}"/>
    <cellStyle name="Migliaia 28 2 10" xfId="49869" xr:uid="{00000000-0005-0000-0000-0000CFB20000}"/>
    <cellStyle name="Migliaia 28 2 11" xfId="50277" xr:uid="{00000000-0005-0000-0000-0000D0B20000}"/>
    <cellStyle name="Migliaia 28 2 12" xfId="50719" xr:uid="{00000000-0005-0000-0000-0000D1B20000}"/>
    <cellStyle name="Migliaia 28 2 13" xfId="51438" xr:uid="{00000000-0005-0000-0000-0000D2B20000}"/>
    <cellStyle name="Migliaia 28 2 14" xfId="51851" xr:uid="{00000000-0005-0000-0000-0000D3B20000}"/>
    <cellStyle name="Migliaia 28 2 15" xfId="52342" xr:uid="{00000000-0005-0000-0000-0000D4B20000}"/>
    <cellStyle name="Migliaia 28 2 2" xfId="1263" xr:uid="{00000000-0005-0000-0000-0000D5B20000}"/>
    <cellStyle name="Migliaia 28 2 2 10" xfId="51057" xr:uid="{00000000-0005-0000-0000-0000D6B20000}"/>
    <cellStyle name="Migliaia 28 2 2 11" xfId="51653" xr:uid="{00000000-0005-0000-0000-0000D7B20000}"/>
    <cellStyle name="Migliaia 28 2 2 12" xfId="52074" xr:uid="{00000000-0005-0000-0000-0000D8B20000}"/>
    <cellStyle name="Migliaia 28 2 2 13" xfId="52838" xr:uid="{00000000-0005-0000-0000-0000D9B20000}"/>
    <cellStyle name="Migliaia 28 2 2 2" xfId="10031" xr:uid="{00000000-0005-0000-0000-0000DAB20000}"/>
    <cellStyle name="Migliaia 28 2 2 2 2" xfId="26352" xr:uid="{00000000-0005-0000-0000-0000DBB20000}"/>
    <cellStyle name="Migliaia 28 2 2 2 3" xfId="41320" xr:uid="{00000000-0005-0000-0000-0000DCB20000}"/>
    <cellStyle name="Migliaia 28 2 2 2 4" xfId="55193" xr:uid="{00000000-0005-0000-0000-0000DDB20000}"/>
    <cellStyle name="Migliaia 28 2 2 3" xfId="18241" xr:uid="{00000000-0005-0000-0000-0000DEB20000}"/>
    <cellStyle name="Migliaia 28 2 2 3 2" xfId="33708" xr:uid="{00000000-0005-0000-0000-0000DFB20000}"/>
    <cellStyle name="Migliaia 28 2 2 3 3" xfId="48669" xr:uid="{00000000-0005-0000-0000-0000E0B20000}"/>
    <cellStyle name="Migliaia 28 2 2 3 4" xfId="56115" xr:uid="{00000000-0005-0000-0000-0000E1B20000}"/>
    <cellStyle name="Migliaia 28 2 2 4" xfId="19331" xr:uid="{00000000-0005-0000-0000-0000E2B20000}"/>
    <cellStyle name="Migliaia 28 2 2 5" xfId="34321" xr:uid="{00000000-0005-0000-0000-0000E3B20000}"/>
    <cellStyle name="Migliaia 28 2 2 6" xfId="49273" xr:uid="{00000000-0005-0000-0000-0000E4B20000}"/>
    <cellStyle name="Migliaia 28 2 2 7" xfId="49678" xr:uid="{00000000-0005-0000-0000-0000E5B20000}"/>
    <cellStyle name="Migliaia 28 2 2 8" xfId="50087" xr:uid="{00000000-0005-0000-0000-0000E6B20000}"/>
    <cellStyle name="Migliaia 28 2 2 9" xfId="50492" xr:uid="{00000000-0005-0000-0000-0000E7B20000}"/>
    <cellStyle name="Migliaia 28 2 3" xfId="9173" xr:uid="{00000000-0005-0000-0000-0000E8B20000}"/>
    <cellStyle name="Migliaia 28 2 3 2" xfId="54611" xr:uid="{00000000-0005-0000-0000-0000E9B20000}"/>
    <cellStyle name="Migliaia 28 2 4" xfId="9816" xr:uid="{00000000-0005-0000-0000-0000EAB20000}"/>
    <cellStyle name="Migliaia 28 2 4 2" xfId="26142" xr:uid="{00000000-0005-0000-0000-0000EBB20000}"/>
    <cellStyle name="Migliaia 28 2 4 3" xfId="41120" xr:uid="{00000000-0005-0000-0000-0000ECB20000}"/>
    <cellStyle name="Migliaia 28 2 4 4" xfId="55624" xr:uid="{00000000-0005-0000-0000-0000EDB20000}"/>
    <cellStyle name="Migliaia 28 2 5" xfId="17101" xr:uid="{00000000-0005-0000-0000-0000EEB20000}"/>
    <cellStyle name="Migliaia 28 2 5 2" xfId="33217" xr:uid="{00000000-0005-0000-0000-0000EFB20000}"/>
    <cellStyle name="Migliaia 28 2 5 3" xfId="48178" xr:uid="{00000000-0005-0000-0000-0000F0B20000}"/>
    <cellStyle name="Migliaia 28 2 6" xfId="19123" xr:uid="{00000000-0005-0000-0000-0000F1B20000}"/>
    <cellStyle name="Migliaia 28 2 7" xfId="34118" xr:uid="{00000000-0005-0000-0000-0000F2B20000}"/>
    <cellStyle name="Migliaia 28 2 8" xfId="49058" xr:uid="{00000000-0005-0000-0000-0000F3B20000}"/>
    <cellStyle name="Migliaia 28 2 9" xfId="49463" xr:uid="{00000000-0005-0000-0000-0000F4B20000}"/>
    <cellStyle name="Migliaia 28 3" xfId="367" xr:uid="{00000000-0005-0000-0000-0000F5B20000}"/>
    <cellStyle name="Migliaia 28 3 10" xfId="49870" xr:uid="{00000000-0005-0000-0000-0000F6B20000}"/>
    <cellStyle name="Migliaia 28 3 11" xfId="50278" xr:uid="{00000000-0005-0000-0000-0000F7B20000}"/>
    <cellStyle name="Migliaia 28 3 12" xfId="50720" xr:uid="{00000000-0005-0000-0000-0000F8B20000}"/>
    <cellStyle name="Migliaia 28 3 13" xfId="51439" xr:uid="{00000000-0005-0000-0000-0000F9B20000}"/>
    <cellStyle name="Migliaia 28 3 14" xfId="51852" xr:uid="{00000000-0005-0000-0000-0000FAB20000}"/>
    <cellStyle name="Migliaia 28 3 15" xfId="52343" xr:uid="{00000000-0005-0000-0000-0000FBB20000}"/>
    <cellStyle name="Migliaia 28 3 2" xfId="368" xr:uid="{00000000-0005-0000-0000-0000FCB20000}"/>
    <cellStyle name="Migliaia 28 3 2 10" xfId="50279" xr:uid="{00000000-0005-0000-0000-0000FDB20000}"/>
    <cellStyle name="Migliaia 28 3 2 11" xfId="50721" xr:uid="{00000000-0005-0000-0000-0000FEB20000}"/>
    <cellStyle name="Migliaia 28 3 2 12" xfId="51440" xr:uid="{00000000-0005-0000-0000-0000FFB20000}"/>
    <cellStyle name="Migliaia 28 3 2 13" xfId="51853" xr:uid="{00000000-0005-0000-0000-000000B30000}"/>
    <cellStyle name="Migliaia 28 3 2 14" xfId="52344" xr:uid="{00000000-0005-0000-0000-000001B30000}"/>
    <cellStyle name="Migliaia 28 3 2 2" xfId="9175" xr:uid="{00000000-0005-0000-0000-000002B30000}"/>
    <cellStyle name="Migliaia 28 3 2 2 2" xfId="54780" xr:uid="{00000000-0005-0000-0000-000003B30000}"/>
    <cellStyle name="Migliaia 28 3 2 3" xfId="9818" xr:uid="{00000000-0005-0000-0000-000004B30000}"/>
    <cellStyle name="Migliaia 28 3 2 3 2" xfId="26144" xr:uid="{00000000-0005-0000-0000-000005B30000}"/>
    <cellStyle name="Migliaia 28 3 2 3 3" xfId="41122" xr:uid="{00000000-0005-0000-0000-000006B30000}"/>
    <cellStyle name="Migliaia 28 3 2 3 4" xfId="55626" xr:uid="{00000000-0005-0000-0000-000007B30000}"/>
    <cellStyle name="Migliaia 28 3 2 4" xfId="17103" xr:uid="{00000000-0005-0000-0000-000008B30000}"/>
    <cellStyle name="Migliaia 28 3 2 4 2" xfId="33219" xr:uid="{00000000-0005-0000-0000-000009B30000}"/>
    <cellStyle name="Migliaia 28 3 2 4 3" xfId="48180" xr:uid="{00000000-0005-0000-0000-00000AB30000}"/>
    <cellStyle name="Migliaia 28 3 2 5" xfId="19125" xr:uid="{00000000-0005-0000-0000-00000BB30000}"/>
    <cellStyle name="Migliaia 28 3 2 6" xfId="34120" xr:uid="{00000000-0005-0000-0000-00000CB30000}"/>
    <cellStyle name="Migliaia 28 3 2 7" xfId="49060" xr:uid="{00000000-0005-0000-0000-00000DB30000}"/>
    <cellStyle name="Migliaia 28 3 2 8" xfId="49465" xr:uid="{00000000-0005-0000-0000-00000EB30000}"/>
    <cellStyle name="Migliaia 28 3 2 9" xfId="49871" xr:uid="{00000000-0005-0000-0000-00000FB30000}"/>
    <cellStyle name="Migliaia 28 3 3" xfId="9174" xr:uid="{00000000-0005-0000-0000-000010B30000}"/>
    <cellStyle name="Migliaia 28 3 3 2" xfId="18243" xr:uid="{00000000-0005-0000-0000-000011B30000}"/>
    <cellStyle name="Migliaia 28 3 3 2 2" xfId="33710" xr:uid="{00000000-0005-0000-0000-000012B30000}"/>
    <cellStyle name="Migliaia 28 3 3 2 2 2" xfId="55195" xr:uid="{00000000-0005-0000-0000-000013B30000}"/>
    <cellStyle name="Migliaia 28 3 3 2 3" xfId="48671" xr:uid="{00000000-0005-0000-0000-000014B30000}"/>
    <cellStyle name="Migliaia 28 3 3 2 3 2" xfId="56117" xr:uid="{00000000-0005-0000-0000-000015B30000}"/>
    <cellStyle name="Migliaia 28 3 3 2 4" xfId="52840" xr:uid="{00000000-0005-0000-0000-000016B30000}"/>
    <cellStyle name="Migliaia 28 3 3 3" xfId="17104" xr:uid="{00000000-0005-0000-0000-000017B30000}"/>
    <cellStyle name="Migliaia 28 3 3 3 2" xfId="33220" xr:uid="{00000000-0005-0000-0000-000018B30000}"/>
    <cellStyle name="Migliaia 28 3 3 3 3" xfId="48181" xr:uid="{00000000-0005-0000-0000-000019B30000}"/>
    <cellStyle name="Migliaia 28 3 3 3 4" xfId="54781" xr:uid="{00000000-0005-0000-0000-00001AB30000}"/>
    <cellStyle name="Migliaia 28 3 3 4" xfId="55627" xr:uid="{00000000-0005-0000-0000-00001BB30000}"/>
    <cellStyle name="Migliaia 28 3 3 5" xfId="52345" xr:uid="{00000000-0005-0000-0000-00001CB30000}"/>
    <cellStyle name="Migliaia 28 3 4" xfId="9817" xr:uid="{00000000-0005-0000-0000-00001DB30000}"/>
    <cellStyle name="Migliaia 28 3 4 2" xfId="18242" xr:uid="{00000000-0005-0000-0000-00001EB30000}"/>
    <cellStyle name="Migliaia 28 3 4 2 2" xfId="33709" xr:uid="{00000000-0005-0000-0000-00001FB30000}"/>
    <cellStyle name="Migliaia 28 3 4 2 3" xfId="48670" xr:uid="{00000000-0005-0000-0000-000020B30000}"/>
    <cellStyle name="Migliaia 28 3 4 2 4" xfId="55194" xr:uid="{00000000-0005-0000-0000-000021B30000}"/>
    <cellStyle name="Migliaia 28 3 4 3" xfId="26143" xr:uid="{00000000-0005-0000-0000-000022B30000}"/>
    <cellStyle name="Migliaia 28 3 4 3 2" xfId="56116" xr:uid="{00000000-0005-0000-0000-000023B30000}"/>
    <cellStyle name="Migliaia 28 3 4 4" xfId="41121" xr:uid="{00000000-0005-0000-0000-000024B30000}"/>
    <cellStyle name="Migliaia 28 3 4 5" xfId="52839" xr:uid="{00000000-0005-0000-0000-000025B30000}"/>
    <cellStyle name="Migliaia 28 3 5" xfId="17102" xr:uid="{00000000-0005-0000-0000-000026B30000}"/>
    <cellStyle name="Migliaia 28 3 5 2" xfId="33218" xr:uid="{00000000-0005-0000-0000-000027B30000}"/>
    <cellStyle name="Migliaia 28 3 5 3" xfId="48179" xr:uid="{00000000-0005-0000-0000-000028B30000}"/>
    <cellStyle name="Migliaia 28 3 5 4" xfId="54779" xr:uid="{00000000-0005-0000-0000-000029B30000}"/>
    <cellStyle name="Migliaia 28 3 6" xfId="19124" xr:uid="{00000000-0005-0000-0000-00002AB30000}"/>
    <cellStyle name="Migliaia 28 3 6 2" xfId="55625" xr:uid="{00000000-0005-0000-0000-00002BB30000}"/>
    <cellStyle name="Migliaia 28 3 7" xfId="34119" xr:uid="{00000000-0005-0000-0000-00002CB30000}"/>
    <cellStyle name="Migliaia 28 3 8" xfId="49059" xr:uid="{00000000-0005-0000-0000-00002DB30000}"/>
    <cellStyle name="Migliaia 28 3 9" xfId="49464" xr:uid="{00000000-0005-0000-0000-00002EB30000}"/>
    <cellStyle name="Migliaia 28 4" xfId="9176" xr:uid="{00000000-0005-0000-0000-00002FB30000}"/>
    <cellStyle name="Migliaia 28 4 2" xfId="17106" xr:uid="{00000000-0005-0000-0000-000030B30000}"/>
    <cellStyle name="Migliaia 28 4 2 2" xfId="18245" xr:uid="{00000000-0005-0000-0000-000031B30000}"/>
    <cellStyle name="Migliaia 28 4 2 2 2" xfId="33712" xr:uid="{00000000-0005-0000-0000-000032B30000}"/>
    <cellStyle name="Migliaia 28 4 2 2 2 2" xfId="55197" xr:uid="{00000000-0005-0000-0000-000033B30000}"/>
    <cellStyle name="Migliaia 28 4 2 2 3" xfId="48673" xr:uid="{00000000-0005-0000-0000-000034B30000}"/>
    <cellStyle name="Migliaia 28 4 2 2 3 2" xfId="56119" xr:uid="{00000000-0005-0000-0000-000035B30000}"/>
    <cellStyle name="Migliaia 28 4 2 2 4" xfId="52842" xr:uid="{00000000-0005-0000-0000-000036B30000}"/>
    <cellStyle name="Migliaia 28 4 2 3" xfId="33222" xr:uid="{00000000-0005-0000-0000-000037B30000}"/>
    <cellStyle name="Migliaia 28 4 2 3 2" xfId="54783" xr:uid="{00000000-0005-0000-0000-000038B30000}"/>
    <cellStyle name="Migliaia 28 4 2 4" xfId="48183" xr:uid="{00000000-0005-0000-0000-000039B30000}"/>
    <cellStyle name="Migliaia 28 4 2 4 2" xfId="55629" xr:uid="{00000000-0005-0000-0000-00003AB30000}"/>
    <cellStyle name="Migliaia 28 4 2 5" xfId="52347" xr:uid="{00000000-0005-0000-0000-00003BB30000}"/>
    <cellStyle name="Migliaia 28 4 3" xfId="18244" xr:uid="{00000000-0005-0000-0000-00003CB30000}"/>
    <cellStyle name="Migliaia 28 4 3 2" xfId="33711" xr:uid="{00000000-0005-0000-0000-00003DB30000}"/>
    <cellStyle name="Migliaia 28 4 3 2 2" xfId="55196" xr:uid="{00000000-0005-0000-0000-00003EB30000}"/>
    <cellStyle name="Migliaia 28 4 3 3" xfId="48672" xr:uid="{00000000-0005-0000-0000-00003FB30000}"/>
    <cellStyle name="Migliaia 28 4 3 3 2" xfId="56118" xr:uid="{00000000-0005-0000-0000-000040B30000}"/>
    <cellStyle name="Migliaia 28 4 3 4" xfId="52841" xr:uid="{00000000-0005-0000-0000-000041B30000}"/>
    <cellStyle name="Migliaia 28 4 4" xfId="17105" xr:uid="{00000000-0005-0000-0000-000042B30000}"/>
    <cellStyle name="Migliaia 28 4 4 2" xfId="33221" xr:uid="{00000000-0005-0000-0000-000043B30000}"/>
    <cellStyle name="Migliaia 28 4 4 3" xfId="48182" xr:uid="{00000000-0005-0000-0000-000044B30000}"/>
    <cellStyle name="Migliaia 28 4 4 4" xfId="54782" xr:uid="{00000000-0005-0000-0000-000045B30000}"/>
    <cellStyle name="Migliaia 28 4 5" xfId="50917" xr:uid="{00000000-0005-0000-0000-000046B30000}"/>
    <cellStyle name="Migliaia 28 4 5 2" xfId="55628" xr:uid="{00000000-0005-0000-0000-000047B30000}"/>
    <cellStyle name="Migliaia 28 4 6" xfId="52346" xr:uid="{00000000-0005-0000-0000-000048B30000}"/>
    <cellStyle name="Migliaia 28 5" xfId="9177" xr:uid="{00000000-0005-0000-0000-000049B30000}"/>
    <cellStyle name="Migliaia 28 5 2" xfId="17107" xr:uid="{00000000-0005-0000-0000-00004AB30000}"/>
    <cellStyle name="Migliaia 28 5 2 2" xfId="33223" xr:uid="{00000000-0005-0000-0000-00004BB30000}"/>
    <cellStyle name="Migliaia 28 5 2 3" xfId="48184" xr:uid="{00000000-0005-0000-0000-00004CB30000}"/>
    <cellStyle name="Migliaia 28 5 2 4" xfId="54784" xr:uid="{00000000-0005-0000-0000-00004DB30000}"/>
    <cellStyle name="Migliaia 28 5 3" xfId="51180" xr:uid="{00000000-0005-0000-0000-00004EB30000}"/>
    <cellStyle name="Migliaia 28 5 3 2" xfId="55630" xr:uid="{00000000-0005-0000-0000-00004FB30000}"/>
    <cellStyle name="Migliaia 28 5 4" xfId="52348" xr:uid="{00000000-0005-0000-0000-000050B30000}"/>
    <cellStyle name="Migliaia 28 6" xfId="9172" xr:uid="{00000000-0005-0000-0000-000051B30000}"/>
    <cellStyle name="Migliaia 28 6 2" xfId="51214" xr:uid="{00000000-0005-0000-0000-000052B30000}"/>
    <cellStyle name="Migliaia 28 6 3" xfId="54547" xr:uid="{00000000-0005-0000-0000-000053B30000}"/>
    <cellStyle name="Migliaia 28 7" xfId="9815" xr:uid="{00000000-0005-0000-0000-000054B30000}"/>
    <cellStyle name="Migliaia 28 7 2" xfId="26141" xr:uid="{00000000-0005-0000-0000-000055B30000}"/>
    <cellStyle name="Migliaia 28 7 3" xfId="41119" xr:uid="{00000000-0005-0000-0000-000056B30000}"/>
    <cellStyle name="Migliaia 28 7 4" xfId="55623" xr:uid="{00000000-0005-0000-0000-000057B30000}"/>
    <cellStyle name="Migliaia 28 8" xfId="17100" xr:uid="{00000000-0005-0000-0000-000058B30000}"/>
    <cellStyle name="Migliaia 28 8 2" xfId="33216" xr:uid="{00000000-0005-0000-0000-000059B30000}"/>
    <cellStyle name="Migliaia 28 8 3" xfId="48177" xr:uid="{00000000-0005-0000-0000-00005AB30000}"/>
    <cellStyle name="Migliaia 28 9" xfId="19122" xr:uid="{00000000-0005-0000-0000-00005BB30000}"/>
    <cellStyle name="Migliaia 29" xfId="369" xr:uid="{00000000-0005-0000-0000-00005CB30000}"/>
    <cellStyle name="Migliaia 29 10" xfId="34121" xr:uid="{00000000-0005-0000-0000-00005DB30000}"/>
    <cellStyle name="Migliaia 29 11" xfId="49061" xr:uid="{00000000-0005-0000-0000-00005EB30000}"/>
    <cellStyle name="Migliaia 29 12" xfId="49466" xr:uid="{00000000-0005-0000-0000-00005FB30000}"/>
    <cellStyle name="Migliaia 29 13" xfId="49872" xr:uid="{00000000-0005-0000-0000-000060B30000}"/>
    <cellStyle name="Migliaia 29 14" xfId="50280" xr:uid="{00000000-0005-0000-0000-000061B30000}"/>
    <cellStyle name="Migliaia 29 15" xfId="50722" xr:uid="{00000000-0005-0000-0000-000062B30000}"/>
    <cellStyle name="Migliaia 29 16" xfId="51441" xr:uid="{00000000-0005-0000-0000-000063B30000}"/>
    <cellStyle name="Migliaia 29 17" xfId="51854" xr:uid="{00000000-0005-0000-0000-000064B30000}"/>
    <cellStyle name="Migliaia 29 18" xfId="52349" xr:uid="{00000000-0005-0000-0000-000065B30000}"/>
    <cellStyle name="Migliaia 29 2" xfId="370" xr:uid="{00000000-0005-0000-0000-000066B30000}"/>
    <cellStyle name="Migliaia 29 2 10" xfId="49873" xr:uid="{00000000-0005-0000-0000-000067B30000}"/>
    <cellStyle name="Migliaia 29 2 11" xfId="50281" xr:uid="{00000000-0005-0000-0000-000068B30000}"/>
    <cellStyle name="Migliaia 29 2 12" xfId="50723" xr:uid="{00000000-0005-0000-0000-000069B30000}"/>
    <cellStyle name="Migliaia 29 2 13" xfId="51442" xr:uid="{00000000-0005-0000-0000-00006AB30000}"/>
    <cellStyle name="Migliaia 29 2 14" xfId="51855" xr:uid="{00000000-0005-0000-0000-00006BB30000}"/>
    <cellStyle name="Migliaia 29 2 15" xfId="52350" xr:uid="{00000000-0005-0000-0000-00006CB30000}"/>
    <cellStyle name="Migliaia 29 2 2" xfId="1264" xr:uid="{00000000-0005-0000-0000-00006DB30000}"/>
    <cellStyle name="Migliaia 29 2 2 10" xfId="51058" xr:uid="{00000000-0005-0000-0000-00006EB30000}"/>
    <cellStyle name="Migliaia 29 2 2 11" xfId="51654" xr:uid="{00000000-0005-0000-0000-00006FB30000}"/>
    <cellStyle name="Migliaia 29 2 2 12" xfId="52075" xr:uid="{00000000-0005-0000-0000-000070B30000}"/>
    <cellStyle name="Migliaia 29 2 2 13" xfId="52843" xr:uid="{00000000-0005-0000-0000-000071B30000}"/>
    <cellStyle name="Migliaia 29 2 2 2" xfId="10032" xr:uid="{00000000-0005-0000-0000-000072B30000}"/>
    <cellStyle name="Migliaia 29 2 2 2 2" xfId="26353" xr:uid="{00000000-0005-0000-0000-000073B30000}"/>
    <cellStyle name="Migliaia 29 2 2 2 3" xfId="41321" xr:uid="{00000000-0005-0000-0000-000074B30000}"/>
    <cellStyle name="Migliaia 29 2 2 2 4" xfId="55198" xr:uid="{00000000-0005-0000-0000-000075B30000}"/>
    <cellStyle name="Migliaia 29 2 2 3" xfId="18246" xr:uid="{00000000-0005-0000-0000-000076B30000}"/>
    <cellStyle name="Migliaia 29 2 2 3 2" xfId="33713" xr:uid="{00000000-0005-0000-0000-000077B30000}"/>
    <cellStyle name="Migliaia 29 2 2 3 3" xfId="48674" xr:uid="{00000000-0005-0000-0000-000078B30000}"/>
    <cellStyle name="Migliaia 29 2 2 3 4" xfId="56120" xr:uid="{00000000-0005-0000-0000-000079B30000}"/>
    <cellStyle name="Migliaia 29 2 2 4" xfId="19332" xr:uid="{00000000-0005-0000-0000-00007AB30000}"/>
    <cellStyle name="Migliaia 29 2 2 5" xfId="34322" xr:uid="{00000000-0005-0000-0000-00007BB30000}"/>
    <cellStyle name="Migliaia 29 2 2 6" xfId="49274" xr:uid="{00000000-0005-0000-0000-00007CB30000}"/>
    <cellStyle name="Migliaia 29 2 2 7" xfId="49679" xr:uid="{00000000-0005-0000-0000-00007DB30000}"/>
    <cellStyle name="Migliaia 29 2 2 8" xfId="50088" xr:uid="{00000000-0005-0000-0000-00007EB30000}"/>
    <cellStyle name="Migliaia 29 2 2 9" xfId="50493" xr:uid="{00000000-0005-0000-0000-00007FB30000}"/>
    <cellStyle name="Migliaia 29 2 3" xfId="9179" xr:uid="{00000000-0005-0000-0000-000080B30000}"/>
    <cellStyle name="Migliaia 29 2 3 2" xfId="54612" xr:uid="{00000000-0005-0000-0000-000081B30000}"/>
    <cellStyle name="Migliaia 29 2 4" xfId="9820" xr:uid="{00000000-0005-0000-0000-000082B30000}"/>
    <cellStyle name="Migliaia 29 2 4 2" xfId="26146" xr:uid="{00000000-0005-0000-0000-000083B30000}"/>
    <cellStyle name="Migliaia 29 2 4 3" xfId="41124" xr:uid="{00000000-0005-0000-0000-000084B30000}"/>
    <cellStyle name="Migliaia 29 2 4 4" xfId="55632" xr:uid="{00000000-0005-0000-0000-000085B30000}"/>
    <cellStyle name="Migliaia 29 2 5" xfId="17109" xr:uid="{00000000-0005-0000-0000-000086B30000}"/>
    <cellStyle name="Migliaia 29 2 5 2" xfId="33225" xr:uid="{00000000-0005-0000-0000-000087B30000}"/>
    <cellStyle name="Migliaia 29 2 5 3" xfId="48186" xr:uid="{00000000-0005-0000-0000-000088B30000}"/>
    <cellStyle name="Migliaia 29 2 6" xfId="19127" xr:uid="{00000000-0005-0000-0000-000089B30000}"/>
    <cellStyle name="Migliaia 29 2 7" xfId="34122" xr:uid="{00000000-0005-0000-0000-00008AB30000}"/>
    <cellStyle name="Migliaia 29 2 8" xfId="49062" xr:uid="{00000000-0005-0000-0000-00008BB30000}"/>
    <cellStyle name="Migliaia 29 2 9" xfId="49467" xr:uid="{00000000-0005-0000-0000-00008CB30000}"/>
    <cellStyle name="Migliaia 29 3" xfId="371" xr:uid="{00000000-0005-0000-0000-00008DB30000}"/>
    <cellStyle name="Migliaia 29 3 10" xfId="49874" xr:uid="{00000000-0005-0000-0000-00008EB30000}"/>
    <cellStyle name="Migliaia 29 3 11" xfId="50282" xr:uid="{00000000-0005-0000-0000-00008FB30000}"/>
    <cellStyle name="Migliaia 29 3 12" xfId="50724" xr:uid="{00000000-0005-0000-0000-000090B30000}"/>
    <cellStyle name="Migliaia 29 3 13" xfId="51443" xr:uid="{00000000-0005-0000-0000-000091B30000}"/>
    <cellStyle name="Migliaia 29 3 14" xfId="51856" xr:uid="{00000000-0005-0000-0000-000092B30000}"/>
    <cellStyle name="Migliaia 29 3 15" xfId="52351" xr:uid="{00000000-0005-0000-0000-000093B30000}"/>
    <cellStyle name="Migliaia 29 3 2" xfId="372" xr:uid="{00000000-0005-0000-0000-000094B30000}"/>
    <cellStyle name="Migliaia 29 3 2 10" xfId="50283" xr:uid="{00000000-0005-0000-0000-000095B30000}"/>
    <cellStyle name="Migliaia 29 3 2 11" xfId="50725" xr:uid="{00000000-0005-0000-0000-000096B30000}"/>
    <cellStyle name="Migliaia 29 3 2 12" xfId="51444" xr:uid="{00000000-0005-0000-0000-000097B30000}"/>
    <cellStyle name="Migliaia 29 3 2 13" xfId="51857" xr:uid="{00000000-0005-0000-0000-000098B30000}"/>
    <cellStyle name="Migliaia 29 3 2 14" xfId="52352" xr:uid="{00000000-0005-0000-0000-000099B30000}"/>
    <cellStyle name="Migliaia 29 3 2 2" xfId="9181" xr:uid="{00000000-0005-0000-0000-00009AB30000}"/>
    <cellStyle name="Migliaia 29 3 2 2 2" xfId="54786" xr:uid="{00000000-0005-0000-0000-00009BB30000}"/>
    <cellStyle name="Migliaia 29 3 2 3" xfId="9822" xr:uid="{00000000-0005-0000-0000-00009CB30000}"/>
    <cellStyle name="Migliaia 29 3 2 3 2" xfId="26148" xr:uid="{00000000-0005-0000-0000-00009DB30000}"/>
    <cellStyle name="Migliaia 29 3 2 3 3" xfId="41126" xr:uid="{00000000-0005-0000-0000-00009EB30000}"/>
    <cellStyle name="Migliaia 29 3 2 3 4" xfId="55634" xr:uid="{00000000-0005-0000-0000-00009FB30000}"/>
    <cellStyle name="Migliaia 29 3 2 4" xfId="17111" xr:uid="{00000000-0005-0000-0000-0000A0B30000}"/>
    <cellStyle name="Migliaia 29 3 2 4 2" xfId="33227" xr:uid="{00000000-0005-0000-0000-0000A1B30000}"/>
    <cellStyle name="Migliaia 29 3 2 4 3" xfId="48188" xr:uid="{00000000-0005-0000-0000-0000A2B30000}"/>
    <cellStyle name="Migliaia 29 3 2 5" xfId="19129" xr:uid="{00000000-0005-0000-0000-0000A3B30000}"/>
    <cellStyle name="Migliaia 29 3 2 6" xfId="34124" xr:uid="{00000000-0005-0000-0000-0000A4B30000}"/>
    <cellStyle name="Migliaia 29 3 2 7" xfId="49064" xr:uid="{00000000-0005-0000-0000-0000A5B30000}"/>
    <cellStyle name="Migliaia 29 3 2 8" xfId="49469" xr:uid="{00000000-0005-0000-0000-0000A6B30000}"/>
    <cellStyle name="Migliaia 29 3 2 9" xfId="49875" xr:uid="{00000000-0005-0000-0000-0000A7B30000}"/>
    <cellStyle name="Migliaia 29 3 3" xfId="9180" xr:uid="{00000000-0005-0000-0000-0000A8B30000}"/>
    <cellStyle name="Migliaia 29 3 3 2" xfId="18248" xr:uid="{00000000-0005-0000-0000-0000A9B30000}"/>
    <cellStyle name="Migliaia 29 3 3 2 2" xfId="33715" xr:uid="{00000000-0005-0000-0000-0000AAB30000}"/>
    <cellStyle name="Migliaia 29 3 3 2 2 2" xfId="55200" xr:uid="{00000000-0005-0000-0000-0000ABB30000}"/>
    <cellStyle name="Migliaia 29 3 3 2 3" xfId="48676" xr:uid="{00000000-0005-0000-0000-0000ACB30000}"/>
    <cellStyle name="Migliaia 29 3 3 2 3 2" xfId="56122" xr:uid="{00000000-0005-0000-0000-0000ADB30000}"/>
    <cellStyle name="Migliaia 29 3 3 2 4" xfId="52845" xr:uid="{00000000-0005-0000-0000-0000AEB30000}"/>
    <cellStyle name="Migliaia 29 3 3 3" xfId="17112" xr:uid="{00000000-0005-0000-0000-0000AFB30000}"/>
    <cellStyle name="Migliaia 29 3 3 3 2" xfId="33228" xr:uid="{00000000-0005-0000-0000-0000B0B30000}"/>
    <cellStyle name="Migliaia 29 3 3 3 3" xfId="48189" xr:uid="{00000000-0005-0000-0000-0000B1B30000}"/>
    <cellStyle name="Migliaia 29 3 3 3 4" xfId="54787" xr:uid="{00000000-0005-0000-0000-0000B2B30000}"/>
    <cellStyle name="Migliaia 29 3 3 4" xfId="55635" xr:uid="{00000000-0005-0000-0000-0000B3B30000}"/>
    <cellStyle name="Migliaia 29 3 3 5" xfId="52353" xr:uid="{00000000-0005-0000-0000-0000B4B30000}"/>
    <cellStyle name="Migliaia 29 3 4" xfId="9821" xr:uid="{00000000-0005-0000-0000-0000B5B30000}"/>
    <cellStyle name="Migliaia 29 3 4 2" xfId="18247" xr:uid="{00000000-0005-0000-0000-0000B6B30000}"/>
    <cellStyle name="Migliaia 29 3 4 2 2" xfId="33714" xr:uid="{00000000-0005-0000-0000-0000B7B30000}"/>
    <cellStyle name="Migliaia 29 3 4 2 3" xfId="48675" xr:uid="{00000000-0005-0000-0000-0000B8B30000}"/>
    <cellStyle name="Migliaia 29 3 4 2 4" xfId="55199" xr:uid="{00000000-0005-0000-0000-0000B9B30000}"/>
    <cellStyle name="Migliaia 29 3 4 3" xfId="26147" xr:uid="{00000000-0005-0000-0000-0000BAB30000}"/>
    <cellStyle name="Migliaia 29 3 4 3 2" xfId="56121" xr:uid="{00000000-0005-0000-0000-0000BBB30000}"/>
    <cellStyle name="Migliaia 29 3 4 4" xfId="41125" xr:uid="{00000000-0005-0000-0000-0000BCB30000}"/>
    <cellStyle name="Migliaia 29 3 4 5" xfId="52844" xr:uid="{00000000-0005-0000-0000-0000BDB30000}"/>
    <cellStyle name="Migliaia 29 3 5" xfId="17110" xr:uid="{00000000-0005-0000-0000-0000BEB30000}"/>
    <cellStyle name="Migliaia 29 3 5 2" xfId="33226" xr:uid="{00000000-0005-0000-0000-0000BFB30000}"/>
    <cellStyle name="Migliaia 29 3 5 3" xfId="48187" xr:uid="{00000000-0005-0000-0000-0000C0B30000}"/>
    <cellStyle name="Migliaia 29 3 5 4" xfId="54785" xr:uid="{00000000-0005-0000-0000-0000C1B30000}"/>
    <cellStyle name="Migliaia 29 3 6" xfId="19128" xr:uid="{00000000-0005-0000-0000-0000C2B30000}"/>
    <cellStyle name="Migliaia 29 3 6 2" xfId="55633" xr:uid="{00000000-0005-0000-0000-0000C3B30000}"/>
    <cellStyle name="Migliaia 29 3 7" xfId="34123" xr:uid="{00000000-0005-0000-0000-0000C4B30000}"/>
    <cellStyle name="Migliaia 29 3 8" xfId="49063" xr:uid="{00000000-0005-0000-0000-0000C5B30000}"/>
    <cellStyle name="Migliaia 29 3 9" xfId="49468" xr:uid="{00000000-0005-0000-0000-0000C6B30000}"/>
    <cellStyle name="Migliaia 29 4" xfId="9182" xr:uid="{00000000-0005-0000-0000-0000C7B30000}"/>
    <cellStyle name="Migliaia 29 4 2" xfId="17114" xr:uid="{00000000-0005-0000-0000-0000C8B30000}"/>
    <cellStyle name="Migliaia 29 4 2 2" xfId="18250" xr:uid="{00000000-0005-0000-0000-0000C9B30000}"/>
    <cellStyle name="Migliaia 29 4 2 2 2" xfId="33717" xr:uid="{00000000-0005-0000-0000-0000CAB30000}"/>
    <cellStyle name="Migliaia 29 4 2 2 2 2" xfId="55202" xr:uid="{00000000-0005-0000-0000-0000CBB30000}"/>
    <cellStyle name="Migliaia 29 4 2 2 3" xfId="48678" xr:uid="{00000000-0005-0000-0000-0000CCB30000}"/>
    <cellStyle name="Migliaia 29 4 2 2 3 2" xfId="56124" xr:uid="{00000000-0005-0000-0000-0000CDB30000}"/>
    <cellStyle name="Migliaia 29 4 2 2 4" xfId="52847" xr:uid="{00000000-0005-0000-0000-0000CEB30000}"/>
    <cellStyle name="Migliaia 29 4 2 3" xfId="33230" xr:uid="{00000000-0005-0000-0000-0000CFB30000}"/>
    <cellStyle name="Migliaia 29 4 2 3 2" xfId="54789" xr:uid="{00000000-0005-0000-0000-0000D0B30000}"/>
    <cellStyle name="Migliaia 29 4 2 4" xfId="48191" xr:uid="{00000000-0005-0000-0000-0000D1B30000}"/>
    <cellStyle name="Migliaia 29 4 2 4 2" xfId="55637" xr:uid="{00000000-0005-0000-0000-0000D2B30000}"/>
    <cellStyle name="Migliaia 29 4 2 5" xfId="52355" xr:uid="{00000000-0005-0000-0000-0000D3B30000}"/>
    <cellStyle name="Migliaia 29 4 3" xfId="18249" xr:uid="{00000000-0005-0000-0000-0000D4B30000}"/>
    <cellStyle name="Migliaia 29 4 3 2" xfId="33716" xr:uid="{00000000-0005-0000-0000-0000D5B30000}"/>
    <cellStyle name="Migliaia 29 4 3 2 2" xfId="55201" xr:uid="{00000000-0005-0000-0000-0000D6B30000}"/>
    <cellStyle name="Migliaia 29 4 3 3" xfId="48677" xr:uid="{00000000-0005-0000-0000-0000D7B30000}"/>
    <cellStyle name="Migliaia 29 4 3 3 2" xfId="56123" xr:uid="{00000000-0005-0000-0000-0000D8B30000}"/>
    <cellStyle name="Migliaia 29 4 3 4" xfId="52846" xr:uid="{00000000-0005-0000-0000-0000D9B30000}"/>
    <cellStyle name="Migliaia 29 4 4" xfId="17113" xr:uid="{00000000-0005-0000-0000-0000DAB30000}"/>
    <cellStyle name="Migliaia 29 4 4 2" xfId="33229" xr:uid="{00000000-0005-0000-0000-0000DBB30000}"/>
    <cellStyle name="Migliaia 29 4 4 3" xfId="48190" xr:uid="{00000000-0005-0000-0000-0000DCB30000}"/>
    <cellStyle name="Migliaia 29 4 4 4" xfId="54788" xr:uid="{00000000-0005-0000-0000-0000DDB30000}"/>
    <cellStyle name="Migliaia 29 4 5" xfId="51163" xr:uid="{00000000-0005-0000-0000-0000DEB30000}"/>
    <cellStyle name="Migliaia 29 4 5 2" xfId="55636" xr:uid="{00000000-0005-0000-0000-0000DFB30000}"/>
    <cellStyle name="Migliaia 29 4 6" xfId="52354" xr:uid="{00000000-0005-0000-0000-0000E0B30000}"/>
    <cellStyle name="Migliaia 29 5" xfId="9183" xr:uid="{00000000-0005-0000-0000-0000E1B30000}"/>
    <cellStyle name="Migliaia 29 5 2" xfId="17115" xr:uid="{00000000-0005-0000-0000-0000E2B30000}"/>
    <cellStyle name="Migliaia 29 5 2 2" xfId="33231" xr:uid="{00000000-0005-0000-0000-0000E3B30000}"/>
    <cellStyle name="Migliaia 29 5 2 3" xfId="48192" xr:uid="{00000000-0005-0000-0000-0000E4B30000}"/>
    <cellStyle name="Migliaia 29 5 2 4" xfId="54790" xr:uid="{00000000-0005-0000-0000-0000E5B30000}"/>
    <cellStyle name="Migliaia 29 5 3" xfId="50916" xr:uid="{00000000-0005-0000-0000-0000E6B30000}"/>
    <cellStyle name="Migliaia 29 5 3 2" xfId="55638" xr:uid="{00000000-0005-0000-0000-0000E7B30000}"/>
    <cellStyle name="Migliaia 29 5 4" xfId="52356" xr:uid="{00000000-0005-0000-0000-0000E8B30000}"/>
    <cellStyle name="Migliaia 29 6" xfId="9178" xr:uid="{00000000-0005-0000-0000-0000E9B30000}"/>
    <cellStyle name="Migliaia 29 6 2" xfId="50985" xr:uid="{00000000-0005-0000-0000-0000EAB30000}"/>
    <cellStyle name="Migliaia 29 6 3" xfId="54548" xr:uid="{00000000-0005-0000-0000-0000EBB30000}"/>
    <cellStyle name="Migliaia 29 7" xfId="9819" xr:uid="{00000000-0005-0000-0000-0000ECB30000}"/>
    <cellStyle name="Migliaia 29 7 2" xfId="26145" xr:uid="{00000000-0005-0000-0000-0000EDB30000}"/>
    <cellStyle name="Migliaia 29 7 3" xfId="41123" xr:uid="{00000000-0005-0000-0000-0000EEB30000}"/>
    <cellStyle name="Migliaia 29 7 4" xfId="55631" xr:uid="{00000000-0005-0000-0000-0000EFB30000}"/>
    <cellStyle name="Migliaia 29 8" xfId="17108" xr:uid="{00000000-0005-0000-0000-0000F0B30000}"/>
    <cellStyle name="Migliaia 29 8 2" xfId="33224" xr:uid="{00000000-0005-0000-0000-0000F1B30000}"/>
    <cellStyle name="Migliaia 29 8 3" xfId="48185" xr:uid="{00000000-0005-0000-0000-0000F2B30000}"/>
    <cellStyle name="Migliaia 29 9" xfId="19126" xr:uid="{00000000-0005-0000-0000-0000F3B30000}"/>
    <cellStyle name="Migliaia 3" xfId="373" xr:uid="{00000000-0005-0000-0000-0000F4B30000}"/>
    <cellStyle name="Migliaia 3 10" xfId="34125" xr:uid="{00000000-0005-0000-0000-0000F5B30000}"/>
    <cellStyle name="Migliaia 3 11" xfId="49065" xr:uid="{00000000-0005-0000-0000-0000F6B30000}"/>
    <cellStyle name="Migliaia 3 12" xfId="49470" xr:uid="{00000000-0005-0000-0000-0000F7B30000}"/>
    <cellStyle name="Migliaia 3 13" xfId="49876" xr:uid="{00000000-0005-0000-0000-0000F8B30000}"/>
    <cellStyle name="Migliaia 3 14" xfId="50284" xr:uid="{00000000-0005-0000-0000-0000F9B30000}"/>
    <cellStyle name="Migliaia 3 15" xfId="50726" xr:uid="{00000000-0005-0000-0000-0000FAB30000}"/>
    <cellStyle name="Migliaia 3 16" xfId="51445" xr:uid="{00000000-0005-0000-0000-0000FBB30000}"/>
    <cellStyle name="Migliaia 3 17" xfId="51858" xr:uid="{00000000-0005-0000-0000-0000FCB30000}"/>
    <cellStyle name="Migliaia 3 18" xfId="52357" xr:uid="{00000000-0005-0000-0000-0000FDB30000}"/>
    <cellStyle name="Migliaia 3 2" xfId="374" xr:uid="{00000000-0005-0000-0000-0000FEB30000}"/>
    <cellStyle name="Migliaia 3 2 10" xfId="49877" xr:uid="{00000000-0005-0000-0000-0000FFB30000}"/>
    <cellStyle name="Migliaia 3 2 11" xfId="50285" xr:uid="{00000000-0005-0000-0000-000000B40000}"/>
    <cellStyle name="Migliaia 3 2 12" xfId="50727" xr:uid="{00000000-0005-0000-0000-000001B40000}"/>
    <cellStyle name="Migliaia 3 2 13" xfId="51446" xr:uid="{00000000-0005-0000-0000-000002B40000}"/>
    <cellStyle name="Migliaia 3 2 14" xfId="51859" xr:uid="{00000000-0005-0000-0000-000003B40000}"/>
    <cellStyle name="Migliaia 3 2 15" xfId="52358" xr:uid="{00000000-0005-0000-0000-000004B40000}"/>
    <cellStyle name="Migliaia 3 2 2" xfId="1265" xr:uid="{00000000-0005-0000-0000-000005B40000}"/>
    <cellStyle name="Migliaia 3 2 2 10" xfId="51059" xr:uid="{00000000-0005-0000-0000-000006B40000}"/>
    <cellStyle name="Migliaia 3 2 2 11" xfId="51655" xr:uid="{00000000-0005-0000-0000-000007B40000}"/>
    <cellStyle name="Migliaia 3 2 2 12" xfId="52076" xr:uid="{00000000-0005-0000-0000-000008B40000}"/>
    <cellStyle name="Migliaia 3 2 2 13" xfId="52848" xr:uid="{00000000-0005-0000-0000-000009B40000}"/>
    <cellStyle name="Migliaia 3 2 2 2" xfId="10033" xr:uid="{00000000-0005-0000-0000-00000AB40000}"/>
    <cellStyle name="Migliaia 3 2 2 2 2" xfId="26354" xr:uid="{00000000-0005-0000-0000-00000BB40000}"/>
    <cellStyle name="Migliaia 3 2 2 2 3" xfId="41322" xr:uid="{00000000-0005-0000-0000-00000CB40000}"/>
    <cellStyle name="Migliaia 3 2 2 2 4" xfId="55203" xr:uid="{00000000-0005-0000-0000-00000DB40000}"/>
    <cellStyle name="Migliaia 3 2 2 3" xfId="18251" xr:uid="{00000000-0005-0000-0000-00000EB40000}"/>
    <cellStyle name="Migliaia 3 2 2 3 2" xfId="33718" xr:uid="{00000000-0005-0000-0000-00000FB40000}"/>
    <cellStyle name="Migliaia 3 2 2 3 3" xfId="48679" xr:uid="{00000000-0005-0000-0000-000010B40000}"/>
    <cellStyle name="Migliaia 3 2 2 3 4" xfId="56125" xr:uid="{00000000-0005-0000-0000-000011B40000}"/>
    <cellStyle name="Migliaia 3 2 2 4" xfId="19333" xr:uid="{00000000-0005-0000-0000-000012B40000}"/>
    <cellStyle name="Migliaia 3 2 2 5" xfId="34323" xr:uid="{00000000-0005-0000-0000-000013B40000}"/>
    <cellStyle name="Migliaia 3 2 2 6" xfId="49275" xr:uid="{00000000-0005-0000-0000-000014B40000}"/>
    <cellStyle name="Migliaia 3 2 2 7" xfId="49680" xr:uid="{00000000-0005-0000-0000-000015B40000}"/>
    <cellStyle name="Migliaia 3 2 2 8" xfId="50089" xr:uid="{00000000-0005-0000-0000-000016B40000}"/>
    <cellStyle name="Migliaia 3 2 2 9" xfId="50494" xr:uid="{00000000-0005-0000-0000-000017B40000}"/>
    <cellStyle name="Migliaia 3 2 3" xfId="9185" xr:uid="{00000000-0005-0000-0000-000018B40000}"/>
    <cellStyle name="Migliaia 3 2 3 2" xfId="54613" xr:uid="{00000000-0005-0000-0000-000019B40000}"/>
    <cellStyle name="Migliaia 3 2 4" xfId="9824" xr:uid="{00000000-0005-0000-0000-00001AB40000}"/>
    <cellStyle name="Migliaia 3 2 4 2" xfId="26150" xr:uid="{00000000-0005-0000-0000-00001BB40000}"/>
    <cellStyle name="Migliaia 3 2 4 3" xfId="41128" xr:uid="{00000000-0005-0000-0000-00001CB40000}"/>
    <cellStyle name="Migliaia 3 2 4 4" xfId="55640" xr:uid="{00000000-0005-0000-0000-00001DB40000}"/>
    <cellStyle name="Migliaia 3 2 5" xfId="17117" xr:uid="{00000000-0005-0000-0000-00001EB40000}"/>
    <cellStyle name="Migliaia 3 2 5 2" xfId="33233" xr:uid="{00000000-0005-0000-0000-00001FB40000}"/>
    <cellStyle name="Migliaia 3 2 5 3" xfId="48194" xr:uid="{00000000-0005-0000-0000-000020B40000}"/>
    <cellStyle name="Migliaia 3 2 6" xfId="19131" xr:uid="{00000000-0005-0000-0000-000021B40000}"/>
    <cellStyle name="Migliaia 3 2 7" xfId="34126" xr:uid="{00000000-0005-0000-0000-000022B40000}"/>
    <cellStyle name="Migliaia 3 2 8" xfId="49066" xr:uid="{00000000-0005-0000-0000-000023B40000}"/>
    <cellStyle name="Migliaia 3 2 9" xfId="49471" xr:uid="{00000000-0005-0000-0000-000024B40000}"/>
    <cellStyle name="Migliaia 3 3" xfId="375" xr:uid="{00000000-0005-0000-0000-000025B40000}"/>
    <cellStyle name="Migliaia 3 3 10" xfId="49878" xr:uid="{00000000-0005-0000-0000-000026B40000}"/>
    <cellStyle name="Migliaia 3 3 11" xfId="50286" xr:uid="{00000000-0005-0000-0000-000027B40000}"/>
    <cellStyle name="Migliaia 3 3 12" xfId="50728" xr:uid="{00000000-0005-0000-0000-000028B40000}"/>
    <cellStyle name="Migliaia 3 3 13" xfId="51447" xr:uid="{00000000-0005-0000-0000-000029B40000}"/>
    <cellStyle name="Migliaia 3 3 14" xfId="51860" xr:uid="{00000000-0005-0000-0000-00002AB40000}"/>
    <cellStyle name="Migliaia 3 3 15" xfId="52359" xr:uid="{00000000-0005-0000-0000-00002BB40000}"/>
    <cellStyle name="Migliaia 3 3 2" xfId="376" xr:uid="{00000000-0005-0000-0000-00002CB40000}"/>
    <cellStyle name="Migliaia 3 3 2 10" xfId="50287" xr:uid="{00000000-0005-0000-0000-00002DB40000}"/>
    <cellStyle name="Migliaia 3 3 2 11" xfId="50729" xr:uid="{00000000-0005-0000-0000-00002EB40000}"/>
    <cellStyle name="Migliaia 3 3 2 12" xfId="51448" xr:uid="{00000000-0005-0000-0000-00002FB40000}"/>
    <cellStyle name="Migliaia 3 3 2 13" xfId="51861" xr:uid="{00000000-0005-0000-0000-000030B40000}"/>
    <cellStyle name="Migliaia 3 3 2 14" xfId="52360" xr:uid="{00000000-0005-0000-0000-000031B40000}"/>
    <cellStyle name="Migliaia 3 3 2 2" xfId="9187" xr:uid="{00000000-0005-0000-0000-000032B40000}"/>
    <cellStyle name="Migliaia 3 3 2 2 2" xfId="54792" xr:uid="{00000000-0005-0000-0000-000033B40000}"/>
    <cellStyle name="Migliaia 3 3 2 3" xfId="9826" xr:uid="{00000000-0005-0000-0000-000034B40000}"/>
    <cellStyle name="Migliaia 3 3 2 3 2" xfId="26152" xr:uid="{00000000-0005-0000-0000-000035B40000}"/>
    <cellStyle name="Migliaia 3 3 2 3 3" xfId="41130" xr:uid="{00000000-0005-0000-0000-000036B40000}"/>
    <cellStyle name="Migliaia 3 3 2 3 4" xfId="55642" xr:uid="{00000000-0005-0000-0000-000037B40000}"/>
    <cellStyle name="Migliaia 3 3 2 4" xfId="17119" xr:uid="{00000000-0005-0000-0000-000038B40000}"/>
    <cellStyle name="Migliaia 3 3 2 4 2" xfId="33235" xr:uid="{00000000-0005-0000-0000-000039B40000}"/>
    <cellStyle name="Migliaia 3 3 2 4 3" xfId="48196" xr:uid="{00000000-0005-0000-0000-00003AB40000}"/>
    <cellStyle name="Migliaia 3 3 2 5" xfId="19133" xr:uid="{00000000-0005-0000-0000-00003BB40000}"/>
    <cellStyle name="Migliaia 3 3 2 6" xfId="34128" xr:uid="{00000000-0005-0000-0000-00003CB40000}"/>
    <cellStyle name="Migliaia 3 3 2 7" xfId="49068" xr:uid="{00000000-0005-0000-0000-00003DB40000}"/>
    <cellStyle name="Migliaia 3 3 2 8" xfId="49473" xr:uid="{00000000-0005-0000-0000-00003EB40000}"/>
    <cellStyle name="Migliaia 3 3 2 9" xfId="49879" xr:uid="{00000000-0005-0000-0000-00003FB40000}"/>
    <cellStyle name="Migliaia 3 3 3" xfId="9186" xr:uid="{00000000-0005-0000-0000-000040B40000}"/>
    <cellStyle name="Migliaia 3 3 3 2" xfId="18253" xr:uid="{00000000-0005-0000-0000-000041B40000}"/>
    <cellStyle name="Migliaia 3 3 3 2 2" xfId="33720" xr:uid="{00000000-0005-0000-0000-000042B40000}"/>
    <cellStyle name="Migliaia 3 3 3 2 2 2" xfId="55205" xr:uid="{00000000-0005-0000-0000-000043B40000}"/>
    <cellStyle name="Migliaia 3 3 3 2 3" xfId="48681" xr:uid="{00000000-0005-0000-0000-000044B40000}"/>
    <cellStyle name="Migliaia 3 3 3 2 3 2" xfId="56127" xr:uid="{00000000-0005-0000-0000-000045B40000}"/>
    <cellStyle name="Migliaia 3 3 3 2 4" xfId="52850" xr:uid="{00000000-0005-0000-0000-000046B40000}"/>
    <cellStyle name="Migliaia 3 3 3 3" xfId="17120" xr:uid="{00000000-0005-0000-0000-000047B40000}"/>
    <cellStyle name="Migliaia 3 3 3 3 2" xfId="33236" xr:uid="{00000000-0005-0000-0000-000048B40000}"/>
    <cellStyle name="Migliaia 3 3 3 3 3" xfId="48197" xr:uid="{00000000-0005-0000-0000-000049B40000}"/>
    <cellStyle name="Migliaia 3 3 3 3 4" xfId="54793" xr:uid="{00000000-0005-0000-0000-00004AB40000}"/>
    <cellStyle name="Migliaia 3 3 3 4" xfId="55643" xr:uid="{00000000-0005-0000-0000-00004BB40000}"/>
    <cellStyle name="Migliaia 3 3 3 5" xfId="52361" xr:uid="{00000000-0005-0000-0000-00004CB40000}"/>
    <cellStyle name="Migliaia 3 3 4" xfId="9825" xr:uid="{00000000-0005-0000-0000-00004DB40000}"/>
    <cellStyle name="Migliaia 3 3 4 2" xfId="18252" xr:uid="{00000000-0005-0000-0000-00004EB40000}"/>
    <cellStyle name="Migliaia 3 3 4 2 2" xfId="33719" xr:uid="{00000000-0005-0000-0000-00004FB40000}"/>
    <cellStyle name="Migliaia 3 3 4 2 3" xfId="48680" xr:uid="{00000000-0005-0000-0000-000050B40000}"/>
    <cellStyle name="Migliaia 3 3 4 2 4" xfId="55204" xr:uid="{00000000-0005-0000-0000-000051B40000}"/>
    <cellStyle name="Migliaia 3 3 4 3" xfId="26151" xr:uid="{00000000-0005-0000-0000-000052B40000}"/>
    <cellStyle name="Migliaia 3 3 4 3 2" xfId="56126" xr:uid="{00000000-0005-0000-0000-000053B40000}"/>
    <cellStyle name="Migliaia 3 3 4 4" xfId="41129" xr:uid="{00000000-0005-0000-0000-000054B40000}"/>
    <cellStyle name="Migliaia 3 3 4 5" xfId="52849" xr:uid="{00000000-0005-0000-0000-000055B40000}"/>
    <cellStyle name="Migliaia 3 3 5" xfId="17118" xr:uid="{00000000-0005-0000-0000-000056B40000}"/>
    <cellStyle name="Migliaia 3 3 5 2" xfId="33234" xr:uid="{00000000-0005-0000-0000-000057B40000}"/>
    <cellStyle name="Migliaia 3 3 5 3" xfId="48195" xr:uid="{00000000-0005-0000-0000-000058B40000}"/>
    <cellStyle name="Migliaia 3 3 5 4" xfId="54791" xr:uid="{00000000-0005-0000-0000-000059B40000}"/>
    <cellStyle name="Migliaia 3 3 6" xfId="19132" xr:uid="{00000000-0005-0000-0000-00005AB40000}"/>
    <cellStyle name="Migliaia 3 3 6 2" xfId="55641" xr:uid="{00000000-0005-0000-0000-00005BB40000}"/>
    <cellStyle name="Migliaia 3 3 7" xfId="34127" xr:uid="{00000000-0005-0000-0000-00005CB40000}"/>
    <cellStyle name="Migliaia 3 3 8" xfId="49067" xr:uid="{00000000-0005-0000-0000-00005DB40000}"/>
    <cellStyle name="Migliaia 3 3 9" xfId="49472" xr:uid="{00000000-0005-0000-0000-00005EB40000}"/>
    <cellStyle name="Migliaia 3 4" xfId="9188" xr:uid="{00000000-0005-0000-0000-00005FB40000}"/>
    <cellStyle name="Migliaia 3 4 2" xfId="17122" xr:uid="{00000000-0005-0000-0000-000060B40000}"/>
    <cellStyle name="Migliaia 3 4 2 2" xfId="18255" xr:uid="{00000000-0005-0000-0000-000061B40000}"/>
    <cellStyle name="Migliaia 3 4 2 2 2" xfId="33722" xr:uid="{00000000-0005-0000-0000-000062B40000}"/>
    <cellStyle name="Migliaia 3 4 2 2 2 2" xfId="55207" xr:uid="{00000000-0005-0000-0000-000063B40000}"/>
    <cellStyle name="Migliaia 3 4 2 2 3" xfId="48683" xr:uid="{00000000-0005-0000-0000-000064B40000}"/>
    <cellStyle name="Migliaia 3 4 2 2 3 2" xfId="56129" xr:uid="{00000000-0005-0000-0000-000065B40000}"/>
    <cellStyle name="Migliaia 3 4 2 2 4" xfId="52852" xr:uid="{00000000-0005-0000-0000-000066B40000}"/>
    <cellStyle name="Migliaia 3 4 2 3" xfId="33238" xr:uid="{00000000-0005-0000-0000-000067B40000}"/>
    <cellStyle name="Migliaia 3 4 2 3 2" xfId="54795" xr:uid="{00000000-0005-0000-0000-000068B40000}"/>
    <cellStyle name="Migliaia 3 4 2 4" xfId="48199" xr:uid="{00000000-0005-0000-0000-000069B40000}"/>
    <cellStyle name="Migliaia 3 4 2 4 2" xfId="55645" xr:uid="{00000000-0005-0000-0000-00006AB40000}"/>
    <cellStyle name="Migliaia 3 4 2 5" xfId="52363" xr:uid="{00000000-0005-0000-0000-00006BB40000}"/>
    <cellStyle name="Migliaia 3 4 3" xfId="18254" xr:uid="{00000000-0005-0000-0000-00006CB40000}"/>
    <cellStyle name="Migliaia 3 4 3 2" xfId="33721" xr:uid="{00000000-0005-0000-0000-00006DB40000}"/>
    <cellStyle name="Migliaia 3 4 3 2 2" xfId="55206" xr:uid="{00000000-0005-0000-0000-00006EB40000}"/>
    <cellStyle name="Migliaia 3 4 3 3" xfId="48682" xr:uid="{00000000-0005-0000-0000-00006FB40000}"/>
    <cellStyle name="Migliaia 3 4 3 3 2" xfId="56128" xr:uid="{00000000-0005-0000-0000-000070B40000}"/>
    <cellStyle name="Migliaia 3 4 3 4" xfId="52851" xr:uid="{00000000-0005-0000-0000-000071B40000}"/>
    <cellStyle name="Migliaia 3 4 4" xfId="17121" xr:uid="{00000000-0005-0000-0000-000072B40000}"/>
    <cellStyle name="Migliaia 3 4 4 2" xfId="33237" xr:uid="{00000000-0005-0000-0000-000073B40000}"/>
    <cellStyle name="Migliaia 3 4 4 3" xfId="48198" xr:uid="{00000000-0005-0000-0000-000074B40000}"/>
    <cellStyle name="Migliaia 3 4 4 4" xfId="54794" xr:uid="{00000000-0005-0000-0000-000075B40000}"/>
    <cellStyle name="Migliaia 3 4 5" xfId="50983" xr:uid="{00000000-0005-0000-0000-000076B40000}"/>
    <cellStyle name="Migliaia 3 4 5 2" xfId="55644" xr:uid="{00000000-0005-0000-0000-000077B40000}"/>
    <cellStyle name="Migliaia 3 4 6" xfId="52362" xr:uid="{00000000-0005-0000-0000-000078B40000}"/>
    <cellStyle name="Migliaia 3 5" xfId="9189" xr:uid="{00000000-0005-0000-0000-000079B40000}"/>
    <cellStyle name="Migliaia 3 5 2" xfId="17123" xr:uid="{00000000-0005-0000-0000-00007AB40000}"/>
    <cellStyle name="Migliaia 3 5 2 2" xfId="33239" xr:uid="{00000000-0005-0000-0000-00007BB40000}"/>
    <cellStyle name="Migliaia 3 5 2 3" xfId="48200" xr:uid="{00000000-0005-0000-0000-00007CB40000}"/>
    <cellStyle name="Migliaia 3 5 2 4" xfId="54796" xr:uid="{00000000-0005-0000-0000-00007DB40000}"/>
    <cellStyle name="Migliaia 3 5 3" xfId="50984" xr:uid="{00000000-0005-0000-0000-00007EB40000}"/>
    <cellStyle name="Migliaia 3 5 3 2" xfId="55646" xr:uid="{00000000-0005-0000-0000-00007FB40000}"/>
    <cellStyle name="Migliaia 3 5 4" xfId="52364" xr:uid="{00000000-0005-0000-0000-000080B40000}"/>
    <cellStyle name="Migliaia 3 6" xfId="9184" xr:uid="{00000000-0005-0000-0000-000081B40000}"/>
    <cellStyle name="Migliaia 3 6 2" xfId="51216" xr:uid="{00000000-0005-0000-0000-000082B40000}"/>
    <cellStyle name="Migliaia 3 6 3" xfId="54549" xr:uid="{00000000-0005-0000-0000-000083B40000}"/>
    <cellStyle name="Migliaia 3 7" xfId="9823" xr:uid="{00000000-0005-0000-0000-000084B40000}"/>
    <cellStyle name="Migliaia 3 7 2" xfId="26149" xr:uid="{00000000-0005-0000-0000-000085B40000}"/>
    <cellStyle name="Migliaia 3 7 3" xfId="41127" xr:uid="{00000000-0005-0000-0000-000086B40000}"/>
    <cellStyle name="Migliaia 3 7 4" xfId="55639" xr:uid="{00000000-0005-0000-0000-000087B40000}"/>
    <cellStyle name="Migliaia 3 8" xfId="17116" xr:uid="{00000000-0005-0000-0000-000088B40000}"/>
    <cellStyle name="Migliaia 3 8 2" xfId="33232" xr:uid="{00000000-0005-0000-0000-000089B40000}"/>
    <cellStyle name="Migliaia 3 8 3" xfId="48193" xr:uid="{00000000-0005-0000-0000-00008AB40000}"/>
    <cellStyle name="Migliaia 3 9" xfId="19130" xr:uid="{00000000-0005-0000-0000-00008BB40000}"/>
    <cellStyle name="Migliaia 30" xfId="377" xr:uid="{00000000-0005-0000-0000-00008CB40000}"/>
    <cellStyle name="Migliaia 30 10" xfId="34129" xr:uid="{00000000-0005-0000-0000-00008DB40000}"/>
    <cellStyle name="Migliaia 30 11" xfId="49069" xr:uid="{00000000-0005-0000-0000-00008EB40000}"/>
    <cellStyle name="Migliaia 30 12" xfId="49474" xr:uid="{00000000-0005-0000-0000-00008FB40000}"/>
    <cellStyle name="Migliaia 30 13" xfId="49880" xr:uid="{00000000-0005-0000-0000-000090B40000}"/>
    <cellStyle name="Migliaia 30 14" xfId="50288" xr:uid="{00000000-0005-0000-0000-000091B40000}"/>
    <cellStyle name="Migliaia 30 15" xfId="50730" xr:uid="{00000000-0005-0000-0000-000092B40000}"/>
    <cellStyle name="Migliaia 30 16" xfId="51449" xr:uid="{00000000-0005-0000-0000-000093B40000}"/>
    <cellStyle name="Migliaia 30 17" xfId="51862" xr:uid="{00000000-0005-0000-0000-000094B40000}"/>
    <cellStyle name="Migliaia 30 18" xfId="52365" xr:uid="{00000000-0005-0000-0000-000095B40000}"/>
    <cellStyle name="Migliaia 30 2" xfId="378" xr:uid="{00000000-0005-0000-0000-000096B40000}"/>
    <cellStyle name="Migliaia 30 2 10" xfId="49881" xr:uid="{00000000-0005-0000-0000-000097B40000}"/>
    <cellStyle name="Migliaia 30 2 11" xfId="50289" xr:uid="{00000000-0005-0000-0000-000098B40000}"/>
    <cellStyle name="Migliaia 30 2 12" xfId="50731" xr:uid="{00000000-0005-0000-0000-000099B40000}"/>
    <cellStyle name="Migliaia 30 2 13" xfId="51450" xr:uid="{00000000-0005-0000-0000-00009AB40000}"/>
    <cellStyle name="Migliaia 30 2 14" xfId="51863" xr:uid="{00000000-0005-0000-0000-00009BB40000}"/>
    <cellStyle name="Migliaia 30 2 15" xfId="52366" xr:uid="{00000000-0005-0000-0000-00009CB40000}"/>
    <cellStyle name="Migliaia 30 2 2" xfId="1266" xr:uid="{00000000-0005-0000-0000-00009DB40000}"/>
    <cellStyle name="Migliaia 30 2 2 10" xfId="51060" xr:uid="{00000000-0005-0000-0000-00009EB40000}"/>
    <cellStyle name="Migliaia 30 2 2 11" xfId="51656" xr:uid="{00000000-0005-0000-0000-00009FB40000}"/>
    <cellStyle name="Migliaia 30 2 2 12" xfId="52077" xr:uid="{00000000-0005-0000-0000-0000A0B40000}"/>
    <cellStyle name="Migliaia 30 2 2 13" xfId="52853" xr:uid="{00000000-0005-0000-0000-0000A1B40000}"/>
    <cellStyle name="Migliaia 30 2 2 2" xfId="10034" xr:uid="{00000000-0005-0000-0000-0000A2B40000}"/>
    <cellStyle name="Migliaia 30 2 2 2 2" xfId="26355" xr:uid="{00000000-0005-0000-0000-0000A3B40000}"/>
    <cellStyle name="Migliaia 30 2 2 2 3" xfId="41323" xr:uid="{00000000-0005-0000-0000-0000A4B40000}"/>
    <cellStyle name="Migliaia 30 2 2 2 4" xfId="55208" xr:uid="{00000000-0005-0000-0000-0000A5B40000}"/>
    <cellStyle name="Migliaia 30 2 2 3" xfId="18256" xr:uid="{00000000-0005-0000-0000-0000A6B40000}"/>
    <cellStyle name="Migliaia 30 2 2 3 2" xfId="33723" xr:uid="{00000000-0005-0000-0000-0000A7B40000}"/>
    <cellStyle name="Migliaia 30 2 2 3 3" xfId="48684" xr:uid="{00000000-0005-0000-0000-0000A8B40000}"/>
    <cellStyle name="Migliaia 30 2 2 3 4" xfId="56130" xr:uid="{00000000-0005-0000-0000-0000A9B40000}"/>
    <cellStyle name="Migliaia 30 2 2 4" xfId="19334" xr:uid="{00000000-0005-0000-0000-0000AAB40000}"/>
    <cellStyle name="Migliaia 30 2 2 5" xfId="34324" xr:uid="{00000000-0005-0000-0000-0000ABB40000}"/>
    <cellStyle name="Migliaia 30 2 2 6" xfId="49276" xr:uid="{00000000-0005-0000-0000-0000ACB40000}"/>
    <cellStyle name="Migliaia 30 2 2 7" xfId="49681" xr:uid="{00000000-0005-0000-0000-0000ADB40000}"/>
    <cellStyle name="Migliaia 30 2 2 8" xfId="50090" xr:uid="{00000000-0005-0000-0000-0000AEB40000}"/>
    <cellStyle name="Migliaia 30 2 2 9" xfId="50495" xr:uid="{00000000-0005-0000-0000-0000AFB40000}"/>
    <cellStyle name="Migliaia 30 2 3" xfId="9191" xr:uid="{00000000-0005-0000-0000-0000B0B40000}"/>
    <cellStyle name="Migliaia 30 2 3 2" xfId="54614" xr:uid="{00000000-0005-0000-0000-0000B1B40000}"/>
    <cellStyle name="Migliaia 30 2 4" xfId="9828" xr:uid="{00000000-0005-0000-0000-0000B2B40000}"/>
    <cellStyle name="Migliaia 30 2 4 2" xfId="26154" xr:uid="{00000000-0005-0000-0000-0000B3B40000}"/>
    <cellStyle name="Migliaia 30 2 4 3" xfId="41132" xr:uid="{00000000-0005-0000-0000-0000B4B40000}"/>
    <cellStyle name="Migliaia 30 2 4 4" xfId="55648" xr:uid="{00000000-0005-0000-0000-0000B5B40000}"/>
    <cellStyle name="Migliaia 30 2 5" xfId="17125" xr:uid="{00000000-0005-0000-0000-0000B6B40000}"/>
    <cellStyle name="Migliaia 30 2 5 2" xfId="33241" xr:uid="{00000000-0005-0000-0000-0000B7B40000}"/>
    <cellStyle name="Migliaia 30 2 5 3" xfId="48202" xr:uid="{00000000-0005-0000-0000-0000B8B40000}"/>
    <cellStyle name="Migliaia 30 2 6" xfId="19135" xr:uid="{00000000-0005-0000-0000-0000B9B40000}"/>
    <cellStyle name="Migliaia 30 2 7" xfId="34130" xr:uid="{00000000-0005-0000-0000-0000BAB40000}"/>
    <cellStyle name="Migliaia 30 2 8" xfId="49070" xr:uid="{00000000-0005-0000-0000-0000BBB40000}"/>
    <cellStyle name="Migliaia 30 2 9" xfId="49475" xr:uid="{00000000-0005-0000-0000-0000BCB40000}"/>
    <cellStyle name="Migliaia 30 3" xfId="379" xr:uid="{00000000-0005-0000-0000-0000BDB40000}"/>
    <cellStyle name="Migliaia 30 3 10" xfId="49882" xr:uid="{00000000-0005-0000-0000-0000BEB40000}"/>
    <cellStyle name="Migliaia 30 3 11" xfId="50290" xr:uid="{00000000-0005-0000-0000-0000BFB40000}"/>
    <cellStyle name="Migliaia 30 3 12" xfId="50732" xr:uid="{00000000-0005-0000-0000-0000C0B40000}"/>
    <cellStyle name="Migliaia 30 3 13" xfId="51451" xr:uid="{00000000-0005-0000-0000-0000C1B40000}"/>
    <cellStyle name="Migliaia 30 3 14" xfId="51864" xr:uid="{00000000-0005-0000-0000-0000C2B40000}"/>
    <cellStyle name="Migliaia 30 3 15" xfId="52367" xr:uid="{00000000-0005-0000-0000-0000C3B40000}"/>
    <cellStyle name="Migliaia 30 3 2" xfId="380" xr:uid="{00000000-0005-0000-0000-0000C4B40000}"/>
    <cellStyle name="Migliaia 30 3 2 10" xfId="50291" xr:uid="{00000000-0005-0000-0000-0000C5B40000}"/>
    <cellStyle name="Migliaia 30 3 2 11" xfId="50733" xr:uid="{00000000-0005-0000-0000-0000C6B40000}"/>
    <cellStyle name="Migliaia 30 3 2 12" xfId="51452" xr:uid="{00000000-0005-0000-0000-0000C7B40000}"/>
    <cellStyle name="Migliaia 30 3 2 13" xfId="51865" xr:uid="{00000000-0005-0000-0000-0000C8B40000}"/>
    <cellStyle name="Migliaia 30 3 2 14" xfId="52368" xr:uid="{00000000-0005-0000-0000-0000C9B40000}"/>
    <cellStyle name="Migliaia 30 3 2 2" xfId="9193" xr:uid="{00000000-0005-0000-0000-0000CAB40000}"/>
    <cellStyle name="Migliaia 30 3 2 2 2" xfId="54798" xr:uid="{00000000-0005-0000-0000-0000CBB40000}"/>
    <cellStyle name="Migliaia 30 3 2 3" xfId="9830" xr:uid="{00000000-0005-0000-0000-0000CCB40000}"/>
    <cellStyle name="Migliaia 30 3 2 3 2" xfId="26156" xr:uid="{00000000-0005-0000-0000-0000CDB40000}"/>
    <cellStyle name="Migliaia 30 3 2 3 3" xfId="41134" xr:uid="{00000000-0005-0000-0000-0000CEB40000}"/>
    <cellStyle name="Migliaia 30 3 2 3 4" xfId="55650" xr:uid="{00000000-0005-0000-0000-0000CFB40000}"/>
    <cellStyle name="Migliaia 30 3 2 4" xfId="17127" xr:uid="{00000000-0005-0000-0000-0000D0B40000}"/>
    <cellStyle name="Migliaia 30 3 2 4 2" xfId="33243" xr:uid="{00000000-0005-0000-0000-0000D1B40000}"/>
    <cellStyle name="Migliaia 30 3 2 4 3" xfId="48204" xr:uid="{00000000-0005-0000-0000-0000D2B40000}"/>
    <cellStyle name="Migliaia 30 3 2 5" xfId="19137" xr:uid="{00000000-0005-0000-0000-0000D3B40000}"/>
    <cellStyle name="Migliaia 30 3 2 6" xfId="34132" xr:uid="{00000000-0005-0000-0000-0000D4B40000}"/>
    <cellStyle name="Migliaia 30 3 2 7" xfId="49072" xr:uid="{00000000-0005-0000-0000-0000D5B40000}"/>
    <cellStyle name="Migliaia 30 3 2 8" xfId="49477" xr:uid="{00000000-0005-0000-0000-0000D6B40000}"/>
    <cellStyle name="Migliaia 30 3 2 9" xfId="49883" xr:uid="{00000000-0005-0000-0000-0000D7B40000}"/>
    <cellStyle name="Migliaia 30 3 3" xfId="9192" xr:uid="{00000000-0005-0000-0000-0000D8B40000}"/>
    <cellStyle name="Migliaia 30 3 3 2" xfId="18258" xr:uid="{00000000-0005-0000-0000-0000D9B40000}"/>
    <cellStyle name="Migliaia 30 3 3 2 2" xfId="33725" xr:uid="{00000000-0005-0000-0000-0000DAB40000}"/>
    <cellStyle name="Migliaia 30 3 3 2 2 2" xfId="55210" xr:uid="{00000000-0005-0000-0000-0000DBB40000}"/>
    <cellStyle name="Migliaia 30 3 3 2 3" xfId="48686" xr:uid="{00000000-0005-0000-0000-0000DCB40000}"/>
    <cellStyle name="Migliaia 30 3 3 2 3 2" xfId="56132" xr:uid="{00000000-0005-0000-0000-0000DDB40000}"/>
    <cellStyle name="Migliaia 30 3 3 2 4" xfId="52855" xr:uid="{00000000-0005-0000-0000-0000DEB40000}"/>
    <cellStyle name="Migliaia 30 3 3 3" xfId="17128" xr:uid="{00000000-0005-0000-0000-0000DFB40000}"/>
    <cellStyle name="Migliaia 30 3 3 3 2" xfId="33244" xr:uid="{00000000-0005-0000-0000-0000E0B40000}"/>
    <cellStyle name="Migliaia 30 3 3 3 3" xfId="48205" xr:uid="{00000000-0005-0000-0000-0000E1B40000}"/>
    <cellStyle name="Migliaia 30 3 3 3 4" xfId="54799" xr:uid="{00000000-0005-0000-0000-0000E2B40000}"/>
    <cellStyle name="Migliaia 30 3 3 4" xfId="55651" xr:uid="{00000000-0005-0000-0000-0000E3B40000}"/>
    <cellStyle name="Migliaia 30 3 3 5" xfId="52369" xr:uid="{00000000-0005-0000-0000-0000E4B40000}"/>
    <cellStyle name="Migliaia 30 3 4" xfId="9829" xr:uid="{00000000-0005-0000-0000-0000E5B40000}"/>
    <cellStyle name="Migliaia 30 3 4 2" xfId="18257" xr:uid="{00000000-0005-0000-0000-0000E6B40000}"/>
    <cellStyle name="Migliaia 30 3 4 2 2" xfId="33724" xr:uid="{00000000-0005-0000-0000-0000E7B40000}"/>
    <cellStyle name="Migliaia 30 3 4 2 3" xfId="48685" xr:uid="{00000000-0005-0000-0000-0000E8B40000}"/>
    <cellStyle name="Migliaia 30 3 4 2 4" xfId="55209" xr:uid="{00000000-0005-0000-0000-0000E9B40000}"/>
    <cellStyle name="Migliaia 30 3 4 3" xfId="26155" xr:uid="{00000000-0005-0000-0000-0000EAB40000}"/>
    <cellStyle name="Migliaia 30 3 4 3 2" xfId="56131" xr:uid="{00000000-0005-0000-0000-0000EBB40000}"/>
    <cellStyle name="Migliaia 30 3 4 4" xfId="41133" xr:uid="{00000000-0005-0000-0000-0000ECB40000}"/>
    <cellStyle name="Migliaia 30 3 4 5" xfId="52854" xr:uid="{00000000-0005-0000-0000-0000EDB40000}"/>
    <cellStyle name="Migliaia 30 3 5" xfId="17126" xr:uid="{00000000-0005-0000-0000-0000EEB40000}"/>
    <cellStyle name="Migliaia 30 3 5 2" xfId="33242" xr:uid="{00000000-0005-0000-0000-0000EFB40000}"/>
    <cellStyle name="Migliaia 30 3 5 3" xfId="48203" xr:uid="{00000000-0005-0000-0000-0000F0B40000}"/>
    <cellStyle name="Migliaia 30 3 5 4" xfId="54797" xr:uid="{00000000-0005-0000-0000-0000F1B40000}"/>
    <cellStyle name="Migliaia 30 3 6" xfId="19136" xr:uid="{00000000-0005-0000-0000-0000F2B40000}"/>
    <cellStyle name="Migliaia 30 3 6 2" xfId="55649" xr:uid="{00000000-0005-0000-0000-0000F3B40000}"/>
    <cellStyle name="Migliaia 30 3 7" xfId="34131" xr:uid="{00000000-0005-0000-0000-0000F4B40000}"/>
    <cellStyle name="Migliaia 30 3 8" xfId="49071" xr:uid="{00000000-0005-0000-0000-0000F5B40000}"/>
    <cellStyle name="Migliaia 30 3 9" xfId="49476" xr:uid="{00000000-0005-0000-0000-0000F6B40000}"/>
    <cellStyle name="Migliaia 30 4" xfId="9194" xr:uid="{00000000-0005-0000-0000-0000F7B40000}"/>
    <cellStyle name="Migliaia 30 4 2" xfId="17130" xr:uid="{00000000-0005-0000-0000-0000F8B40000}"/>
    <cellStyle name="Migliaia 30 4 2 2" xfId="18260" xr:uid="{00000000-0005-0000-0000-0000F9B40000}"/>
    <cellStyle name="Migliaia 30 4 2 2 2" xfId="33727" xr:uid="{00000000-0005-0000-0000-0000FAB40000}"/>
    <cellStyle name="Migliaia 30 4 2 2 2 2" xfId="55212" xr:uid="{00000000-0005-0000-0000-0000FBB40000}"/>
    <cellStyle name="Migliaia 30 4 2 2 3" xfId="48688" xr:uid="{00000000-0005-0000-0000-0000FCB40000}"/>
    <cellStyle name="Migliaia 30 4 2 2 3 2" xfId="56134" xr:uid="{00000000-0005-0000-0000-0000FDB40000}"/>
    <cellStyle name="Migliaia 30 4 2 2 4" xfId="52857" xr:uid="{00000000-0005-0000-0000-0000FEB40000}"/>
    <cellStyle name="Migliaia 30 4 2 3" xfId="33246" xr:uid="{00000000-0005-0000-0000-0000FFB40000}"/>
    <cellStyle name="Migliaia 30 4 2 3 2" xfId="54801" xr:uid="{00000000-0005-0000-0000-000000B50000}"/>
    <cellStyle name="Migliaia 30 4 2 4" xfId="48207" xr:uid="{00000000-0005-0000-0000-000001B50000}"/>
    <cellStyle name="Migliaia 30 4 2 4 2" xfId="55653" xr:uid="{00000000-0005-0000-0000-000002B50000}"/>
    <cellStyle name="Migliaia 30 4 2 5" xfId="52371" xr:uid="{00000000-0005-0000-0000-000003B50000}"/>
    <cellStyle name="Migliaia 30 4 3" xfId="18259" xr:uid="{00000000-0005-0000-0000-000004B50000}"/>
    <cellStyle name="Migliaia 30 4 3 2" xfId="33726" xr:uid="{00000000-0005-0000-0000-000005B50000}"/>
    <cellStyle name="Migliaia 30 4 3 2 2" xfId="55211" xr:uid="{00000000-0005-0000-0000-000006B50000}"/>
    <cellStyle name="Migliaia 30 4 3 3" xfId="48687" xr:uid="{00000000-0005-0000-0000-000007B50000}"/>
    <cellStyle name="Migliaia 30 4 3 3 2" xfId="56133" xr:uid="{00000000-0005-0000-0000-000008B50000}"/>
    <cellStyle name="Migliaia 30 4 3 4" xfId="52856" xr:uid="{00000000-0005-0000-0000-000009B50000}"/>
    <cellStyle name="Migliaia 30 4 4" xfId="17129" xr:uid="{00000000-0005-0000-0000-00000AB50000}"/>
    <cellStyle name="Migliaia 30 4 4 2" xfId="33245" xr:uid="{00000000-0005-0000-0000-00000BB50000}"/>
    <cellStyle name="Migliaia 30 4 4 3" xfId="48206" xr:uid="{00000000-0005-0000-0000-00000CB50000}"/>
    <cellStyle name="Migliaia 30 4 4 4" xfId="54800" xr:uid="{00000000-0005-0000-0000-00000DB50000}"/>
    <cellStyle name="Migliaia 30 4 5" xfId="51215" xr:uid="{00000000-0005-0000-0000-00000EB50000}"/>
    <cellStyle name="Migliaia 30 4 5 2" xfId="55652" xr:uid="{00000000-0005-0000-0000-00000FB50000}"/>
    <cellStyle name="Migliaia 30 4 6" xfId="52370" xr:uid="{00000000-0005-0000-0000-000010B50000}"/>
    <cellStyle name="Migliaia 30 5" xfId="9195" xr:uid="{00000000-0005-0000-0000-000011B50000}"/>
    <cellStyle name="Migliaia 30 5 2" xfId="17131" xr:uid="{00000000-0005-0000-0000-000012B50000}"/>
    <cellStyle name="Migliaia 30 5 2 2" xfId="33247" xr:uid="{00000000-0005-0000-0000-000013B50000}"/>
    <cellStyle name="Migliaia 30 5 2 3" xfId="48208" xr:uid="{00000000-0005-0000-0000-000014B50000}"/>
    <cellStyle name="Migliaia 30 5 2 4" xfId="54802" xr:uid="{00000000-0005-0000-0000-000015B50000}"/>
    <cellStyle name="Migliaia 30 5 3" xfId="51181" xr:uid="{00000000-0005-0000-0000-000016B50000}"/>
    <cellStyle name="Migliaia 30 5 3 2" xfId="55654" xr:uid="{00000000-0005-0000-0000-000017B50000}"/>
    <cellStyle name="Migliaia 30 5 4" xfId="52372" xr:uid="{00000000-0005-0000-0000-000018B50000}"/>
    <cellStyle name="Migliaia 30 6" xfId="9190" xr:uid="{00000000-0005-0000-0000-000019B50000}"/>
    <cellStyle name="Migliaia 30 6 2" xfId="50915" xr:uid="{00000000-0005-0000-0000-00001AB50000}"/>
    <cellStyle name="Migliaia 30 6 3" xfId="54550" xr:uid="{00000000-0005-0000-0000-00001BB50000}"/>
    <cellStyle name="Migliaia 30 7" xfId="9827" xr:uid="{00000000-0005-0000-0000-00001CB50000}"/>
    <cellStyle name="Migliaia 30 7 2" xfId="26153" xr:uid="{00000000-0005-0000-0000-00001DB50000}"/>
    <cellStyle name="Migliaia 30 7 3" xfId="41131" xr:uid="{00000000-0005-0000-0000-00001EB50000}"/>
    <cellStyle name="Migliaia 30 7 4" xfId="55647" xr:uid="{00000000-0005-0000-0000-00001FB50000}"/>
    <cellStyle name="Migliaia 30 8" xfId="17124" xr:uid="{00000000-0005-0000-0000-000020B50000}"/>
    <cellStyle name="Migliaia 30 8 2" xfId="33240" xr:uid="{00000000-0005-0000-0000-000021B50000}"/>
    <cellStyle name="Migliaia 30 8 3" xfId="48201" xr:uid="{00000000-0005-0000-0000-000022B50000}"/>
    <cellStyle name="Migliaia 30 9" xfId="19134" xr:uid="{00000000-0005-0000-0000-000023B50000}"/>
    <cellStyle name="Migliaia 31" xfId="381" xr:uid="{00000000-0005-0000-0000-000024B50000}"/>
    <cellStyle name="Migliaia 31 10" xfId="34133" xr:uid="{00000000-0005-0000-0000-000025B50000}"/>
    <cellStyle name="Migliaia 31 11" xfId="49073" xr:uid="{00000000-0005-0000-0000-000026B50000}"/>
    <cellStyle name="Migliaia 31 12" xfId="49478" xr:uid="{00000000-0005-0000-0000-000027B50000}"/>
    <cellStyle name="Migliaia 31 13" xfId="49884" xr:uid="{00000000-0005-0000-0000-000028B50000}"/>
    <cellStyle name="Migliaia 31 14" xfId="50292" xr:uid="{00000000-0005-0000-0000-000029B50000}"/>
    <cellStyle name="Migliaia 31 15" xfId="50734" xr:uid="{00000000-0005-0000-0000-00002AB50000}"/>
    <cellStyle name="Migliaia 31 16" xfId="51453" xr:uid="{00000000-0005-0000-0000-00002BB50000}"/>
    <cellStyle name="Migliaia 31 17" xfId="51866" xr:uid="{00000000-0005-0000-0000-00002CB50000}"/>
    <cellStyle name="Migliaia 31 18" xfId="52373" xr:uid="{00000000-0005-0000-0000-00002DB50000}"/>
    <cellStyle name="Migliaia 31 2" xfId="382" xr:uid="{00000000-0005-0000-0000-00002EB50000}"/>
    <cellStyle name="Migliaia 31 2 10" xfId="49885" xr:uid="{00000000-0005-0000-0000-00002FB50000}"/>
    <cellStyle name="Migliaia 31 2 11" xfId="50293" xr:uid="{00000000-0005-0000-0000-000030B50000}"/>
    <cellStyle name="Migliaia 31 2 12" xfId="50735" xr:uid="{00000000-0005-0000-0000-000031B50000}"/>
    <cellStyle name="Migliaia 31 2 13" xfId="51454" xr:uid="{00000000-0005-0000-0000-000032B50000}"/>
    <cellStyle name="Migliaia 31 2 14" xfId="51867" xr:uid="{00000000-0005-0000-0000-000033B50000}"/>
    <cellStyle name="Migliaia 31 2 15" xfId="52374" xr:uid="{00000000-0005-0000-0000-000034B50000}"/>
    <cellStyle name="Migliaia 31 2 2" xfId="1267" xr:uid="{00000000-0005-0000-0000-000035B50000}"/>
    <cellStyle name="Migliaia 31 2 2 10" xfId="51061" xr:uid="{00000000-0005-0000-0000-000036B50000}"/>
    <cellStyle name="Migliaia 31 2 2 11" xfId="51657" xr:uid="{00000000-0005-0000-0000-000037B50000}"/>
    <cellStyle name="Migliaia 31 2 2 12" xfId="52078" xr:uid="{00000000-0005-0000-0000-000038B50000}"/>
    <cellStyle name="Migliaia 31 2 2 13" xfId="52858" xr:uid="{00000000-0005-0000-0000-000039B50000}"/>
    <cellStyle name="Migliaia 31 2 2 2" xfId="10035" xr:uid="{00000000-0005-0000-0000-00003AB50000}"/>
    <cellStyle name="Migliaia 31 2 2 2 2" xfId="26356" xr:uid="{00000000-0005-0000-0000-00003BB50000}"/>
    <cellStyle name="Migliaia 31 2 2 2 3" xfId="41324" xr:uid="{00000000-0005-0000-0000-00003CB50000}"/>
    <cellStyle name="Migliaia 31 2 2 2 4" xfId="55213" xr:uid="{00000000-0005-0000-0000-00003DB50000}"/>
    <cellStyle name="Migliaia 31 2 2 3" xfId="18261" xr:uid="{00000000-0005-0000-0000-00003EB50000}"/>
    <cellStyle name="Migliaia 31 2 2 3 2" xfId="33728" xr:uid="{00000000-0005-0000-0000-00003FB50000}"/>
    <cellStyle name="Migliaia 31 2 2 3 3" xfId="48689" xr:uid="{00000000-0005-0000-0000-000040B50000}"/>
    <cellStyle name="Migliaia 31 2 2 3 4" xfId="56135" xr:uid="{00000000-0005-0000-0000-000041B50000}"/>
    <cellStyle name="Migliaia 31 2 2 4" xfId="19335" xr:uid="{00000000-0005-0000-0000-000042B50000}"/>
    <cellStyle name="Migliaia 31 2 2 5" xfId="34325" xr:uid="{00000000-0005-0000-0000-000043B50000}"/>
    <cellStyle name="Migliaia 31 2 2 6" xfId="49277" xr:uid="{00000000-0005-0000-0000-000044B50000}"/>
    <cellStyle name="Migliaia 31 2 2 7" xfId="49682" xr:uid="{00000000-0005-0000-0000-000045B50000}"/>
    <cellStyle name="Migliaia 31 2 2 8" xfId="50091" xr:uid="{00000000-0005-0000-0000-000046B50000}"/>
    <cellStyle name="Migliaia 31 2 2 9" xfId="50496" xr:uid="{00000000-0005-0000-0000-000047B50000}"/>
    <cellStyle name="Migliaia 31 2 3" xfId="9197" xr:uid="{00000000-0005-0000-0000-000048B50000}"/>
    <cellStyle name="Migliaia 31 2 3 2" xfId="54615" xr:uid="{00000000-0005-0000-0000-000049B50000}"/>
    <cellStyle name="Migliaia 31 2 4" xfId="9832" xr:uid="{00000000-0005-0000-0000-00004AB50000}"/>
    <cellStyle name="Migliaia 31 2 4 2" xfId="26158" xr:uid="{00000000-0005-0000-0000-00004BB50000}"/>
    <cellStyle name="Migliaia 31 2 4 3" xfId="41136" xr:uid="{00000000-0005-0000-0000-00004CB50000}"/>
    <cellStyle name="Migliaia 31 2 4 4" xfId="55656" xr:uid="{00000000-0005-0000-0000-00004DB50000}"/>
    <cellStyle name="Migliaia 31 2 5" xfId="17133" xr:uid="{00000000-0005-0000-0000-00004EB50000}"/>
    <cellStyle name="Migliaia 31 2 5 2" xfId="33249" xr:uid="{00000000-0005-0000-0000-00004FB50000}"/>
    <cellStyle name="Migliaia 31 2 5 3" xfId="48210" xr:uid="{00000000-0005-0000-0000-000050B50000}"/>
    <cellStyle name="Migliaia 31 2 6" xfId="19139" xr:uid="{00000000-0005-0000-0000-000051B50000}"/>
    <cellStyle name="Migliaia 31 2 7" xfId="34134" xr:uid="{00000000-0005-0000-0000-000052B50000}"/>
    <cellStyle name="Migliaia 31 2 8" xfId="49074" xr:uid="{00000000-0005-0000-0000-000053B50000}"/>
    <cellStyle name="Migliaia 31 2 9" xfId="49479" xr:uid="{00000000-0005-0000-0000-000054B50000}"/>
    <cellStyle name="Migliaia 31 3" xfId="383" xr:uid="{00000000-0005-0000-0000-000055B50000}"/>
    <cellStyle name="Migliaia 31 3 10" xfId="49886" xr:uid="{00000000-0005-0000-0000-000056B50000}"/>
    <cellStyle name="Migliaia 31 3 11" xfId="50294" xr:uid="{00000000-0005-0000-0000-000057B50000}"/>
    <cellStyle name="Migliaia 31 3 12" xfId="50736" xr:uid="{00000000-0005-0000-0000-000058B50000}"/>
    <cellStyle name="Migliaia 31 3 13" xfId="51455" xr:uid="{00000000-0005-0000-0000-000059B50000}"/>
    <cellStyle name="Migliaia 31 3 14" xfId="51868" xr:uid="{00000000-0005-0000-0000-00005AB50000}"/>
    <cellStyle name="Migliaia 31 3 15" xfId="52375" xr:uid="{00000000-0005-0000-0000-00005BB50000}"/>
    <cellStyle name="Migliaia 31 3 2" xfId="384" xr:uid="{00000000-0005-0000-0000-00005CB50000}"/>
    <cellStyle name="Migliaia 31 3 2 10" xfId="50295" xr:uid="{00000000-0005-0000-0000-00005DB50000}"/>
    <cellStyle name="Migliaia 31 3 2 11" xfId="50737" xr:uid="{00000000-0005-0000-0000-00005EB50000}"/>
    <cellStyle name="Migliaia 31 3 2 12" xfId="51456" xr:uid="{00000000-0005-0000-0000-00005FB50000}"/>
    <cellStyle name="Migliaia 31 3 2 13" xfId="51869" xr:uid="{00000000-0005-0000-0000-000060B50000}"/>
    <cellStyle name="Migliaia 31 3 2 14" xfId="52376" xr:uid="{00000000-0005-0000-0000-000061B50000}"/>
    <cellStyle name="Migliaia 31 3 2 2" xfId="9199" xr:uid="{00000000-0005-0000-0000-000062B50000}"/>
    <cellStyle name="Migliaia 31 3 2 2 2" xfId="54804" xr:uid="{00000000-0005-0000-0000-000063B50000}"/>
    <cellStyle name="Migliaia 31 3 2 3" xfId="9834" xr:uid="{00000000-0005-0000-0000-000064B50000}"/>
    <cellStyle name="Migliaia 31 3 2 3 2" xfId="26160" xr:uid="{00000000-0005-0000-0000-000065B50000}"/>
    <cellStyle name="Migliaia 31 3 2 3 3" xfId="41138" xr:uid="{00000000-0005-0000-0000-000066B50000}"/>
    <cellStyle name="Migliaia 31 3 2 3 4" xfId="55658" xr:uid="{00000000-0005-0000-0000-000067B50000}"/>
    <cellStyle name="Migliaia 31 3 2 4" xfId="17135" xr:uid="{00000000-0005-0000-0000-000068B50000}"/>
    <cellStyle name="Migliaia 31 3 2 4 2" xfId="33251" xr:uid="{00000000-0005-0000-0000-000069B50000}"/>
    <cellStyle name="Migliaia 31 3 2 4 3" xfId="48212" xr:uid="{00000000-0005-0000-0000-00006AB50000}"/>
    <cellStyle name="Migliaia 31 3 2 5" xfId="19141" xr:uid="{00000000-0005-0000-0000-00006BB50000}"/>
    <cellStyle name="Migliaia 31 3 2 6" xfId="34136" xr:uid="{00000000-0005-0000-0000-00006CB50000}"/>
    <cellStyle name="Migliaia 31 3 2 7" xfId="49076" xr:uid="{00000000-0005-0000-0000-00006DB50000}"/>
    <cellStyle name="Migliaia 31 3 2 8" xfId="49481" xr:uid="{00000000-0005-0000-0000-00006EB50000}"/>
    <cellStyle name="Migliaia 31 3 2 9" xfId="49887" xr:uid="{00000000-0005-0000-0000-00006FB50000}"/>
    <cellStyle name="Migliaia 31 3 3" xfId="9198" xr:uid="{00000000-0005-0000-0000-000070B50000}"/>
    <cellStyle name="Migliaia 31 3 3 2" xfId="18263" xr:uid="{00000000-0005-0000-0000-000071B50000}"/>
    <cellStyle name="Migliaia 31 3 3 2 2" xfId="33730" xr:uid="{00000000-0005-0000-0000-000072B50000}"/>
    <cellStyle name="Migliaia 31 3 3 2 2 2" xfId="55215" xr:uid="{00000000-0005-0000-0000-000073B50000}"/>
    <cellStyle name="Migliaia 31 3 3 2 3" xfId="48691" xr:uid="{00000000-0005-0000-0000-000074B50000}"/>
    <cellStyle name="Migliaia 31 3 3 2 3 2" xfId="56137" xr:uid="{00000000-0005-0000-0000-000075B50000}"/>
    <cellStyle name="Migliaia 31 3 3 2 4" xfId="52860" xr:uid="{00000000-0005-0000-0000-000076B50000}"/>
    <cellStyle name="Migliaia 31 3 3 3" xfId="17136" xr:uid="{00000000-0005-0000-0000-000077B50000}"/>
    <cellStyle name="Migliaia 31 3 3 3 2" xfId="33252" xr:uid="{00000000-0005-0000-0000-000078B50000}"/>
    <cellStyle name="Migliaia 31 3 3 3 3" xfId="48213" xr:uid="{00000000-0005-0000-0000-000079B50000}"/>
    <cellStyle name="Migliaia 31 3 3 3 4" xfId="54805" xr:uid="{00000000-0005-0000-0000-00007AB50000}"/>
    <cellStyle name="Migliaia 31 3 3 4" xfId="55659" xr:uid="{00000000-0005-0000-0000-00007BB50000}"/>
    <cellStyle name="Migliaia 31 3 3 5" xfId="52377" xr:uid="{00000000-0005-0000-0000-00007CB50000}"/>
    <cellStyle name="Migliaia 31 3 4" xfId="9833" xr:uid="{00000000-0005-0000-0000-00007DB50000}"/>
    <cellStyle name="Migliaia 31 3 4 2" xfId="18262" xr:uid="{00000000-0005-0000-0000-00007EB50000}"/>
    <cellStyle name="Migliaia 31 3 4 2 2" xfId="33729" xr:uid="{00000000-0005-0000-0000-00007FB50000}"/>
    <cellStyle name="Migliaia 31 3 4 2 3" xfId="48690" xr:uid="{00000000-0005-0000-0000-000080B50000}"/>
    <cellStyle name="Migliaia 31 3 4 2 4" xfId="55214" xr:uid="{00000000-0005-0000-0000-000081B50000}"/>
    <cellStyle name="Migliaia 31 3 4 3" xfId="26159" xr:uid="{00000000-0005-0000-0000-000082B50000}"/>
    <cellStyle name="Migliaia 31 3 4 3 2" xfId="56136" xr:uid="{00000000-0005-0000-0000-000083B50000}"/>
    <cellStyle name="Migliaia 31 3 4 4" xfId="41137" xr:uid="{00000000-0005-0000-0000-000084B50000}"/>
    <cellStyle name="Migliaia 31 3 4 5" xfId="52859" xr:uid="{00000000-0005-0000-0000-000085B50000}"/>
    <cellStyle name="Migliaia 31 3 5" xfId="17134" xr:uid="{00000000-0005-0000-0000-000086B50000}"/>
    <cellStyle name="Migliaia 31 3 5 2" xfId="33250" xr:uid="{00000000-0005-0000-0000-000087B50000}"/>
    <cellStyle name="Migliaia 31 3 5 3" xfId="48211" xr:uid="{00000000-0005-0000-0000-000088B50000}"/>
    <cellStyle name="Migliaia 31 3 5 4" xfId="54803" xr:uid="{00000000-0005-0000-0000-000089B50000}"/>
    <cellStyle name="Migliaia 31 3 6" xfId="19140" xr:uid="{00000000-0005-0000-0000-00008AB50000}"/>
    <cellStyle name="Migliaia 31 3 6 2" xfId="55657" xr:uid="{00000000-0005-0000-0000-00008BB50000}"/>
    <cellStyle name="Migliaia 31 3 7" xfId="34135" xr:uid="{00000000-0005-0000-0000-00008CB50000}"/>
    <cellStyle name="Migliaia 31 3 8" xfId="49075" xr:uid="{00000000-0005-0000-0000-00008DB50000}"/>
    <cellStyle name="Migliaia 31 3 9" xfId="49480" xr:uid="{00000000-0005-0000-0000-00008EB50000}"/>
    <cellStyle name="Migliaia 31 4" xfId="9200" xr:uid="{00000000-0005-0000-0000-00008FB50000}"/>
    <cellStyle name="Migliaia 31 4 2" xfId="17138" xr:uid="{00000000-0005-0000-0000-000090B50000}"/>
    <cellStyle name="Migliaia 31 4 2 2" xfId="18265" xr:uid="{00000000-0005-0000-0000-000091B50000}"/>
    <cellStyle name="Migliaia 31 4 2 2 2" xfId="33732" xr:uid="{00000000-0005-0000-0000-000092B50000}"/>
    <cellStyle name="Migliaia 31 4 2 2 2 2" xfId="55217" xr:uid="{00000000-0005-0000-0000-000093B50000}"/>
    <cellStyle name="Migliaia 31 4 2 2 3" xfId="48693" xr:uid="{00000000-0005-0000-0000-000094B50000}"/>
    <cellStyle name="Migliaia 31 4 2 2 3 2" xfId="56139" xr:uid="{00000000-0005-0000-0000-000095B50000}"/>
    <cellStyle name="Migliaia 31 4 2 2 4" xfId="52862" xr:uid="{00000000-0005-0000-0000-000096B50000}"/>
    <cellStyle name="Migliaia 31 4 2 3" xfId="33254" xr:uid="{00000000-0005-0000-0000-000097B50000}"/>
    <cellStyle name="Migliaia 31 4 2 3 2" xfId="54807" xr:uid="{00000000-0005-0000-0000-000098B50000}"/>
    <cellStyle name="Migliaia 31 4 2 4" xfId="48215" xr:uid="{00000000-0005-0000-0000-000099B50000}"/>
    <cellStyle name="Migliaia 31 4 2 4 2" xfId="55661" xr:uid="{00000000-0005-0000-0000-00009AB50000}"/>
    <cellStyle name="Migliaia 31 4 2 5" xfId="52379" xr:uid="{00000000-0005-0000-0000-00009BB50000}"/>
    <cellStyle name="Migliaia 31 4 3" xfId="18264" xr:uid="{00000000-0005-0000-0000-00009CB50000}"/>
    <cellStyle name="Migliaia 31 4 3 2" xfId="33731" xr:uid="{00000000-0005-0000-0000-00009DB50000}"/>
    <cellStyle name="Migliaia 31 4 3 2 2" xfId="55216" xr:uid="{00000000-0005-0000-0000-00009EB50000}"/>
    <cellStyle name="Migliaia 31 4 3 3" xfId="48692" xr:uid="{00000000-0005-0000-0000-00009FB50000}"/>
    <cellStyle name="Migliaia 31 4 3 3 2" xfId="56138" xr:uid="{00000000-0005-0000-0000-0000A0B50000}"/>
    <cellStyle name="Migliaia 31 4 3 4" xfId="52861" xr:uid="{00000000-0005-0000-0000-0000A1B50000}"/>
    <cellStyle name="Migliaia 31 4 4" xfId="17137" xr:uid="{00000000-0005-0000-0000-0000A2B50000}"/>
    <cellStyle name="Migliaia 31 4 4 2" xfId="33253" xr:uid="{00000000-0005-0000-0000-0000A3B50000}"/>
    <cellStyle name="Migliaia 31 4 4 3" xfId="48214" xr:uid="{00000000-0005-0000-0000-0000A4B50000}"/>
    <cellStyle name="Migliaia 31 4 4 4" xfId="54806" xr:uid="{00000000-0005-0000-0000-0000A5B50000}"/>
    <cellStyle name="Migliaia 31 4 5" xfId="50982" xr:uid="{00000000-0005-0000-0000-0000A6B50000}"/>
    <cellStyle name="Migliaia 31 4 5 2" xfId="55660" xr:uid="{00000000-0005-0000-0000-0000A7B50000}"/>
    <cellStyle name="Migliaia 31 4 6" xfId="52378" xr:uid="{00000000-0005-0000-0000-0000A8B50000}"/>
    <cellStyle name="Migliaia 31 5" xfId="9201" xr:uid="{00000000-0005-0000-0000-0000A9B50000}"/>
    <cellStyle name="Migliaia 31 5 2" xfId="17139" xr:uid="{00000000-0005-0000-0000-0000AAB50000}"/>
    <cellStyle name="Migliaia 31 5 2 2" xfId="33255" xr:uid="{00000000-0005-0000-0000-0000ABB50000}"/>
    <cellStyle name="Migliaia 31 5 2 3" xfId="48216" xr:uid="{00000000-0005-0000-0000-0000ACB50000}"/>
    <cellStyle name="Migliaia 31 5 2 4" xfId="54808" xr:uid="{00000000-0005-0000-0000-0000ADB50000}"/>
    <cellStyle name="Migliaia 31 5 3" xfId="51132" xr:uid="{00000000-0005-0000-0000-0000AEB50000}"/>
    <cellStyle name="Migliaia 31 5 3 2" xfId="55662" xr:uid="{00000000-0005-0000-0000-0000AFB50000}"/>
    <cellStyle name="Migliaia 31 5 4" xfId="52380" xr:uid="{00000000-0005-0000-0000-0000B0B50000}"/>
    <cellStyle name="Migliaia 31 6" xfId="9196" xr:uid="{00000000-0005-0000-0000-0000B1B50000}"/>
    <cellStyle name="Migliaia 31 6 2" xfId="50981" xr:uid="{00000000-0005-0000-0000-0000B2B50000}"/>
    <cellStyle name="Migliaia 31 6 3" xfId="54551" xr:uid="{00000000-0005-0000-0000-0000B3B50000}"/>
    <cellStyle name="Migliaia 31 7" xfId="9831" xr:uid="{00000000-0005-0000-0000-0000B4B50000}"/>
    <cellStyle name="Migliaia 31 7 2" xfId="26157" xr:uid="{00000000-0005-0000-0000-0000B5B50000}"/>
    <cellStyle name="Migliaia 31 7 3" xfId="41135" xr:uid="{00000000-0005-0000-0000-0000B6B50000}"/>
    <cellStyle name="Migliaia 31 7 4" xfId="55655" xr:uid="{00000000-0005-0000-0000-0000B7B50000}"/>
    <cellStyle name="Migliaia 31 8" xfId="17132" xr:uid="{00000000-0005-0000-0000-0000B8B50000}"/>
    <cellStyle name="Migliaia 31 8 2" xfId="33248" xr:uid="{00000000-0005-0000-0000-0000B9B50000}"/>
    <cellStyle name="Migliaia 31 8 3" xfId="48209" xr:uid="{00000000-0005-0000-0000-0000BAB50000}"/>
    <cellStyle name="Migliaia 31 9" xfId="19138" xr:uid="{00000000-0005-0000-0000-0000BBB50000}"/>
    <cellStyle name="Migliaia 32" xfId="385" xr:uid="{00000000-0005-0000-0000-0000BCB50000}"/>
    <cellStyle name="Migliaia 32 10" xfId="34137" xr:uid="{00000000-0005-0000-0000-0000BDB50000}"/>
    <cellStyle name="Migliaia 32 11" xfId="49077" xr:uid="{00000000-0005-0000-0000-0000BEB50000}"/>
    <cellStyle name="Migliaia 32 12" xfId="49482" xr:uid="{00000000-0005-0000-0000-0000BFB50000}"/>
    <cellStyle name="Migliaia 32 13" xfId="49888" xr:uid="{00000000-0005-0000-0000-0000C0B50000}"/>
    <cellStyle name="Migliaia 32 14" xfId="50296" xr:uid="{00000000-0005-0000-0000-0000C1B50000}"/>
    <cellStyle name="Migliaia 32 15" xfId="50738" xr:uid="{00000000-0005-0000-0000-0000C2B50000}"/>
    <cellStyle name="Migliaia 32 16" xfId="51457" xr:uid="{00000000-0005-0000-0000-0000C3B50000}"/>
    <cellStyle name="Migliaia 32 17" xfId="51870" xr:uid="{00000000-0005-0000-0000-0000C4B50000}"/>
    <cellStyle name="Migliaia 32 18" xfId="52381" xr:uid="{00000000-0005-0000-0000-0000C5B50000}"/>
    <cellStyle name="Migliaia 32 2" xfId="386" xr:uid="{00000000-0005-0000-0000-0000C6B50000}"/>
    <cellStyle name="Migliaia 32 2 10" xfId="49889" xr:uid="{00000000-0005-0000-0000-0000C7B50000}"/>
    <cellStyle name="Migliaia 32 2 11" xfId="50297" xr:uid="{00000000-0005-0000-0000-0000C8B50000}"/>
    <cellStyle name="Migliaia 32 2 12" xfId="50739" xr:uid="{00000000-0005-0000-0000-0000C9B50000}"/>
    <cellStyle name="Migliaia 32 2 13" xfId="51458" xr:uid="{00000000-0005-0000-0000-0000CAB50000}"/>
    <cellStyle name="Migliaia 32 2 14" xfId="51871" xr:uid="{00000000-0005-0000-0000-0000CBB50000}"/>
    <cellStyle name="Migliaia 32 2 15" xfId="52382" xr:uid="{00000000-0005-0000-0000-0000CCB50000}"/>
    <cellStyle name="Migliaia 32 2 2" xfId="1268" xr:uid="{00000000-0005-0000-0000-0000CDB50000}"/>
    <cellStyle name="Migliaia 32 2 2 10" xfId="51062" xr:uid="{00000000-0005-0000-0000-0000CEB50000}"/>
    <cellStyle name="Migliaia 32 2 2 11" xfId="51658" xr:uid="{00000000-0005-0000-0000-0000CFB50000}"/>
    <cellStyle name="Migliaia 32 2 2 12" xfId="52079" xr:uid="{00000000-0005-0000-0000-0000D0B50000}"/>
    <cellStyle name="Migliaia 32 2 2 13" xfId="52863" xr:uid="{00000000-0005-0000-0000-0000D1B50000}"/>
    <cellStyle name="Migliaia 32 2 2 2" xfId="10036" xr:uid="{00000000-0005-0000-0000-0000D2B50000}"/>
    <cellStyle name="Migliaia 32 2 2 2 2" xfId="26357" xr:uid="{00000000-0005-0000-0000-0000D3B50000}"/>
    <cellStyle name="Migliaia 32 2 2 2 3" xfId="41325" xr:uid="{00000000-0005-0000-0000-0000D4B50000}"/>
    <cellStyle name="Migliaia 32 2 2 2 4" xfId="55218" xr:uid="{00000000-0005-0000-0000-0000D5B50000}"/>
    <cellStyle name="Migliaia 32 2 2 3" xfId="18266" xr:uid="{00000000-0005-0000-0000-0000D6B50000}"/>
    <cellStyle name="Migliaia 32 2 2 3 2" xfId="33733" xr:uid="{00000000-0005-0000-0000-0000D7B50000}"/>
    <cellStyle name="Migliaia 32 2 2 3 3" xfId="48694" xr:uid="{00000000-0005-0000-0000-0000D8B50000}"/>
    <cellStyle name="Migliaia 32 2 2 3 4" xfId="56140" xr:uid="{00000000-0005-0000-0000-0000D9B50000}"/>
    <cellStyle name="Migliaia 32 2 2 4" xfId="19336" xr:uid="{00000000-0005-0000-0000-0000DAB50000}"/>
    <cellStyle name="Migliaia 32 2 2 5" xfId="34326" xr:uid="{00000000-0005-0000-0000-0000DBB50000}"/>
    <cellStyle name="Migliaia 32 2 2 6" xfId="49278" xr:uid="{00000000-0005-0000-0000-0000DCB50000}"/>
    <cellStyle name="Migliaia 32 2 2 7" xfId="49683" xr:uid="{00000000-0005-0000-0000-0000DDB50000}"/>
    <cellStyle name="Migliaia 32 2 2 8" xfId="50092" xr:uid="{00000000-0005-0000-0000-0000DEB50000}"/>
    <cellStyle name="Migliaia 32 2 2 9" xfId="50497" xr:uid="{00000000-0005-0000-0000-0000DFB50000}"/>
    <cellStyle name="Migliaia 32 2 3" xfId="9203" xr:uid="{00000000-0005-0000-0000-0000E0B50000}"/>
    <cellStyle name="Migliaia 32 2 3 2" xfId="54616" xr:uid="{00000000-0005-0000-0000-0000E1B50000}"/>
    <cellStyle name="Migliaia 32 2 4" xfId="9836" xr:uid="{00000000-0005-0000-0000-0000E2B50000}"/>
    <cellStyle name="Migliaia 32 2 4 2" xfId="26162" xr:uid="{00000000-0005-0000-0000-0000E3B50000}"/>
    <cellStyle name="Migliaia 32 2 4 3" xfId="41140" xr:uid="{00000000-0005-0000-0000-0000E4B50000}"/>
    <cellStyle name="Migliaia 32 2 4 4" xfId="55664" xr:uid="{00000000-0005-0000-0000-0000E5B50000}"/>
    <cellStyle name="Migliaia 32 2 5" xfId="17141" xr:uid="{00000000-0005-0000-0000-0000E6B50000}"/>
    <cellStyle name="Migliaia 32 2 5 2" xfId="33257" xr:uid="{00000000-0005-0000-0000-0000E7B50000}"/>
    <cellStyle name="Migliaia 32 2 5 3" xfId="48218" xr:uid="{00000000-0005-0000-0000-0000E8B50000}"/>
    <cellStyle name="Migliaia 32 2 6" xfId="19143" xr:uid="{00000000-0005-0000-0000-0000E9B50000}"/>
    <cellStyle name="Migliaia 32 2 7" xfId="34138" xr:uid="{00000000-0005-0000-0000-0000EAB50000}"/>
    <cellStyle name="Migliaia 32 2 8" xfId="49078" xr:uid="{00000000-0005-0000-0000-0000EBB50000}"/>
    <cellStyle name="Migliaia 32 2 9" xfId="49483" xr:uid="{00000000-0005-0000-0000-0000ECB50000}"/>
    <cellStyle name="Migliaia 32 3" xfId="387" xr:uid="{00000000-0005-0000-0000-0000EDB50000}"/>
    <cellStyle name="Migliaia 32 3 10" xfId="49890" xr:uid="{00000000-0005-0000-0000-0000EEB50000}"/>
    <cellStyle name="Migliaia 32 3 11" xfId="50298" xr:uid="{00000000-0005-0000-0000-0000EFB50000}"/>
    <cellStyle name="Migliaia 32 3 12" xfId="50740" xr:uid="{00000000-0005-0000-0000-0000F0B50000}"/>
    <cellStyle name="Migliaia 32 3 13" xfId="51459" xr:uid="{00000000-0005-0000-0000-0000F1B50000}"/>
    <cellStyle name="Migliaia 32 3 14" xfId="51872" xr:uid="{00000000-0005-0000-0000-0000F2B50000}"/>
    <cellStyle name="Migliaia 32 3 15" xfId="52383" xr:uid="{00000000-0005-0000-0000-0000F3B50000}"/>
    <cellStyle name="Migliaia 32 3 2" xfId="388" xr:uid="{00000000-0005-0000-0000-0000F4B50000}"/>
    <cellStyle name="Migliaia 32 3 2 10" xfId="50299" xr:uid="{00000000-0005-0000-0000-0000F5B50000}"/>
    <cellStyle name="Migliaia 32 3 2 11" xfId="50741" xr:uid="{00000000-0005-0000-0000-0000F6B50000}"/>
    <cellStyle name="Migliaia 32 3 2 12" xfId="51460" xr:uid="{00000000-0005-0000-0000-0000F7B50000}"/>
    <cellStyle name="Migliaia 32 3 2 13" xfId="51873" xr:uid="{00000000-0005-0000-0000-0000F8B50000}"/>
    <cellStyle name="Migliaia 32 3 2 14" xfId="52384" xr:uid="{00000000-0005-0000-0000-0000F9B50000}"/>
    <cellStyle name="Migliaia 32 3 2 2" xfId="9205" xr:uid="{00000000-0005-0000-0000-0000FAB50000}"/>
    <cellStyle name="Migliaia 32 3 2 2 2" xfId="54810" xr:uid="{00000000-0005-0000-0000-0000FBB50000}"/>
    <cellStyle name="Migliaia 32 3 2 3" xfId="9838" xr:uid="{00000000-0005-0000-0000-0000FCB50000}"/>
    <cellStyle name="Migliaia 32 3 2 3 2" xfId="26164" xr:uid="{00000000-0005-0000-0000-0000FDB50000}"/>
    <cellStyle name="Migliaia 32 3 2 3 3" xfId="41142" xr:uid="{00000000-0005-0000-0000-0000FEB50000}"/>
    <cellStyle name="Migliaia 32 3 2 3 4" xfId="55666" xr:uid="{00000000-0005-0000-0000-0000FFB50000}"/>
    <cellStyle name="Migliaia 32 3 2 4" xfId="17143" xr:uid="{00000000-0005-0000-0000-000000B60000}"/>
    <cellStyle name="Migliaia 32 3 2 4 2" xfId="33259" xr:uid="{00000000-0005-0000-0000-000001B60000}"/>
    <cellStyle name="Migliaia 32 3 2 4 3" xfId="48220" xr:uid="{00000000-0005-0000-0000-000002B60000}"/>
    <cellStyle name="Migliaia 32 3 2 5" xfId="19145" xr:uid="{00000000-0005-0000-0000-000003B60000}"/>
    <cellStyle name="Migliaia 32 3 2 6" xfId="34140" xr:uid="{00000000-0005-0000-0000-000004B60000}"/>
    <cellStyle name="Migliaia 32 3 2 7" xfId="49080" xr:uid="{00000000-0005-0000-0000-000005B60000}"/>
    <cellStyle name="Migliaia 32 3 2 8" xfId="49485" xr:uid="{00000000-0005-0000-0000-000006B60000}"/>
    <cellStyle name="Migliaia 32 3 2 9" xfId="49891" xr:uid="{00000000-0005-0000-0000-000007B60000}"/>
    <cellStyle name="Migliaia 32 3 3" xfId="9204" xr:uid="{00000000-0005-0000-0000-000008B60000}"/>
    <cellStyle name="Migliaia 32 3 3 2" xfId="18268" xr:uid="{00000000-0005-0000-0000-000009B60000}"/>
    <cellStyle name="Migliaia 32 3 3 2 2" xfId="33735" xr:uid="{00000000-0005-0000-0000-00000AB60000}"/>
    <cellStyle name="Migliaia 32 3 3 2 2 2" xfId="55220" xr:uid="{00000000-0005-0000-0000-00000BB60000}"/>
    <cellStyle name="Migliaia 32 3 3 2 3" xfId="48696" xr:uid="{00000000-0005-0000-0000-00000CB60000}"/>
    <cellStyle name="Migliaia 32 3 3 2 3 2" xfId="56142" xr:uid="{00000000-0005-0000-0000-00000DB60000}"/>
    <cellStyle name="Migliaia 32 3 3 2 4" xfId="52865" xr:uid="{00000000-0005-0000-0000-00000EB60000}"/>
    <cellStyle name="Migliaia 32 3 3 3" xfId="17144" xr:uid="{00000000-0005-0000-0000-00000FB60000}"/>
    <cellStyle name="Migliaia 32 3 3 3 2" xfId="33260" xr:uid="{00000000-0005-0000-0000-000010B60000}"/>
    <cellStyle name="Migliaia 32 3 3 3 3" xfId="48221" xr:uid="{00000000-0005-0000-0000-000011B60000}"/>
    <cellStyle name="Migliaia 32 3 3 3 4" xfId="54811" xr:uid="{00000000-0005-0000-0000-000012B60000}"/>
    <cellStyle name="Migliaia 32 3 3 4" xfId="55667" xr:uid="{00000000-0005-0000-0000-000013B60000}"/>
    <cellStyle name="Migliaia 32 3 3 5" xfId="52385" xr:uid="{00000000-0005-0000-0000-000014B60000}"/>
    <cellStyle name="Migliaia 32 3 4" xfId="9837" xr:uid="{00000000-0005-0000-0000-000015B60000}"/>
    <cellStyle name="Migliaia 32 3 4 2" xfId="18267" xr:uid="{00000000-0005-0000-0000-000016B60000}"/>
    <cellStyle name="Migliaia 32 3 4 2 2" xfId="33734" xr:uid="{00000000-0005-0000-0000-000017B60000}"/>
    <cellStyle name="Migliaia 32 3 4 2 3" xfId="48695" xr:uid="{00000000-0005-0000-0000-000018B60000}"/>
    <cellStyle name="Migliaia 32 3 4 2 4" xfId="55219" xr:uid="{00000000-0005-0000-0000-000019B60000}"/>
    <cellStyle name="Migliaia 32 3 4 3" xfId="26163" xr:uid="{00000000-0005-0000-0000-00001AB60000}"/>
    <cellStyle name="Migliaia 32 3 4 3 2" xfId="56141" xr:uid="{00000000-0005-0000-0000-00001BB60000}"/>
    <cellStyle name="Migliaia 32 3 4 4" xfId="41141" xr:uid="{00000000-0005-0000-0000-00001CB60000}"/>
    <cellStyle name="Migliaia 32 3 4 5" xfId="52864" xr:uid="{00000000-0005-0000-0000-00001DB60000}"/>
    <cellStyle name="Migliaia 32 3 5" xfId="17142" xr:uid="{00000000-0005-0000-0000-00001EB60000}"/>
    <cellStyle name="Migliaia 32 3 5 2" xfId="33258" xr:uid="{00000000-0005-0000-0000-00001FB60000}"/>
    <cellStyle name="Migliaia 32 3 5 3" xfId="48219" xr:uid="{00000000-0005-0000-0000-000020B60000}"/>
    <cellStyle name="Migliaia 32 3 5 4" xfId="54809" xr:uid="{00000000-0005-0000-0000-000021B60000}"/>
    <cellStyle name="Migliaia 32 3 6" xfId="19144" xr:uid="{00000000-0005-0000-0000-000022B60000}"/>
    <cellStyle name="Migliaia 32 3 6 2" xfId="55665" xr:uid="{00000000-0005-0000-0000-000023B60000}"/>
    <cellStyle name="Migliaia 32 3 7" xfId="34139" xr:uid="{00000000-0005-0000-0000-000024B60000}"/>
    <cellStyle name="Migliaia 32 3 8" xfId="49079" xr:uid="{00000000-0005-0000-0000-000025B60000}"/>
    <cellStyle name="Migliaia 32 3 9" xfId="49484" xr:uid="{00000000-0005-0000-0000-000026B60000}"/>
    <cellStyle name="Migliaia 32 4" xfId="9206" xr:uid="{00000000-0005-0000-0000-000027B60000}"/>
    <cellStyle name="Migliaia 32 4 2" xfId="17146" xr:uid="{00000000-0005-0000-0000-000028B60000}"/>
    <cellStyle name="Migliaia 32 4 2 2" xfId="18270" xr:uid="{00000000-0005-0000-0000-000029B60000}"/>
    <cellStyle name="Migliaia 32 4 2 2 2" xfId="33737" xr:uid="{00000000-0005-0000-0000-00002AB60000}"/>
    <cellStyle name="Migliaia 32 4 2 2 2 2" xfId="55222" xr:uid="{00000000-0005-0000-0000-00002BB60000}"/>
    <cellStyle name="Migliaia 32 4 2 2 3" xfId="48698" xr:uid="{00000000-0005-0000-0000-00002CB60000}"/>
    <cellStyle name="Migliaia 32 4 2 2 3 2" xfId="56144" xr:uid="{00000000-0005-0000-0000-00002DB60000}"/>
    <cellStyle name="Migliaia 32 4 2 2 4" xfId="52867" xr:uid="{00000000-0005-0000-0000-00002EB60000}"/>
    <cellStyle name="Migliaia 32 4 2 3" xfId="33262" xr:uid="{00000000-0005-0000-0000-00002FB60000}"/>
    <cellStyle name="Migliaia 32 4 2 3 2" xfId="54813" xr:uid="{00000000-0005-0000-0000-000030B60000}"/>
    <cellStyle name="Migliaia 32 4 2 4" xfId="48223" xr:uid="{00000000-0005-0000-0000-000031B60000}"/>
    <cellStyle name="Migliaia 32 4 2 4 2" xfId="55669" xr:uid="{00000000-0005-0000-0000-000032B60000}"/>
    <cellStyle name="Migliaia 32 4 2 5" xfId="52387" xr:uid="{00000000-0005-0000-0000-000033B60000}"/>
    <cellStyle name="Migliaia 32 4 3" xfId="18269" xr:uid="{00000000-0005-0000-0000-000034B60000}"/>
    <cellStyle name="Migliaia 32 4 3 2" xfId="33736" xr:uid="{00000000-0005-0000-0000-000035B60000}"/>
    <cellStyle name="Migliaia 32 4 3 2 2" xfId="55221" xr:uid="{00000000-0005-0000-0000-000036B60000}"/>
    <cellStyle name="Migliaia 32 4 3 3" xfId="48697" xr:uid="{00000000-0005-0000-0000-000037B60000}"/>
    <cellStyle name="Migliaia 32 4 3 3 2" xfId="56143" xr:uid="{00000000-0005-0000-0000-000038B60000}"/>
    <cellStyle name="Migliaia 32 4 3 4" xfId="52866" xr:uid="{00000000-0005-0000-0000-000039B60000}"/>
    <cellStyle name="Migliaia 32 4 4" xfId="17145" xr:uid="{00000000-0005-0000-0000-00003AB60000}"/>
    <cellStyle name="Migliaia 32 4 4 2" xfId="33261" xr:uid="{00000000-0005-0000-0000-00003BB60000}"/>
    <cellStyle name="Migliaia 32 4 4 3" xfId="48222" xr:uid="{00000000-0005-0000-0000-00003CB60000}"/>
    <cellStyle name="Migliaia 32 4 4 4" xfId="54812" xr:uid="{00000000-0005-0000-0000-00003DB60000}"/>
    <cellStyle name="Migliaia 32 4 5" xfId="51217" xr:uid="{00000000-0005-0000-0000-00003EB60000}"/>
    <cellStyle name="Migliaia 32 4 5 2" xfId="55668" xr:uid="{00000000-0005-0000-0000-00003FB60000}"/>
    <cellStyle name="Migliaia 32 4 6" xfId="52386" xr:uid="{00000000-0005-0000-0000-000040B60000}"/>
    <cellStyle name="Migliaia 32 5" xfId="9207" xr:uid="{00000000-0005-0000-0000-000041B60000}"/>
    <cellStyle name="Migliaia 32 5 2" xfId="17147" xr:uid="{00000000-0005-0000-0000-000042B60000}"/>
    <cellStyle name="Migliaia 32 5 2 2" xfId="33263" xr:uid="{00000000-0005-0000-0000-000043B60000}"/>
    <cellStyle name="Migliaia 32 5 2 3" xfId="48224" xr:uid="{00000000-0005-0000-0000-000044B60000}"/>
    <cellStyle name="Migliaia 32 5 2 4" xfId="54814" xr:uid="{00000000-0005-0000-0000-000045B60000}"/>
    <cellStyle name="Migliaia 32 5 3" xfId="50980" xr:uid="{00000000-0005-0000-0000-000046B60000}"/>
    <cellStyle name="Migliaia 32 5 3 2" xfId="55670" xr:uid="{00000000-0005-0000-0000-000047B60000}"/>
    <cellStyle name="Migliaia 32 5 4" xfId="52388" xr:uid="{00000000-0005-0000-0000-000048B60000}"/>
    <cellStyle name="Migliaia 32 6" xfId="9202" xr:uid="{00000000-0005-0000-0000-000049B60000}"/>
    <cellStyle name="Migliaia 32 6 2" xfId="50914" xr:uid="{00000000-0005-0000-0000-00004AB60000}"/>
    <cellStyle name="Migliaia 32 6 3" xfId="54552" xr:uid="{00000000-0005-0000-0000-00004BB60000}"/>
    <cellStyle name="Migliaia 32 7" xfId="9835" xr:uid="{00000000-0005-0000-0000-00004CB60000}"/>
    <cellStyle name="Migliaia 32 7 2" xfId="26161" xr:uid="{00000000-0005-0000-0000-00004DB60000}"/>
    <cellStyle name="Migliaia 32 7 3" xfId="41139" xr:uid="{00000000-0005-0000-0000-00004EB60000}"/>
    <cellStyle name="Migliaia 32 7 4" xfId="55663" xr:uid="{00000000-0005-0000-0000-00004FB60000}"/>
    <cellStyle name="Migliaia 32 8" xfId="17140" xr:uid="{00000000-0005-0000-0000-000050B60000}"/>
    <cellStyle name="Migliaia 32 8 2" xfId="33256" xr:uid="{00000000-0005-0000-0000-000051B60000}"/>
    <cellStyle name="Migliaia 32 8 3" xfId="48217" xr:uid="{00000000-0005-0000-0000-000052B60000}"/>
    <cellStyle name="Migliaia 32 9" xfId="19142" xr:uid="{00000000-0005-0000-0000-000053B60000}"/>
    <cellStyle name="Migliaia 33" xfId="389" xr:uid="{00000000-0005-0000-0000-000054B60000}"/>
    <cellStyle name="Migliaia 33 10" xfId="34141" xr:uid="{00000000-0005-0000-0000-000055B60000}"/>
    <cellStyle name="Migliaia 33 11" xfId="49081" xr:uid="{00000000-0005-0000-0000-000056B60000}"/>
    <cellStyle name="Migliaia 33 12" xfId="49486" xr:uid="{00000000-0005-0000-0000-000057B60000}"/>
    <cellStyle name="Migliaia 33 13" xfId="49892" xr:uid="{00000000-0005-0000-0000-000058B60000}"/>
    <cellStyle name="Migliaia 33 14" xfId="50300" xr:uid="{00000000-0005-0000-0000-000059B60000}"/>
    <cellStyle name="Migliaia 33 15" xfId="50742" xr:uid="{00000000-0005-0000-0000-00005AB60000}"/>
    <cellStyle name="Migliaia 33 16" xfId="51461" xr:uid="{00000000-0005-0000-0000-00005BB60000}"/>
    <cellStyle name="Migliaia 33 17" xfId="51874" xr:uid="{00000000-0005-0000-0000-00005CB60000}"/>
    <cellStyle name="Migliaia 33 18" xfId="52389" xr:uid="{00000000-0005-0000-0000-00005DB60000}"/>
    <cellStyle name="Migliaia 33 2" xfId="390" xr:uid="{00000000-0005-0000-0000-00005EB60000}"/>
    <cellStyle name="Migliaia 33 2 10" xfId="49893" xr:uid="{00000000-0005-0000-0000-00005FB60000}"/>
    <cellStyle name="Migliaia 33 2 11" xfId="50301" xr:uid="{00000000-0005-0000-0000-000060B60000}"/>
    <cellStyle name="Migliaia 33 2 12" xfId="50743" xr:uid="{00000000-0005-0000-0000-000061B60000}"/>
    <cellStyle name="Migliaia 33 2 13" xfId="51462" xr:uid="{00000000-0005-0000-0000-000062B60000}"/>
    <cellStyle name="Migliaia 33 2 14" xfId="51875" xr:uid="{00000000-0005-0000-0000-000063B60000}"/>
    <cellStyle name="Migliaia 33 2 15" xfId="52390" xr:uid="{00000000-0005-0000-0000-000064B60000}"/>
    <cellStyle name="Migliaia 33 2 2" xfId="1269" xr:uid="{00000000-0005-0000-0000-000065B60000}"/>
    <cellStyle name="Migliaia 33 2 2 10" xfId="51063" xr:uid="{00000000-0005-0000-0000-000066B60000}"/>
    <cellStyle name="Migliaia 33 2 2 11" xfId="51659" xr:uid="{00000000-0005-0000-0000-000067B60000}"/>
    <cellStyle name="Migliaia 33 2 2 12" xfId="52080" xr:uid="{00000000-0005-0000-0000-000068B60000}"/>
    <cellStyle name="Migliaia 33 2 2 13" xfId="52868" xr:uid="{00000000-0005-0000-0000-000069B60000}"/>
    <cellStyle name="Migliaia 33 2 2 2" xfId="10037" xr:uid="{00000000-0005-0000-0000-00006AB60000}"/>
    <cellStyle name="Migliaia 33 2 2 2 2" xfId="26358" xr:uid="{00000000-0005-0000-0000-00006BB60000}"/>
    <cellStyle name="Migliaia 33 2 2 2 3" xfId="41326" xr:uid="{00000000-0005-0000-0000-00006CB60000}"/>
    <cellStyle name="Migliaia 33 2 2 2 4" xfId="55223" xr:uid="{00000000-0005-0000-0000-00006DB60000}"/>
    <cellStyle name="Migliaia 33 2 2 3" xfId="18271" xr:uid="{00000000-0005-0000-0000-00006EB60000}"/>
    <cellStyle name="Migliaia 33 2 2 3 2" xfId="33738" xr:uid="{00000000-0005-0000-0000-00006FB60000}"/>
    <cellStyle name="Migliaia 33 2 2 3 3" xfId="48699" xr:uid="{00000000-0005-0000-0000-000070B60000}"/>
    <cellStyle name="Migliaia 33 2 2 3 4" xfId="56145" xr:uid="{00000000-0005-0000-0000-000071B60000}"/>
    <cellStyle name="Migliaia 33 2 2 4" xfId="19337" xr:uid="{00000000-0005-0000-0000-000072B60000}"/>
    <cellStyle name="Migliaia 33 2 2 5" xfId="34327" xr:uid="{00000000-0005-0000-0000-000073B60000}"/>
    <cellStyle name="Migliaia 33 2 2 6" xfId="49279" xr:uid="{00000000-0005-0000-0000-000074B60000}"/>
    <cellStyle name="Migliaia 33 2 2 7" xfId="49684" xr:uid="{00000000-0005-0000-0000-000075B60000}"/>
    <cellStyle name="Migliaia 33 2 2 8" xfId="50093" xr:uid="{00000000-0005-0000-0000-000076B60000}"/>
    <cellStyle name="Migliaia 33 2 2 9" xfId="50498" xr:uid="{00000000-0005-0000-0000-000077B60000}"/>
    <cellStyle name="Migliaia 33 2 3" xfId="9209" xr:uid="{00000000-0005-0000-0000-000078B60000}"/>
    <cellStyle name="Migliaia 33 2 3 2" xfId="54617" xr:uid="{00000000-0005-0000-0000-000079B60000}"/>
    <cellStyle name="Migliaia 33 2 4" xfId="9840" xr:uid="{00000000-0005-0000-0000-00007AB60000}"/>
    <cellStyle name="Migliaia 33 2 4 2" xfId="26166" xr:uid="{00000000-0005-0000-0000-00007BB60000}"/>
    <cellStyle name="Migliaia 33 2 4 3" xfId="41144" xr:uid="{00000000-0005-0000-0000-00007CB60000}"/>
    <cellStyle name="Migliaia 33 2 4 4" xfId="55672" xr:uid="{00000000-0005-0000-0000-00007DB60000}"/>
    <cellStyle name="Migliaia 33 2 5" xfId="17149" xr:uid="{00000000-0005-0000-0000-00007EB60000}"/>
    <cellStyle name="Migliaia 33 2 5 2" xfId="33265" xr:uid="{00000000-0005-0000-0000-00007FB60000}"/>
    <cellStyle name="Migliaia 33 2 5 3" xfId="48226" xr:uid="{00000000-0005-0000-0000-000080B60000}"/>
    <cellStyle name="Migliaia 33 2 6" xfId="19147" xr:uid="{00000000-0005-0000-0000-000081B60000}"/>
    <cellStyle name="Migliaia 33 2 7" xfId="34142" xr:uid="{00000000-0005-0000-0000-000082B60000}"/>
    <cellStyle name="Migliaia 33 2 8" xfId="49082" xr:uid="{00000000-0005-0000-0000-000083B60000}"/>
    <cellStyle name="Migliaia 33 2 9" xfId="49487" xr:uid="{00000000-0005-0000-0000-000084B60000}"/>
    <cellStyle name="Migliaia 33 3" xfId="391" xr:uid="{00000000-0005-0000-0000-000085B60000}"/>
    <cellStyle name="Migliaia 33 3 10" xfId="49894" xr:uid="{00000000-0005-0000-0000-000086B60000}"/>
    <cellStyle name="Migliaia 33 3 11" xfId="50302" xr:uid="{00000000-0005-0000-0000-000087B60000}"/>
    <cellStyle name="Migliaia 33 3 12" xfId="50744" xr:uid="{00000000-0005-0000-0000-000088B60000}"/>
    <cellStyle name="Migliaia 33 3 13" xfId="51463" xr:uid="{00000000-0005-0000-0000-000089B60000}"/>
    <cellStyle name="Migliaia 33 3 14" xfId="51876" xr:uid="{00000000-0005-0000-0000-00008AB60000}"/>
    <cellStyle name="Migliaia 33 3 15" xfId="52391" xr:uid="{00000000-0005-0000-0000-00008BB60000}"/>
    <cellStyle name="Migliaia 33 3 2" xfId="392" xr:uid="{00000000-0005-0000-0000-00008CB60000}"/>
    <cellStyle name="Migliaia 33 3 2 10" xfId="50303" xr:uid="{00000000-0005-0000-0000-00008DB60000}"/>
    <cellStyle name="Migliaia 33 3 2 11" xfId="50745" xr:uid="{00000000-0005-0000-0000-00008EB60000}"/>
    <cellStyle name="Migliaia 33 3 2 12" xfId="51464" xr:uid="{00000000-0005-0000-0000-00008FB60000}"/>
    <cellStyle name="Migliaia 33 3 2 13" xfId="51877" xr:uid="{00000000-0005-0000-0000-000090B60000}"/>
    <cellStyle name="Migliaia 33 3 2 14" xfId="52392" xr:uid="{00000000-0005-0000-0000-000091B60000}"/>
    <cellStyle name="Migliaia 33 3 2 2" xfId="9211" xr:uid="{00000000-0005-0000-0000-000092B60000}"/>
    <cellStyle name="Migliaia 33 3 2 2 2" xfId="54816" xr:uid="{00000000-0005-0000-0000-000093B60000}"/>
    <cellStyle name="Migliaia 33 3 2 3" xfId="9842" xr:uid="{00000000-0005-0000-0000-000094B60000}"/>
    <cellStyle name="Migliaia 33 3 2 3 2" xfId="26168" xr:uid="{00000000-0005-0000-0000-000095B60000}"/>
    <cellStyle name="Migliaia 33 3 2 3 3" xfId="41146" xr:uid="{00000000-0005-0000-0000-000096B60000}"/>
    <cellStyle name="Migliaia 33 3 2 3 4" xfId="55674" xr:uid="{00000000-0005-0000-0000-000097B60000}"/>
    <cellStyle name="Migliaia 33 3 2 4" xfId="17151" xr:uid="{00000000-0005-0000-0000-000098B60000}"/>
    <cellStyle name="Migliaia 33 3 2 4 2" xfId="33267" xr:uid="{00000000-0005-0000-0000-000099B60000}"/>
    <cellStyle name="Migliaia 33 3 2 4 3" xfId="48228" xr:uid="{00000000-0005-0000-0000-00009AB60000}"/>
    <cellStyle name="Migliaia 33 3 2 5" xfId="19149" xr:uid="{00000000-0005-0000-0000-00009BB60000}"/>
    <cellStyle name="Migliaia 33 3 2 6" xfId="34144" xr:uid="{00000000-0005-0000-0000-00009CB60000}"/>
    <cellStyle name="Migliaia 33 3 2 7" xfId="49084" xr:uid="{00000000-0005-0000-0000-00009DB60000}"/>
    <cellStyle name="Migliaia 33 3 2 8" xfId="49489" xr:uid="{00000000-0005-0000-0000-00009EB60000}"/>
    <cellStyle name="Migliaia 33 3 2 9" xfId="49895" xr:uid="{00000000-0005-0000-0000-00009FB60000}"/>
    <cellStyle name="Migliaia 33 3 3" xfId="9210" xr:uid="{00000000-0005-0000-0000-0000A0B60000}"/>
    <cellStyle name="Migliaia 33 3 3 2" xfId="18273" xr:uid="{00000000-0005-0000-0000-0000A1B60000}"/>
    <cellStyle name="Migliaia 33 3 3 2 2" xfId="33740" xr:uid="{00000000-0005-0000-0000-0000A2B60000}"/>
    <cellStyle name="Migliaia 33 3 3 2 2 2" xfId="55225" xr:uid="{00000000-0005-0000-0000-0000A3B60000}"/>
    <cellStyle name="Migliaia 33 3 3 2 3" xfId="48701" xr:uid="{00000000-0005-0000-0000-0000A4B60000}"/>
    <cellStyle name="Migliaia 33 3 3 2 3 2" xfId="56147" xr:uid="{00000000-0005-0000-0000-0000A5B60000}"/>
    <cellStyle name="Migliaia 33 3 3 2 4" xfId="52870" xr:uid="{00000000-0005-0000-0000-0000A6B60000}"/>
    <cellStyle name="Migliaia 33 3 3 3" xfId="17152" xr:uid="{00000000-0005-0000-0000-0000A7B60000}"/>
    <cellStyle name="Migliaia 33 3 3 3 2" xfId="33268" xr:uid="{00000000-0005-0000-0000-0000A8B60000}"/>
    <cellStyle name="Migliaia 33 3 3 3 3" xfId="48229" xr:uid="{00000000-0005-0000-0000-0000A9B60000}"/>
    <cellStyle name="Migliaia 33 3 3 3 4" xfId="54817" xr:uid="{00000000-0005-0000-0000-0000AAB60000}"/>
    <cellStyle name="Migliaia 33 3 3 4" xfId="55675" xr:uid="{00000000-0005-0000-0000-0000ABB60000}"/>
    <cellStyle name="Migliaia 33 3 3 5" xfId="52393" xr:uid="{00000000-0005-0000-0000-0000ACB60000}"/>
    <cellStyle name="Migliaia 33 3 4" xfId="9841" xr:uid="{00000000-0005-0000-0000-0000ADB60000}"/>
    <cellStyle name="Migliaia 33 3 4 2" xfId="18272" xr:uid="{00000000-0005-0000-0000-0000AEB60000}"/>
    <cellStyle name="Migliaia 33 3 4 2 2" xfId="33739" xr:uid="{00000000-0005-0000-0000-0000AFB60000}"/>
    <cellStyle name="Migliaia 33 3 4 2 3" xfId="48700" xr:uid="{00000000-0005-0000-0000-0000B0B60000}"/>
    <cellStyle name="Migliaia 33 3 4 2 4" xfId="55224" xr:uid="{00000000-0005-0000-0000-0000B1B60000}"/>
    <cellStyle name="Migliaia 33 3 4 3" xfId="26167" xr:uid="{00000000-0005-0000-0000-0000B2B60000}"/>
    <cellStyle name="Migliaia 33 3 4 3 2" xfId="56146" xr:uid="{00000000-0005-0000-0000-0000B3B60000}"/>
    <cellStyle name="Migliaia 33 3 4 4" xfId="41145" xr:uid="{00000000-0005-0000-0000-0000B4B60000}"/>
    <cellStyle name="Migliaia 33 3 4 5" xfId="52869" xr:uid="{00000000-0005-0000-0000-0000B5B60000}"/>
    <cellStyle name="Migliaia 33 3 5" xfId="17150" xr:uid="{00000000-0005-0000-0000-0000B6B60000}"/>
    <cellStyle name="Migliaia 33 3 5 2" xfId="33266" xr:uid="{00000000-0005-0000-0000-0000B7B60000}"/>
    <cellStyle name="Migliaia 33 3 5 3" xfId="48227" xr:uid="{00000000-0005-0000-0000-0000B8B60000}"/>
    <cellStyle name="Migliaia 33 3 5 4" xfId="54815" xr:uid="{00000000-0005-0000-0000-0000B9B60000}"/>
    <cellStyle name="Migliaia 33 3 6" xfId="19148" xr:uid="{00000000-0005-0000-0000-0000BAB60000}"/>
    <cellStyle name="Migliaia 33 3 6 2" xfId="55673" xr:uid="{00000000-0005-0000-0000-0000BBB60000}"/>
    <cellStyle name="Migliaia 33 3 7" xfId="34143" xr:uid="{00000000-0005-0000-0000-0000BCB60000}"/>
    <cellStyle name="Migliaia 33 3 8" xfId="49083" xr:uid="{00000000-0005-0000-0000-0000BDB60000}"/>
    <cellStyle name="Migliaia 33 3 9" xfId="49488" xr:uid="{00000000-0005-0000-0000-0000BEB60000}"/>
    <cellStyle name="Migliaia 33 4" xfId="9212" xr:uid="{00000000-0005-0000-0000-0000BFB60000}"/>
    <cellStyle name="Migliaia 33 4 2" xfId="17154" xr:uid="{00000000-0005-0000-0000-0000C0B60000}"/>
    <cellStyle name="Migliaia 33 4 2 2" xfId="18275" xr:uid="{00000000-0005-0000-0000-0000C1B60000}"/>
    <cellStyle name="Migliaia 33 4 2 2 2" xfId="33742" xr:uid="{00000000-0005-0000-0000-0000C2B60000}"/>
    <cellStyle name="Migliaia 33 4 2 2 2 2" xfId="55227" xr:uid="{00000000-0005-0000-0000-0000C3B60000}"/>
    <cellStyle name="Migliaia 33 4 2 2 3" xfId="48703" xr:uid="{00000000-0005-0000-0000-0000C4B60000}"/>
    <cellStyle name="Migliaia 33 4 2 2 3 2" xfId="56149" xr:uid="{00000000-0005-0000-0000-0000C5B60000}"/>
    <cellStyle name="Migliaia 33 4 2 2 4" xfId="52872" xr:uid="{00000000-0005-0000-0000-0000C6B60000}"/>
    <cellStyle name="Migliaia 33 4 2 3" xfId="33270" xr:uid="{00000000-0005-0000-0000-0000C7B60000}"/>
    <cellStyle name="Migliaia 33 4 2 3 2" xfId="54819" xr:uid="{00000000-0005-0000-0000-0000C8B60000}"/>
    <cellStyle name="Migliaia 33 4 2 4" xfId="48231" xr:uid="{00000000-0005-0000-0000-0000C9B60000}"/>
    <cellStyle name="Migliaia 33 4 2 4 2" xfId="55677" xr:uid="{00000000-0005-0000-0000-0000CAB60000}"/>
    <cellStyle name="Migliaia 33 4 2 5" xfId="52395" xr:uid="{00000000-0005-0000-0000-0000CBB60000}"/>
    <cellStyle name="Migliaia 33 4 3" xfId="18274" xr:uid="{00000000-0005-0000-0000-0000CCB60000}"/>
    <cellStyle name="Migliaia 33 4 3 2" xfId="33741" xr:uid="{00000000-0005-0000-0000-0000CDB60000}"/>
    <cellStyle name="Migliaia 33 4 3 2 2" xfId="55226" xr:uid="{00000000-0005-0000-0000-0000CEB60000}"/>
    <cellStyle name="Migliaia 33 4 3 3" xfId="48702" xr:uid="{00000000-0005-0000-0000-0000CFB60000}"/>
    <cellStyle name="Migliaia 33 4 3 3 2" xfId="56148" xr:uid="{00000000-0005-0000-0000-0000D0B60000}"/>
    <cellStyle name="Migliaia 33 4 3 4" xfId="52871" xr:uid="{00000000-0005-0000-0000-0000D1B60000}"/>
    <cellStyle name="Migliaia 33 4 4" xfId="17153" xr:uid="{00000000-0005-0000-0000-0000D2B60000}"/>
    <cellStyle name="Migliaia 33 4 4 2" xfId="33269" xr:uid="{00000000-0005-0000-0000-0000D3B60000}"/>
    <cellStyle name="Migliaia 33 4 4 3" xfId="48230" xr:uid="{00000000-0005-0000-0000-0000D4B60000}"/>
    <cellStyle name="Migliaia 33 4 4 4" xfId="54818" xr:uid="{00000000-0005-0000-0000-0000D5B60000}"/>
    <cellStyle name="Migliaia 33 4 5" xfId="50979" xr:uid="{00000000-0005-0000-0000-0000D6B60000}"/>
    <cellStyle name="Migliaia 33 4 5 2" xfId="55676" xr:uid="{00000000-0005-0000-0000-0000D7B60000}"/>
    <cellStyle name="Migliaia 33 4 6" xfId="52394" xr:uid="{00000000-0005-0000-0000-0000D8B60000}"/>
    <cellStyle name="Migliaia 33 5" xfId="9213" xr:uid="{00000000-0005-0000-0000-0000D9B60000}"/>
    <cellStyle name="Migliaia 33 5 2" xfId="17155" xr:uid="{00000000-0005-0000-0000-0000DAB60000}"/>
    <cellStyle name="Migliaia 33 5 2 2" xfId="33271" xr:uid="{00000000-0005-0000-0000-0000DBB60000}"/>
    <cellStyle name="Migliaia 33 5 2 3" xfId="48232" xr:uid="{00000000-0005-0000-0000-0000DCB60000}"/>
    <cellStyle name="Migliaia 33 5 2 4" xfId="54820" xr:uid="{00000000-0005-0000-0000-0000DDB60000}"/>
    <cellStyle name="Migliaia 33 5 3" xfId="51218" xr:uid="{00000000-0005-0000-0000-0000DEB60000}"/>
    <cellStyle name="Migliaia 33 5 3 2" xfId="55678" xr:uid="{00000000-0005-0000-0000-0000DFB60000}"/>
    <cellStyle name="Migliaia 33 5 4" xfId="52396" xr:uid="{00000000-0005-0000-0000-0000E0B60000}"/>
    <cellStyle name="Migliaia 33 6" xfId="9208" xr:uid="{00000000-0005-0000-0000-0000E1B60000}"/>
    <cellStyle name="Migliaia 33 6 2" xfId="51182" xr:uid="{00000000-0005-0000-0000-0000E2B60000}"/>
    <cellStyle name="Migliaia 33 6 3" xfId="54553" xr:uid="{00000000-0005-0000-0000-0000E3B60000}"/>
    <cellStyle name="Migliaia 33 7" xfId="9839" xr:uid="{00000000-0005-0000-0000-0000E4B60000}"/>
    <cellStyle name="Migliaia 33 7 2" xfId="26165" xr:uid="{00000000-0005-0000-0000-0000E5B60000}"/>
    <cellStyle name="Migliaia 33 7 3" xfId="41143" xr:uid="{00000000-0005-0000-0000-0000E6B60000}"/>
    <cellStyle name="Migliaia 33 7 4" xfId="55671" xr:uid="{00000000-0005-0000-0000-0000E7B60000}"/>
    <cellStyle name="Migliaia 33 8" xfId="17148" xr:uid="{00000000-0005-0000-0000-0000E8B60000}"/>
    <cellStyle name="Migliaia 33 8 2" xfId="33264" xr:uid="{00000000-0005-0000-0000-0000E9B60000}"/>
    <cellStyle name="Migliaia 33 8 3" xfId="48225" xr:uid="{00000000-0005-0000-0000-0000EAB60000}"/>
    <cellStyle name="Migliaia 33 9" xfId="19146" xr:uid="{00000000-0005-0000-0000-0000EBB60000}"/>
    <cellStyle name="Migliaia 34" xfId="393" xr:uid="{00000000-0005-0000-0000-0000ECB60000}"/>
    <cellStyle name="Migliaia 34 10" xfId="34145" xr:uid="{00000000-0005-0000-0000-0000EDB60000}"/>
    <cellStyle name="Migliaia 34 11" xfId="49085" xr:uid="{00000000-0005-0000-0000-0000EEB60000}"/>
    <cellStyle name="Migliaia 34 12" xfId="49490" xr:uid="{00000000-0005-0000-0000-0000EFB60000}"/>
    <cellStyle name="Migliaia 34 13" xfId="49896" xr:uid="{00000000-0005-0000-0000-0000F0B60000}"/>
    <cellStyle name="Migliaia 34 14" xfId="50304" xr:uid="{00000000-0005-0000-0000-0000F1B60000}"/>
    <cellStyle name="Migliaia 34 15" xfId="50746" xr:uid="{00000000-0005-0000-0000-0000F2B60000}"/>
    <cellStyle name="Migliaia 34 16" xfId="51465" xr:uid="{00000000-0005-0000-0000-0000F3B60000}"/>
    <cellStyle name="Migliaia 34 17" xfId="51878" xr:uid="{00000000-0005-0000-0000-0000F4B60000}"/>
    <cellStyle name="Migliaia 34 18" xfId="52397" xr:uid="{00000000-0005-0000-0000-0000F5B60000}"/>
    <cellStyle name="Migliaia 34 2" xfId="394" xr:uid="{00000000-0005-0000-0000-0000F6B60000}"/>
    <cellStyle name="Migliaia 34 2 10" xfId="49897" xr:uid="{00000000-0005-0000-0000-0000F7B60000}"/>
    <cellStyle name="Migliaia 34 2 11" xfId="50305" xr:uid="{00000000-0005-0000-0000-0000F8B60000}"/>
    <cellStyle name="Migliaia 34 2 12" xfId="50747" xr:uid="{00000000-0005-0000-0000-0000F9B60000}"/>
    <cellStyle name="Migliaia 34 2 13" xfId="51466" xr:uid="{00000000-0005-0000-0000-0000FAB60000}"/>
    <cellStyle name="Migliaia 34 2 14" xfId="51879" xr:uid="{00000000-0005-0000-0000-0000FBB60000}"/>
    <cellStyle name="Migliaia 34 2 15" xfId="52398" xr:uid="{00000000-0005-0000-0000-0000FCB60000}"/>
    <cellStyle name="Migliaia 34 2 2" xfId="1270" xr:uid="{00000000-0005-0000-0000-0000FDB60000}"/>
    <cellStyle name="Migliaia 34 2 2 10" xfId="51064" xr:uid="{00000000-0005-0000-0000-0000FEB60000}"/>
    <cellStyle name="Migliaia 34 2 2 11" xfId="51660" xr:uid="{00000000-0005-0000-0000-0000FFB60000}"/>
    <cellStyle name="Migliaia 34 2 2 12" xfId="52081" xr:uid="{00000000-0005-0000-0000-000000B70000}"/>
    <cellStyle name="Migliaia 34 2 2 13" xfId="52873" xr:uid="{00000000-0005-0000-0000-000001B70000}"/>
    <cellStyle name="Migliaia 34 2 2 2" xfId="10038" xr:uid="{00000000-0005-0000-0000-000002B70000}"/>
    <cellStyle name="Migliaia 34 2 2 2 2" xfId="26359" xr:uid="{00000000-0005-0000-0000-000003B70000}"/>
    <cellStyle name="Migliaia 34 2 2 2 3" xfId="41327" xr:uid="{00000000-0005-0000-0000-000004B70000}"/>
    <cellStyle name="Migliaia 34 2 2 2 4" xfId="55228" xr:uid="{00000000-0005-0000-0000-000005B70000}"/>
    <cellStyle name="Migliaia 34 2 2 3" xfId="18276" xr:uid="{00000000-0005-0000-0000-000006B70000}"/>
    <cellStyle name="Migliaia 34 2 2 3 2" xfId="33743" xr:uid="{00000000-0005-0000-0000-000007B70000}"/>
    <cellStyle name="Migliaia 34 2 2 3 3" xfId="48704" xr:uid="{00000000-0005-0000-0000-000008B70000}"/>
    <cellStyle name="Migliaia 34 2 2 3 4" xfId="56150" xr:uid="{00000000-0005-0000-0000-000009B70000}"/>
    <cellStyle name="Migliaia 34 2 2 4" xfId="19338" xr:uid="{00000000-0005-0000-0000-00000AB70000}"/>
    <cellStyle name="Migliaia 34 2 2 5" xfId="34328" xr:uid="{00000000-0005-0000-0000-00000BB70000}"/>
    <cellStyle name="Migliaia 34 2 2 6" xfId="49280" xr:uid="{00000000-0005-0000-0000-00000CB70000}"/>
    <cellStyle name="Migliaia 34 2 2 7" xfId="49685" xr:uid="{00000000-0005-0000-0000-00000DB70000}"/>
    <cellStyle name="Migliaia 34 2 2 8" xfId="50094" xr:uid="{00000000-0005-0000-0000-00000EB70000}"/>
    <cellStyle name="Migliaia 34 2 2 9" xfId="50499" xr:uid="{00000000-0005-0000-0000-00000FB70000}"/>
    <cellStyle name="Migliaia 34 2 3" xfId="9215" xr:uid="{00000000-0005-0000-0000-000010B70000}"/>
    <cellStyle name="Migliaia 34 2 3 2" xfId="54618" xr:uid="{00000000-0005-0000-0000-000011B70000}"/>
    <cellStyle name="Migliaia 34 2 4" xfId="9844" xr:uid="{00000000-0005-0000-0000-000012B70000}"/>
    <cellStyle name="Migliaia 34 2 4 2" xfId="26170" xr:uid="{00000000-0005-0000-0000-000013B70000}"/>
    <cellStyle name="Migliaia 34 2 4 3" xfId="41148" xr:uid="{00000000-0005-0000-0000-000014B70000}"/>
    <cellStyle name="Migliaia 34 2 4 4" xfId="55680" xr:uid="{00000000-0005-0000-0000-000015B70000}"/>
    <cellStyle name="Migliaia 34 2 5" xfId="17157" xr:uid="{00000000-0005-0000-0000-000016B70000}"/>
    <cellStyle name="Migliaia 34 2 5 2" xfId="33273" xr:uid="{00000000-0005-0000-0000-000017B70000}"/>
    <cellStyle name="Migliaia 34 2 5 3" xfId="48234" xr:uid="{00000000-0005-0000-0000-000018B70000}"/>
    <cellStyle name="Migliaia 34 2 6" xfId="19151" xr:uid="{00000000-0005-0000-0000-000019B70000}"/>
    <cellStyle name="Migliaia 34 2 7" xfId="34146" xr:uid="{00000000-0005-0000-0000-00001AB70000}"/>
    <cellStyle name="Migliaia 34 2 8" xfId="49086" xr:uid="{00000000-0005-0000-0000-00001BB70000}"/>
    <cellStyle name="Migliaia 34 2 9" xfId="49491" xr:uid="{00000000-0005-0000-0000-00001CB70000}"/>
    <cellStyle name="Migliaia 34 3" xfId="395" xr:uid="{00000000-0005-0000-0000-00001DB70000}"/>
    <cellStyle name="Migliaia 34 3 10" xfId="49898" xr:uid="{00000000-0005-0000-0000-00001EB70000}"/>
    <cellStyle name="Migliaia 34 3 11" xfId="50306" xr:uid="{00000000-0005-0000-0000-00001FB70000}"/>
    <cellStyle name="Migliaia 34 3 12" xfId="50748" xr:uid="{00000000-0005-0000-0000-000020B70000}"/>
    <cellStyle name="Migliaia 34 3 13" xfId="51467" xr:uid="{00000000-0005-0000-0000-000021B70000}"/>
    <cellStyle name="Migliaia 34 3 14" xfId="51880" xr:uid="{00000000-0005-0000-0000-000022B70000}"/>
    <cellStyle name="Migliaia 34 3 15" xfId="52399" xr:uid="{00000000-0005-0000-0000-000023B70000}"/>
    <cellStyle name="Migliaia 34 3 2" xfId="396" xr:uid="{00000000-0005-0000-0000-000024B70000}"/>
    <cellStyle name="Migliaia 34 3 2 10" xfId="50307" xr:uid="{00000000-0005-0000-0000-000025B70000}"/>
    <cellStyle name="Migliaia 34 3 2 11" xfId="50749" xr:uid="{00000000-0005-0000-0000-000026B70000}"/>
    <cellStyle name="Migliaia 34 3 2 12" xfId="51468" xr:uid="{00000000-0005-0000-0000-000027B70000}"/>
    <cellStyle name="Migliaia 34 3 2 13" xfId="51881" xr:uid="{00000000-0005-0000-0000-000028B70000}"/>
    <cellStyle name="Migliaia 34 3 2 14" xfId="52400" xr:uid="{00000000-0005-0000-0000-000029B70000}"/>
    <cellStyle name="Migliaia 34 3 2 2" xfId="9217" xr:uid="{00000000-0005-0000-0000-00002AB70000}"/>
    <cellStyle name="Migliaia 34 3 2 2 2" xfId="54822" xr:uid="{00000000-0005-0000-0000-00002BB70000}"/>
    <cellStyle name="Migliaia 34 3 2 3" xfId="9846" xr:uid="{00000000-0005-0000-0000-00002CB70000}"/>
    <cellStyle name="Migliaia 34 3 2 3 2" xfId="26172" xr:uid="{00000000-0005-0000-0000-00002DB70000}"/>
    <cellStyle name="Migliaia 34 3 2 3 3" xfId="41150" xr:uid="{00000000-0005-0000-0000-00002EB70000}"/>
    <cellStyle name="Migliaia 34 3 2 3 4" xfId="55682" xr:uid="{00000000-0005-0000-0000-00002FB70000}"/>
    <cellStyle name="Migliaia 34 3 2 4" xfId="17159" xr:uid="{00000000-0005-0000-0000-000030B70000}"/>
    <cellStyle name="Migliaia 34 3 2 4 2" xfId="33275" xr:uid="{00000000-0005-0000-0000-000031B70000}"/>
    <cellStyle name="Migliaia 34 3 2 4 3" xfId="48236" xr:uid="{00000000-0005-0000-0000-000032B70000}"/>
    <cellStyle name="Migliaia 34 3 2 5" xfId="19153" xr:uid="{00000000-0005-0000-0000-000033B70000}"/>
    <cellStyle name="Migliaia 34 3 2 6" xfId="34148" xr:uid="{00000000-0005-0000-0000-000034B70000}"/>
    <cellStyle name="Migliaia 34 3 2 7" xfId="49088" xr:uid="{00000000-0005-0000-0000-000035B70000}"/>
    <cellStyle name="Migliaia 34 3 2 8" xfId="49493" xr:uid="{00000000-0005-0000-0000-000036B70000}"/>
    <cellStyle name="Migliaia 34 3 2 9" xfId="49899" xr:uid="{00000000-0005-0000-0000-000037B70000}"/>
    <cellStyle name="Migliaia 34 3 3" xfId="9216" xr:uid="{00000000-0005-0000-0000-000038B70000}"/>
    <cellStyle name="Migliaia 34 3 3 2" xfId="18278" xr:uid="{00000000-0005-0000-0000-000039B70000}"/>
    <cellStyle name="Migliaia 34 3 3 2 2" xfId="33745" xr:uid="{00000000-0005-0000-0000-00003AB70000}"/>
    <cellStyle name="Migliaia 34 3 3 2 2 2" xfId="55230" xr:uid="{00000000-0005-0000-0000-00003BB70000}"/>
    <cellStyle name="Migliaia 34 3 3 2 3" xfId="48706" xr:uid="{00000000-0005-0000-0000-00003CB70000}"/>
    <cellStyle name="Migliaia 34 3 3 2 3 2" xfId="56152" xr:uid="{00000000-0005-0000-0000-00003DB70000}"/>
    <cellStyle name="Migliaia 34 3 3 2 4" xfId="52875" xr:uid="{00000000-0005-0000-0000-00003EB70000}"/>
    <cellStyle name="Migliaia 34 3 3 3" xfId="17160" xr:uid="{00000000-0005-0000-0000-00003FB70000}"/>
    <cellStyle name="Migliaia 34 3 3 3 2" xfId="33276" xr:uid="{00000000-0005-0000-0000-000040B70000}"/>
    <cellStyle name="Migliaia 34 3 3 3 3" xfId="48237" xr:uid="{00000000-0005-0000-0000-000041B70000}"/>
    <cellStyle name="Migliaia 34 3 3 3 4" xfId="54823" xr:uid="{00000000-0005-0000-0000-000042B70000}"/>
    <cellStyle name="Migliaia 34 3 3 4" xfId="55683" xr:uid="{00000000-0005-0000-0000-000043B70000}"/>
    <cellStyle name="Migliaia 34 3 3 5" xfId="52401" xr:uid="{00000000-0005-0000-0000-000044B70000}"/>
    <cellStyle name="Migliaia 34 3 4" xfId="9845" xr:uid="{00000000-0005-0000-0000-000045B70000}"/>
    <cellStyle name="Migliaia 34 3 4 2" xfId="18277" xr:uid="{00000000-0005-0000-0000-000046B70000}"/>
    <cellStyle name="Migliaia 34 3 4 2 2" xfId="33744" xr:uid="{00000000-0005-0000-0000-000047B70000}"/>
    <cellStyle name="Migliaia 34 3 4 2 3" xfId="48705" xr:uid="{00000000-0005-0000-0000-000048B70000}"/>
    <cellStyle name="Migliaia 34 3 4 2 4" xfId="55229" xr:uid="{00000000-0005-0000-0000-000049B70000}"/>
    <cellStyle name="Migliaia 34 3 4 3" xfId="26171" xr:uid="{00000000-0005-0000-0000-00004AB70000}"/>
    <cellStyle name="Migliaia 34 3 4 3 2" xfId="56151" xr:uid="{00000000-0005-0000-0000-00004BB70000}"/>
    <cellStyle name="Migliaia 34 3 4 4" xfId="41149" xr:uid="{00000000-0005-0000-0000-00004CB70000}"/>
    <cellStyle name="Migliaia 34 3 4 5" xfId="52874" xr:uid="{00000000-0005-0000-0000-00004DB70000}"/>
    <cellStyle name="Migliaia 34 3 5" xfId="17158" xr:uid="{00000000-0005-0000-0000-00004EB70000}"/>
    <cellStyle name="Migliaia 34 3 5 2" xfId="33274" xr:uid="{00000000-0005-0000-0000-00004FB70000}"/>
    <cellStyle name="Migliaia 34 3 5 3" xfId="48235" xr:uid="{00000000-0005-0000-0000-000050B70000}"/>
    <cellStyle name="Migliaia 34 3 5 4" xfId="54821" xr:uid="{00000000-0005-0000-0000-000051B70000}"/>
    <cellStyle name="Migliaia 34 3 6" xfId="19152" xr:uid="{00000000-0005-0000-0000-000052B70000}"/>
    <cellStyle name="Migliaia 34 3 6 2" xfId="55681" xr:uid="{00000000-0005-0000-0000-000053B70000}"/>
    <cellStyle name="Migliaia 34 3 7" xfId="34147" xr:uid="{00000000-0005-0000-0000-000054B70000}"/>
    <cellStyle name="Migliaia 34 3 8" xfId="49087" xr:uid="{00000000-0005-0000-0000-000055B70000}"/>
    <cellStyle name="Migliaia 34 3 9" xfId="49492" xr:uid="{00000000-0005-0000-0000-000056B70000}"/>
    <cellStyle name="Migliaia 34 4" xfId="9218" xr:uid="{00000000-0005-0000-0000-000057B70000}"/>
    <cellStyle name="Migliaia 34 4 2" xfId="17162" xr:uid="{00000000-0005-0000-0000-000058B70000}"/>
    <cellStyle name="Migliaia 34 4 2 2" xfId="18280" xr:uid="{00000000-0005-0000-0000-000059B70000}"/>
    <cellStyle name="Migliaia 34 4 2 2 2" xfId="33747" xr:uid="{00000000-0005-0000-0000-00005AB70000}"/>
    <cellStyle name="Migliaia 34 4 2 2 2 2" xfId="55232" xr:uid="{00000000-0005-0000-0000-00005BB70000}"/>
    <cellStyle name="Migliaia 34 4 2 2 3" xfId="48708" xr:uid="{00000000-0005-0000-0000-00005CB70000}"/>
    <cellStyle name="Migliaia 34 4 2 2 3 2" xfId="56154" xr:uid="{00000000-0005-0000-0000-00005DB70000}"/>
    <cellStyle name="Migliaia 34 4 2 2 4" xfId="52877" xr:uid="{00000000-0005-0000-0000-00005EB70000}"/>
    <cellStyle name="Migliaia 34 4 2 3" xfId="33278" xr:uid="{00000000-0005-0000-0000-00005FB70000}"/>
    <cellStyle name="Migliaia 34 4 2 3 2" xfId="54825" xr:uid="{00000000-0005-0000-0000-000060B70000}"/>
    <cellStyle name="Migliaia 34 4 2 4" xfId="48239" xr:uid="{00000000-0005-0000-0000-000061B70000}"/>
    <cellStyle name="Migliaia 34 4 2 4 2" xfId="55685" xr:uid="{00000000-0005-0000-0000-000062B70000}"/>
    <cellStyle name="Migliaia 34 4 2 5" xfId="52403" xr:uid="{00000000-0005-0000-0000-000063B70000}"/>
    <cellStyle name="Migliaia 34 4 3" xfId="18279" xr:uid="{00000000-0005-0000-0000-000064B70000}"/>
    <cellStyle name="Migliaia 34 4 3 2" xfId="33746" xr:uid="{00000000-0005-0000-0000-000065B70000}"/>
    <cellStyle name="Migliaia 34 4 3 2 2" xfId="55231" xr:uid="{00000000-0005-0000-0000-000066B70000}"/>
    <cellStyle name="Migliaia 34 4 3 3" xfId="48707" xr:uid="{00000000-0005-0000-0000-000067B70000}"/>
    <cellStyle name="Migliaia 34 4 3 3 2" xfId="56153" xr:uid="{00000000-0005-0000-0000-000068B70000}"/>
    <cellStyle name="Migliaia 34 4 3 4" xfId="52876" xr:uid="{00000000-0005-0000-0000-000069B70000}"/>
    <cellStyle name="Migliaia 34 4 4" xfId="17161" xr:uid="{00000000-0005-0000-0000-00006AB70000}"/>
    <cellStyle name="Migliaia 34 4 4 2" xfId="33277" xr:uid="{00000000-0005-0000-0000-00006BB70000}"/>
    <cellStyle name="Migliaia 34 4 4 3" xfId="48238" xr:uid="{00000000-0005-0000-0000-00006CB70000}"/>
    <cellStyle name="Migliaia 34 4 4 4" xfId="54824" xr:uid="{00000000-0005-0000-0000-00006DB70000}"/>
    <cellStyle name="Migliaia 34 4 5" xfId="50978" xr:uid="{00000000-0005-0000-0000-00006EB70000}"/>
    <cellStyle name="Migliaia 34 4 5 2" xfId="55684" xr:uid="{00000000-0005-0000-0000-00006FB70000}"/>
    <cellStyle name="Migliaia 34 4 6" xfId="52402" xr:uid="{00000000-0005-0000-0000-000070B70000}"/>
    <cellStyle name="Migliaia 34 5" xfId="9219" xr:uid="{00000000-0005-0000-0000-000071B70000}"/>
    <cellStyle name="Migliaia 34 5 2" xfId="17163" xr:uid="{00000000-0005-0000-0000-000072B70000}"/>
    <cellStyle name="Migliaia 34 5 2 2" xfId="33279" xr:uid="{00000000-0005-0000-0000-000073B70000}"/>
    <cellStyle name="Migliaia 34 5 2 3" xfId="48240" xr:uid="{00000000-0005-0000-0000-000074B70000}"/>
    <cellStyle name="Migliaia 34 5 2 4" xfId="54826" xr:uid="{00000000-0005-0000-0000-000075B70000}"/>
    <cellStyle name="Migliaia 34 5 3" xfId="51131" xr:uid="{00000000-0005-0000-0000-000076B70000}"/>
    <cellStyle name="Migliaia 34 5 3 2" xfId="55686" xr:uid="{00000000-0005-0000-0000-000077B70000}"/>
    <cellStyle name="Migliaia 34 5 4" xfId="52404" xr:uid="{00000000-0005-0000-0000-000078B70000}"/>
    <cellStyle name="Migliaia 34 6" xfId="9214" xr:uid="{00000000-0005-0000-0000-000079B70000}"/>
    <cellStyle name="Migliaia 34 6 2" xfId="50977" xr:uid="{00000000-0005-0000-0000-00007AB70000}"/>
    <cellStyle name="Migliaia 34 6 3" xfId="54554" xr:uid="{00000000-0005-0000-0000-00007BB70000}"/>
    <cellStyle name="Migliaia 34 7" xfId="9843" xr:uid="{00000000-0005-0000-0000-00007CB70000}"/>
    <cellStyle name="Migliaia 34 7 2" xfId="26169" xr:uid="{00000000-0005-0000-0000-00007DB70000}"/>
    <cellStyle name="Migliaia 34 7 3" xfId="41147" xr:uid="{00000000-0005-0000-0000-00007EB70000}"/>
    <cellStyle name="Migliaia 34 7 4" xfId="55679" xr:uid="{00000000-0005-0000-0000-00007FB70000}"/>
    <cellStyle name="Migliaia 34 8" xfId="17156" xr:uid="{00000000-0005-0000-0000-000080B70000}"/>
    <cellStyle name="Migliaia 34 8 2" xfId="33272" xr:uid="{00000000-0005-0000-0000-000081B70000}"/>
    <cellStyle name="Migliaia 34 8 3" xfId="48233" xr:uid="{00000000-0005-0000-0000-000082B70000}"/>
    <cellStyle name="Migliaia 34 9" xfId="19150" xr:uid="{00000000-0005-0000-0000-000083B70000}"/>
    <cellStyle name="Migliaia 35" xfId="397" xr:uid="{00000000-0005-0000-0000-000084B70000}"/>
    <cellStyle name="Migliaia 35 10" xfId="34149" xr:uid="{00000000-0005-0000-0000-000085B70000}"/>
    <cellStyle name="Migliaia 35 11" xfId="49089" xr:uid="{00000000-0005-0000-0000-000086B70000}"/>
    <cellStyle name="Migliaia 35 12" xfId="49494" xr:uid="{00000000-0005-0000-0000-000087B70000}"/>
    <cellStyle name="Migliaia 35 13" xfId="49900" xr:uid="{00000000-0005-0000-0000-000088B70000}"/>
    <cellStyle name="Migliaia 35 14" xfId="50308" xr:uid="{00000000-0005-0000-0000-000089B70000}"/>
    <cellStyle name="Migliaia 35 15" xfId="50750" xr:uid="{00000000-0005-0000-0000-00008AB70000}"/>
    <cellStyle name="Migliaia 35 16" xfId="51469" xr:uid="{00000000-0005-0000-0000-00008BB70000}"/>
    <cellStyle name="Migliaia 35 17" xfId="51882" xr:uid="{00000000-0005-0000-0000-00008CB70000}"/>
    <cellStyle name="Migliaia 35 18" xfId="52405" xr:uid="{00000000-0005-0000-0000-00008DB70000}"/>
    <cellStyle name="Migliaia 35 2" xfId="398" xr:uid="{00000000-0005-0000-0000-00008EB70000}"/>
    <cellStyle name="Migliaia 35 2 10" xfId="49901" xr:uid="{00000000-0005-0000-0000-00008FB70000}"/>
    <cellStyle name="Migliaia 35 2 11" xfId="50309" xr:uid="{00000000-0005-0000-0000-000090B70000}"/>
    <cellStyle name="Migliaia 35 2 12" xfId="50751" xr:uid="{00000000-0005-0000-0000-000091B70000}"/>
    <cellStyle name="Migliaia 35 2 13" xfId="51470" xr:uid="{00000000-0005-0000-0000-000092B70000}"/>
    <cellStyle name="Migliaia 35 2 14" xfId="51883" xr:uid="{00000000-0005-0000-0000-000093B70000}"/>
    <cellStyle name="Migliaia 35 2 15" xfId="52406" xr:uid="{00000000-0005-0000-0000-000094B70000}"/>
    <cellStyle name="Migliaia 35 2 2" xfId="1271" xr:uid="{00000000-0005-0000-0000-000095B70000}"/>
    <cellStyle name="Migliaia 35 2 2 10" xfId="51065" xr:uid="{00000000-0005-0000-0000-000096B70000}"/>
    <cellStyle name="Migliaia 35 2 2 11" xfId="51661" xr:uid="{00000000-0005-0000-0000-000097B70000}"/>
    <cellStyle name="Migliaia 35 2 2 12" xfId="52082" xr:uid="{00000000-0005-0000-0000-000098B70000}"/>
    <cellStyle name="Migliaia 35 2 2 13" xfId="52878" xr:uid="{00000000-0005-0000-0000-000099B70000}"/>
    <cellStyle name="Migliaia 35 2 2 2" xfId="10039" xr:uid="{00000000-0005-0000-0000-00009AB70000}"/>
    <cellStyle name="Migliaia 35 2 2 2 2" xfId="26360" xr:uid="{00000000-0005-0000-0000-00009BB70000}"/>
    <cellStyle name="Migliaia 35 2 2 2 3" xfId="41328" xr:uid="{00000000-0005-0000-0000-00009CB70000}"/>
    <cellStyle name="Migliaia 35 2 2 2 4" xfId="55233" xr:uid="{00000000-0005-0000-0000-00009DB70000}"/>
    <cellStyle name="Migliaia 35 2 2 3" xfId="18281" xr:uid="{00000000-0005-0000-0000-00009EB70000}"/>
    <cellStyle name="Migliaia 35 2 2 3 2" xfId="33748" xr:uid="{00000000-0005-0000-0000-00009FB70000}"/>
    <cellStyle name="Migliaia 35 2 2 3 3" xfId="48709" xr:uid="{00000000-0005-0000-0000-0000A0B70000}"/>
    <cellStyle name="Migliaia 35 2 2 3 4" xfId="56155" xr:uid="{00000000-0005-0000-0000-0000A1B70000}"/>
    <cellStyle name="Migliaia 35 2 2 4" xfId="19339" xr:uid="{00000000-0005-0000-0000-0000A2B70000}"/>
    <cellStyle name="Migliaia 35 2 2 5" xfId="34329" xr:uid="{00000000-0005-0000-0000-0000A3B70000}"/>
    <cellStyle name="Migliaia 35 2 2 6" xfId="49281" xr:uid="{00000000-0005-0000-0000-0000A4B70000}"/>
    <cellStyle name="Migliaia 35 2 2 7" xfId="49686" xr:uid="{00000000-0005-0000-0000-0000A5B70000}"/>
    <cellStyle name="Migliaia 35 2 2 8" xfId="50095" xr:uid="{00000000-0005-0000-0000-0000A6B70000}"/>
    <cellStyle name="Migliaia 35 2 2 9" xfId="50500" xr:uid="{00000000-0005-0000-0000-0000A7B70000}"/>
    <cellStyle name="Migliaia 35 2 3" xfId="9221" xr:uid="{00000000-0005-0000-0000-0000A8B70000}"/>
    <cellStyle name="Migliaia 35 2 3 2" xfId="54619" xr:uid="{00000000-0005-0000-0000-0000A9B70000}"/>
    <cellStyle name="Migliaia 35 2 4" xfId="9848" xr:uid="{00000000-0005-0000-0000-0000AAB70000}"/>
    <cellStyle name="Migliaia 35 2 4 2" xfId="26174" xr:uid="{00000000-0005-0000-0000-0000ABB70000}"/>
    <cellStyle name="Migliaia 35 2 4 3" xfId="41152" xr:uid="{00000000-0005-0000-0000-0000ACB70000}"/>
    <cellStyle name="Migliaia 35 2 4 4" xfId="55688" xr:uid="{00000000-0005-0000-0000-0000ADB70000}"/>
    <cellStyle name="Migliaia 35 2 5" xfId="17165" xr:uid="{00000000-0005-0000-0000-0000AEB70000}"/>
    <cellStyle name="Migliaia 35 2 5 2" xfId="33281" xr:uid="{00000000-0005-0000-0000-0000AFB70000}"/>
    <cellStyle name="Migliaia 35 2 5 3" xfId="48242" xr:uid="{00000000-0005-0000-0000-0000B0B70000}"/>
    <cellStyle name="Migliaia 35 2 6" xfId="19155" xr:uid="{00000000-0005-0000-0000-0000B1B70000}"/>
    <cellStyle name="Migliaia 35 2 7" xfId="34150" xr:uid="{00000000-0005-0000-0000-0000B2B70000}"/>
    <cellStyle name="Migliaia 35 2 8" xfId="49090" xr:uid="{00000000-0005-0000-0000-0000B3B70000}"/>
    <cellStyle name="Migliaia 35 2 9" xfId="49495" xr:uid="{00000000-0005-0000-0000-0000B4B70000}"/>
    <cellStyle name="Migliaia 35 3" xfId="399" xr:uid="{00000000-0005-0000-0000-0000B5B70000}"/>
    <cellStyle name="Migliaia 35 3 10" xfId="49902" xr:uid="{00000000-0005-0000-0000-0000B6B70000}"/>
    <cellStyle name="Migliaia 35 3 11" xfId="50310" xr:uid="{00000000-0005-0000-0000-0000B7B70000}"/>
    <cellStyle name="Migliaia 35 3 12" xfId="50752" xr:uid="{00000000-0005-0000-0000-0000B8B70000}"/>
    <cellStyle name="Migliaia 35 3 13" xfId="51471" xr:uid="{00000000-0005-0000-0000-0000B9B70000}"/>
    <cellStyle name="Migliaia 35 3 14" xfId="51884" xr:uid="{00000000-0005-0000-0000-0000BAB70000}"/>
    <cellStyle name="Migliaia 35 3 15" xfId="52407" xr:uid="{00000000-0005-0000-0000-0000BBB70000}"/>
    <cellStyle name="Migliaia 35 3 2" xfId="400" xr:uid="{00000000-0005-0000-0000-0000BCB70000}"/>
    <cellStyle name="Migliaia 35 3 2 10" xfId="50311" xr:uid="{00000000-0005-0000-0000-0000BDB70000}"/>
    <cellStyle name="Migliaia 35 3 2 11" xfId="50753" xr:uid="{00000000-0005-0000-0000-0000BEB70000}"/>
    <cellStyle name="Migliaia 35 3 2 12" xfId="51472" xr:uid="{00000000-0005-0000-0000-0000BFB70000}"/>
    <cellStyle name="Migliaia 35 3 2 13" xfId="51885" xr:uid="{00000000-0005-0000-0000-0000C0B70000}"/>
    <cellStyle name="Migliaia 35 3 2 14" xfId="52408" xr:uid="{00000000-0005-0000-0000-0000C1B70000}"/>
    <cellStyle name="Migliaia 35 3 2 2" xfId="9223" xr:uid="{00000000-0005-0000-0000-0000C2B70000}"/>
    <cellStyle name="Migliaia 35 3 2 2 2" xfId="54828" xr:uid="{00000000-0005-0000-0000-0000C3B70000}"/>
    <cellStyle name="Migliaia 35 3 2 3" xfId="9850" xr:uid="{00000000-0005-0000-0000-0000C4B70000}"/>
    <cellStyle name="Migliaia 35 3 2 3 2" xfId="26176" xr:uid="{00000000-0005-0000-0000-0000C5B70000}"/>
    <cellStyle name="Migliaia 35 3 2 3 3" xfId="41154" xr:uid="{00000000-0005-0000-0000-0000C6B70000}"/>
    <cellStyle name="Migliaia 35 3 2 3 4" xfId="55690" xr:uid="{00000000-0005-0000-0000-0000C7B70000}"/>
    <cellStyle name="Migliaia 35 3 2 4" xfId="17167" xr:uid="{00000000-0005-0000-0000-0000C8B70000}"/>
    <cellStyle name="Migliaia 35 3 2 4 2" xfId="33283" xr:uid="{00000000-0005-0000-0000-0000C9B70000}"/>
    <cellStyle name="Migliaia 35 3 2 4 3" xfId="48244" xr:uid="{00000000-0005-0000-0000-0000CAB70000}"/>
    <cellStyle name="Migliaia 35 3 2 5" xfId="19157" xr:uid="{00000000-0005-0000-0000-0000CBB70000}"/>
    <cellStyle name="Migliaia 35 3 2 6" xfId="34152" xr:uid="{00000000-0005-0000-0000-0000CCB70000}"/>
    <cellStyle name="Migliaia 35 3 2 7" xfId="49092" xr:uid="{00000000-0005-0000-0000-0000CDB70000}"/>
    <cellStyle name="Migliaia 35 3 2 8" xfId="49497" xr:uid="{00000000-0005-0000-0000-0000CEB70000}"/>
    <cellStyle name="Migliaia 35 3 2 9" xfId="49903" xr:uid="{00000000-0005-0000-0000-0000CFB70000}"/>
    <cellStyle name="Migliaia 35 3 3" xfId="9222" xr:uid="{00000000-0005-0000-0000-0000D0B70000}"/>
    <cellStyle name="Migliaia 35 3 3 2" xfId="18283" xr:uid="{00000000-0005-0000-0000-0000D1B70000}"/>
    <cellStyle name="Migliaia 35 3 3 2 2" xfId="33750" xr:uid="{00000000-0005-0000-0000-0000D2B70000}"/>
    <cellStyle name="Migliaia 35 3 3 2 2 2" xfId="55235" xr:uid="{00000000-0005-0000-0000-0000D3B70000}"/>
    <cellStyle name="Migliaia 35 3 3 2 3" xfId="48711" xr:uid="{00000000-0005-0000-0000-0000D4B70000}"/>
    <cellStyle name="Migliaia 35 3 3 2 3 2" xfId="56157" xr:uid="{00000000-0005-0000-0000-0000D5B70000}"/>
    <cellStyle name="Migliaia 35 3 3 2 4" xfId="52880" xr:uid="{00000000-0005-0000-0000-0000D6B70000}"/>
    <cellStyle name="Migliaia 35 3 3 3" xfId="17168" xr:uid="{00000000-0005-0000-0000-0000D7B70000}"/>
    <cellStyle name="Migliaia 35 3 3 3 2" xfId="33284" xr:uid="{00000000-0005-0000-0000-0000D8B70000}"/>
    <cellStyle name="Migliaia 35 3 3 3 3" xfId="48245" xr:uid="{00000000-0005-0000-0000-0000D9B70000}"/>
    <cellStyle name="Migliaia 35 3 3 3 4" xfId="54829" xr:uid="{00000000-0005-0000-0000-0000DAB70000}"/>
    <cellStyle name="Migliaia 35 3 3 4" xfId="55691" xr:uid="{00000000-0005-0000-0000-0000DBB70000}"/>
    <cellStyle name="Migliaia 35 3 3 5" xfId="52409" xr:uid="{00000000-0005-0000-0000-0000DCB70000}"/>
    <cellStyle name="Migliaia 35 3 4" xfId="9849" xr:uid="{00000000-0005-0000-0000-0000DDB70000}"/>
    <cellStyle name="Migliaia 35 3 4 2" xfId="18282" xr:uid="{00000000-0005-0000-0000-0000DEB70000}"/>
    <cellStyle name="Migliaia 35 3 4 2 2" xfId="33749" xr:uid="{00000000-0005-0000-0000-0000DFB70000}"/>
    <cellStyle name="Migliaia 35 3 4 2 3" xfId="48710" xr:uid="{00000000-0005-0000-0000-0000E0B70000}"/>
    <cellStyle name="Migliaia 35 3 4 2 4" xfId="55234" xr:uid="{00000000-0005-0000-0000-0000E1B70000}"/>
    <cellStyle name="Migliaia 35 3 4 3" xfId="26175" xr:uid="{00000000-0005-0000-0000-0000E2B70000}"/>
    <cellStyle name="Migliaia 35 3 4 3 2" xfId="56156" xr:uid="{00000000-0005-0000-0000-0000E3B70000}"/>
    <cellStyle name="Migliaia 35 3 4 4" xfId="41153" xr:uid="{00000000-0005-0000-0000-0000E4B70000}"/>
    <cellStyle name="Migliaia 35 3 4 5" xfId="52879" xr:uid="{00000000-0005-0000-0000-0000E5B70000}"/>
    <cellStyle name="Migliaia 35 3 5" xfId="17166" xr:uid="{00000000-0005-0000-0000-0000E6B70000}"/>
    <cellStyle name="Migliaia 35 3 5 2" xfId="33282" xr:uid="{00000000-0005-0000-0000-0000E7B70000}"/>
    <cellStyle name="Migliaia 35 3 5 3" xfId="48243" xr:uid="{00000000-0005-0000-0000-0000E8B70000}"/>
    <cellStyle name="Migliaia 35 3 5 4" xfId="54827" xr:uid="{00000000-0005-0000-0000-0000E9B70000}"/>
    <cellStyle name="Migliaia 35 3 6" xfId="19156" xr:uid="{00000000-0005-0000-0000-0000EAB70000}"/>
    <cellStyle name="Migliaia 35 3 6 2" xfId="55689" xr:uid="{00000000-0005-0000-0000-0000EBB70000}"/>
    <cellStyle name="Migliaia 35 3 7" xfId="34151" xr:uid="{00000000-0005-0000-0000-0000ECB70000}"/>
    <cellStyle name="Migliaia 35 3 8" xfId="49091" xr:uid="{00000000-0005-0000-0000-0000EDB70000}"/>
    <cellStyle name="Migliaia 35 3 9" xfId="49496" xr:uid="{00000000-0005-0000-0000-0000EEB70000}"/>
    <cellStyle name="Migliaia 35 4" xfId="9224" xr:uid="{00000000-0005-0000-0000-0000EFB70000}"/>
    <cellStyle name="Migliaia 35 4 2" xfId="17170" xr:uid="{00000000-0005-0000-0000-0000F0B70000}"/>
    <cellStyle name="Migliaia 35 4 2 2" xfId="18285" xr:uid="{00000000-0005-0000-0000-0000F1B70000}"/>
    <cellStyle name="Migliaia 35 4 2 2 2" xfId="33752" xr:uid="{00000000-0005-0000-0000-0000F2B70000}"/>
    <cellStyle name="Migliaia 35 4 2 2 2 2" xfId="55237" xr:uid="{00000000-0005-0000-0000-0000F3B70000}"/>
    <cellStyle name="Migliaia 35 4 2 2 3" xfId="48713" xr:uid="{00000000-0005-0000-0000-0000F4B70000}"/>
    <cellStyle name="Migliaia 35 4 2 2 3 2" xfId="56159" xr:uid="{00000000-0005-0000-0000-0000F5B70000}"/>
    <cellStyle name="Migliaia 35 4 2 2 4" xfId="52882" xr:uid="{00000000-0005-0000-0000-0000F6B70000}"/>
    <cellStyle name="Migliaia 35 4 2 3" xfId="33286" xr:uid="{00000000-0005-0000-0000-0000F7B70000}"/>
    <cellStyle name="Migliaia 35 4 2 3 2" xfId="54831" xr:uid="{00000000-0005-0000-0000-0000F8B70000}"/>
    <cellStyle name="Migliaia 35 4 2 4" xfId="48247" xr:uid="{00000000-0005-0000-0000-0000F9B70000}"/>
    <cellStyle name="Migliaia 35 4 2 4 2" xfId="55693" xr:uid="{00000000-0005-0000-0000-0000FAB70000}"/>
    <cellStyle name="Migliaia 35 4 2 5" xfId="52411" xr:uid="{00000000-0005-0000-0000-0000FBB70000}"/>
    <cellStyle name="Migliaia 35 4 3" xfId="18284" xr:uid="{00000000-0005-0000-0000-0000FCB70000}"/>
    <cellStyle name="Migliaia 35 4 3 2" xfId="33751" xr:uid="{00000000-0005-0000-0000-0000FDB70000}"/>
    <cellStyle name="Migliaia 35 4 3 2 2" xfId="55236" xr:uid="{00000000-0005-0000-0000-0000FEB70000}"/>
    <cellStyle name="Migliaia 35 4 3 3" xfId="48712" xr:uid="{00000000-0005-0000-0000-0000FFB70000}"/>
    <cellStyle name="Migliaia 35 4 3 3 2" xfId="56158" xr:uid="{00000000-0005-0000-0000-000000B80000}"/>
    <cellStyle name="Migliaia 35 4 3 4" xfId="52881" xr:uid="{00000000-0005-0000-0000-000001B80000}"/>
    <cellStyle name="Migliaia 35 4 4" xfId="17169" xr:uid="{00000000-0005-0000-0000-000002B80000}"/>
    <cellStyle name="Migliaia 35 4 4 2" xfId="33285" xr:uid="{00000000-0005-0000-0000-000003B80000}"/>
    <cellStyle name="Migliaia 35 4 4 3" xfId="48246" xr:uid="{00000000-0005-0000-0000-000004B80000}"/>
    <cellStyle name="Migliaia 35 4 4 4" xfId="54830" xr:uid="{00000000-0005-0000-0000-000005B80000}"/>
    <cellStyle name="Migliaia 35 4 5" xfId="51220" xr:uid="{00000000-0005-0000-0000-000006B80000}"/>
    <cellStyle name="Migliaia 35 4 5 2" xfId="55692" xr:uid="{00000000-0005-0000-0000-000007B80000}"/>
    <cellStyle name="Migliaia 35 4 6" xfId="52410" xr:uid="{00000000-0005-0000-0000-000008B80000}"/>
    <cellStyle name="Migliaia 35 5" xfId="9225" xr:uid="{00000000-0005-0000-0000-000009B80000}"/>
    <cellStyle name="Migliaia 35 5 2" xfId="17171" xr:uid="{00000000-0005-0000-0000-00000AB80000}"/>
    <cellStyle name="Migliaia 35 5 2 2" xfId="33287" xr:uid="{00000000-0005-0000-0000-00000BB80000}"/>
    <cellStyle name="Migliaia 35 5 2 3" xfId="48248" xr:uid="{00000000-0005-0000-0000-00000CB80000}"/>
    <cellStyle name="Migliaia 35 5 2 4" xfId="54832" xr:uid="{00000000-0005-0000-0000-00000DB80000}"/>
    <cellStyle name="Migliaia 35 5 3" xfId="50976" xr:uid="{00000000-0005-0000-0000-00000EB80000}"/>
    <cellStyle name="Migliaia 35 5 3 2" xfId="55694" xr:uid="{00000000-0005-0000-0000-00000FB80000}"/>
    <cellStyle name="Migliaia 35 5 4" xfId="52412" xr:uid="{00000000-0005-0000-0000-000010B80000}"/>
    <cellStyle name="Migliaia 35 6" xfId="9220" xr:uid="{00000000-0005-0000-0000-000011B80000}"/>
    <cellStyle name="Migliaia 35 6 2" xfId="51219" xr:uid="{00000000-0005-0000-0000-000012B80000}"/>
    <cellStyle name="Migliaia 35 6 3" xfId="54555" xr:uid="{00000000-0005-0000-0000-000013B80000}"/>
    <cellStyle name="Migliaia 35 7" xfId="9847" xr:uid="{00000000-0005-0000-0000-000014B80000}"/>
    <cellStyle name="Migliaia 35 7 2" xfId="26173" xr:uid="{00000000-0005-0000-0000-000015B80000}"/>
    <cellStyle name="Migliaia 35 7 3" xfId="41151" xr:uid="{00000000-0005-0000-0000-000016B80000}"/>
    <cellStyle name="Migliaia 35 7 4" xfId="55687" xr:uid="{00000000-0005-0000-0000-000017B80000}"/>
    <cellStyle name="Migliaia 35 8" xfId="17164" xr:uid="{00000000-0005-0000-0000-000018B80000}"/>
    <cellStyle name="Migliaia 35 8 2" xfId="33280" xr:uid="{00000000-0005-0000-0000-000019B80000}"/>
    <cellStyle name="Migliaia 35 8 3" xfId="48241" xr:uid="{00000000-0005-0000-0000-00001AB80000}"/>
    <cellStyle name="Migliaia 35 9" xfId="19154" xr:uid="{00000000-0005-0000-0000-00001BB80000}"/>
    <cellStyle name="Migliaia 36" xfId="401" xr:uid="{00000000-0005-0000-0000-00001CB80000}"/>
    <cellStyle name="Migliaia 36 10" xfId="34153" xr:uid="{00000000-0005-0000-0000-00001DB80000}"/>
    <cellStyle name="Migliaia 36 11" xfId="49093" xr:uid="{00000000-0005-0000-0000-00001EB80000}"/>
    <cellStyle name="Migliaia 36 12" xfId="49498" xr:uid="{00000000-0005-0000-0000-00001FB80000}"/>
    <cellStyle name="Migliaia 36 13" xfId="49904" xr:uid="{00000000-0005-0000-0000-000020B80000}"/>
    <cellStyle name="Migliaia 36 14" xfId="50312" xr:uid="{00000000-0005-0000-0000-000021B80000}"/>
    <cellStyle name="Migliaia 36 15" xfId="50754" xr:uid="{00000000-0005-0000-0000-000022B80000}"/>
    <cellStyle name="Migliaia 36 16" xfId="51473" xr:uid="{00000000-0005-0000-0000-000023B80000}"/>
    <cellStyle name="Migliaia 36 17" xfId="51886" xr:uid="{00000000-0005-0000-0000-000024B80000}"/>
    <cellStyle name="Migliaia 36 18" xfId="52413" xr:uid="{00000000-0005-0000-0000-000025B80000}"/>
    <cellStyle name="Migliaia 36 2" xfId="402" xr:uid="{00000000-0005-0000-0000-000026B80000}"/>
    <cellStyle name="Migliaia 36 2 10" xfId="49905" xr:uid="{00000000-0005-0000-0000-000027B80000}"/>
    <cellStyle name="Migliaia 36 2 11" xfId="50313" xr:uid="{00000000-0005-0000-0000-000028B80000}"/>
    <cellStyle name="Migliaia 36 2 12" xfId="50755" xr:uid="{00000000-0005-0000-0000-000029B80000}"/>
    <cellStyle name="Migliaia 36 2 13" xfId="51474" xr:uid="{00000000-0005-0000-0000-00002AB80000}"/>
    <cellStyle name="Migliaia 36 2 14" xfId="51887" xr:uid="{00000000-0005-0000-0000-00002BB80000}"/>
    <cellStyle name="Migliaia 36 2 15" xfId="52414" xr:uid="{00000000-0005-0000-0000-00002CB80000}"/>
    <cellStyle name="Migliaia 36 2 2" xfId="1272" xr:uid="{00000000-0005-0000-0000-00002DB80000}"/>
    <cellStyle name="Migliaia 36 2 2 10" xfId="51066" xr:uid="{00000000-0005-0000-0000-00002EB80000}"/>
    <cellStyle name="Migliaia 36 2 2 11" xfId="51662" xr:uid="{00000000-0005-0000-0000-00002FB80000}"/>
    <cellStyle name="Migliaia 36 2 2 12" xfId="52083" xr:uid="{00000000-0005-0000-0000-000030B80000}"/>
    <cellStyle name="Migliaia 36 2 2 13" xfId="52883" xr:uid="{00000000-0005-0000-0000-000031B80000}"/>
    <cellStyle name="Migliaia 36 2 2 2" xfId="10040" xr:uid="{00000000-0005-0000-0000-000032B80000}"/>
    <cellStyle name="Migliaia 36 2 2 2 2" xfId="26361" xr:uid="{00000000-0005-0000-0000-000033B80000}"/>
    <cellStyle name="Migliaia 36 2 2 2 3" xfId="41329" xr:uid="{00000000-0005-0000-0000-000034B80000}"/>
    <cellStyle name="Migliaia 36 2 2 2 4" xfId="55238" xr:uid="{00000000-0005-0000-0000-000035B80000}"/>
    <cellStyle name="Migliaia 36 2 2 3" xfId="18286" xr:uid="{00000000-0005-0000-0000-000036B80000}"/>
    <cellStyle name="Migliaia 36 2 2 3 2" xfId="33753" xr:uid="{00000000-0005-0000-0000-000037B80000}"/>
    <cellStyle name="Migliaia 36 2 2 3 3" xfId="48714" xr:uid="{00000000-0005-0000-0000-000038B80000}"/>
    <cellStyle name="Migliaia 36 2 2 3 4" xfId="56160" xr:uid="{00000000-0005-0000-0000-000039B80000}"/>
    <cellStyle name="Migliaia 36 2 2 4" xfId="19340" xr:uid="{00000000-0005-0000-0000-00003AB80000}"/>
    <cellStyle name="Migliaia 36 2 2 5" xfId="34330" xr:uid="{00000000-0005-0000-0000-00003BB80000}"/>
    <cellStyle name="Migliaia 36 2 2 6" xfId="49282" xr:uid="{00000000-0005-0000-0000-00003CB80000}"/>
    <cellStyle name="Migliaia 36 2 2 7" xfId="49687" xr:uid="{00000000-0005-0000-0000-00003DB80000}"/>
    <cellStyle name="Migliaia 36 2 2 8" xfId="50096" xr:uid="{00000000-0005-0000-0000-00003EB80000}"/>
    <cellStyle name="Migliaia 36 2 2 9" xfId="50501" xr:uid="{00000000-0005-0000-0000-00003FB80000}"/>
    <cellStyle name="Migliaia 36 2 3" xfId="9227" xr:uid="{00000000-0005-0000-0000-000040B80000}"/>
    <cellStyle name="Migliaia 36 2 3 2" xfId="54620" xr:uid="{00000000-0005-0000-0000-000041B80000}"/>
    <cellStyle name="Migliaia 36 2 4" xfId="9852" xr:uid="{00000000-0005-0000-0000-000042B80000}"/>
    <cellStyle name="Migliaia 36 2 4 2" xfId="26178" xr:uid="{00000000-0005-0000-0000-000043B80000}"/>
    <cellStyle name="Migliaia 36 2 4 3" xfId="41156" xr:uid="{00000000-0005-0000-0000-000044B80000}"/>
    <cellStyle name="Migliaia 36 2 4 4" xfId="55696" xr:uid="{00000000-0005-0000-0000-000045B80000}"/>
    <cellStyle name="Migliaia 36 2 5" xfId="17173" xr:uid="{00000000-0005-0000-0000-000046B80000}"/>
    <cellStyle name="Migliaia 36 2 5 2" xfId="33289" xr:uid="{00000000-0005-0000-0000-000047B80000}"/>
    <cellStyle name="Migliaia 36 2 5 3" xfId="48250" xr:uid="{00000000-0005-0000-0000-000048B80000}"/>
    <cellStyle name="Migliaia 36 2 6" xfId="19159" xr:uid="{00000000-0005-0000-0000-000049B80000}"/>
    <cellStyle name="Migliaia 36 2 7" xfId="34154" xr:uid="{00000000-0005-0000-0000-00004AB80000}"/>
    <cellStyle name="Migliaia 36 2 8" xfId="49094" xr:uid="{00000000-0005-0000-0000-00004BB80000}"/>
    <cellStyle name="Migliaia 36 2 9" xfId="49499" xr:uid="{00000000-0005-0000-0000-00004CB80000}"/>
    <cellStyle name="Migliaia 36 3" xfId="403" xr:uid="{00000000-0005-0000-0000-00004DB80000}"/>
    <cellStyle name="Migliaia 36 3 10" xfId="49906" xr:uid="{00000000-0005-0000-0000-00004EB80000}"/>
    <cellStyle name="Migliaia 36 3 11" xfId="50314" xr:uid="{00000000-0005-0000-0000-00004FB80000}"/>
    <cellStyle name="Migliaia 36 3 12" xfId="50756" xr:uid="{00000000-0005-0000-0000-000050B80000}"/>
    <cellStyle name="Migliaia 36 3 13" xfId="51475" xr:uid="{00000000-0005-0000-0000-000051B80000}"/>
    <cellStyle name="Migliaia 36 3 14" xfId="51888" xr:uid="{00000000-0005-0000-0000-000052B80000}"/>
    <cellStyle name="Migliaia 36 3 15" xfId="52415" xr:uid="{00000000-0005-0000-0000-000053B80000}"/>
    <cellStyle name="Migliaia 36 3 2" xfId="404" xr:uid="{00000000-0005-0000-0000-000054B80000}"/>
    <cellStyle name="Migliaia 36 3 2 10" xfId="50315" xr:uid="{00000000-0005-0000-0000-000055B80000}"/>
    <cellStyle name="Migliaia 36 3 2 11" xfId="50757" xr:uid="{00000000-0005-0000-0000-000056B80000}"/>
    <cellStyle name="Migliaia 36 3 2 12" xfId="51476" xr:uid="{00000000-0005-0000-0000-000057B80000}"/>
    <cellStyle name="Migliaia 36 3 2 13" xfId="51889" xr:uid="{00000000-0005-0000-0000-000058B80000}"/>
    <cellStyle name="Migliaia 36 3 2 14" xfId="52416" xr:uid="{00000000-0005-0000-0000-000059B80000}"/>
    <cellStyle name="Migliaia 36 3 2 2" xfId="9229" xr:uid="{00000000-0005-0000-0000-00005AB80000}"/>
    <cellStyle name="Migliaia 36 3 2 2 2" xfId="54834" xr:uid="{00000000-0005-0000-0000-00005BB80000}"/>
    <cellStyle name="Migliaia 36 3 2 3" xfId="9854" xr:uid="{00000000-0005-0000-0000-00005CB80000}"/>
    <cellStyle name="Migliaia 36 3 2 3 2" xfId="26180" xr:uid="{00000000-0005-0000-0000-00005DB80000}"/>
    <cellStyle name="Migliaia 36 3 2 3 3" xfId="41158" xr:uid="{00000000-0005-0000-0000-00005EB80000}"/>
    <cellStyle name="Migliaia 36 3 2 3 4" xfId="55698" xr:uid="{00000000-0005-0000-0000-00005FB80000}"/>
    <cellStyle name="Migliaia 36 3 2 4" xfId="17175" xr:uid="{00000000-0005-0000-0000-000060B80000}"/>
    <cellStyle name="Migliaia 36 3 2 4 2" xfId="33291" xr:uid="{00000000-0005-0000-0000-000061B80000}"/>
    <cellStyle name="Migliaia 36 3 2 4 3" xfId="48252" xr:uid="{00000000-0005-0000-0000-000062B80000}"/>
    <cellStyle name="Migliaia 36 3 2 5" xfId="19161" xr:uid="{00000000-0005-0000-0000-000063B80000}"/>
    <cellStyle name="Migliaia 36 3 2 6" xfId="34156" xr:uid="{00000000-0005-0000-0000-000064B80000}"/>
    <cellStyle name="Migliaia 36 3 2 7" xfId="49096" xr:uid="{00000000-0005-0000-0000-000065B80000}"/>
    <cellStyle name="Migliaia 36 3 2 8" xfId="49501" xr:uid="{00000000-0005-0000-0000-000066B80000}"/>
    <cellStyle name="Migliaia 36 3 2 9" xfId="49907" xr:uid="{00000000-0005-0000-0000-000067B80000}"/>
    <cellStyle name="Migliaia 36 3 3" xfId="9228" xr:uid="{00000000-0005-0000-0000-000068B80000}"/>
    <cellStyle name="Migliaia 36 3 3 2" xfId="18288" xr:uid="{00000000-0005-0000-0000-000069B80000}"/>
    <cellStyle name="Migliaia 36 3 3 2 2" xfId="33755" xr:uid="{00000000-0005-0000-0000-00006AB80000}"/>
    <cellStyle name="Migliaia 36 3 3 2 2 2" xfId="55240" xr:uid="{00000000-0005-0000-0000-00006BB80000}"/>
    <cellStyle name="Migliaia 36 3 3 2 3" xfId="48716" xr:uid="{00000000-0005-0000-0000-00006CB80000}"/>
    <cellStyle name="Migliaia 36 3 3 2 3 2" xfId="56162" xr:uid="{00000000-0005-0000-0000-00006DB80000}"/>
    <cellStyle name="Migliaia 36 3 3 2 4" xfId="52885" xr:uid="{00000000-0005-0000-0000-00006EB80000}"/>
    <cellStyle name="Migliaia 36 3 3 3" xfId="17176" xr:uid="{00000000-0005-0000-0000-00006FB80000}"/>
    <cellStyle name="Migliaia 36 3 3 3 2" xfId="33292" xr:uid="{00000000-0005-0000-0000-000070B80000}"/>
    <cellStyle name="Migliaia 36 3 3 3 3" xfId="48253" xr:uid="{00000000-0005-0000-0000-000071B80000}"/>
    <cellStyle name="Migliaia 36 3 3 3 4" xfId="54835" xr:uid="{00000000-0005-0000-0000-000072B80000}"/>
    <cellStyle name="Migliaia 36 3 3 4" xfId="55699" xr:uid="{00000000-0005-0000-0000-000073B80000}"/>
    <cellStyle name="Migliaia 36 3 3 5" xfId="52417" xr:uid="{00000000-0005-0000-0000-000074B80000}"/>
    <cellStyle name="Migliaia 36 3 4" xfId="9853" xr:uid="{00000000-0005-0000-0000-000075B80000}"/>
    <cellStyle name="Migliaia 36 3 4 2" xfId="18287" xr:uid="{00000000-0005-0000-0000-000076B80000}"/>
    <cellStyle name="Migliaia 36 3 4 2 2" xfId="33754" xr:uid="{00000000-0005-0000-0000-000077B80000}"/>
    <cellStyle name="Migliaia 36 3 4 2 3" xfId="48715" xr:uid="{00000000-0005-0000-0000-000078B80000}"/>
    <cellStyle name="Migliaia 36 3 4 2 4" xfId="55239" xr:uid="{00000000-0005-0000-0000-000079B80000}"/>
    <cellStyle name="Migliaia 36 3 4 3" xfId="26179" xr:uid="{00000000-0005-0000-0000-00007AB80000}"/>
    <cellStyle name="Migliaia 36 3 4 3 2" xfId="56161" xr:uid="{00000000-0005-0000-0000-00007BB80000}"/>
    <cellStyle name="Migliaia 36 3 4 4" xfId="41157" xr:uid="{00000000-0005-0000-0000-00007CB80000}"/>
    <cellStyle name="Migliaia 36 3 4 5" xfId="52884" xr:uid="{00000000-0005-0000-0000-00007DB80000}"/>
    <cellStyle name="Migliaia 36 3 5" xfId="17174" xr:uid="{00000000-0005-0000-0000-00007EB80000}"/>
    <cellStyle name="Migliaia 36 3 5 2" xfId="33290" xr:uid="{00000000-0005-0000-0000-00007FB80000}"/>
    <cellStyle name="Migliaia 36 3 5 3" xfId="48251" xr:uid="{00000000-0005-0000-0000-000080B80000}"/>
    <cellStyle name="Migliaia 36 3 5 4" xfId="54833" xr:uid="{00000000-0005-0000-0000-000081B80000}"/>
    <cellStyle name="Migliaia 36 3 6" xfId="19160" xr:uid="{00000000-0005-0000-0000-000082B80000}"/>
    <cellStyle name="Migliaia 36 3 6 2" xfId="55697" xr:uid="{00000000-0005-0000-0000-000083B80000}"/>
    <cellStyle name="Migliaia 36 3 7" xfId="34155" xr:uid="{00000000-0005-0000-0000-000084B80000}"/>
    <cellStyle name="Migliaia 36 3 8" xfId="49095" xr:uid="{00000000-0005-0000-0000-000085B80000}"/>
    <cellStyle name="Migliaia 36 3 9" xfId="49500" xr:uid="{00000000-0005-0000-0000-000086B80000}"/>
    <cellStyle name="Migliaia 36 4" xfId="9230" xr:uid="{00000000-0005-0000-0000-000087B80000}"/>
    <cellStyle name="Migliaia 36 4 2" xfId="17178" xr:uid="{00000000-0005-0000-0000-000088B80000}"/>
    <cellStyle name="Migliaia 36 4 2 2" xfId="18290" xr:uid="{00000000-0005-0000-0000-000089B80000}"/>
    <cellStyle name="Migliaia 36 4 2 2 2" xfId="33757" xr:uid="{00000000-0005-0000-0000-00008AB80000}"/>
    <cellStyle name="Migliaia 36 4 2 2 2 2" xfId="55242" xr:uid="{00000000-0005-0000-0000-00008BB80000}"/>
    <cellStyle name="Migliaia 36 4 2 2 3" xfId="48718" xr:uid="{00000000-0005-0000-0000-00008CB80000}"/>
    <cellStyle name="Migliaia 36 4 2 2 3 2" xfId="56164" xr:uid="{00000000-0005-0000-0000-00008DB80000}"/>
    <cellStyle name="Migliaia 36 4 2 2 4" xfId="52887" xr:uid="{00000000-0005-0000-0000-00008EB80000}"/>
    <cellStyle name="Migliaia 36 4 2 3" xfId="33294" xr:uid="{00000000-0005-0000-0000-00008FB80000}"/>
    <cellStyle name="Migliaia 36 4 2 3 2" xfId="54837" xr:uid="{00000000-0005-0000-0000-000090B80000}"/>
    <cellStyle name="Migliaia 36 4 2 4" xfId="48255" xr:uid="{00000000-0005-0000-0000-000091B80000}"/>
    <cellStyle name="Migliaia 36 4 2 4 2" xfId="55701" xr:uid="{00000000-0005-0000-0000-000092B80000}"/>
    <cellStyle name="Migliaia 36 4 2 5" xfId="52419" xr:uid="{00000000-0005-0000-0000-000093B80000}"/>
    <cellStyle name="Migliaia 36 4 3" xfId="18289" xr:uid="{00000000-0005-0000-0000-000094B80000}"/>
    <cellStyle name="Migliaia 36 4 3 2" xfId="33756" xr:uid="{00000000-0005-0000-0000-000095B80000}"/>
    <cellStyle name="Migliaia 36 4 3 2 2" xfId="55241" xr:uid="{00000000-0005-0000-0000-000096B80000}"/>
    <cellStyle name="Migliaia 36 4 3 3" xfId="48717" xr:uid="{00000000-0005-0000-0000-000097B80000}"/>
    <cellStyle name="Migliaia 36 4 3 3 2" xfId="56163" xr:uid="{00000000-0005-0000-0000-000098B80000}"/>
    <cellStyle name="Migliaia 36 4 3 4" xfId="52886" xr:uid="{00000000-0005-0000-0000-000099B80000}"/>
    <cellStyle name="Migliaia 36 4 4" xfId="17177" xr:uid="{00000000-0005-0000-0000-00009AB80000}"/>
    <cellStyle name="Migliaia 36 4 4 2" xfId="33293" xr:uid="{00000000-0005-0000-0000-00009BB80000}"/>
    <cellStyle name="Migliaia 36 4 4 3" xfId="48254" xr:uid="{00000000-0005-0000-0000-00009CB80000}"/>
    <cellStyle name="Migliaia 36 4 4 4" xfId="54836" xr:uid="{00000000-0005-0000-0000-00009DB80000}"/>
    <cellStyle name="Migliaia 36 4 5" xfId="51183" xr:uid="{00000000-0005-0000-0000-00009EB80000}"/>
    <cellStyle name="Migliaia 36 4 5 2" xfId="55700" xr:uid="{00000000-0005-0000-0000-00009FB80000}"/>
    <cellStyle name="Migliaia 36 4 6" xfId="52418" xr:uid="{00000000-0005-0000-0000-0000A0B80000}"/>
    <cellStyle name="Migliaia 36 5" xfId="9231" xr:uid="{00000000-0005-0000-0000-0000A1B80000}"/>
    <cellStyle name="Migliaia 36 5 2" xfId="17179" xr:uid="{00000000-0005-0000-0000-0000A2B80000}"/>
    <cellStyle name="Migliaia 36 5 2 2" xfId="33295" xr:uid="{00000000-0005-0000-0000-0000A3B80000}"/>
    <cellStyle name="Migliaia 36 5 2 3" xfId="48256" xr:uid="{00000000-0005-0000-0000-0000A4B80000}"/>
    <cellStyle name="Migliaia 36 5 2 4" xfId="54838" xr:uid="{00000000-0005-0000-0000-0000A5B80000}"/>
    <cellStyle name="Migliaia 36 5 3" xfId="51130" xr:uid="{00000000-0005-0000-0000-0000A6B80000}"/>
    <cellStyle name="Migliaia 36 5 3 2" xfId="55702" xr:uid="{00000000-0005-0000-0000-0000A7B80000}"/>
    <cellStyle name="Migliaia 36 5 4" xfId="52420" xr:uid="{00000000-0005-0000-0000-0000A8B80000}"/>
    <cellStyle name="Migliaia 36 6" xfId="9226" xr:uid="{00000000-0005-0000-0000-0000A9B80000}"/>
    <cellStyle name="Migliaia 36 6 2" xfId="50975" xr:uid="{00000000-0005-0000-0000-0000AAB80000}"/>
    <cellStyle name="Migliaia 36 6 3" xfId="54556" xr:uid="{00000000-0005-0000-0000-0000ABB80000}"/>
    <cellStyle name="Migliaia 36 7" xfId="9851" xr:uid="{00000000-0005-0000-0000-0000ACB80000}"/>
    <cellStyle name="Migliaia 36 7 2" xfId="26177" xr:uid="{00000000-0005-0000-0000-0000ADB80000}"/>
    <cellStyle name="Migliaia 36 7 3" xfId="41155" xr:uid="{00000000-0005-0000-0000-0000AEB80000}"/>
    <cellStyle name="Migliaia 36 7 4" xfId="55695" xr:uid="{00000000-0005-0000-0000-0000AFB80000}"/>
    <cellStyle name="Migliaia 36 8" xfId="17172" xr:uid="{00000000-0005-0000-0000-0000B0B80000}"/>
    <cellStyle name="Migliaia 36 8 2" xfId="33288" xr:uid="{00000000-0005-0000-0000-0000B1B80000}"/>
    <cellStyle name="Migliaia 36 8 3" xfId="48249" xr:uid="{00000000-0005-0000-0000-0000B2B80000}"/>
    <cellStyle name="Migliaia 36 9" xfId="19158" xr:uid="{00000000-0005-0000-0000-0000B3B80000}"/>
    <cellStyle name="Migliaia 37" xfId="405" xr:uid="{00000000-0005-0000-0000-0000B4B80000}"/>
    <cellStyle name="Migliaia 37 10" xfId="34157" xr:uid="{00000000-0005-0000-0000-0000B5B80000}"/>
    <cellStyle name="Migliaia 37 11" xfId="49097" xr:uid="{00000000-0005-0000-0000-0000B6B80000}"/>
    <cellStyle name="Migliaia 37 12" xfId="49502" xr:uid="{00000000-0005-0000-0000-0000B7B80000}"/>
    <cellStyle name="Migliaia 37 13" xfId="49908" xr:uid="{00000000-0005-0000-0000-0000B8B80000}"/>
    <cellStyle name="Migliaia 37 14" xfId="50316" xr:uid="{00000000-0005-0000-0000-0000B9B80000}"/>
    <cellStyle name="Migliaia 37 15" xfId="50758" xr:uid="{00000000-0005-0000-0000-0000BAB80000}"/>
    <cellStyle name="Migliaia 37 16" xfId="51477" xr:uid="{00000000-0005-0000-0000-0000BBB80000}"/>
    <cellStyle name="Migliaia 37 17" xfId="51890" xr:uid="{00000000-0005-0000-0000-0000BCB80000}"/>
    <cellStyle name="Migliaia 37 18" xfId="52421" xr:uid="{00000000-0005-0000-0000-0000BDB80000}"/>
    <cellStyle name="Migliaia 37 2" xfId="406" xr:uid="{00000000-0005-0000-0000-0000BEB80000}"/>
    <cellStyle name="Migliaia 37 2 10" xfId="49909" xr:uid="{00000000-0005-0000-0000-0000BFB80000}"/>
    <cellStyle name="Migliaia 37 2 11" xfId="50317" xr:uid="{00000000-0005-0000-0000-0000C0B80000}"/>
    <cellStyle name="Migliaia 37 2 12" xfId="50759" xr:uid="{00000000-0005-0000-0000-0000C1B80000}"/>
    <cellStyle name="Migliaia 37 2 13" xfId="51478" xr:uid="{00000000-0005-0000-0000-0000C2B80000}"/>
    <cellStyle name="Migliaia 37 2 14" xfId="51891" xr:uid="{00000000-0005-0000-0000-0000C3B80000}"/>
    <cellStyle name="Migliaia 37 2 15" xfId="52422" xr:uid="{00000000-0005-0000-0000-0000C4B80000}"/>
    <cellStyle name="Migliaia 37 2 2" xfId="1273" xr:uid="{00000000-0005-0000-0000-0000C5B80000}"/>
    <cellStyle name="Migliaia 37 2 2 10" xfId="51067" xr:uid="{00000000-0005-0000-0000-0000C6B80000}"/>
    <cellStyle name="Migliaia 37 2 2 11" xfId="51663" xr:uid="{00000000-0005-0000-0000-0000C7B80000}"/>
    <cellStyle name="Migliaia 37 2 2 12" xfId="52084" xr:uid="{00000000-0005-0000-0000-0000C8B80000}"/>
    <cellStyle name="Migliaia 37 2 2 13" xfId="52888" xr:uid="{00000000-0005-0000-0000-0000C9B80000}"/>
    <cellStyle name="Migliaia 37 2 2 2" xfId="10041" xr:uid="{00000000-0005-0000-0000-0000CAB80000}"/>
    <cellStyle name="Migliaia 37 2 2 2 2" xfId="26362" xr:uid="{00000000-0005-0000-0000-0000CBB80000}"/>
    <cellStyle name="Migliaia 37 2 2 2 3" xfId="41330" xr:uid="{00000000-0005-0000-0000-0000CCB80000}"/>
    <cellStyle name="Migliaia 37 2 2 2 4" xfId="55243" xr:uid="{00000000-0005-0000-0000-0000CDB80000}"/>
    <cellStyle name="Migliaia 37 2 2 3" xfId="18291" xr:uid="{00000000-0005-0000-0000-0000CEB80000}"/>
    <cellStyle name="Migliaia 37 2 2 3 2" xfId="33758" xr:uid="{00000000-0005-0000-0000-0000CFB80000}"/>
    <cellStyle name="Migliaia 37 2 2 3 3" xfId="48719" xr:uid="{00000000-0005-0000-0000-0000D0B80000}"/>
    <cellStyle name="Migliaia 37 2 2 3 4" xfId="56165" xr:uid="{00000000-0005-0000-0000-0000D1B80000}"/>
    <cellStyle name="Migliaia 37 2 2 4" xfId="19341" xr:uid="{00000000-0005-0000-0000-0000D2B80000}"/>
    <cellStyle name="Migliaia 37 2 2 5" xfId="34331" xr:uid="{00000000-0005-0000-0000-0000D3B80000}"/>
    <cellStyle name="Migliaia 37 2 2 6" xfId="49283" xr:uid="{00000000-0005-0000-0000-0000D4B80000}"/>
    <cellStyle name="Migliaia 37 2 2 7" xfId="49688" xr:uid="{00000000-0005-0000-0000-0000D5B80000}"/>
    <cellStyle name="Migliaia 37 2 2 8" xfId="50097" xr:uid="{00000000-0005-0000-0000-0000D6B80000}"/>
    <cellStyle name="Migliaia 37 2 2 9" xfId="50502" xr:uid="{00000000-0005-0000-0000-0000D7B80000}"/>
    <cellStyle name="Migliaia 37 2 3" xfId="9233" xr:uid="{00000000-0005-0000-0000-0000D8B80000}"/>
    <cellStyle name="Migliaia 37 2 3 2" xfId="54621" xr:uid="{00000000-0005-0000-0000-0000D9B80000}"/>
    <cellStyle name="Migliaia 37 2 4" xfId="9856" xr:uid="{00000000-0005-0000-0000-0000DAB80000}"/>
    <cellStyle name="Migliaia 37 2 4 2" xfId="26182" xr:uid="{00000000-0005-0000-0000-0000DBB80000}"/>
    <cellStyle name="Migliaia 37 2 4 3" xfId="41160" xr:uid="{00000000-0005-0000-0000-0000DCB80000}"/>
    <cellStyle name="Migliaia 37 2 4 4" xfId="55704" xr:uid="{00000000-0005-0000-0000-0000DDB80000}"/>
    <cellStyle name="Migliaia 37 2 5" xfId="17181" xr:uid="{00000000-0005-0000-0000-0000DEB80000}"/>
    <cellStyle name="Migliaia 37 2 5 2" xfId="33297" xr:uid="{00000000-0005-0000-0000-0000DFB80000}"/>
    <cellStyle name="Migliaia 37 2 5 3" xfId="48258" xr:uid="{00000000-0005-0000-0000-0000E0B80000}"/>
    <cellStyle name="Migliaia 37 2 6" xfId="19163" xr:uid="{00000000-0005-0000-0000-0000E1B80000}"/>
    <cellStyle name="Migliaia 37 2 7" xfId="34158" xr:uid="{00000000-0005-0000-0000-0000E2B80000}"/>
    <cellStyle name="Migliaia 37 2 8" xfId="49098" xr:uid="{00000000-0005-0000-0000-0000E3B80000}"/>
    <cellStyle name="Migliaia 37 2 9" xfId="49503" xr:uid="{00000000-0005-0000-0000-0000E4B80000}"/>
    <cellStyle name="Migliaia 37 3" xfId="407" xr:uid="{00000000-0005-0000-0000-0000E5B80000}"/>
    <cellStyle name="Migliaia 37 3 10" xfId="49910" xr:uid="{00000000-0005-0000-0000-0000E6B80000}"/>
    <cellStyle name="Migliaia 37 3 11" xfId="50318" xr:uid="{00000000-0005-0000-0000-0000E7B80000}"/>
    <cellStyle name="Migliaia 37 3 12" xfId="50760" xr:uid="{00000000-0005-0000-0000-0000E8B80000}"/>
    <cellStyle name="Migliaia 37 3 13" xfId="51479" xr:uid="{00000000-0005-0000-0000-0000E9B80000}"/>
    <cellStyle name="Migliaia 37 3 14" xfId="51892" xr:uid="{00000000-0005-0000-0000-0000EAB80000}"/>
    <cellStyle name="Migliaia 37 3 15" xfId="52423" xr:uid="{00000000-0005-0000-0000-0000EBB80000}"/>
    <cellStyle name="Migliaia 37 3 2" xfId="408" xr:uid="{00000000-0005-0000-0000-0000ECB80000}"/>
    <cellStyle name="Migliaia 37 3 2 10" xfId="50319" xr:uid="{00000000-0005-0000-0000-0000EDB80000}"/>
    <cellStyle name="Migliaia 37 3 2 11" xfId="50761" xr:uid="{00000000-0005-0000-0000-0000EEB80000}"/>
    <cellStyle name="Migliaia 37 3 2 12" xfId="51480" xr:uid="{00000000-0005-0000-0000-0000EFB80000}"/>
    <cellStyle name="Migliaia 37 3 2 13" xfId="51893" xr:uid="{00000000-0005-0000-0000-0000F0B80000}"/>
    <cellStyle name="Migliaia 37 3 2 14" xfId="52424" xr:uid="{00000000-0005-0000-0000-0000F1B80000}"/>
    <cellStyle name="Migliaia 37 3 2 2" xfId="9235" xr:uid="{00000000-0005-0000-0000-0000F2B80000}"/>
    <cellStyle name="Migliaia 37 3 2 2 2" xfId="54840" xr:uid="{00000000-0005-0000-0000-0000F3B80000}"/>
    <cellStyle name="Migliaia 37 3 2 3" xfId="9858" xr:uid="{00000000-0005-0000-0000-0000F4B80000}"/>
    <cellStyle name="Migliaia 37 3 2 3 2" xfId="26184" xr:uid="{00000000-0005-0000-0000-0000F5B80000}"/>
    <cellStyle name="Migliaia 37 3 2 3 3" xfId="41162" xr:uid="{00000000-0005-0000-0000-0000F6B80000}"/>
    <cellStyle name="Migliaia 37 3 2 3 4" xfId="55706" xr:uid="{00000000-0005-0000-0000-0000F7B80000}"/>
    <cellStyle name="Migliaia 37 3 2 4" xfId="17183" xr:uid="{00000000-0005-0000-0000-0000F8B80000}"/>
    <cellStyle name="Migliaia 37 3 2 4 2" xfId="33299" xr:uid="{00000000-0005-0000-0000-0000F9B80000}"/>
    <cellStyle name="Migliaia 37 3 2 4 3" xfId="48260" xr:uid="{00000000-0005-0000-0000-0000FAB80000}"/>
    <cellStyle name="Migliaia 37 3 2 5" xfId="19165" xr:uid="{00000000-0005-0000-0000-0000FBB80000}"/>
    <cellStyle name="Migliaia 37 3 2 6" xfId="34160" xr:uid="{00000000-0005-0000-0000-0000FCB80000}"/>
    <cellStyle name="Migliaia 37 3 2 7" xfId="49100" xr:uid="{00000000-0005-0000-0000-0000FDB80000}"/>
    <cellStyle name="Migliaia 37 3 2 8" xfId="49505" xr:uid="{00000000-0005-0000-0000-0000FEB80000}"/>
    <cellStyle name="Migliaia 37 3 2 9" xfId="49911" xr:uid="{00000000-0005-0000-0000-0000FFB80000}"/>
    <cellStyle name="Migliaia 37 3 3" xfId="9234" xr:uid="{00000000-0005-0000-0000-000000B90000}"/>
    <cellStyle name="Migliaia 37 3 3 2" xfId="18293" xr:uid="{00000000-0005-0000-0000-000001B90000}"/>
    <cellStyle name="Migliaia 37 3 3 2 2" xfId="33760" xr:uid="{00000000-0005-0000-0000-000002B90000}"/>
    <cellStyle name="Migliaia 37 3 3 2 2 2" xfId="55245" xr:uid="{00000000-0005-0000-0000-000003B90000}"/>
    <cellStyle name="Migliaia 37 3 3 2 3" xfId="48721" xr:uid="{00000000-0005-0000-0000-000004B90000}"/>
    <cellStyle name="Migliaia 37 3 3 2 3 2" xfId="56167" xr:uid="{00000000-0005-0000-0000-000005B90000}"/>
    <cellStyle name="Migliaia 37 3 3 2 4" xfId="52890" xr:uid="{00000000-0005-0000-0000-000006B90000}"/>
    <cellStyle name="Migliaia 37 3 3 3" xfId="17184" xr:uid="{00000000-0005-0000-0000-000007B90000}"/>
    <cellStyle name="Migliaia 37 3 3 3 2" xfId="33300" xr:uid="{00000000-0005-0000-0000-000008B90000}"/>
    <cellStyle name="Migliaia 37 3 3 3 3" xfId="48261" xr:uid="{00000000-0005-0000-0000-000009B90000}"/>
    <cellStyle name="Migliaia 37 3 3 3 4" xfId="54841" xr:uid="{00000000-0005-0000-0000-00000AB90000}"/>
    <cellStyle name="Migliaia 37 3 3 4" xfId="55707" xr:uid="{00000000-0005-0000-0000-00000BB90000}"/>
    <cellStyle name="Migliaia 37 3 3 5" xfId="52425" xr:uid="{00000000-0005-0000-0000-00000CB90000}"/>
    <cellStyle name="Migliaia 37 3 4" xfId="9857" xr:uid="{00000000-0005-0000-0000-00000DB90000}"/>
    <cellStyle name="Migliaia 37 3 4 2" xfId="18292" xr:uid="{00000000-0005-0000-0000-00000EB90000}"/>
    <cellStyle name="Migliaia 37 3 4 2 2" xfId="33759" xr:uid="{00000000-0005-0000-0000-00000FB90000}"/>
    <cellStyle name="Migliaia 37 3 4 2 3" xfId="48720" xr:uid="{00000000-0005-0000-0000-000010B90000}"/>
    <cellStyle name="Migliaia 37 3 4 2 4" xfId="55244" xr:uid="{00000000-0005-0000-0000-000011B90000}"/>
    <cellStyle name="Migliaia 37 3 4 3" xfId="26183" xr:uid="{00000000-0005-0000-0000-000012B90000}"/>
    <cellStyle name="Migliaia 37 3 4 3 2" xfId="56166" xr:uid="{00000000-0005-0000-0000-000013B90000}"/>
    <cellStyle name="Migliaia 37 3 4 4" xfId="41161" xr:uid="{00000000-0005-0000-0000-000014B90000}"/>
    <cellStyle name="Migliaia 37 3 4 5" xfId="52889" xr:uid="{00000000-0005-0000-0000-000015B90000}"/>
    <cellStyle name="Migliaia 37 3 5" xfId="17182" xr:uid="{00000000-0005-0000-0000-000016B90000}"/>
    <cellStyle name="Migliaia 37 3 5 2" xfId="33298" xr:uid="{00000000-0005-0000-0000-000017B90000}"/>
    <cellStyle name="Migliaia 37 3 5 3" xfId="48259" xr:uid="{00000000-0005-0000-0000-000018B90000}"/>
    <cellStyle name="Migliaia 37 3 5 4" xfId="54839" xr:uid="{00000000-0005-0000-0000-000019B90000}"/>
    <cellStyle name="Migliaia 37 3 6" xfId="19164" xr:uid="{00000000-0005-0000-0000-00001AB90000}"/>
    <cellStyle name="Migliaia 37 3 6 2" xfId="55705" xr:uid="{00000000-0005-0000-0000-00001BB90000}"/>
    <cellStyle name="Migliaia 37 3 7" xfId="34159" xr:uid="{00000000-0005-0000-0000-00001CB90000}"/>
    <cellStyle name="Migliaia 37 3 8" xfId="49099" xr:uid="{00000000-0005-0000-0000-00001DB90000}"/>
    <cellStyle name="Migliaia 37 3 9" xfId="49504" xr:uid="{00000000-0005-0000-0000-00001EB90000}"/>
    <cellStyle name="Migliaia 37 4" xfId="9236" xr:uid="{00000000-0005-0000-0000-00001FB90000}"/>
    <cellStyle name="Migliaia 37 4 2" xfId="17186" xr:uid="{00000000-0005-0000-0000-000020B90000}"/>
    <cellStyle name="Migliaia 37 4 2 2" xfId="18295" xr:uid="{00000000-0005-0000-0000-000021B90000}"/>
    <cellStyle name="Migliaia 37 4 2 2 2" xfId="33762" xr:uid="{00000000-0005-0000-0000-000022B90000}"/>
    <cellStyle name="Migliaia 37 4 2 2 2 2" xfId="55247" xr:uid="{00000000-0005-0000-0000-000023B90000}"/>
    <cellStyle name="Migliaia 37 4 2 2 3" xfId="48723" xr:uid="{00000000-0005-0000-0000-000024B90000}"/>
    <cellStyle name="Migliaia 37 4 2 2 3 2" xfId="56169" xr:uid="{00000000-0005-0000-0000-000025B90000}"/>
    <cellStyle name="Migliaia 37 4 2 2 4" xfId="52892" xr:uid="{00000000-0005-0000-0000-000026B90000}"/>
    <cellStyle name="Migliaia 37 4 2 3" xfId="33302" xr:uid="{00000000-0005-0000-0000-000027B90000}"/>
    <cellStyle name="Migliaia 37 4 2 3 2" xfId="54843" xr:uid="{00000000-0005-0000-0000-000028B90000}"/>
    <cellStyle name="Migliaia 37 4 2 4" xfId="48263" xr:uid="{00000000-0005-0000-0000-000029B90000}"/>
    <cellStyle name="Migliaia 37 4 2 4 2" xfId="55709" xr:uid="{00000000-0005-0000-0000-00002AB90000}"/>
    <cellStyle name="Migliaia 37 4 2 5" xfId="52427" xr:uid="{00000000-0005-0000-0000-00002BB90000}"/>
    <cellStyle name="Migliaia 37 4 3" xfId="18294" xr:uid="{00000000-0005-0000-0000-00002CB90000}"/>
    <cellStyle name="Migliaia 37 4 3 2" xfId="33761" xr:uid="{00000000-0005-0000-0000-00002DB90000}"/>
    <cellStyle name="Migliaia 37 4 3 2 2" xfId="55246" xr:uid="{00000000-0005-0000-0000-00002EB90000}"/>
    <cellStyle name="Migliaia 37 4 3 3" xfId="48722" xr:uid="{00000000-0005-0000-0000-00002FB90000}"/>
    <cellStyle name="Migliaia 37 4 3 3 2" xfId="56168" xr:uid="{00000000-0005-0000-0000-000030B90000}"/>
    <cellStyle name="Migliaia 37 4 3 4" xfId="52891" xr:uid="{00000000-0005-0000-0000-000031B90000}"/>
    <cellStyle name="Migliaia 37 4 4" xfId="17185" xr:uid="{00000000-0005-0000-0000-000032B90000}"/>
    <cellStyle name="Migliaia 37 4 4 2" xfId="33301" xr:uid="{00000000-0005-0000-0000-000033B90000}"/>
    <cellStyle name="Migliaia 37 4 4 3" xfId="48262" xr:uid="{00000000-0005-0000-0000-000034B90000}"/>
    <cellStyle name="Migliaia 37 4 4 4" xfId="54842" xr:uid="{00000000-0005-0000-0000-000035B90000}"/>
    <cellStyle name="Migliaia 37 4 5" xfId="51222" xr:uid="{00000000-0005-0000-0000-000036B90000}"/>
    <cellStyle name="Migliaia 37 4 5 2" xfId="55708" xr:uid="{00000000-0005-0000-0000-000037B90000}"/>
    <cellStyle name="Migliaia 37 4 6" xfId="52426" xr:uid="{00000000-0005-0000-0000-000038B90000}"/>
    <cellStyle name="Migliaia 37 5" xfId="9237" xr:uid="{00000000-0005-0000-0000-000039B90000}"/>
    <cellStyle name="Migliaia 37 5 2" xfId="17187" xr:uid="{00000000-0005-0000-0000-00003AB90000}"/>
    <cellStyle name="Migliaia 37 5 2 2" xfId="33303" xr:uid="{00000000-0005-0000-0000-00003BB90000}"/>
    <cellStyle name="Migliaia 37 5 2 3" xfId="48264" xr:uid="{00000000-0005-0000-0000-00003CB90000}"/>
    <cellStyle name="Migliaia 37 5 2 4" xfId="54844" xr:uid="{00000000-0005-0000-0000-00003DB90000}"/>
    <cellStyle name="Migliaia 37 5 3" xfId="51221" xr:uid="{00000000-0005-0000-0000-00003EB90000}"/>
    <cellStyle name="Migliaia 37 5 3 2" xfId="55710" xr:uid="{00000000-0005-0000-0000-00003FB90000}"/>
    <cellStyle name="Migliaia 37 5 4" xfId="52428" xr:uid="{00000000-0005-0000-0000-000040B90000}"/>
    <cellStyle name="Migliaia 37 6" xfId="9232" xr:uid="{00000000-0005-0000-0000-000041B90000}"/>
    <cellStyle name="Migliaia 37 6 2" xfId="51129" xr:uid="{00000000-0005-0000-0000-000042B90000}"/>
    <cellStyle name="Migliaia 37 6 3" xfId="54557" xr:uid="{00000000-0005-0000-0000-000043B90000}"/>
    <cellStyle name="Migliaia 37 7" xfId="9855" xr:uid="{00000000-0005-0000-0000-000044B90000}"/>
    <cellStyle name="Migliaia 37 7 2" xfId="26181" xr:uid="{00000000-0005-0000-0000-000045B90000}"/>
    <cellStyle name="Migliaia 37 7 3" xfId="41159" xr:uid="{00000000-0005-0000-0000-000046B90000}"/>
    <cellStyle name="Migliaia 37 7 4" xfId="55703" xr:uid="{00000000-0005-0000-0000-000047B90000}"/>
    <cellStyle name="Migliaia 37 8" xfId="17180" xr:uid="{00000000-0005-0000-0000-000048B90000}"/>
    <cellStyle name="Migliaia 37 8 2" xfId="33296" xr:uid="{00000000-0005-0000-0000-000049B90000}"/>
    <cellStyle name="Migliaia 37 8 3" xfId="48257" xr:uid="{00000000-0005-0000-0000-00004AB90000}"/>
    <cellStyle name="Migliaia 37 9" xfId="19162" xr:uid="{00000000-0005-0000-0000-00004BB90000}"/>
    <cellStyle name="Migliaia 38" xfId="409" xr:uid="{00000000-0005-0000-0000-00004CB90000}"/>
    <cellStyle name="Migliaia 38 10" xfId="34161" xr:uid="{00000000-0005-0000-0000-00004DB90000}"/>
    <cellStyle name="Migliaia 38 11" xfId="49101" xr:uid="{00000000-0005-0000-0000-00004EB90000}"/>
    <cellStyle name="Migliaia 38 12" xfId="49506" xr:uid="{00000000-0005-0000-0000-00004FB90000}"/>
    <cellStyle name="Migliaia 38 13" xfId="49912" xr:uid="{00000000-0005-0000-0000-000050B90000}"/>
    <cellStyle name="Migliaia 38 14" xfId="50320" xr:uid="{00000000-0005-0000-0000-000051B90000}"/>
    <cellStyle name="Migliaia 38 15" xfId="50762" xr:uid="{00000000-0005-0000-0000-000052B90000}"/>
    <cellStyle name="Migliaia 38 16" xfId="51481" xr:uid="{00000000-0005-0000-0000-000053B90000}"/>
    <cellStyle name="Migliaia 38 17" xfId="51894" xr:uid="{00000000-0005-0000-0000-000054B90000}"/>
    <cellStyle name="Migliaia 38 18" xfId="52429" xr:uid="{00000000-0005-0000-0000-000055B90000}"/>
    <cellStyle name="Migliaia 38 2" xfId="410" xr:uid="{00000000-0005-0000-0000-000056B90000}"/>
    <cellStyle name="Migliaia 38 2 10" xfId="49913" xr:uid="{00000000-0005-0000-0000-000057B90000}"/>
    <cellStyle name="Migliaia 38 2 11" xfId="50321" xr:uid="{00000000-0005-0000-0000-000058B90000}"/>
    <cellStyle name="Migliaia 38 2 12" xfId="50763" xr:uid="{00000000-0005-0000-0000-000059B90000}"/>
    <cellStyle name="Migliaia 38 2 13" xfId="51482" xr:uid="{00000000-0005-0000-0000-00005AB90000}"/>
    <cellStyle name="Migliaia 38 2 14" xfId="51895" xr:uid="{00000000-0005-0000-0000-00005BB90000}"/>
    <cellStyle name="Migliaia 38 2 15" xfId="52430" xr:uid="{00000000-0005-0000-0000-00005CB90000}"/>
    <cellStyle name="Migliaia 38 2 2" xfId="1274" xr:uid="{00000000-0005-0000-0000-00005DB90000}"/>
    <cellStyle name="Migliaia 38 2 2 10" xfId="51068" xr:uid="{00000000-0005-0000-0000-00005EB90000}"/>
    <cellStyle name="Migliaia 38 2 2 11" xfId="51664" xr:uid="{00000000-0005-0000-0000-00005FB90000}"/>
    <cellStyle name="Migliaia 38 2 2 12" xfId="52085" xr:uid="{00000000-0005-0000-0000-000060B90000}"/>
    <cellStyle name="Migliaia 38 2 2 13" xfId="52893" xr:uid="{00000000-0005-0000-0000-000061B90000}"/>
    <cellStyle name="Migliaia 38 2 2 2" xfId="10042" xr:uid="{00000000-0005-0000-0000-000062B90000}"/>
    <cellStyle name="Migliaia 38 2 2 2 2" xfId="26363" xr:uid="{00000000-0005-0000-0000-000063B90000}"/>
    <cellStyle name="Migliaia 38 2 2 2 3" xfId="41331" xr:uid="{00000000-0005-0000-0000-000064B90000}"/>
    <cellStyle name="Migliaia 38 2 2 2 4" xfId="55248" xr:uid="{00000000-0005-0000-0000-000065B90000}"/>
    <cellStyle name="Migliaia 38 2 2 3" xfId="18296" xr:uid="{00000000-0005-0000-0000-000066B90000}"/>
    <cellStyle name="Migliaia 38 2 2 3 2" xfId="33763" xr:uid="{00000000-0005-0000-0000-000067B90000}"/>
    <cellStyle name="Migliaia 38 2 2 3 3" xfId="48724" xr:uid="{00000000-0005-0000-0000-000068B90000}"/>
    <cellStyle name="Migliaia 38 2 2 3 4" xfId="56170" xr:uid="{00000000-0005-0000-0000-000069B90000}"/>
    <cellStyle name="Migliaia 38 2 2 4" xfId="19342" xr:uid="{00000000-0005-0000-0000-00006AB90000}"/>
    <cellStyle name="Migliaia 38 2 2 5" xfId="34332" xr:uid="{00000000-0005-0000-0000-00006BB90000}"/>
    <cellStyle name="Migliaia 38 2 2 6" xfId="49284" xr:uid="{00000000-0005-0000-0000-00006CB90000}"/>
    <cellStyle name="Migliaia 38 2 2 7" xfId="49689" xr:uid="{00000000-0005-0000-0000-00006DB90000}"/>
    <cellStyle name="Migliaia 38 2 2 8" xfId="50098" xr:uid="{00000000-0005-0000-0000-00006EB90000}"/>
    <cellStyle name="Migliaia 38 2 2 9" xfId="50503" xr:uid="{00000000-0005-0000-0000-00006FB90000}"/>
    <cellStyle name="Migliaia 38 2 3" xfId="9239" xr:uid="{00000000-0005-0000-0000-000070B90000}"/>
    <cellStyle name="Migliaia 38 2 3 2" xfId="54622" xr:uid="{00000000-0005-0000-0000-000071B90000}"/>
    <cellStyle name="Migliaia 38 2 4" xfId="9860" xr:uid="{00000000-0005-0000-0000-000072B90000}"/>
    <cellStyle name="Migliaia 38 2 4 2" xfId="26186" xr:uid="{00000000-0005-0000-0000-000073B90000}"/>
    <cellStyle name="Migliaia 38 2 4 3" xfId="41164" xr:uid="{00000000-0005-0000-0000-000074B90000}"/>
    <cellStyle name="Migliaia 38 2 4 4" xfId="55712" xr:uid="{00000000-0005-0000-0000-000075B90000}"/>
    <cellStyle name="Migliaia 38 2 5" xfId="17189" xr:uid="{00000000-0005-0000-0000-000076B90000}"/>
    <cellStyle name="Migliaia 38 2 5 2" xfId="33305" xr:uid="{00000000-0005-0000-0000-000077B90000}"/>
    <cellStyle name="Migliaia 38 2 5 3" xfId="48266" xr:uid="{00000000-0005-0000-0000-000078B90000}"/>
    <cellStyle name="Migliaia 38 2 6" xfId="19167" xr:uid="{00000000-0005-0000-0000-000079B90000}"/>
    <cellStyle name="Migliaia 38 2 7" xfId="34162" xr:uid="{00000000-0005-0000-0000-00007AB90000}"/>
    <cellStyle name="Migliaia 38 2 8" xfId="49102" xr:uid="{00000000-0005-0000-0000-00007BB90000}"/>
    <cellStyle name="Migliaia 38 2 9" xfId="49507" xr:uid="{00000000-0005-0000-0000-00007CB90000}"/>
    <cellStyle name="Migliaia 38 3" xfId="411" xr:uid="{00000000-0005-0000-0000-00007DB90000}"/>
    <cellStyle name="Migliaia 38 3 10" xfId="49914" xr:uid="{00000000-0005-0000-0000-00007EB90000}"/>
    <cellStyle name="Migliaia 38 3 11" xfId="50322" xr:uid="{00000000-0005-0000-0000-00007FB90000}"/>
    <cellStyle name="Migliaia 38 3 12" xfId="50764" xr:uid="{00000000-0005-0000-0000-000080B90000}"/>
    <cellStyle name="Migliaia 38 3 13" xfId="51483" xr:uid="{00000000-0005-0000-0000-000081B90000}"/>
    <cellStyle name="Migliaia 38 3 14" xfId="51896" xr:uid="{00000000-0005-0000-0000-000082B90000}"/>
    <cellStyle name="Migliaia 38 3 15" xfId="52431" xr:uid="{00000000-0005-0000-0000-000083B90000}"/>
    <cellStyle name="Migliaia 38 3 2" xfId="412" xr:uid="{00000000-0005-0000-0000-000084B90000}"/>
    <cellStyle name="Migliaia 38 3 2 10" xfId="50323" xr:uid="{00000000-0005-0000-0000-000085B90000}"/>
    <cellStyle name="Migliaia 38 3 2 11" xfId="50765" xr:uid="{00000000-0005-0000-0000-000086B90000}"/>
    <cellStyle name="Migliaia 38 3 2 12" xfId="51484" xr:uid="{00000000-0005-0000-0000-000087B90000}"/>
    <cellStyle name="Migliaia 38 3 2 13" xfId="51897" xr:uid="{00000000-0005-0000-0000-000088B90000}"/>
    <cellStyle name="Migliaia 38 3 2 14" xfId="52432" xr:uid="{00000000-0005-0000-0000-000089B90000}"/>
    <cellStyle name="Migliaia 38 3 2 2" xfId="9241" xr:uid="{00000000-0005-0000-0000-00008AB90000}"/>
    <cellStyle name="Migliaia 38 3 2 2 2" xfId="54846" xr:uid="{00000000-0005-0000-0000-00008BB90000}"/>
    <cellStyle name="Migliaia 38 3 2 3" xfId="9862" xr:uid="{00000000-0005-0000-0000-00008CB90000}"/>
    <cellStyle name="Migliaia 38 3 2 3 2" xfId="26188" xr:uid="{00000000-0005-0000-0000-00008DB90000}"/>
    <cellStyle name="Migliaia 38 3 2 3 3" xfId="41166" xr:uid="{00000000-0005-0000-0000-00008EB90000}"/>
    <cellStyle name="Migliaia 38 3 2 3 4" xfId="55714" xr:uid="{00000000-0005-0000-0000-00008FB90000}"/>
    <cellStyle name="Migliaia 38 3 2 4" xfId="17191" xr:uid="{00000000-0005-0000-0000-000090B90000}"/>
    <cellStyle name="Migliaia 38 3 2 4 2" xfId="33307" xr:uid="{00000000-0005-0000-0000-000091B90000}"/>
    <cellStyle name="Migliaia 38 3 2 4 3" xfId="48268" xr:uid="{00000000-0005-0000-0000-000092B90000}"/>
    <cellStyle name="Migliaia 38 3 2 5" xfId="19169" xr:uid="{00000000-0005-0000-0000-000093B90000}"/>
    <cellStyle name="Migliaia 38 3 2 6" xfId="34164" xr:uid="{00000000-0005-0000-0000-000094B90000}"/>
    <cellStyle name="Migliaia 38 3 2 7" xfId="49104" xr:uid="{00000000-0005-0000-0000-000095B90000}"/>
    <cellStyle name="Migliaia 38 3 2 8" xfId="49509" xr:uid="{00000000-0005-0000-0000-000096B90000}"/>
    <cellStyle name="Migliaia 38 3 2 9" xfId="49915" xr:uid="{00000000-0005-0000-0000-000097B90000}"/>
    <cellStyle name="Migliaia 38 3 3" xfId="9240" xr:uid="{00000000-0005-0000-0000-000098B90000}"/>
    <cellStyle name="Migliaia 38 3 3 2" xfId="18298" xr:uid="{00000000-0005-0000-0000-000099B90000}"/>
    <cellStyle name="Migliaia 38 3 3 2 2" xfId="33765" xr:uid="{00000000-0005-0000-0000-00009AB90000}"/>
    <cellStyle name="Migliaia 38 3 3 2 2 2" xfId="55250" xr:uid="{00000000-0005-0000-0000-00009BB90000}"/>
    <cellStyle name="Migliaia 38 3 3 2 3" xfId="48726" xr:uid="{00000000-0005-0000-0000-00009CB90000}"/>
    <cellStyle name="Migliaia 38 3 3 2 3 2" xfId="56172" xr:uid="{00000000-0005-0000-0000-00009DB90000}"/>
    <cellStyle name="Migliaia 38 3 3 2 4" xfId="52895" xr:uid="{00000000-0005-0000-0000-00009EB90000}"/>
    <cellStyle name="Migliaia 38 3 3 3" xfId="17192" xr:uid="{00000000-0005-0000-0000-00009FB90000}"/>
    <cellStyle name="Migliaia 38 3 3 3 2" xfId="33308" xr:uid="{00000000-0005-0000-0000-0000A0B90000}"/>
    <cellStyle name="Migliaia 38 3 3 3 3" xfId="48269" xr:uid="{00000000-0005-0000-0000-0000A1B90000}"/>
    <cellStyle name="Migliaia 38 3 3 3 4" xfId="54847" xr:uid="{00000000-0005-0000-0000-0000A2B90000}"/>
    <cellStyle name="Migliaia 38 3 3 4" xfId="55715" xr:uid="{00000000-0005-0000-0000-0000A3B90000}"/>
    <cellStyle name="Migliaia 38 3 3 5" xfId="52433" xr:uid="{00000000-0005-0000-0000-0000A4B90000}"/>
    <cellStyle name="Migliaia 38 3 4" xfId="9861" xr:uid="{00000000-0005-0000-0000-0000A5B90000}"/>
    <cellStyle name="Migliaia 38 3 4 2" xfId="18297" xr:uid="{00000000-0005-0000-0000-0000A6B90000}"/>
    <cellStyle name="Migliaia 38 3 4 2 2" xfId="33764" xr:uid="{00000000-0005-0000-0000-0000A7B90000}"/>
    <cellStyle name="Migliaia 38 3 4 2 3" xfId="48725" xr:uid="{00000000-0005-0000-0000-0000A8B90000}"/>
    <cellStyle name="Migliaia 38 3 4 2 4" xfId="55249" xr:uid="{00000000-0005-0000-0000-0000A9B90000}"/>
    <cellStyle name="Migliaia 38 3 4 3" xfId="26187" xr:uid="{00000000-0005-0000-0000-0000AAB90000}"/>
    <cellStyle name="Migliaia 38 3 4 3 2" xfId="56171" xr:uid="{00000000-0005-0000-0000-0000ABB90000}"/>
    <cellStyle name="Migliaia 38 3 4 4" xfId="41165" xr:uid="{00000000-0005-0000-0000-0000ACB90000}"/>
    <cellStyle name="Migliaia 38 3 4 5" xfId="52894" xr:uid="{00000000-0005-0000-0000-0000ADB90000}"/>
    <cellStyle name="Migliaia 38 3 5" xfId="17190" xr:uid="{00000000-0005-0000-0000-0000AEB90000}"/>
    <cellStyle name="Migliaia 38 3 5 2" xfId="33306" xr:uid="{00000000-0005-0000-0000-0000AFB90000}"/>
    <cellStyle name="Migliaia 38 3 5 3" xfId="48267" xr:uid="{00000000-0005-0000-0000-0000B0B90000}"/>
    <cellStyle name="Migliaia 38 3 5 4" xfId="54845" xr:uid="{00000000-0005-0000-0000-0000B1B90000}"/>
    <cellStyle name="Migliaia 38 3 6" xfId="19168" xr:uid="{00000000-0005-0000-0000-0000B2B90000}"/>
    <cellStyle name="Migliaia 38 3 6 2" xfId="55713" xr:uid="{00000000-0005-0000-0000-0000B3B90000}"/>
    <cellStyle name="Migliaia 38 3 7" xfId="34163" xr:uid="{00000000-0005-0000-0000-0000B4B90000}"/>
    <cellStyle name="Migliaia 38 3 8" xfId="49103" xr:uid="{00000000-0005-0000-0000-0000B5B90000}"/>
    <cellStyle name="Migliaia 38 3 9" xfId="49508" xr:uid="{00000000-0005-0000-0000-0000B6B90000}"/>
    <cellStyle name="Migliaia 38 4" xfId="9242" xr:uid="{00000000-0005-0000-0000-0000B7B90000}"/>
    <cellStyle name="Migliaia 38 4 2" xfId="17194" xr:uid="{00000000-0005-0000-0000-0000B8B90000}"/>
    <cellStyle name="Migliaia 38 4 2 2" xfId="18300" xr:uid="{00000000-0005-0000-0000-0000B9B90000}"/>
    <cellStyle name="Migliaia 38 4 2 2 2" xfId="33767" xr:uid="{00000000-0005-0000-0000-0000BAB90000}"/>
    <cellStyle name="Migliaia 38 4 2 2 2 2" xfId="55252" xr:uid="{00000000-0005-0000-0000-0000BBB90000}"/>
    <cellStyle name="Migliaia 38 4 2 2 3" xfId="48728" xr:uid="{00000000-0005-0000-0000-0000BCB90000}"/>
    <cellStyle name="Migliaia 38 4 2 2 3 2" xfId="56174" xr:uid="{00000000-0005-0000-0000-0000BDB90000}"/>
    <cellStyle name="Migliaia 38 4 2 2 4" xfId="52897" xr:uid="{00000000-0005-0000-0000-0000BEB90000}"/>
    <cellStyle name="Migliaia 38 4 2 3" xfId="33310" xr:uid="{00000000-0005-0000-0000-0000BFB90000}"/>
    <cellStyle name="Migliaia 38 4 2 3 2" xfId="54849" xr:uid="{00000000-0005-0000-0000-0000C0B90000}"/>
    <cellStyle name="Migliaia 38 4 2 4" xfId="48271" xr:uid="{00000000-0005-0000-0000-0000C1B90000}"/>
    <cellStyle name="Migliaia 38 4 2 4 2" xfId="55717" xr:uid="{00000000-0005-0000-0000-0000C2B90000}"/>
    <cellStyle name="Migliaia 38 4 2 5" xfId="52435" xr:uid="{00000000-0005-0000-0000-0000C3B90000}"/>
    <cellStyle name="Migliaia 38 4 3" xfId="18299" xr:uid="{00000000-0005-0000-0000-0000C4B90000}"/>
    <cellStyle name="Migliaia 38 4 3 2" xfId="33766" xr:uid="{00000000-0005-0000-0000-0000C5B90000}"/>
    <cellStyle name="Migliaia 38 4 3 2 2" xfId="55251" xr:uid="{00000000-0005-0000-0000-0000C6B90000}"/>
    <cellStyle name="Migliaia 38 4 3 3" xfId="48727" xr:uid="{00000000-0005-0000-0000-0000C7B90000}"/>
    <cellStyle name="Migliaia 38 4 3 3 2" xfId="56173" xr:uid="{00000000-0005-0000-0000-0000C8B90000}"/>
    <cellStyle name="Migliaia 38 4 3 4" xfId="52896" xr:uid="{00000000-0005-0000-0000-0000C9B90000}"/>
    <cellStyle name="Migliaia 38 4 4" xfId="17193" xr:uid="{00000000-0005-0000-0000-0000CAB90000}"/>
    <cellStyle name="Migliaia 38 4 4 2" xfId="33309" xr:uid="{00000000-0005-0000-0000-0000CBB90000}"/>
    <cellStyle name="Migliaia 38 4 4 3" xfId="48270" xr:uid="{00000000-0005-0000-0000-0000CCB90000}"/>
    <cellStyle name="Migliaia 38 4 4 4" xfId="54848" xr:uid="{00000000-0005-0000-0000-0000CDB90000}"/>
    <cellStyle name="Migliaia 38 4 5" xfId="51223" xr:uid="{00000000-0005-0000-0000-0000CEB90000}"/>
    <cellStyle name="Migliaia 38 4 5 2" xfId="55716" xr:uid="{00000000-0005-0000-0000-0000CFB90000}"/>
    <cellStyle name="Migliaia 38 4 6" xfId="52434" xr:uid="{00000000-0005-0000-0000-0000D0B90000}"/>
    <cellStyle name="Migliaia 38 5" xfId="9243" xr:uid="{00000000-0005-0000-0000-0000D1B90000}"/>
    <cellStyle name="Migliaia 38 5 2" xfId="17195" xr:uid="{00000000-0005-0000-0000-0000D2B90000}"/>
    <cellStyle name="Migliaia 38 5 2 2" xfId="33311" xr:uid="{00000000-0005-0000-0000-0000D3B90000}"/>
    <cellStyle name="Migliaia 38 5 2 3" xfId="48272" xr:uid="{00000000-0005-0000-0000-0000D4B90000}"/>
    <cellStyle name="Migliaia 38 5 2 4" xfId="54850" xr:uid="{00000000-0005-0000-0000-0000D5B90000}"/>
    <cellStyle name="Migliaia 38 5 3" xfId="50913" xr:uid="{00000000-0005-0000-0000-0000D6B90000}"/>
    <cellStyle name="Migliaia 38 5 3 2" xfId="55718" xr:uid="{00000000-0005-0000-0000-0000D7B90000}"/>
    <cellStyle name="Migliaia 38 5 4" xfId="52436" xr:uid="{00000000-0005-0000-0000-0000D8B90000}"/>
    <cellStyle name="Migliaia 38 6" xfId="9238" xr:uid="{00000000-0005-0000-0000-0000D9B90000}"/>
    <cellStyle name="Migliaia 38 6 2" xfId="50974" xr:uid="{00000000-0005-0000-0000-0000DAB90000}"/>
    <cellStyle name="Migliaia 38 6 3" xfId="54558" xr:uid="{00000000-0005-0000-0000-0000DBB90000}"/>
    <cellStyle name="Migliaia 38 7" xfId="9859" xr:uid="{00000000-0005-0000-0000-0000DCB90000}"/>
    <cellStyle name="Migliaia 38 7 2" xfId="26185" xr:uid="{00000000-0005-0000-0000-0000DDB90000}"/>
    <cellStyle name="Migliaia 38 7 3" xfId="41163" xr:uid="{00000000-0005-0000-0000-0000DEB90000}"/>
    <cellStyle name="Migliaia 38 7 4" xfId="55711" xr:uid="{00000000-0005-0000-0000-0000DFB90000}"/>
    <cellStyle name="Migliaia 38 8" xfId="17188" xr:uid="{00000000-0005-0000-0000-0000E0B90000}"/>
    <cellStyle name="Migliaia 38 8 2" xfId="33304" xr:uid="{00000000-0005-0000-0000-0000E1B90000}"/>
    <cellStyle name="Migliaia 38 8 3" xfId="48265" xr:uid="{00000000-0005-0000-0000-0000E2B90000}"/>
    <cellStyle name="Migliaia 38 9" xfId="19166" xr:uid="{00000000-0005-0000-0000-0000E3B90000}"/>
    <cellStyle name="Migliaia 39" xfId="413" xr:uid="{00000000-0005-0000-0000-0000E4B90000}"/>
    <cellStyle name="Migliaia 39 10" xfId="34165" xr:uid="{00000000-0005-0000-0000-0000E5B90000}"/>
    <cellStyle name="Migliaia 39 11" xfId="49105" xr:uid="{00000000-0005-0000-0000-0000E6B90000}"/>
    <cellStyle name="Migliaia 39 12" xfId="49510" xr:uid="{00000000-0005-0000-0000-0000E7B90000}"/>
    <cellStyle name="Migliaia 39 13" xfId="49916" xr:uid="{00000000-0005-0000-0000-0000E8B90000}"/>
    <cellStyle name="Migliaia 39 14" xfId="50324" xr:uid="{00000000-0005-0000-0000-0000E9B90000}"/>
    <cellStyle name="Migliaia 39 15" xfId="50766" xr:uid="{00000000-0005-0000-0000-0000EAB90000}"/>
    <cellStyle name="Migliaia 39 16" xfId="51485" xr:uid="{00000000-0005-0000-0000-0000EBB90000}"/>
    <cellStyle name="Migliaia 39 17" xfId="51898" xr:uid="{00000000-0005-0000-0000-0000ECB90000}"/>
    <cellStyle name="Migliaia 39 18" xfId="52437" xr:uid="{00000000-0005-0000-0000-0000EDB90000}"/>
    <cellStyle name="Migliaia 39 2" xfId="414" xr:uid="{00000000-0005-0000-0000-0000EEB90000}"/>
    <cellStyle name="Migliaia 39 2 10" xfId="49917" xr:uid="{00000000-0005-0000-0000-0000EFB90000}"/>
    <cellStyle name="Migliaia 39 2 11" xfId="50325" xr:uid="{00000000-0005-0000-0000-0000F0B90000}"/>
    <cellStyle name="Migliaia 39 2 12" xfId="50767" xr:uid="{00000000-0005-0000-0000-0000F1B90000}"/>
    <cellStyle name="Migliaia 39 2 13" xfId="51486" xr:uid="{00000000-0005-0000-0000-0000F2B90000}"/>
    <cellStyle name="Migliaia 39 2 14" xfId="51899" xr:uid="{00000000-0005-0000-0000-0000F3B90000}"/>
    <cellStyle name="Migliaia 39 2 15" xfId="52438" xr:uid="{00000000-0005-0000-0000-0000F4B90000}"/>
    <cellStyle name="Migliaia 39 2 2" xfId="1275" xr:uid="{00000000-0005-0000-0000-0000F5B90000}"/>
    <cellStyle name="Migliaia 39 2 2 10" xfId="51069" xr:uid="{00000000-0005-0000-0000-0000F6B90000}"/>
    <cellStyle name="Migliaia 39 2 2 11" xfId="51665" xr:uid="{00000000-0005-0000-0000-0000F7B90000}"/>
    <cellStyle name="Migliaia 39 2 2 12" xfId="52086" xr:uid="{00000000-0005-0000-0000-0000F8B90000}"/>
    <cellStyle name="Migliaia 39 2 2 13" xfId="52898" xr:uid="{00000000-0005-0000-0000-0000F9B90000}"/>
    <cellStyle name="Migliaia 39 2 2 2" xfId="10043" xr:uid="{00000000-0005-0000-0000-0000FAB90000}"/>
    <cellStyle name="Migliaia 39 2 2 2 2" xfId="26364" xr:uid="{00000000-0005-0000-0000-0000FBB90000}"/>
    <cellStyle name="Migliaia 39 2 2 2 3" xfId="41332" xr:uid="{00000000-0005-0000-0000-0000FCB90000}"/>
    <cellStyle name="Migliaia 39 2 2 2 4" xfId="55253" xr:uid="{00000000-0005-0000-0000-0000FDB90000}"/>
    <cellStyle name="Migliaia 39 2 2 3" xfId="18301" xr:uid="{00000000-0005-0000-0000-0000FEB90000}"/>
    <cellStyle name="Migliaia 39 2 2 3 2" xfId="33768" xr:uid="{00000000-0005-0000-0000-0000FFB90000}"/>
    <cellStyle name="Migliaia 39 2 2 3 3" xfId="48729" xr:uid="{00000000-0005-0000-0000-000000BA0000}"/>
    <cellStyle name="Migliaia 39 2 2 3 4" xfId="56175" xr:uid="{00000000-0005-0000-0000-000001BA0000}"/>
    <cellStyle name="Migliaia 39 2 2 4" xfId="19343" xr:uid="{00000000-0005-0000-0000-000002BA0000}"/>
    <cellStyle name="Migliaia 39 2 2 5" xfId="34333" xr:uid="{00000000-0005-0000-0000-000003BA0000}"/>
    <cellStyle name="Migliaia 39 2 2 6" xfId="49285" xr:uid="{00000000-0005-0000-0000-000004BA0000}"/>
    <cellStyle name="Migliaia 39 2 2 7" xfId="49690" xr:uid="{00000000-0005-0000-0000-000005BA0000}"/>
    <cellStyle name="Migliaia 39 2 2 8" xfId="50099" xr:uid="{00000000-0005-0000-0000-000006BA0000}"/>
    <cellStyle name="Migliaia 39 2 2 9" xfId="50504" xr:uid="{00000000-0005-0000-0000-000007BA0000}"/>
    <cellStyle name="Migliaia 39 2 3" xfId="9245" xr:uid="{00000000-0005-0000-0000-000008BA0000}"/>
    <cellStyle name="Migliaia 39 2 3 2" xfId="54623" xr:uid="{00000000-0005-0000-0000-000009BA0000}"/>
    <cellStyle name="Migliaia 39 2 4" xfId="9864" xr:uid="{00000000-0005-0000-0000-00000ABA0000}"/>
    <cellStyle name="Migliaia 39 2 4 2" xfId="26190" xr:uid="{00000000-0005-0000-0000-00000BBA0000}"/>
    <cellStyle name="Migliaia 39 2 4 3" xfId="41168" xr:uid="{00000000-0005-0000-0000-00000CBA0000}"/>
    <cellStyle name="Migliaia 39 2 4 4" xfId="55720" xr:uid="{00000000-0005-0000-0000-00000DBA0000}"/>
    <cellStyle name="Migliaia 39 2 5" xfId="17197" xr:uid="{00000000-0005-0000-0000-00000EBA0000}"/>
    <cellStyle name="Migliaia 39 2 5 2" xfId="33313" xr:uid="{00000000-0005-0000-0000-00000FBA0000}"/>
    <cellStyle name="Migliaia 39 2 5 3" xfId="48274" xr:uid="{00000000-0005-0000-0000-000010BA0000}"/>
    <cellStyle name="Migliaia 39 2 6" xfId="19171" xr:uid="{00000000-0005-0000-0000-000011BA0000}"/>
    <cellStyle name="Migliaia 39 2 7" xfId="34166" xr:uid="{00000000-0005-0000-0000-000012BA0000}"/>
    <cellStyle name="Migliaia 39 2 8" xfId="49106" xr:uid="{00000000-0005-0000-0000-000013BA0000}"/>
    <cellStyle name="Migliaia 39 2 9" xfId="49511" xr:uid="{00000000-0005-0000-0000-000014BA0000}"/>
    <cellStyle name="Migliaia 39 3" xfId="415" xr:uid="{00000000-0005-0000-0000-000015BA0000}"/>
    <cellStyle name="Migliaia 39 3 10" xfId="49918" xr:uid="{00000000-0005-0000-0000-000016BA0000}"/>
    <cellStyle name="Migliaia 39 3 11" xfId="50326" xr:uid="{00000000-0005-0000-0000-000017BA0000}"/>
    <cellStyle name="Migliaia 39 3 12" xfId="50768" xr:uid="{00000000-0005-0000-0000-000018BA0000}"/>
    <cellStyle name="Migliaia 39 3 13" xfId="51487" xr:uid="{00000000-0005-0000-0000-000019BA0000}"/>
    <cellStyle name="Migliaia 39 3 14" xfId="51900" xr:uid="{00000000-0005-0000-0000-00001ABA0000}"/>
    <cellStyle name="Migliaia 39 3 15" xfId="52439" xr:uid="{00000000-0005-0000-0000-00001BBA0000}"/>
    <cellStyle name="Migliaia 39 3 2" xfId="416" xr:uid="{00000000-0005-0000-0000-00001CBA0000}"/>
    <cellStyle name="Migliaia 39 3 2 10" xfId="50327" xr:uid="{00000000-0005-0000-0000-00001DBA0000}"/>
    <cellStyle name="Migliaia 39 3 2 11" xfId="50769" xr:uid="{00000000-0005-0000-0000-00001EBA0000}"/>
    <cellStyle name="Migliaia 39 3 2 12" xfId="51488" xr:uid="{00000000-0005-0000-0000-00001FBA0000}"/>
    <cellStyle name="Migliaia 39 3 2 13" xfId="51901" xr:uid="{00000000-0005-0000-0000-000020BA0000}"/>
    <cellStyle name="Migliaia 39 3 2 14" xfId="52440" xr:uid="{00000000-0005-0000-0000-000021BA0000}"/>
    <cellStyle name="Migliaia 39 3 2 2" xfId="9247" xr:uid="{00000000-0005-0000-0000-000022BA0000}"/>
    <cellStyle name="Migliaia 39 3 2 2 2" xfId="54852" xr:uid="{00000000-0005-0000-0000-000023BA0000}"/>
    <cellStyle name="Migliaia 39 3 2 3" xfId="9866" xr:uid="{00000000-0005-0000-0000-000024BA0000}"/>
    <cellStyle name="Migliaia 39 3 2 3 2" xfId="26192" xr:uid="{00000000-0005-0000-0000-000025BA0000}"/>
    <cellStyle name="Migliaia 39 3 2 3 3" xfId="41170" xr:uid="{00000000-0005-0000-0000-000026BA0000}"/>
    <cellStyle name="Migliaia 39 3 2 3 4" xfId="55722" xr:uid="{00000000-0005-0000-0000-000027BA0000}"/>
    <cellStyle name="Migliaia 39 3 2 4" xfId="17199" xr:uid="{00000000-0005-0000-0000-000028BA0000}"/>
    <cellStyle name="Migliaia 39 3 2 4 2" xfId="33315" xr:uid="{00000000-0005-0000-0000-000029BA0000}"/>
    <cellStyle name="Migliaia 39 3 2 4 3" xfId="48276" xr:uid="{00000000-0005-0000-0000-00002ABA0000}"/>
    <cellStyle name="Migliaia 39 3 2 5" xfId="19173" xr:uid="{00000000-0005-0000-0000-00002BBA0000}"/>
    <cellStyle name="Migliaia 39 3 2 6" xfId="34168" xr:uid="{00000000-0005-0000-0000-00002CBA0000}"/>
    <cellStyle name="Migliaia 39 3 2 7" xfId="49108" xr:uid="{00000000-0005-0000-0000-00002DBA0000}"/>
    <cellStyle name="Migliaia 39 3 2 8" xfId="49513" xr:uid="{00000000-0005-0000-0000-00002EBA0000}"/>
    <cellStyle name="Migliaia 39 3 2 9" xfId="49919" xr:uid="{00000000-0005-0000-0000-00002FBA0000}"/>
    <cellStyle name="Migliaia 39 3 3" xfId="9246" xr:uid="{00000000-0005-0000-0000-000030BA0000}"/>
    <cellStyle name="Migliaia 39 3 3 2" xfId="18303" xr:uid="{00000000-0005-0000-0000-000031BA0000}"/>
    <cellStyle name="Migliaia 39 3 3 2 2" xfId="33770" xr:uid="{00000000-0005-0000-0000-000032BA0000}"/>
    <cellStyle name="Migliaia 39 3 3 2 2 2" xfId="55255" xr:uid="{00000000-0005-0000-0000-000033BA0000}"/>
    <cellStyle name="Migliaia 39 3 3 2 3" xfId="48731" xr:uid="{00000000-0005-0000-0000-000034BA0000}"/>
    <cellStyle name="Migliaia 39 3 3 2 3 2" xfId="56177" xr:uid="{00000000-0005-0000-0000-000035BA0000}"/>
    <cellStyle name="Migliaia 39 3 3 2 4" xfId="52900" xr:uid="{00000000-0005-0000-0000-000036BA0000}"/>
    <cellStyle name="Migliaia 39 3 3 3" xfId="17200" xr:uid="{00000000-0005-0000-0000-000037BA0000}"/>
    <cellStyle name="Migliaia 39 3 3 3 2" xfId="33316" xr:uid="{00000000-0005-0000-0000-000038BA0000}"/>
    <cellStyle name="Migliaia 39 3 3 3 3" xfId="48277" xr:uid="{00000000-0005-0000-0000-000039BA0000}"/>
    <cellStyle name="Migliaia 39 3 3 3 4" xfId="54853" xr:uid="{00000000-0005-0000-0000-00003ABA0000}"/>
    <cellStyle name="Migliaia 39 3 3 4" xfId="55723" xr:uid="{00000000-0005-0000-0000-00003BBA0000}"/>
    <cellStyle name="Migliaia 39 3 3 5" xfId="52441" xr:uid="{00000000-0005-0000-0000-00003CBA0000}"/>
    <cellStyle name="Migliaia 39 3 4" xfId="9865" xr:uid="{00000000-0005-0000-0000-00003DBA0000}"/>
    <cellStyle name="Migliaia 39 3 4 2" xfId="18302" xr:uid="{00000000-0005-0000-0000-00003EBA0000}"/>
    <cellStyle name="Migliaia 39 3 4 2 2" xfId="33769" xr:uid="{00000000-0005-0000-0000-00003FBA0000}"/>
    <cellStyle name="Migliaia 39 3 4 2 3" xfId="48730" xr:uid="{00000000-0005-0000-0000-000040BA0000}"/>
    <cellStyle name="Migliaia 39 3 4 2 4" xfId="55254" xr:uid="{00000000-0005-0000-0000-000041BA0000}"/>
    <cellStyle name="Migliaia 39 3 4 3" xfId="26191" xr:uid="{00000000-0005-0000-0000-000042BA0000}"/>
    <cellStyle name="Migliaia 39 3 4 3 2" xfId="56176" xr:uid="{00000000-0005-0000-0000-000043BA0000}"/>
    <cellStyle name="Migliaia 39 3 4 4" xfId="41169" xr:uid="{00000000-0005-0000-0000-000044BA0000}"/>
    <cellStyle name="Migliaia 39 3 4 5" xfId="52899" xr:uid="{00000000-0005-0000-0000-000045BA0000}"/>
    <cellStyle name="Migliaia 39 3 5" xfId="17198" xr:uid="{00000000-0005-0000-0000-000046BA0000}"/>
    <cellStyle name="Migliaia 39 3 5 2" xfId="33314" xr:uid="{00000000-0005-0000-0000-000047BA0000}"/>
    <cellStyle name="Migliaia 39 3 5 3" xfId="48275" xr:uid="{00000000-0005-0000-0000-000048BA0000}"/>
    <cellStyle name="Migliaia 39 3 5 4" xfId="54851" xr:uid="{00000000-0005-0000-0000-000049BA0000}"/>
    <cellStyle name="Migliaia 39 3 6" xfId="19172" xr:uid="{00000000-0005-0000-0000-00004ABA0000}"/>
    <cellStyle name="Migliaia 39 3 6 2" xfId="55721" xr:uid="{00000000-0005-0000-0000-00004BBA0000}"/>
    <cellStyle name="Migliaia 39 3 7" xfId="34167" xr:uid="{00000000-0005-0000-0000-00004CBA0000}"/>
    <cellStyle name="Migliaia 39 3 8" xfId="49107" xr:uid="{00000000-0005-0000-0000-00004DBA0000}"/>
    <cellStyle name="Migliaia 39 3 9" xfId="49512" xr:uid="{00000000-0005-0000-0000-00004EBA0000}"/>
    <cellStyle name="Migliaia 39 4" xfId="9248" xr:uid="{00000000-0005-0000-0000-00004FBA0000}"/>
    <cellStyle name="Migliaia 39 4 2" xfId="17202" xr:uid="{00000000-0005-0000-0000-000050BA0000}"/>
    <cellStyle name="Migliaia 39 4 2 2" xfId="18305" xr:uid="{00000000-0005-0000-0000-000051BA0000}"/>
    <cellStyle name="Migliaia 39 4 2 2 2" xfId="33772" xr:uid="{00000000-0005-0000-0000-000052BA0000}"/>
    <cellStyle name="Migliaia 39 4 2 2 2 2" xfId="55257" xr:uid="{00000000-0005-0000-0000-000053BA0000}"/>
    <cellStyle name="Migliaia 39 4 2 2 3" xfId="48733" xr:uid="{00000000-0005-0000-0000-000054BA0000}"/>
    <cellStyle name="Migliaia 39 4 2 2 3 2" xfId="56179" xr:uid="{00000000-0005-0000-0000-000055BA0000}"/>
    <cellStyle name="Migliaia 39 4 2 2 4" xfId="52902" xr:uid="{00000000-0005-0000-0000-000056BA0000}"/>
    <cellStyle name="Migliaia 39 4 2 3" xfId="33318" xr:uid="{00000000-0005-0000-0000-000057BA0000}"/>
    <cellStyle name="Migliaia 39 4 2 3 2" xfId="54855" xr:uid="{00000000-0005-0000-0000-000058BA0000}"/>
    <cellStyle name="Migliaia 39 4 2 4" xfId="48279" xr:uid="{00000000-0005-0000-0000-000059BA0000}"/>
    <cellStyle name="Migliaia 39 4 2 4 2" xfId="55725" xr:uid="{00000000-0005-0000-0000-00005ABA0000}"/>
    <cellStyle name="Migliaia 39 4 2 5" xfId="52443" xr:uid="{00000000-0005-0000-0000-00005BBA0000}"/>
    <cellStyle name="Migliaia 39 4 3" xfId="18304" xr:uid="{00000000-0005-0000-0000-00005CBA0000}"/>
    <cellStyle name="Migliaia 39 4 3 2" xfId="33771" xr:uid="{00000000-0005-0000-0000-00005DBA0000}"/>
    <cellStyle name="Migliaia 39 4 3 2 2" xfId="55256" xr:uid="{00000000-0005-0000-0000-00005EBA0000}"/>
    <cellStyle name="Migliaia 39 4 3 3" xfId="48732" xr:uid="{00000000-0005-0000-0000-00005FBA0000}"/>
    <cellStyle name="Migliaia 39 4 3 3 2" xfId="56178" xr:uid="{00000000-0005-0000-0000-000060BA0000}"/>
    <cellStyle name="Migliaia 39 4 3 4" xfId="52901" xr:uid="{00000000-0005-0000-0000-000061BA0000}"/>
    <cellStyle name="Migliaia 39 4 4" xfId="17201" xr:uid="{00000000-0005-0000-0000-000062BA0000}"/>
    <cellStyle name="Migliaia 39 4 4 2" xfId="33317" xr:uid="{00000000-0005-0000-0000-000063BA0000}"/>
    <cellStyle name="Migliaia 39 4 4 3" xfId="48278" xr:uid="{00000000-0005-0000-0000-000064BA0000}"/>
    <cellStyle name="Migliaia 39 4 4 4" xfId="54854" xr:uid="{00000000-0005-0000-0000-000065BA0000}"/>
    <cellStyle name="Migliaia 39 4 5" xfId="51128" xr:uid="{00000000-0005-0000-0000-000066BA0000}"/>
    <cellStyle name="Migliaia 39 4 5 2" xfId="55724" xr:uid="{00000000-0005-0000-0000-000067BA0000}"/>
    <cellStyle name="Migliaia 39 4 6" xfId="52442" xr:uid="{00000000-0005-0000-0000-000068BA0000}"/>
    <cellStyle name="Migliaia 39 5" xfId="9249" xr:uid="{00000000-0005-0000-0000-000069BA0000}"/>
    <cellStyle name="Migliaia 39 5 2" xfId="17203" xr:uid="{00000000-0005-0000-0000-00006ABA0000}"/>
    <cellStyle name="Migliaia 39 5 2 2" xfId="33319" xr:uid="{00000000-0005-0000-0000-00006BBA0000}"/>
    <cellStyle name="Migliaia 39 5 2 3" xfId="48280" xr:uid="{00000000-0005-0000-0000-00006CBA0000}"/>
    <cellStyle name="Migliaia 39 5 2 4" xfId="54856" xr:uid="{00000000-0005-0000-0000-00006DBA0000}"/>
    <cellStyle name="Migliaia 39 5 3" xfId="50912" xr:uid="{00000000-0005-0000-0000-00006EBA0000}"/>
    <cellStyle name="Migliaia 39 5 3 2" xfId="55726" xr:uid="{00000000-0005-0000-0000-00006FBA0000}"/>
    <cellStyle name="Migliaia 39 5 4" xfId="52444" xr:uid="{00000000-0005-0000-0000-000070BA0000}"/>
    <cellStyle name="Migliaia 39 6" xfId="9244" xr:uid="{00000000-0005-0000-0000-000071BA0000}"/>
    <cellStyle name="Migliaia 39 6 2" xfId="51162" xr:uid="{00000000-0005-0000-0000-000072BA0000}"/>
    <cellStyle name="Migliaia 39 6 3" xfId="54559" xr:uid="{00000000-0005-0000-0000-000073BA0000}"/>
    <cellStyle name="Migliaia 39 7" xfId="9863" xr:uid="{00000000-0005-0000-0000-000074BA0000}"/>
    <cellStyle name="Migliaia 39 7 2" xfId="26189" xr:uid="{00000000-0005-0000-0000-000075BA0000}"/>
    <cellStyle name="Migliaia 39 7 3" xfId="41167" xr:uid="{00000000-0005-0000-0000-000076BA0000}"/>
    <cellStyle name="Migliaia 39 7 4" xfId="55719" xr:uid="{00000000-0005-0000-0000-000077BA0000}"/>
    <cellStyle name="Migliaia 39 8" xfId="17196" xr:uid="{00000000-0005-0000-0000-000078BA0000}"/>
    <cellStyle name="Migliaia 39 8 2" xfId="33312" xr:uid="{00000000-0005-0000-0000-000079BA0000}"/>
    <cellStyle name="Migliaia 39 8 3" xfId="48273" xr:uid="{00000000-0005-0000-0000-00007ABA0000}"/>
    <cellStyle name="Migliaia 39 9" xfId="19170" xr:uid="{00000000-0005-0000-0000-00007BBA0000}"/>
    <cellStyle name="Migliaia 4" xfId="417" xr:uid="{00000000-0005-0000-0000-00007CBA0000}"/>
    <cellStyle name="Migliaia 4 10" xfId="34169" xr:uid="{00000000-0005-0000-0000-00007DBA0000}"/>
    <cellStyle name="Migliaia 4 11" xfId="49109" xr:uid="{00000000-0005-0000-0000-00007EBA0000}"/>
    <cellStyle name="Migliaia 4 12" xfId="49514" xr:uid="{00000000-0005-0000-0000-00007FBA0000}"/>
    <cellStyle name="Migliaia 4 13" xfId="49920" xr:uid="{00000000-0005-0000-0000-000080BA0000}"/>
    <cellStyle name="Migliaia 4 14" xfId="50328" xr:uid="{00000000-0005-0000-0000-000081BA0000}"/>
    <cellStyle name="Migliaia 4 15" xfId="50770" xr:uid="{00000000-0005-0000-0000-000082BA0000}"/>
    <cellStyle name="Migliaia 4 16" xfId="51489" xr:uid="{00000000-0005-0000-0000-000083BA0000}"/>
    <cellStyle name="Migliaia 4 17" xfId="51902" xr:uid="{00000000-0005-0000-0000-000084BA0000}"/>
    <cellStyle name="Migliaia 4 18" xfId="52445" xr:uid="{00000000-0005-0000-0000-000085BA0000}"/>
    <cellStyle name="Migliaia 4 2" xfId="418" xr:uid="{00000000-0005-0000-0000-000086BA0000}"/>
    <cellStyle name="Migliaia 4 2 10" xfId="49921" xr:uid="{00000000-0005-0000-0000-000087BA0000}"/>
    <cellStyle name="Migliaia 4 2 11" xfId="50329" xr:uid="{00000000-0005-0000-0000-000088BA0000}"/>
    <cellStyle name="Migliaia 4 2 12" xfId="50771" xr:uid="{00000000-0005-0000-0000-000089BA0000}"/>
    <cellStyle name="Migliaia 4 2 13" xfId="51490" xr:uid="{00000000-0005-0000-0000-00008ABA0000}"/>
    <cellStyle name="Migliaia 4 2 14" xfId="51903" xr:uid="{00000000-0005-0000-0000-00008BBA0000}"/>
    <cellStyle name="Migliaia 4 2 15" xfId="52446" xr:uid="{00000000-0005-0000-0000-00008CBA0000}"/>
    <cellStyle name="Migliaia 4 2 2" xfId="1276" xr:uid="{00000000-0005-0000-0000-00008DBA0000}"/>
    <cellStyle name="Migliaia 4 2 2 10" xfId="51070" xr:uid="{00000000-0005-0000-0000-00008EBA0000}"/>
    <cellStyle name="Migliaia 4 2 2 11" xfId="51666" xr:uid="{00000000-0005-0000-0000-00008FBA0000}"/>
    <cellStyle name="Migliaia 4 2 2 12" xfId="52087" xr:uid="{00000000-0005-0000-0000-000090BA0000}"/>
    <cellStyle name="Migliaia 4 2 2 13" xfId="52903" xr:uid="{00000000-0005-0000-0000-000091BA0000}"/>
    <cellStyle name="Migliaia 4 2 2 2" xfId="10044" xr:uid="{00000000-0005-0000-0000-000092BA0000}"/>
    <cellStyle name="Migliaia 4 2 2 2 2" xfId="26365" xr:uid="{00000000-0005-0000-0000-000093BA0000}"/>
    <cellStyle name="Migliaia 4 2 2 2 3" xfId="41333" xr:uid="{00000000-0005-0000-0000-000094BA0000}"/>
    <cellStyle name="Migliaia 4 2 2 2 4" xfId="55258" xr:uid="{00000000-0005-0000-0000-000095BA0000}"/>
    <cellStyle name="Migliaia 4 2 2 3" xfId="18306" xr:uid="{00000000-0005-0000-0000-000096BA0000}"/>
    <cellStyle name="Migliaia 4 2 2 3 2" xfId="33773" xr:uid="{00000000-0005-0000-0000-000097BA0000}"/>
    <cellStyle name="Migliaia 4 2 2 3 3" xfId="48734" xr:uid="{00000000-0005-0000-0000-000098BA0000}"/>
    <cellStyle name="Migliaia 4 2 2 3 4" xfId="56180" xr:uid="{00000000-0005-0000-0000-000099BA0000}"/>
    <cellStyle name="Migliaia 4 2 2 4" xfId="19344" xr:uid="{00000000-0005-0000-0000-00009ABA0000}"/>
    <cellStyle name="Migliaia 4 2 2 5" xfId="34334" xr:uid="{00000000-0005-0000-0000-00009BBA0000}"/>
    <cellStyle name="Migliaia 4 2 2 6" xfId="49286" xr:uid="{00000000-0005-0000-0000-00009CBA0000}"/>
    <cellStyle name="Migliaia 4 2 2 7" xfId="49691" xr:uid="{00000000-0005-0000-0000-00009DBA0000}"/>
    <cellStyle name="Migliaia 4 2 2 8" xfId="50100" xr:uid="{00000000-0005-0000-0000-00009EBA0000}"/>
    <cellStyle name="Migliaia 4 2 2 9" xfId="50505" xr:uid="{00000000-0005-0000-0000-00009FBA0000}"/>
    <cellStyle name="Migliaia 4 2 3" xfId="9251" xr:uid="{00000000-0005-0000-0000-0000A0BA0000}"/>
    <cellStyle name="Migliaia 4 2 3 2" xfId="54624" xr:uid="{00000000-0005-0000-0000-0000A1BA0000}"/>
    <cellStyle name="Migliaia 4 2 4" xfId="9868" xr:uid="{00000000-0005-0000-0000-0000A2BA0000}"/>
    <cellStyle name="Migliaia 4 2 4 2" xfId="26194" xr:uid="{00000000-0005-0000-0000-0000A3BA0000}"/>
    <cellStyle name="Migliaia 4 2 4 3" xfId="41172" xr:uid="{00000000-0005-0000-0000-0000A4BA0000}"/>
    <cellStyle name="Migliaia 4 2 4 4" xfId="55728" xr:uid="{00000000-0005-0000-0000-0000A5BA0000}"/>
    <cellStyle name="Migliaia 4 2 5" xfId="17205" xr:uid="{00000000-0005-0000-0000-0000A6BA0000}"/>
    <cellStyle name="Migliaia 4 2 5 2" xfId="33321" xr:uid="{00000000-0005-0000-0000-0000A7BA0000}"/>
    <cellStyle name="Migliaia 4 2 5 3" xfId="48282" xr:uid="{00000000-0005-0000-0000-0000A8BA0000}"/>
    <cellStyle name="Migliaia 4 2 6" xfId="19175" xr:uid="{00000000-0005-0000-0000-0000A9BA0000}"/>
    <cellStyle name="Migliaia 4 2 7" xfId="34170" xr:uid="{00000000-0005-0000-0000-0000AABA0000}"/>
    <cellStyle name="Migliaia 4 2 8" xfId="49110" xr:uid="{00000000-0005-0000-0000-0000ABBA0000}"/>
    <cellStyle name="Migliaia 4 2 9" xfId="49515" xr:uid="{00000000-0005-0000-0000-0000ACBA0000}"/>
    <cellStyle name="Migliaia 4 3" xfId="419" xr:uid="{00000000-0005-0000-0000-0000ADBA0000}"/>
    <cellStyle name="Migliaia 4 3 10" xfId="49922" xr:uid="{00000000-0005-0000-0000-0000AEBA0000}"/>
    <cellStyle name="Migliaia 4 3 11" xfId="50330" xr:uid="{00000000-0005-0000-0000-0000AFBA0000}"/>
    <cellStyle name="Migliaia 4 3 12" xfId="50772" xr:uid="{00000000-0005-0000-0000-0000B0BA0000}"/>
    <cellStyle name="Migliaia 4 3 13" xfId="51491" xr:uid="{00000000-0005-0000-0000-0000B1BA0000}"/>
    <cellStyle name="Migliaia 4 3 14" xfId="51904" xr:uid="{00000000-0005-0000-0000-0000B2BA0000}"/>
    <cellStyle name="Migliaia 4 3 15" xfId="52447" xr:uid="{00000000-0005-0000-0000-0000B3BA0000}"/>
    <cellStyle name="Migliaia 4 3 2" xfId="420" xr:uid="{00000000-0005-0000-0000-0000B4BA0000}"/>
    <cellStyle name="Migliaia 4 3 2 10" xfId="50331" xr:uid="{00000000-0005-0000-0000-0000B5BA0000}"/>
    <cellStyle name="Migliaia 4 3 2 11" xfId="50773" xr:uid="{00000000-0005-0000-0000-0000B6BA0000}"/>
    <cellStyle name="Migliaia 4 3 2 12" xfId="51492" xr:uid="{00000000-0005-0000-0000-0000B7BA0000}"/>
    <cellStyle name="Migliaia 4 3 2 13" xfId="51905" xr:uid="{00000000-0005-0000-0000-0000B8BA0000}"/>
    <cellStyle name="Migliaia 4 3 2 14" xfId="52448" xr:uid="{00000000-0005-0000-0000-0000B9BA0000}"/>
    <cellStyle name="Migliaia 4 3 2 2" xfId="9253" xr:uid="{00000000-0005-0000-0000-0000BABA0000}"/>
    <cellStyle name="Migliaia 4 3 2 2 2" xfId="54858" xr:uid="{00000000-0005-0000-0000-0000BBBA0000}"/>
    <cellStyle name="Migliaia 4 3 2 3" xfId="9870" xr:uid="{00000000-0005-0000-0000-0000BCBA0000}"/>
    <cellStyle name="Migliaia 4 3 2 3 2" xfId="26196" xr:uid="{00000000-0005-0000-0000-0000BDBA0000}"/>
    <cellStyle name="Migliaia 4 3 2 3 3" xfId="41174" xr:uid="{00000000-0005-0000-0000-0000BEBA0000}"/>
    <cellStyle name="Migliaia 4 3 2 3 4" xfId="55730" xr:uid="{00000000-0005-0000-0000-0000BFBA0000}"/>
    <cellStyle name="Migliaia 4 3 2 4" xfId="17207" xr:uid="{00000000-0005-0000-0000-0000C0BA0000}"/>
    <cellStyle name="Migliaia 4 3 2 4 2" xfId="33323" xr:uid="{00000000-0005-0000-0000-0000C1BA0000}"/>
    <cellStyle name="Migliaia 4 3 2 4 3" xfId="48284" xr:uid="{00000000-0005-0000-0000-0000C2BA0000}"/>
    <cellStyle name="Migliaia 4 3 2 5" xfId="19177" xr:uid="{00000000-0005-0000-0000-0000C3BA0000}"/>
    <cellStyle name="Migliaia 4 3 2 6" xfId="34172" xr:uid="{00000000-0005-0000-0000-0000C4BA0000}"/>
    <cellStyle name="Migliaia 4 3 2 7" xfId="49112" xr:uid="{00000000-0005-0000-0000-0000C5BA0000}"/>
    <cellStyle name="Migliaia 4 3 2 8" xfId="49517" xr:uid="{00000000-0005-0000-0000-0000C6BA0000}"/>
    <cellStyle name="Migliaia 4 3 2 9" xfId="49923" xr:uid="{00000000-0005-0000-0000-0000C7BA0000}"/>
    <cellStyle name="Migliaia 4 3 3" xfId="9252" xr:uid="{00000000-0005-0000-0000-0000C8BA0000}"/>
    <cellStyle name="Migliaia 4 3 3 2" xfId="18308" xr:uid="{00000000-0005-0000-0000-0000C9BA0000}"/>
    <cellStyle name="Migliaia 4 3 3 2 2" xfId="33775" xr:uid="{00000000-0005-0000-0000-0000CABA0000}"/>
    <cellStyle name="Migliaia 4 3 3 2 2 2" xfId="55260" xr:uid="{00000000-0005-0000-0000-0000CBBA0000}"/>
    <cellStyle name="Migliaia 4 3 3 2 3" xfId="48736" xr:uid="{00000000-0005-0000-0000-0000CCBA0000}"/>
    <cellStyle name="Migliaia 4 3 3 2 3 2" xfId="56182" xr:uid="{00000000-0005-0000-0000-0000CDBA0000}"/>
    <cellStyle name="Migliaia 4 3 3 2 4" xfId="52905" xr:uid="{00000000-0005-0000-0000-0000CEBA0000}"/>
    <cellStyle name="Migliaia 4 3 3 3" xfId="17208" xr:uid="{00000000-0005-0000-0000-0000CFBA0000}"/>
    <cellStyle name="Migliaia 4 3 3 3 2" xfId="33324" xr:uid="{00000000-0005-0000-0000-0000D0BA0000}"/>
    <cellStyle name="Migliaia 4 3 3 3 3" xfId="48285" xr:uid="{00000000-0005-0000-0000-0000D1BA0000}"/>
    <cellStyle name="Migliaia 4 3 3 3 4" xfId="54859" xr:uid="{00000000-0005-0000-0000-0000D2BA0000}"/>
    <cellStyle name="Migliaia 4 3 3 4" xfId="55731" xr:uid="{00000000-0005-0000-0000-0000D3BA0000}"/>
    <cellStyle name="Migliaia 4 3 3 5" xfId="52449" xr:uid="{00000000-0005-0000-0000-0000D4BA0000}"/>
    <cellStyle name="Migliaia 4 3 4" xfId="9869" xr:uid="{00000000-0005-0000-0000-0000D5BA0000}"/>
    <cellStyle name="Migliaia 4 3 4 2" xfId="18307" xr:uid="{00000000-0005-0000-0000-0000D6BA0000}"/>
    <cellStyle name="Migliaia 4 3 4 2 2" xfId="33774" xr:uid="{00000000-0005-0000-0000-0000D7BA0000}"/>
    <cellStyle name="Migliaia 4 3 4 2 3" xfId="48735" xr:uid="{00000000-0005-0000-0000-0000D8BA0000}"/>
    <cellStyle name="Migliaia 4 3 4 2 4" xfId="55259" xr:uid="{00000000-0005-0000-0000-0000D9BA0000}"/>
    <cellStyle name="Migliaia 4 3 4 3" xfId="26195" xr:uid="{00000000-0005-0000-0000-0000DABA0000}"/>
    <cellStyle name="Migliaia 4 3 4 3 2" xfId="56181" xr:uid="{00000000-0005-0000-0000-0000DBBA0000}"/>
    <cellStyle name="Migliaia 4 3 4 4" xfId="41173" xr:uid="{00000000-0005-0000-0000-0000DCBA0000}"/>
    <cellStyle name="Migliaia 4 3 4 5" xfId="52904" xr:uid="{00000000-0005-0000-0000-0000DDBA0000}"/>
    <cellStyle name="Migliaia 4 3 5" xfId="17206" xr:uid="{00000000-0005-0000-0000-0000DEBA0000}"/>
    <cellStyle name="Migliaia 4 3 5 2" xfId="33322" xr:uid="{00000000-0005-0000-0000-0000DFBA0000}"/>
    <cellStyle name="Migliaia 4 3 5 3" xfId="48283" xr:uid="{00000000-0005-0000-0000-0000E0BA0000}"/>
    <cellStyle name="Migliaia 4 3 5 4" xfId="54857" xr:uid="{00000000-0005-0000-0000-0000E1BA0000}"/>
    <cellStyle name="Migliaia 4 3 6" xfId="19176" xr:uid="{00000000-0005-0000-0000-0000E2BA0000}"/>
    <cellStyle name="Migliaia 4 3 6 2" xfId="55729" xr:uid="{00000000-0005-0000-0000-0000E3BA0000}"/>
    <cellStyle name="Migliaia 4 3 7" xfId="34171" xr:uid="{00000000-0005-0000-0000-0000E4BA0000}"/>
    <cellStyle name="Migliaia 4 3 8" xfId="49111" xr:uid="{00000000-0005-0000-0000-0000E5BA0000}"/>
    <cellStyle name="Migliaia 4 3 9" xfId="49516" xr:uid="{00000000-0005-0000-0000-0000E6BA0000}"/>
    <cellStyle name="Migliaia 4 4" xfId="9254" xr:uid="{00000000-0005-0000-0000-0000E7BA0000}"/>
    <cellStyle name="Migliaia 4 4 2" xfId="17210" xr:uid="{00000000-0005-0000-0000-0000E8BA0000}"/>
    <cellStyle name="Migliaia 4 4 2 2" xfId="18310" xr:uid="{00000000-0005-0000-0000-0000E9BA0000}"/>
    <cellStyle name="Migliaia 4 4 2 2 2" xfId="33777" xr:uid="{00000000-0005-0000-0000-0000EABA0000}"/>
    <cellStyle name="Migliaia 4 4 2 2 2 2" xfId="55262" xr:uid="{00000000-0005-0000-0000-0000EBBA0000}"/>
    <cellStyle name="Migliaia 4 4 2 2 3" xfId="48738" xr:uid="{00000000-0005-0000-0000-0000ECBA0000}"/>
    <cellStyle name="Migliaia 4 4 2 2 3 2" xfId="56184" xr:uid="{00000000-0005-0000-0000-0000EDBA0000}"/>
    <cellStyle name="Migliaia 4 4 2 2 4" xfId="52907" xr:uid="{00000000-0005-0000-0000-0000EEBA0000}"/>
    <cellStyle name="Migliaia 4 4 2 3" xfId="33326" xr:uid="{00000000-0005-0000-0000-0000EFBA0000}"/>
    <cellStyle name="Migliaia 4 4 2 3 2" xfId="54861" xr:uid="{00000000-0005-0000-0000-0000F0BA0000}"/>
    <cellStyle name="Migliaia 4 4 2 4" xfId="48287" xr:uid="{00000000-0005-0000-0000-0000F1BA0000}"/>
    <cellStyle name="Migliaia 4 4 2 4 2" xfId="55733" xr:uid="{00000000-0005-0000-0000-0000F2BA0000}"/>
    <cellStyle name="Migliaia 4 4 2 5" xfId="52451" xr:uid="{00000000-0005-0000-0000-0000F3BA0000}"/>
    <cellStyle name="Migliaia 4 4 3" xfId="18309" xr:uid="{00000000-0005-0000-0000-0000F4BA0000}"/>
    <cellStyle name="Migliaia 4 4 3 2" xfId="33776" xr:uid="{00000000-0005-0000-0000-0000F5BA0000}"/>
    <cellStyle name="Migliaia 4 4 3 2 2" xfId="55261" xr:uid="{00000000-0005-0000-0000-0000F6BA0000}"/>
    <cellStyle name="Migliaia 4 4 3 3" xfId="48737" xr:uid="{00000000-0005-0000-0000-0000F7BA0000}"/>
    <cellStyle name="Migliaia 4 4 3 3 2" xfId="56183" xr:uid="{00000000-0005-0000-0000-0000F8BA0000}"/>
    <cellStyle name="Migliaia 4 4 3 4" xfId="52906" xr:uid="{00000000-0005-0000-0000-0000F9BA0000}"/>
    <cellStyle name="Migliaia 4 4 4" xfId="17209" xr:uid="{00000000-0005-0000-0000-0000FABA0000}"/>
    <cellStyle name="Migliaia 4 4 4 2" xfId="33325" xr:uid="{00000000-0005-0000-0000-0000FBBA0000}"/>
    <cellStyle name="Migliaia 4 4 4 3" xfId="48286" xr:uid="{00000000-0005-0000-0000-0000FCBA0000}"/>
    <cellStyle name="Migliaia 4 4 4 4" xfId="54860" xr:uid="{00000000-0005-0000-0000-0000FDBA0000}"/>
    <cellStyle name="Migliaia 4 4 5" xfId="51224" xr:uid="{00000000-0005-0000-0000-0000FEBA0000}"/>
    <cellStyle name="Migliaia 4 4 5 2" xfId="55732" xr:uid="{00000000-0005-0000-0000-0000FFBA0000}"/>
    <cellStyle name="Migliaia 4 4 6" xfId="52450" xr:uid="{00000000-0005-0000-0000-000000BB0000}"/>
    <cellStyle name="Migliaia 4 5" xfId="9255" xr:uid="{00000000-0005-0000-0000-000001BB0000}"/>
    <cellStyle name="Migliaia 4 5 2" xfId="17211" xr:uid="{00000000-0005-0000-0000-000002BB0000}"/>
    <cellStyle name="Migliaia 4 5 2 2" xfId="33327" xr:uid="{00000000-0005-0000-0000-000003BB0000}"/>
    <cellStyle name="Migliaia 4 5 2 3" xfId="48288" xr:uid="{00000000-0005-0000-0000-000004BB0000}"/>
    <cellStyle name="Migliaia 4 5 2 4" xfId="54862" xr:uid="{00000000-0005-0000-0000-000005BB0000}"/>
    <cellStyle name="Migliaia 4 5 3" xfId="51127" xr:uid="{00000000-0005-0000-0000-000006BB0000}"/>
    <cellStyle name="Migliaia 4 5 3 2" xfId="55734" xr:uid="{00000000-0005-0000-0000-000007BB0000}"/>
    <cellStyle name="Migliaia 4 5 4" xfId="52452" xr:uid="{00000000-0005-0000-0000-000008BB0000}"/>
    <cellStyle name="Migliaia 4 6" xfId="9250" xr:uid="{00000000-0005-0000-0000-000009BB0000}"/>
    <cellStyle name="Migliaia 4 6 2" xfId="50973" xr:uid="{00000000-0005-0000-0000-00000ABB0000}"/>
    <cellStyle name="Migliaia 4 6 3" xfId="54560" xr:uid="{00000000-0005-0000-0000-00000BBB0000}"/>
    <cellStyle name="Migliaia 4 7" xfId="9867" xr:uid="{00000000-0005-0000-0000-00000CBB0000}"/>
    <cellStyle name="Migliaia 4 7 2" xfId="26193" xr:uid="{00000000-0005-0000-0000-00000DBB0000}"/>
    <cellStyle name="Migliaia 4 7 3" xfId="41171" xr:uid="{00000000-0005-0000-0000-00000EBB0000}"/>
    <cellStyle name="Migliaia 4 7 4" xfId="55727" xr:uid="{00000000-0005-0000-0000-00000FBB0000}"/>
    <cellStyle name="Migliaia 4 8" xfId="17204" xr:uid="{00000000-0005-0000-0000-000010BB0000}"/>
    <cellStyle name="Migliaia 4 8 2" xfId="33320" xr:uid="{00000000-0005-0000-0000-000011BB0000}"/>
    <cellStyle name="Migliaia 4 8 3" xfId="48281" xr:uid="{00000000-0005-0000-0000-000012BB0000}"/>
    <cellStyle name="Migliaia 4 9" xfId="19174" xr:uid="{00000000-0005-0000-0000-000013BB0000}"/>
    <cellStyle name="Migliaia 40" xfId="421" xr:uid="{00000000-0005-0000-0000-000014BB0000}"/>
    <cellStyle name="Migliaia 40 10" xfId="34173" xr:uid="{00000000-0005-0000-0000-000015BB0000}"/>
    <cellStyle name="Migliaia 40 11" xfId="49113" xr:uid="{00000000-0005-0000-0000-000016BB0000}"/>
    <cellStyle name="Migliaia 40 12" xfId="49518" xr:uid="{00000000-0005-0000-0000-000017BB0000}"/>
    <cellStyle name="Migliaia 40 13" xfId="49924" xr:uid="{00000000-0005-0000-0000-000018BB0000}"/>
    <cellStyle name="Migliaia 40 14" xfId="50332" xr:uid="{00000000-0005-0000-0000-000019BB0000}"/>
    <cellStyle name="Migliaia 40 15" xfId="50774" xr:uid="{00000000-0005-0000-0000-00001ABB0000}"/>
    <cellStyle name="Migliaia 40 16" xfId="51493" xr:uid="{00000000-0005-0000-0000-00001BBB0000}"/>
    <cellStyle name="Migliaia 40 17" xfId="51906" xr:uid="{00000000-0005-0000-0000-00001CBB0000}"/>
    <cellStyle name="Migliaia 40 18" xfId="52453" xr:uid="{00000000-0005-0000-0000-00001DBB0000}"/>
    <cellStyle name="Migliaia 40 2" xfId="422" xr:uid="{00000000-0005-0000-0000-00001EBB0000}"/>
    <cellStyle name="Migliaia 40 2 10" xfId="49925" xr:uid="{00000000-0005-0000-0000-00001FBB0000}"/>
    <cellStyle name="Migliaia 40 2 11" xfId="50333" xr:uid="{00000000-0005-0000-0000-000020BB0000}"/>
    <cellStyle name="Migliaia 40 2 12" xfId="50775" xr:uid="{00000000-0005-0000-0000-000021BB0000}"/>
    <cellStyle name="Migliaia 40 2 13" xfId="51494" xr:uid="{00000000-0005-0000-0000-000022BB0000}"/>
    <cellStyle name="Migliaia 40 2 14" xfId="51907" xr:uid="{00000000-0005-0000-0000-000023BB0000}"/>
    <cellStyle name="Migliaia 40 2 15" xfId="52454" xr:uid="{00000000-0005-0000-0000-000024BB0000}"/>
    <cellStyle name="Migliaia 40 2 2" xfId="1277" xr:uid="{00000000-0005-0000-0000-000025BB0000}"/>
    <cellStyle name="Migliaia 40 2 2 10" xfId="51071" xr:uid="{00000000-0005-0000-0000-000026BB0000}"/>
    <cellStyle name="Migliaia 40 2 2 11" xfId="51667" xr:uid="{00000000-0005-0000-0000-000027BB0000}"/>
    <cellStyle name="Migliaia 40 2 2 12" xfId="52088" xr:uid="{00000000-0005-0000-0000-000028BB0000}"/>
    <cellStyle name="Migliaia 40 2 2 13" xfId="52908" xr:uid="{00000000-0005-0000-0000-000029BB0000}"/>
    <cellStyle name="Migliaia 40 2 2 2" xfId="10045" xr:uid="{00000000-0005-0000-0000-00002ABB0000}"/>
    <cellStyle name="Migliaia 40 2 2 2 2" xfId="26366" xr:uid="{00000000-0005-0000-0000-00002BBB0000}"/>
    <cellStyle name="Migliaia 40 2 2 2 3" xfId="41334" xr:uid="{00000000-0005-0000-0000-00002CBB0000}"/>
    <cellStyle name="Migliaia 40 2 2 2 4" xfId="55263" xr:uid="{00000000-0005-0000-0000-00002DBB0000}"/>
    <cellStyle name="Migliaia 40 2 2 3" xfId="18311" xr:uid="{00000000-0005-0000-0000-00002EBB0000}"/>
    <cellStyle name="Migliaia 40 2 2 3 2" xfId="33778" xr:uid="{00000000-0005-0000-0000-00002FBB0000}"/>
    <cellStyle name="Migliaia 40 2 2 3 3" xfId="48739" xr:uid="{00000000-0005-0000-0000-000030BB0000}"/>
    <cellStyle name="Migliaia 40 2 2 3 4" xfId="56185" xr:uid="{00000000-0005-0000-0000-000031BB0000}"/>
    <cellStyle name="Migliaia 40 2 2 4" xfId="19345" xr:uid="{00000000-0005-0000-0000-000032BB0000}"/>
    <cellStyle name="Migliaia 40 2 2 5" xfId="34335" xr:uid="{00000000-0005-0000-0000-000033BB0000}"/>
    <cellStyle name="Migliaia 40 2 2 6" xfId="49287" xr:uid="{00000000-0005-0000-0000-000034BB0000}"/>
    <cellStyle name="Migliaia 40 2 2 7" xfId="49692" xr:uid="{00000000-0005-0000-0000-000035BB0000}"/>
    <cellStyle name="Migliaia 40 2 2 8" xfId="50101" xr:uid="{00000000-0005-0000-0000-000036BB0000}"/>
    <cellStyle name="Migliaia 40 2 2 9" xfId="50506" xr:uid="{00000000-0005-0000-0000-000037BB0000}"/>
    <cellStyle name="Migliaia 40 2 3" xfId="9257" xr:uid="{00000000-0005-0000-0000-000038BB0000}"/>
    <cellStyle name="Migliaia 40 2 3 2" xfId="54625" xr:uid="{00000000-0005-0000-0000-000039BB0000}"/>
    <cellStyle name="Migliaia 40 2 4" xfId="9872" xr:uid="{00000000-0005-0000-0000-00003ABB0000}"/>
    <cellStyle name="Migliaia 40 2 4 2" xfId="26198" xr:uid="{00000000-0005-0000-0000-00003BBB0000}"/>
    <cellStyle name="Migliaia 40 2 4 3" xfId="41176" xr:uid="{00000000-0005-0000-0000-00003CBB0000}"/>
    <cellStyle name="Migliaia 40 2 4 4" xfId="55736" xr:uid="{00000000-0005-0000-0000-00003DBB0000}"/>
    <cellStyle name="Migliaia 40 2 5" xfId="17213" xr:uid="{00000000-0005-0000-0000-00003EBB0000}"/>
    <cellStyle name="Migliaia 40 2 5 2" xfId="33329" xr:uid="{00000000-0005-0000-0000-00003FBB0000}"/>
    <cellStyle name="Migliaia 40 2 5 3" xfId="48290" xr:uid="{00000000-0005-0000-0000-000040BB0000}"/>
    <cellStyle name="Migliaia 40 2 6" xfId="19179" xr:uid="{00000000-0005-0000-0000-000041BB0000}"/>
    <cellStyle name="Migliaia 40 2 7" xfId="34174" xr:uid="{00000000-0005-0000-0000-000042BB0000}"/>
    <cellStyle name="Migliaia 40 2 8" xfId="49114" xr:uid="{00000000-0005-0000-0000-000043BB0000}"/>
    <cellStyle name="Migliaia 40 2 9" xfId="49519" xr:uid="{00000000-0005-0000-0000-000044BB0000}"/>
    <cellStyle name="Migliaia 40 3" xfId="423" xr:uid="{00000000-0005-0000-0000-000045BB0000}"/>
    <cellStyle name="Migliaia 40 3 10" xfId="49926" xr:uid="{00000000-0005-0000-0000-000046BB0000}"/>
    <cellStyle name="Migliaia 40 3 11" xfId="50334" xr:uid="{00000000-0005-0000-0000-000047BB0000}"/>
    <cellStyle name="Migliaia 40 3 12" xfId="50776" xr:uid="{00000000-0005-0000-0000-000048BB0000}"/>
    <cellStyle name="Migliaia 40 3 13" xfId="51495" xr:uid="{00000000-0005-0000-0000-000049BB0000}"/>
    <cellStyle name="Migliaia 40 3 14" xfId="51908" xr:uid="{00000000-0005-0000-0000-00004ABB0000}"/>
    <cellStyle name="Migliaia 40 3 15" xfId="52455" xr:uid="{00000000-0005-0000-0000-00004BBB0000}"/>
    <cellStyle name="Migliaia 40 3 2" xfId="424" xr:uid="{00000000-0005-0000-0000-00004CBB0000}"/>
    <cellStyle name="Migliaia 40 3 2 10" xfId="50335" xr:uid="{00000000-0005-0000-0000-00004DBB0000}"/>
    <cellStyle name="Migliaia 40 3 2 11" xfId="50777" xr:uid="{00000000-0005-0000-0000-00004EBB0000}"/>
    <cellStyle name="Migliaia 40 3 2 12" xfId="51496" xr:uid="{00000000-0005-0000-0000-00004FBB0000}"/>
    <cellStyle name="Migliaia 40 3 2 13" xfId="51909" xr:uid="{00000000-0005-0000-0000-000050BB0000}"/>
    <cellStyle name="Migliaia 40 3 2 14" xfId="52456" xr:uid="{00000000-0005-0000-0000-000051BB0000}"/>
    <cellStyle name="Migliaia 40 3 2 2" xfId="9259" xr:uid="{00000000-0005-0000-0000-000052BB0000}"/>
    <cellStyle name="Migliaia 40 3 2 2 2" xfId="54864" xr:uid="{00000000-0005-0000-0000-000053BB0000}"/>
    <cellStyle name="Migliaia 40 3 2 3" xfId="9874" xr:uid="{00000000-0005-0000-0000-000054BB0000}"/>
    <cellStyle name="Migliaia 40 3 2 3 2" xfId="26200" xr:uid="{00000000-0005-0000-0000-000055BB0000}"/>
    <cellStyle name="Migliaia 40 3 2 3 3" xfId="41178" xr:uid="{00000000-0005-0000-0000-000056BB0000}"/>
    <cellStyle name="Migliaia 40 3 2 3 4" xfId="55738" xr:uid="{00000000-0005-0000-0000-000057BB0000}"/>
    <cellStyle name="Migliaia 40 3 2 4" xfId="17215" xr:uid="{00000000-0005-0000-0000-000058BB0000}"/>
    <cellStyle name="Migliaia 40 3 2 4 2" xfId="33331" xr:uid="{00000000-0005-0000-0000-000059BB0000}"/>
    <cellStyle name="Migliaia 40 3 2 4 3" xfId="48292" xr:uid="{00000000-0005-0000-0000-00005ABB0000}"/>
    <cellStyle name="Migliaia 40 3 2 5" xfId="19181" xr:uid="{00000000-0005-0000-0000-00005BBB0000}"/>
    <cellStyle name="Migliaia 40 3 2 6" xfId="34176" xr:uid="{00000000-0005-0000-0000-00005CBB0000}"/>
    <cellStyle name="Migliaia 40 3 2 7" xfId="49116" xr:uid="{00000000-0005-0000-0000-00005DBB0000}"/>
    <cellStyle name="Migliaia 40 3 2 8" xfId="49521" xr:uid="{00000000-0005-0000-0000-00005EBB0000}"/>
    <cellStyle name="Migliaia 40 3 2 9" xfId="49927" xr:uid="{00000000-0005-0000-0000-00005FBB0000}"/>
    <cellStyle name="Migliaia 40 3 3" xfId="9258" xr:uid="{00000000-0005-0000-0000-000060BB0000}"/>
    <cellStyle name="Migliaia 40 3 3 2" xfId="18313" xr:uid="{00000000-0005-0000-0000-000061BB0000}"/>
    <cellStyle name="Migliaia 40 3 3 2 2" xfId="33780" xr:uid="{00000000-0005-0000-0000-000062BB0000}"/>
    <cellStyle name="Migliaia 40 3 3 2 2 2" xfId="55265" xr:uid="{00000000-0005-0000-0000-000063BB0000}"/>
    <cellStyle name="Migliaia 40 3 3 2 3" xfId="48741" xr:uid="{00000000-0005-0000-0000-000064BB0000}"/>
    <cellStyle name="Migliaia 40 3 3 2 3 2" xfId="56187" xr:uid="{00000000-0005-0000-0000-000065BB0000}"/>
    <cellStyle name="Migliaia 40 3 3 2 4" xfId="52910" xr:uid="{00000000-0005-0000-0000-000066BB0000}"/>
    <cellStyle name="Migliaia 40 3 3 3" xfId="17216" xr:uid="{00000000-0005-0000-0000-000067BB0000}"/>
    <cellStyle name="Migliaia 40 3 3 3 2" xfId="33332" xr:uid="{00000000-0005-0000-0000-000068BB0000}"/>
    <cellStyle name="Migliaia 40 3 3 3 3" xfId="48293" xr:uid="{00000000-0005-0000-0000-000069BB0000}"/>
    <cellStyle name="Migliaia 40 3 3 3 4" xfId="54865" xr:uid="{00000000-0005-0000-0000-00006ABB0000}"/>
    <cellStyle name="Migliaia 40 3 3 4" xfId="55739" xr:uid="{00000000-0005-0000-0000-00006BBB0000}"/>
    <cellStyle name="Migliaia 40 3 3 5" xfId="52457" xr:uid="{00000000-0005-0000-0000-00006CBB0000}"/>
    <cellStyle name="Migliaia 40 3 4" xfId="9873" xr:uid="{00000000-0005-0000-0000-00006DBB0000}"/>
    <cellStyle name="Migliaia 40 3 4 2" xfId="18312" xr:uid="{00000000-0005-0000-0000-00006EBB0000}"/>
    <cellStyle name="Migliaia 40 3 4 2 2" xfId="33779" xr:uid="{00000000-0005-0000-0000-00006FBB0000}"/>
    <cellStyle name="Migliaia 40 3 4 2 3" xfId="48740" xr:uid="{00000000-0005-0000-0000-000070BB0000}"/>
    <cellStyle name="Migliaia 40 3 4 2 4" xfId="55264" xr:uid="{00000000-0005-0000-0000-000071BB0000}"/>
    <cellStyle name="Migliaia 40 3 4 3" xfId="26199" xr:uid="{00000000-0005-0000-0000-000072BB0000}"/>
    <cellStyle name="Migliaia 40 3 4 3 2" xfId="56186" xr:uid="{00000000-0005-0000-0000-000073BB0000}"/>
    <cellStyle name="Migliaia 40 3 4 4" xfId="41177" xr:uid="{00000000-0005-0000-0000-000074BB0000}"/>
    <cellStyle name="Migliaia 40 3 4 5" xfId="52909" xr:uid="{00000000-0005-0000-0000-000075BB0000}"/>
    <cellStyle name="Migliaia 40 3 5" xfId="17214" xr:uid="{00000000-0005-0000-0000-000076BB0000}"/>
    <cellStyle name="Migliaia 40 3 5 2" xfId="33330" xr:uid="{00000000-0005-0000-0000-000077BB0000}"/>
    <cellStyle name="Migliaia 40 3 5 3" xfId="48291" xr:uid="{00000000-0005-0000-0000-000078BB0000}"/>
    <cellStyle name="Migliaia 40 3 5 4" xfId="54863" xr:uid="{00000000-0005-0000-0000-000079BB0000}"/>
    <cellStyle name="Migliaia 40 3 6" xfId="19180" xr:uid="{00000000-0005-0000-0000-00007ABB0000}"/>
    <cellStyle name="Migliaia 40 3 6 2" xfId="55737" xr:uid="{00000000-0005-0000-0000-00007BBB0000}"/>
    <cellStyle name="Migliaia 40 3 7" xfId="34175" xr:uid="{00000000-0005-0000-0000-00007CBB0000}"/>
    <cellStyle name="Migliaia 40 3 8" xfId="49115" xr:uid="{00000000-0005-0000-0000-00007DBB0000}"/>
    <cellStyle name="Migliaia 40 3 9" xfId="49520" xr:uid="{00000000-0005-0000-0000-00007EBB0000}"/>
    <cellStyle name="Migliaia 40 4" xfId="9260" xr:uid="{00000000-0005-0000-0000-00007FBB0000}"/>
    <cellStyle name="Migliaia 40 4 2" xfId="17218" xr:uid="{00000000-0005-0000-0000-000080BB0000}"/>
    <cellStyle name="Migliaia 40 4 2 2" xfId="18315" xr:uid="{00000000-0005-0000-0000-000081BB0000}"/>
    <cellStyle name="Migliaia 40 4 2 2 2" xfId="33782" xr:uid="{00000000-0005-0000-0000-000082BB0000}"/>
    <cellStyle name="Migliaia 40 4 2 2 2 2" xfId="55267" xr:uid="{00000000-0005-0000-0000-000083BB0000}"/>
    <cellStyle name="Migliaia 40 4 2 2 3" xfId="48743" xr:uid="{00000000-0005-0000-0000-000084BB0000}"/>
    <cellStyle name="Migliaia 40 4 2 2 3 2" xfId="56189" xr:uid="{00000000-0005-0000-0000-000085BB0000}"/>
    <cellStyle name="Migliaia 40 4 2 2 4" xfId="52912" xr:uid="{00000000-0005-0000-0000-000086BB0000}"/>
    <cellStyle name="Migliaia 40 4 2 3" xfId="33334" xr:uid="{00000000-0005-0000-0000-000087BB0000}"/>
    <cellStyle name="Migliaia 40 4 2 3 2" xfId="54867" xr:uid="{00000000-0005-0000-0000-000088BB0000}"/>
    <cellStyle name="Migliaia 40 4 2 4" xfId="48295" xr:uid="{00000000-0005-0000-0000-000089BB0000}"/>
    <cellStyle name="Migliaia 40 4 2 4 2" xfId="55741" xr:uid="{00000000-0005-0000-0000-00008ABB0000}"/>
    <cellStyle name="Migliaia 40 4 2 5" xfId="52459" xr:uid="{00000000-0005-0000-0000-00008BBB0000}"/>
    <cellStyle name="Migliaia 40 4 3" xfId="18314" xr:uid="{00000000-0005-0000-0000-00008CBB0000}"/>
    <cellStyle name="Migliaia 40 4 3 2" xfId="33781" xr:uid="{00000000-0005-0000-0000-00008DBB0000}"/>
    <cellStyle name="Migliaia 40 4 3 2 2" xfId="55266" xr:uid="{00000000-0005-0000-0000-00008EBB0000}"/>
    <cellStyle name="Migliaia 40 4 3 3" xfId="48742" xr:uid="{00000000-0005-0000-0000-00008FBB0000}"/>
    <cellStyle name="Migliaia 40 4 3 3 2" xfId="56188" xr:uid="{00000000-0005-0000-0000-000090BB0000}"/>
    <cellStyle name="Migliaia 40 4 3 4" xfId="52911" xr:uid="{00000000-0005-0000-0000-000091BB0000}"/>
    <cellStyle name="Migliaia 40 4 4" xfId="17217" xr:uid="{00000000-0005-0000-0000-000092BB0000}"/>
    <cellStyle name="Migliaia 40 4 4 2" xfId="33333" xr:uid="{00000000-0005-0000-0000-000093BB0000}"/>
    <cellStyle name="Migliaia 40 4 4 3" xfId="48294" xr:uid="{00000000-0005-0000-0000-000094BB0000}"/>
    <cellStyle name="Migliaia 40 4 4 4" xfId="54866" xr:uid="{00000000-0005-0000-0000-000095BB0000}"/>
    <cellStyle name="Migliaia 40 4 5" xfId="51172" xr:uid="{00000000-0005-0000-0000-000096BB0000}"/>
    <cellStyle name="Migliaia 40 4 5 2" xfId="55740" xr:uid="{00000000-0005-0000-0000-000097BB0000}"/>
    <cellStyle name="Migliaia 40 4 6" xfId="52458" xr:uid="{00000000-0005-0000-0000-000098BB0000}"/>
    <cellStyle name="Migliaia 40 5" xfId="9261" xr:uid="{00000000-0005-0000-0000-000099BB0000}"/>
    <cellStyle name="Migliaia 40 5 2" xfId="17219" xr:uid="{00000000-0005-0000-0000-00009ABB0000}"/>
    <cellStyle name="Migliaia 40 5 2 2" xfId="33335" xr:uid="{00000000-0005-0000-0000-00009BBB0000}"/>
    <cellStyle name="Migliaia 40 5 2 3" xfId="48296" xr:uid="{00000000-0005-0000-0000-00009CBB0000}"/>
    <cellStyle name="Migliaia 40 5 2 4" xfId="54868" xr:uid="{00000000-0005-0000-0000-00009DBB0000}"/>
    <cellStyle name="Migliaia 40 5 3" xfId="51126" xr:uid="{00000000-0005-0000-0000-00009EBB0000}"/>
    <cellStyle name="Migliaia 40 5 3 2" xfId="55742" xr:uid="{00000000-0005-0000-0000-00009FBB0000}"/>
    <cellStyle name="Migliaia 40 5 4" xfId="52460" xr:uid="{00000000-0005-0000-0000-0000A0BB0000}"/>
    <cellStyle name="Migliaia 40 6" xfId="9256" xr:uid="{00000000-0005-0000-0000-0000A1BB0000}"/>
    <cellStyle name="Migliaia 40 6 2" xfId="51161" xr:uid="{00000000-0005-0000-0000-0000A2BB0000}"/>
    <cellStyle name="Migliaia 40 6 3" xfId="54561" xr:uid="{00000000-0005-0000-0000-0000A3BB0000}"/>
    <cellStyle name="Migliaia 40 7" xfId="9871" xr:uid="{00000000-0005-0000-0000-0000A4BB0000}"/>
    <cellStyle name="Migliaia 40 7 2" xfId="26197" xr:uid="{00000000-0005-0000-0000-0000A5BB0000}"/>
    <cellStyle name="Migliaia 40 7 3" xfId="41175" xr:uid="{00000000-0005-0000-0000-0000A6BB0000}"/>
    <cellStyle name="Migliaia 40 7 4" xfId="55735" xr:uid="{00000000-0005-0000-0000-0000A7BB0000}"/>
    <cellStyle name="Migliaia 40 8" xfId="17212" xr:uid="{00000000-0005-0000-0000-0000A8BB0000}"/>
    <cellStyle name="Migliaia 40 8 2" xfId="33328" xr:uid="{00000000-0005-0000-0000-0000A9BB0000}"/>
    <cellStyle name="Migliaia 40 8 3" xfId="48289" xr:uid="{00000000-0005-0000-0000-0000AABB0000}"/>
    <cellStyle name="Migliaia 40 9" xfId="19178" xr:uid="{00000000-0005-0000-0000-0000ABBB0000}"/>
    <cellStyle name="Migliaia 41" xfId="425" xr:uid="{00000000-0005-0000-0000-0000ACBB0000}"/>
    <cellStyle name="Migliaia 41 10" xfId="34177" xr:uid="{00000000-0005-0000-0000-0000ADBB0000}"/>
    <cellStyle name="Migliaia 41 11" xfId="49117" xr:uid="{00000000-0005-0000-0000-0000AEBB0000}"/>
    <cellStyle name="Migliaia 41 12" xfId="49522" xr:uid="{00000000-0005-0000-0000-0000AFBB0000}"/>
    <cellStyle name="Migliaia 41 13" xfId="49928" xr:uid="{00000000-0005-0000-0000-0000B0BB0000}"/>
    <cellStyle name="Migliaia 41 14" xfId="50336" xr:uid="{00000000-0005-0000-0000-0000B1BB0000}"/>
    <cellStyle name="Migliaia 41 15" xfId="50778" xr:uid="{00000000-0005-0000-0000-0000B2BB0000}"/>
    <cellStyle name="Migliaia 41 16" xfId="51497" xr:uid="{00000000-0005-0000-0000-0000B3BB0000}"/>
    <cellStyle name="Migliaia 41 17" xfId="51910" xr:uid="{00000000-0005-0000-0000-0000B4BB0000}"/>
    <cellStyle name="Migliaia 41 18" xfId="52461" xr:uid="{00000000-0005-0000-0000-0000B5BB0000}"/>
    <cellStyle name="Migliaia 41 2" xfId="426" xr:uid="{00000000-0005-0000-0000-0000B6BB0000}"/>
    <cellStyle name="Migliaia 41 2 10" xfId="49929" xr:uid="{00000000-0005-0000-0000-0000B7BB0000}"/>
    <cellStyle name="Migliaia 41 2 11" xfId="50337" xr:uid="{00000000-0005-0000-0000-0000B8BB0000}"/>
    <cellStyle name="Migliaia 41 2 12" xfId="50779" xr:uid="{00000000-0005-0000-0000-0000B9BB0000}"/>
    <cellStyle name="Migliaia 41 2 13" xfId="51498" xr:uid="{00000000-0005-0000-0000-0000BABB0000}"/>
    <cellStyle name="Migliaia 41 2 14" xfId="51911" xr:uid="{00000000-0005-0000-0000-0000BBBB0000}"/>
    <cellStyle name="Migliaia 41 2 15" xfId="52462" xr:uid="{00000000-0005-0000-0000-0000BCBB0000}"/>
    <cellStyle name="Migliaia 41 2 2" xfId="1278" xr:uid="{00000000-0005-0000-0000-0000BDBB0000}"/>
    <cellStyle name="Migliaia 41 2 2 10" xfId="51072" xr:uid="{00000000-0005-0000-0000-0000BEBB0000}"/>
    <cellStyle name="Migliaia 41 2 2 11" xfId="51668" xr:uid="{00000000-0005-0000-0000-0000BFBB0000}"/>
    <cellStyle name="Migliaia 41 2 2 12" xfId="52089" xr:uid="{00000000-0005-0000-0000-0000C0BB0000}"/>
    <cellStyle name="Migliaia 41 2 2 13" xfId="52913" xr:uid="{00000000-0005-0000-0000-0000C1BB0000}"/>
    <cellStyle name="Migliaia 41 2 2 2" xfId="10046" xr:uid="{00000000-0005-0000-0000-0000C2BB0000}"/>
    <cellStyle name="Migliaia 41 2 2 2 2" xfId="26367" xr:uid="{00000000-0005-0000-0000-0000C3BB0000}"/>
    <cellStyle name="Migliaia 41 2 2 2 3" xfId="41335" xr:uid="{00000000-0005-0000-0000-0000C4BB0000}"/>
    <cellStyle name="Migliaia 41 2 2 2 4" xfId="55268" xr:uid="{00000000-0005-0000-0000-0000C5BB0000}"/>
    <cellStyle name="Migliaia 41 2 2 3" xfId="18316" xr:uid="{00000000-0005-0000-0000-0000C6BB0000}"/>
    <cellStyle name="Migliaia 41 2 2 3 2" xfId="33783" xr:uid="{00000000-0005-0000-0000-0000C7BB0000}"/>
    <cellStyle name="Migliaia 41 2 2 3 3" xfId="48744" xr:uid="{00000000-0005-0000-0000-0000C8BB0000}"/>
    <cellStyle name="Migliaia 41 2 2 3 4" xfId="56190" xr:uid="{00000000-0005-0000-0000-0000C9BB0000}"/>
    <cellStyle name="Migliaia 41 2 2 4" xfId="19346" xr:uid="{00000000-0005-0000-0000-0000CABB0000}"/>
    <cellStyle name="Migliaia 41 2 2 5" xfId="34336" xr:uid="{00000000-0005-0000-0000-0000CBBB0000}"/>
    <cellStyle name="Migliaia 41 2 2 6" xfId="49288" xr:uid="{00000000-0005-0000-0000-0000CCBB0000}"/>
    <cellStyle name="Migliaia 41 2 2 7" xfId="49693" xr:uid="{00000000-0005-0000-0000-0000CDBB0000}"/>
    <cellStyle name="Migliaia 41 2 2 8" xfId="50102" xr:uid="{00000000-0005-0000-0000-0000CEBB0000}"/>
    <cellStyle name="Migliaia 41 2 2 9" xfId="50507" xr:uid="{00000000-0005-0000-0000-0000CFBB0000}"/>
    <cellStyle name="Migliaia 41 2 3" xfId="9263" xr:uid="{00000000-0005-0000-0000-0000D0BB0000}"/>
    <cellStyle name="Migliaia 41 2 3 2" xfId="54626" xr:uid="{00000000-0005-0000-0000-0000D1BB0000}"/>
    <cellStyle name="Migliaia 41 2 4" xfId="9876" xr:uid="{00000000-0005-0000-0000-0000D2BB0000}"/>
    <cellStyle name="Migliaia 41 2 4 2" xfId="26202" xr:uid="{00000000-0005-0000-0000-0000D3BB0000}"/>
    <cellStyle name="Migliaia 41 2 4 3" xfId="41180" xr:uid="{00000000-0005-0000-0000-0000D4BB0000}"/>
    <cellStyle name="Migliaia 41 2 4 4" xfId="55744" xr:uid="{00000000-0005-0000-0000-0000D5BB0000}"/>
    <cellStyle name="Migliaia 41 2 5" xfId="17221" xr:uid="{00000000-0005-0000-0000-0000D6BB0000}"/>
    <cellStyle name="Migliaia 41 2 5 2" xfId="33337" xr:uid="{00000000-0005-0000-0000-0000D7BB0000}"/>
    <cellStyle name="Migliaia 41 2 5 3" xfId="48298" xr:uid="{00000000-0005-0000-0000-0000D8BB0000}"/>
    <cellStyle name="Migliaia 41 2 6" xfId="19183" xr:uid="{00000000-0005-0000-0000-0000D9BB0000}"/>
    <cellStyle name="Migliaia 41 2 7" xfId="34178" xr:uid="{00000000-0005-0000-0000-0000DABB0000}"/>
    <cellStyle name="Migliaia 41 2 8" xfId="49118" xr:uid="{00000000-0005-0000-0000-0000DBBB0000}"/>
    <cellStyle name="Migliaia 41 2 9" xfId="49523" xr:uid="{00000000-0005-0000-0000-0000DCBB0000}"/>
    <cellStyle name="Migliaia 41 3" xfId="427" xr:uid="{00000000-0005-0000-0000-0000DDBB0000}"/>
    <cellStyle name="Migliaia 41 3 10" xfId="49930" xr:uid="{00000000-0005-0000-0000-0000DEBB0000}"/>
    <cellStyle name="Migliaia 41 3 11" xfId="50338" xr:uid="{00000000-0005-0000-0000-0000DFBB0000}"/>
    <cellStyle name="Migliaia 41 3 12" xfId="50780" xr:uid="{00000000-0005-0000-0000-0000E0BB0000}"/>
    <cellStyle name="Migliaia 41 3 13" xfId="51499" xr:uid="{00000000-0005-0000-0000-0000E1BB0000}"/>
    <cellStyle name="Migliaia 41 3 14" xfId="51912" xr:uid="{00000000-0005-0000-0000-0000E2BB0000}"/>
    <cellStyle name="Migliaia 41 3 15" xfId="52463" xr:uid="{00000000-0005-0000-0000-0000E3BB0000}"/>
    <cellStyle name="Migliaia 41 3 2" xfId="428" xr:uid="{00000000-0005-0000-0000-0000E4BB0000}"/>
    <cellStyle name="Migliaia 41 3 2 10" xfId="50339" xr:uid="{00000000-0005-0000-0000-0000E5BB0000}"/>
    <cellStyle name="Migliaia 41 3 2 11" xfId="50781" xr:uid="{00000000-0005-0000-0000-0000E6BB0000}"/>
    <cellStyle name="Migliaia 41 3 2 12" xfId="51500" xr:uid="{00000000-0005-0000-0000-0000E7BB0000}"/>
    <cellStyle name="Migliaia 41 3 2 13" xfId="51913" xr:uid="{00000000-0005-0000-0000-0000E8BB0000}"/>
    <cellStyle name="Migliaia 41 3 2 14" xfId="52464" xr:uid="{00000000-0005-0000-0000-0000E9BB0000}"/>
    <cellStyle name="Migliaia 41 3 2 2" xfId="9265" xr:uid="{00000000-0005-0000-0000-0000EABB0000}"/>
    <cellStyle name="Migliaia 41 3 2 2 2" xfId="54870" xr:uid="{00000000-0005-0000-0000-0000EBBB0000}"/>
    <cellStyle name="Migliaia 41 3 2 3" xfId="9878" xr:uid="{00000000-0005-0000-0000-0000ECBB0000}"/>
    <cellStyle name="Migliaia 41 3 2 3 2" xfId="26204" xr:uid="{00000000-0005-0000-0000-0000EDBB0000}"/>
    <cellStyle name="Migliaia 41 3 2 3 3" xfId="41182" xr:uid="{00000000-0005-0000-0000-0000EEBB0000}"/>
    <cellStyle name="Migliaia 41 3 2 3 4" xfId="55746" xr:uid="{00000000-0005-0000-0000-0000EFBB0000}"/>
    <cellStyle name="Migliaia 41 3 2 4" xfId="17223" xr:uid="{00000000-0005-0000-0000-0000F0BB0000}"/>
    <cellStyle name="Migliaia 41 3 2 4 2" xfId="33339" xr:uid="{00000000-0005-0000-0000-0000F1BB0000}"/>
    <cellStyle name="Migliaia 41 3 2 4 3" xfId="48300" xr:uid="{00000000-0005-0000-0000-0000F2BB0000}"/>
    <cellStyle name="Migliaia 41 3 2 5" xfId="19185" xr:uid="{00000000-0005-0000-0000-0000F3BB0000}"/>
    <cellStyle name="Migliaia 41 3 2 6" xfId="34180" xr:uid="{00000000-0005-0000-0000-0000F4BB0000}"/>
    <cellStyle name="Migliaia 41 3 2 7" xfId="49120" xr:uid="{00000000-0005-0000-0000-0000F5BB0000}"/>
    <cellStyle name="Migliaia 41 3 2 8" xfId="49525" xr:uid="{00000000-0005-0000-0000-0000F6BB0000}"/>
    <cellStyle name="Migliaia 41 3 2 9" xfId="49931" xr:uid="{00000000-0005-0000-0000-0000F7BB0000}"/>
    <cellStyle name="Migliaia 41 3 3" xfId="9264" xr:uid="{00000000-0005-0000-0000-0000F8BB0000}"/>
    <cellStyle name="Migliaia 41 3 3 2" xfId="18318" xr:uid="{00000000-0005-0000-0000-0000F9BB0000}"/>
    <cellStyle name="Migliaia 41 3 3 2 2" xfId="33785" xr:uid="{00000000-0005-0000-0000-0000FABB0000}"/>
    <cellStyle name="Migliaia 41 3 3 2 2 2" xfId="55270" xr:uid="{00000000-0005-0000-0000-0000FBBB0000}"/>
    <cellStyle name="Migliaia 41 3 3 2 3" xfId="48746" xr:uid="{00000000-0005-0000-0000-0000FCBB0000}"/>
    <cellStyle name="Migliaia 41 3 3 2 3 2" xfId="56192" xr:uid="{00000000-0005-0000-0000-0000FDBB0000}"/>
    <cellStyle name="Migliaia 41 3 3 2 4" xfId="52915" xr:uid="{00000000-0005-0000-0000-0000FEBB0000}"/>
    <cellStyle name="Migliaia 41 3 3 3" xfId="17224" xr:uid="{00000000-0005-0000-0000-0000FFBB0000}"/>
    <cellStyle name="Migliaia 41 3 3 3 2" xfId="33340" xr:uid="{00000000-0005-0000-0000-000000BC0000}"/>
    <cellStyle name="Migliaia 41 3 3 3 3" xfId="48301" xr:uid="{00000000-0005-0000-0000-000001BC0000}"/>
    <cellStyle name="Migliaia 41 3 3 3 4" xfId="54871" xr:uid="{00000000-0005-0000-0000-000002BC0000}"/>
    <cellStyle name="Migliaia 41 3 3 4" xfId="55747" xr:uid="{00000000-0005-0000-0000-000003BC0000}"/>
    <cellStyle name="Migliaia 41 3 3 5" xfId="52465" xr:uid="{00000000-0005-0000-0000-000004BC0000}"/>
    <cellStyle name="Migliaia 41 3 4" xfId="9877" xr:uid="{00000000-0005-0000-0000-000005BC0000}"/>
    <cellStyle name="Migliaia 41 3 4 2" xfId="18317" xr:uid="{00000000-0005-0000-0000-000006BC0000}"/>
    <cellStyle name="Migliaia 41 3 4 2 2" xfId="33784" xr:uid="{00000000-0005-0000-0000-000007BC0000}"/>
    <cellStyle name="Migliaia 41 3 4 2 3" xfId="48745" xr:uid="{00000000-0005-0000-0000-000008BC0000}"/>
    <cellStyle name="Migliaia 41 3 4 2 4" xfId="55269" xr:uid="{00000000-0005-0000-0000-000009BC0000}"/>
    <cellStyle name="Migliaia 41 3 4 3" xfId="26203" xr:uid="{00000000-0005-0000-0000-00000ABC0000}"/>
    <cellStyle name="Migliaia 41 3 4 3 2" xfId="56191" xr:uid="{00000000-0005-0000-0000-00000BBC0000}"/>
    <cellStyle name="Migliaia 41 3 4 4" xfId="41181" xr:uid="{00000000-0005-0000-0000-00000CBC0000}"/>
    <cellStyle name="Migliaia 41 3 4 5" xfId="52914" xr:uid="{00000000-0005-0000-0000-00000DBC0000}"/>
    <cellStyle name="Migliaia 41 3 5" xfId="17222" xr:uid="{00000000-0005-0000-0000-00000EBC0000}"/>
    <cellStyle name="Migliaia 41 3 5 2" xfId="33338" xr:uid="{00000000-0005-0000-0000-00000FBC0000}"/>
    <cellStyle name="Migliaia 41 3 5 3" xfId="48299" xr:uid="{00000000-0005-0000-0000-000010BC0000}"/>
    <cellStyle name="Migliaia 41 3 5 4" xfId="54869" xr:uid="{00000000-0005-0000-0000-000011BC0000}"/>
    <cellStyle name="Migliaia 41 3 6" xfId="19184" xr:uid="{00000000-0005-0000-0000-000012BC0000}"/>
    <cellStyle name="Migliaia 41 3 6 2" xfId="55745" xr:uid="{00000000-0005-0000-0000-000013BC0000}"/>
    <cellStyle name="Migliaia 41 3 7" xfId="34179" xr:uid="{00000000-0005-0000-0000-000014BC0000}"/>
    <cellStyle name="Migliaia 41 3 8" xfId="49119" xr:uid="{00000000-0005-0000-0000-000015BC0000}"/>
    <cellStyle name="Migliaia 41 3 9" xfId="49524" xr:uid="{00000000-0005-0000-0000-000016BC0000}"/>
    <cellStyle name="Migliaia 41 4" xfId="9266" xr:uid="{00000000-0005-0000-0000-000017BC0000}"/>
    <cellStyle name="Migliaia 41 4 2" xfId="17226" xr:uid="{00000000-0005-0000-0000-000018BC0000}"/>
    <cellStyle name="Migliaia 41 4 2 2" xfId="18320" xr:uid="{00000000-0005-0000-0000-000019BC0000}"/>
    <cellStyle name="Migliaia 41 4 2 2 2" xfId="33787" xr:uid="{00000000-0005-0000-0000-00001ABC0000}"/>
    <cellStyle name="Migliaia 41 4 2 2 2 2" xfId="55272" xr:uid="{00000000-0005-0000-0000-00001BBC0000}"/>
    <cellStyle name="Migliaia 41 4 2 2 3" xfId="48748" xr:uid="{00000000-0005-0000-0000-00001CBC0000}"/>
    <cellStyle name="Migliaia 41 4 2 2 3 2" xfId="56194" xr:uid="{00000000-0005-0000-0000-00001DBC0000}"/>
    <cellStyle name="Migliaia 41 4 2 2 4" xfId="52917" xr:uid="{00000000-0005-0000-0000-00001EBC0000}"/>
    <cellStyle name="Migliaia 41 4 2 3" xfId="33342" xr:uid="{00000000-0005-0000-0000-00001FBC0000}"/>
    <cellStyle name="Migliaia 41 4 2 3 2" xfId="54873" xr:uid="{00000000-0005-0000-0000-000020BC0000}"/>
    <cellStyle name="Migliaia 41 4 2 4" xfId="48303" xr:uid="{00000000-0005-0000-0000-000021BC0000}"/>
    <cellStyle name="Migliaia 41 4 2 4 2" xfId="55749" xr:uid="{00000000-0005-0000-0000-000022BC0000}"/>
    <cellStyle name="Migliaia 41 4 2 5" xfId="52467" xr:uid="{00000000-0005-0000-0000-000023BC0000}"/>
    <cellStyle name="Migliaia 41 4 3" xfId="18319" xr:uid="{00000000-0005-0000-0000-000024BC0000}"/>
    <cellStyle name="Migliaia 41 4 3 2" xfId="33786" xr:uid="{00000000-0005-0000-0000-000025BC0000}"/>
    <cellStyle name="Migliaia 41 4 3 2 2" xfId="55271" xr:uid="{00000000-0005-0000-0000-000026BC0000}"/>
    <cellStyle name="Migliaia 41 4 3 3" xfId="48747" xr:uid="{00000000-0005-0000-0000-000027BC0000}"/>
    <cellStyle name="Migliaia 41 4 3 3 2" xfId="56193" xr:uid="{00000000-0005-0000-0000-000028BC0000}"/>
    <cellStyle name="Migliaia 41 4 3 4" xfId="52916" xr:uid="{00000000-0005-0000-0000-000029BC0000}"/>
    <cellStyle name="Migliaia 41 4 4" xfId="17225" xr:uid="{00000000-0005-0000-0000-00002ABC0000}"/>
    <cellStyle name="Migliaia 41 4 4 2" xfId="33341" xr:uid="{00000000-0005-0000-0000-00002BBC0000}"/>
    <cellStyle name="Migliaia 41 4 4 3" xfId="48302" xr:uid="{00000000-0005-0000-0000-00002CBC0000}"/>
    <cellStyle name="Migliaia 41 4 4 4" xfId="54872" xr:uid="{00000000-0005-0000-0000-00002DBC0000}"/>
    <cellStyle name="Migliaia 41 4 5" xfId="51225" xr:uid="{00000000-0005-0000-0000-00002EBC0000}"/>
    <cellStyle name="Migliaia 41 4 5 2" xfId="55748" xr:uid="{00000000-0005-0000-0000-00002FBC0000}"/>
    <cellStyle name="Migliaia 41 4 6" xfId="52466" xr:uid="{00000000-0005-0000-0000-000030BC0000}"/>
    <cellStyle name="Migliaia 41 5" xfId="9267" xr:uid="{00000000-0005-0000-0000-000031BC0000}"/>
    <cellStyle name="Migliaia 41 5 2" xfId="17227" xr:uid="{00000000-0005-0000-0000-000032BC0000}"/>
    <cellStyle name="Migliaia 41 5 2 2" xfId="33343" xr:uid="{00000000-0005-0000-0000-000033BC0000}"/>
    <cellStyle name="Migliaia 41 5 2 3" xfId="48304" xr:uid="{00000000-0005-0000-0000-000034BC0000}"/>
    <cellStyle name="Migliaia 41 5 2 4" xfId="54874" xr:uid="{00000000-0005-0000-0000-000035BC0000}"/>
    <cellStyle name="Migliaia 41 5 3" xfId="50911" xr:uid="{00000000-0005-0000-0000-000036BC0000}"/>
    <cellStyle name="Migliaia 41 5 3 2" xfId="55750" xr:uid="{00000000-0005-0000-0000-000037BC0000}"/>
    <cellStyle name="Migliaia 41 5 4" xfId="52468" xr:uid="{00000000-0005-0000-0000-000038BC0000}"/>
    <cellStyle name="Migliaia 41 6" xfId="9262" xr:uid="{00000000-0005-0000-0000-000039BC0000}"/>
    <cellStyle name="Migliaia 41 6 2" xfId="51184" xr:uid="{00000000-0005-0000-0000-00003ABC0000}"/>
    <cellStyle name="Migliaia 41 6 3" xfId="54562" xr:uid="{00000000-0005-0000-0000-00003BBC0000}"/>
    <cellStyle name="Migliaia 41 7" xfId="9875" xr:uid="{00000000-0005-0000-0000-00003CBC0000}"/>
    <cellStyle name="Migliaia 41 7 2" xfId="26201" xr:uid="{00000000-0005-0000-0000-00003DBC0000}"/>
    <cellStyle name="Migliaia 41 7 3" xfId="41179" xr:uid="{00000000-0005-0000-0000-00003EBC0000}"/>
    <cellStyle name="Migliaia 41 7 4" xfId="55743" xr:uid="{00000000-0005-0000-0000-00003FBC0000}"/>
    <cellStyle name="Migliaia 41 8" xfId="17220" xr:uid="{00000000-0005-0000-0000-000040BC0000}"/>
    <cellStyle name="Migliaia 41 8 2" xfId="33336" xr:uid="{00000000-0005-0000-0000-000041BC0000}"/>
    <cellStyle name="Migliaia 41 8 3" xfId="48297" xr:uid="{00000000-0005-0000-0000-000042BC0000}"/>
    <cellStyle name="Migliaia 41 9" xfId="19182" xr:uid="{00000000-0005-0000-0000-000043BC0000}"/>
    <cellStyle name="Migliaia 42" xfId="429" xr:uid="{00000000-0005-0000-0000-000044BC0000}"/>
    <cellStyle name="Migliaia 42 10" xfId="34181" xr:uid="{00000000-0005-0000-0000-000045BC0000}"/>
    <cellStyle name="Migliaia 42 11" xfId="49121" xr:uid="{00000000-0005-0000-0000-000046BC0000}"/>
    <cellStyle name="Migliaia 42 12" xfId="49526" xr:uid="{00000000-0005-0000-0000-000047BC0000}"/>
    <cellStyle name="Migliaia 42 13" xfId="49932" xr:uid="{00000000-0005-0000-0000-000048BC0000}"/>
    <cellStyle name="Migliaia 42 14" xfId="50340" xr:uid="{00000000-0005-0000-0000-000049BC0000}"/>
    <cellStyle name="Migliaia 42 15" xfId="50782" xr:uid="{00000000-0005-0000-0000-00004ABC0000}"/>
    <cellStyle name="Migliaia 42 16" xfId="51501" xr:uid="{00000000-0005-0000-0000-00004BBC0000}"/>
    <cellStyle name="Migliaia 42 17" xfId="51914" xr:uid="{00000000-0005-0000-0000-00004CBC0000}"/>
    <cellStyle name="Migliaia 42 18" xfId="52469" xr:uid="{00000000-0005-0000-0000-00004DBC0000}"/>
    <cellStyle name="Migliaia 42 2" xfId="430" xr:uid="{00000000-0005-0000-0000-00004EBC0000}"/>
    <cellStyle name="Migliaia 42 2 10" xfId="49933" xr:uid="{00000000-0005-0000-0000-00004FBC0000}"/>
    <cellStyle name="Migliaia 42 2 11" xfId="50341" xr:uid="{00000000-0005-0000-0000-000050BC0000}"/>
    <cellStyle name="Migliaia 42 2 12" xfId="50783" xr:uid="{00000000-0005-0000-0000-000051BC0000}"/>
    <cellStyle name="Migliaia 42 2 13" xfId="51502" xr:uid="{00000000-0005-0000-0000-000052BC0000}"/>
    <cellStyle name="Migliaia 42 2 14" xfId="51915" xr:uid="{00000000-0005-0000-0000-000053BC0000}"/>
    <cellStyle name="Migliaia 42 2 15" xfId="52470" xr:uid="{00000000-0005-0000-0000-000054BC0000}"/>
    <cellStyle name="Migliaia 42 2 2" xfId="1279" xr:uid="{00000000-0005-0000-0000-000055BC0000}"/>
    <cellStyle name="Migliaia 42 2 2 10" xfId="51073" xr:uid="{00000000-0005-0000-0000-000056BC0000}"/>
    <cellStyle name="Migliaia 42 2 2 11" xfId="51669" xr:uid="{00000000-0005-0000-0000-000057BC0000}"/>
    <cellStyle name="Migliaia 42 2 2 12" xfId="52090" xr:uid="{00000000-0005-0000-0000-000058BC0000}"/>
    <cellStyle name="Migliaia 42 2 2 13" xfId="52918" xr:uid="{00000000-0005-0000-0000-000059BC0000}"/>
    <cellStyle name="Migliaia 42 2 2 2" xfId="10047" xr:uid="{00000000-0005-0000-0000-00005ABC0000}"/>
    <cellStyle name="Migliaia 42 2 2 2 2" xfId="26368" xr:uid="{00000000-0005-0000-0000-00005BBC0000}"/>
    <cellStyle name="Migliaia 42 2 2 2 3" xfId="41336" xr:uid="{00000000-0005-0000-0000-00005CBC0000}"/>
    <cellStyle name="Migliaia 42 2 2 2 4" xfId="55273" xr:uid="{00000000-0005-0000-0000-00005DBC0000}"/>
    <cellStyle name="Migliaia 42 2 2 3" xfId="18321" xr:uid="{00000000-0005-0000-0000-00005EBC0000}"/>
    <cellStyle name="Migliaia 42 2 2 3 2" xfId="33788" xr:uid="{00000000-0005-0000-0000-00005FBC0000}"/>
    <cellStyle name="Migliaia 42 2 2 3 3" xfId="48749" xr:uid="{00000000-0005-0000-0000-000060BC0000}"/>
    <cellStyle name="Migliaia 42 2 2 3 4" xfId="56195" xr:uid="{00000000-0005-0000-0000-000061BC0000}"/>
    <cellStyle name="Migliaia 42 2 2 4" xfId="19347" xr:uid="{00000000-0005-0000-0000-000062BC0000}"/>
    <cellStyle name="Migliaia 42 2 2 5" xfId="34337" xr:uid="{00000000-0005-0000-0000-000063BC0000}"/>
    <cellStyle name="Migliaia 42 2 2 6" xfId="49289" xr:uid="{00000000-0005-0000-0000-000064BC0000}"/>
    <cellStyle name="Migliaia 42 2 2 7" xfId="49694" xr:uid="{00000000-0005-0000-0000-000065BC0000}"/>
    <cellStyle name="Migliaia 42 2 2 8" xfId="50103" xr:uid="{00000000-0005-0000-0000-000066BC0000}"/>
    <cellStyle name="Migliaia 42 2 2 9" xfId="50508" xr:uid="{00000000-0005-0000-0000-000067BC0000}"/>
    <cellStyle name="Migliaia 42 2 3" xfId="9269" xr:uid="{00000000-0005-0000-0000-000068BC0000}"/>
    <cellStyle name="Migliaia 42 2 3 2" xfId="54627" xr:uid="{00000000-0005-0000-0000-000069BC0000}"/>
    <cellStyle name="Migliaia 42 2 4" xfId="9880" xr:uid="{00000000-0005-0000-0000-00006ABC0000}"/>
    <cellStyle name="Migliaia 42 2 4 2" xfId="26206" xr:uid="{00000000-0005-0000-0000-00006BBC0000}"/>
    <cellStyle name="Migliaia 42 2 4 3" xfId="41184" xr:uid="{00000000-0005-0000-0000-00006CBC0000}"/>
    <cellStyle name="Migliaia 42 2 4 4" xfId="55752" xr:uid="{00000000-0005-0000-0000-00006DBC0000}"/>
    <cellStyle name="Migliaia 42 2 5" xfId="17229" xr:uid="{00000000-0005-0000-0000-00006EBC0000}"/>
    <cellStyle name="Migliaia 42 2 5 2" xfId="33345" xr:uid="{00000000-0005-0000-0000-00006FBC0000}"/>
    <cellStyle name="Migliaia 42 2 5 3" xfId="48306" xr:uid="{00000000-0005-0000-0000-000070BC0000}"/>
    <cellStyle name="Migliaia 42 2 6" xfId="19187" xr:uid="{00000000-0005-0000-0000-000071BC0000}"/>
    <cellStyle name="Migliaia 42 2 7" xfId="34182" xr:uid="{00000000-0005-0000-0000-000072BC0000}"/>
    <cellStyle name="Migliaia 42 2 8" xfId="49122" xr:uid="{00000000-0005-0000-0000-000073BC0000}"/>
    <cellStyle name="Migliaia 42 2 9" xfId="49527" xr:uid="{00000000-0005-0000-0000-000074BC0000}"/>
    <cellStyle name="Migliaia 42 3" xfId="431" xr:uid="{00000000-0005-0000-0000-000075BC0000}"/>
    <cellStyle name="Migliaia 42 3 10" xfId="49934" xr:uid="{00000000-0005-0000-0000-000076BC0000}"/>
    <cellStyle name="Migliaia 42 3 11" xfId="50342" xr:uid="{00000000-0005-0000-0000-000077BC0000}"/>
    <cellStyle name="Migliaia 42 3 12" xfId="50784" xr:uid="{00000000-0005-0000-0000-000078BC0000}"/>
    <cellStyle name="Migliaia 42 3 13" xfId="51503" xr:uid="{00000000-0005-0000-0000-000079BC0000}"/>
    <cellStyle name="Migliaia 42 3 14" xfId="51916" xr:uid="{00000000-0005-0000-0000-00007ABC0000}"/>
    <cellStyle name="Migliaia 42 3 15" xfId="52471" xr:uid="{00000000-0005-0000-0000-00007BBC0000}"/>
    <cellStyle name="Migliaia 42 3 2" xfId="432" xr:uid="{00000000-0005-0000-0000-00007CBC0000}"/>
    <cellStyle name="Migliaia 42 3 2 10" xfId="50343" xr:uid="{00000000-0005-0000-0000-00007DBC0000}"/>
    <cellStyle name="Migliaia 42 3 2 11" xfId="50785" xr:uid="{00000000-0005-0000-0000-00007EBC0000}"/>
    <cellStyle name="Migliaia 42 3 2 12" xfId="51504" xr:uid="{00000000-0005-0000-0000-00007FBC0000}"/>
    <cellStyle name="Migliaia 42 3 2 13" xfId="51917" xr:uid="{00000000-0005-0000-0000-000080BC0000}"/>
    <cellStyle name="Migliaia 42 3 2 14" xfId="52472" xr:uid="{00000000-0005-0000-0000-000081BC0000}"/>
    <cellStyle name="Migliaia 42 3 2 2" xfId="9271" xr:uid="{00000000-0005-0000-0000-000082BC0000}"/>
    <cellStyle name="Migliaia 42 3 2 2 2" xfId="54876" xr:uid="{00000000-0005-0000-0000-000083BC0000}"/>
    <cellStyle name="Migliaia 42 3 2 3" xfId="9882" xr:uid="{00000000-0005-0000-0000-000084BC0000}"/>
    <cellStyle name="Migliaia 42 3 2 3 2" xfId="26208" xr:uid="{00000000-0005-0000-0000-000085BC0000}"/>
    <cellStyle name="Migliaia 42 3 2 3 3" xfId="41186" xr:uid="{00000000-0005-0000-0000-000086BC0000}"/>
    <cellStyle name="Migliaia 42 3 2 3 4" xfId="55754" xr:uid="{00000000-0005-0000-0000-000087BC0000}"/>
    <cellStyle name="Migliaia 42 3 2 4" xfId="17231" xr:uid="{00000000-0005-0000-0000-000088BC0000}"/>
    <cellStyle name="Migliaia 42 3 2 4 2" xfId="33347" xr:uid="{00000000-0005-0000-0000-000089BC0000}"/>
    <cellStyle name="Migliaia 42 3 2 4 3" xfId="48308" xr:uid="{00000000-0005-0000-0000-00008ABC0000}"/>
    <cellStyle name="Migliaia 42 3 2 5" xfId="19189" xr:uid="{00000000-0005-0000-0000-00008BBC0000}"/>
    <cellStyle name="Migliaia 42 3 2 6" xfId="34184" xr:uid="{00000000-0005-0000-0000-00008CBC0000}"/>
    <cellStyle name="Migliaia 42 3 2 7" xfId="49124" xr:uid="{00000000-0005-0000-0000-00008DBC0000}"/>
    <cellStyle name="Migliaia 42 3 2 8" xfId="49529" xr:uid="{00000000-0005-0000-0000-00008EBC0000}"/>
    <cellStyle name="Migliaia 42 3 2 9" xfId="49935" xr:uid="{00000000-0005-0000-0000-00008FBC0000}"/>
    <cellStyle name="Migliaia 42 3 3" xfId="9270" xr:uid="{00000000-0005-0000-0000-000090BC0000}"/>
    <cellStyle name="Migliaia 42 3 3 2" xfId="18323" xr:uid="{00000000-0005-0000-0000-000091BC0000}"/>
    <cellStyle name="Migliaia 42 3 3 2 2" xfId="33790" xr:uid="{00000000-0005-0000-0000-000092BC0000}"/>
    <cellStyle name="Migliaia 42 3 3 2 2 2" xfId="55275" xr:uid="{00000000-0005-0000-0000-000093BC0000}"/>
    <cellStyle name="Migliaia 42 3 3 2 3" xfId="48751" xr:uid="{00000000-0005-0000-0000-000094BC0000}"/>
    <cellStyle name="Migliaia 42 3 3 2 3 2" xfId="56197" xr:uid="{00000000-0005-0000-0000-000095BC0000}"/>
    <cellStyle name="Migliaia 42 3 3 2 4" xfId="52920" xr:uid="{00000000-0005-0000-0000-000096BC0000}"/>
    <cellStyle name="Migliaia 42 3 3 3" xfId="17232" xr:uid="{00000000-0005-0000-0000-000097BC0000}"/>
    <cellStyle name="Migliaia 42 3 3 3 2" xfId="33348" xr:uid="{00000000-0005-0000-0000-000098BC0000}"/>
    <cellStyle name="Migliaia 42 3 3 3 3" xfId="48309" xr:uid="{00000000-0005-0000-0000-000099BC0000}"/>
    <cellStyle name="Migliaia 42 3 3 3 4" xfId="54877" xr:uid="{00000000-0005-0000-0000-00009ABC0000}"/>
    <cellStyle name="Migliaia 42 3 3 4" xfId="55755" xr:uid="{00000000-0005-0000-0000-00009BBC0000}"/>
    <cellStyle name="Migliaia 42 3 3 5" xfId="52473" xr:uid="{00000000-0005-0000-0000-00009CBC0000}"/>
    <cellStyle name="Migliaia 42 3 4" xfId="9881" xr:uid="{00000000-0005-0000-0000-00009DBC0000}"/>
    <cellStyle name="Migliaia 42 3 4 2" xfId="18322" xr:uid="{00000000-0005-0000-0000-00009EBC0000}"/>
    <cellStyle name="Migliaia 42 3 4 2 2" xfId="33789" xr:uid="{00000000-0005-0000-0000-00009FBC0000}"/>
    <cellStyle name="Migliaia 42 3 4 2 3" xfId="48750" xr:uid="{00000000-0005-0000-0000-0000A0BC0000}"/>
    <cellStyle name="Migliaia 42 3 4 2 4" xfId="55274" xr:uid="{00000000-0005-0000-0000-0000A1BC0000}"/>
    <cellStyle name="Migliaia 42 3 4 3" xfId="26207" xr:uid="{00000000-0005-0000-0000-0000A2BC0000}"/>
    <cellStyle name="Migliaia 42 3 4 3 2" xfId="56196" xr:uid="{00000000-0005-0000-0000-0000A3BC0000}"/>
    <cellStyle name="Migliaia 42 3 4 4" xfId="41185" xr:uid="{00000000-0005-0000-0000-0000A4BC0000}"/>
    <cellStyle name="Migliaia 42 3 4 5" xfId="52919" xr:uid="{00000000-0005-0000-0000-0000A5BC0000}"/>
    <cellStyle name="Migliaia 42 3 5" xfId="17230" xr:uid="{00000000-0005-0000-0000-0000A6BC0000}"/>
    <cellStyle name="Migliaia 42 3 5 2" xfId="33346" xr:uid="{00000000-0005-0000-0000-0000A7BC0000}"/>
    <cellStyle name="Migliaia 42 3 5 3" xfId="48307" xr:uid="{00000000-0005-0000-0000-0000A8BC0000}"/>
    <cellStyle name="Migliaia 42 3 5 4" xfId="54875" xr:uid="{00000000-0005-0000-0000-0000A9BC0000}"/>
    <cellStyle name="Migliaia 42 3 6" xfId="19188" xr:uid="{00000000-0005-0000-0000-0000AABC0000}"/>
    <cellStyle name="Migliaia 42 3 6 2" xfId="55753" xr:uid="{00000000-0005-0000-0000-0000ABBC0000}"/>
    <cellStyle name="Migliaia 42 3 7" xfId="34183" xr:uid="{00000000-0005-0000-0000-0000ACBC0000}"/>
    <cellStyle name="Migliaia 42 3 8" xfId="49123" xr:uid="{00000000-0005-0000-0000-0000ADBC0000}"/>
    <cellStyle name="Migliaia 42 3 9" xfId="49528" xr:uid="{00000000-0005-0000-0000-0000AEBC0000}"/>
    <cellStyle name="Migliaia 42 4" xfId="9272" xr:uid="{00000000-0005-0000-0000-0000AFBC0000}"/>
    <cellStyle name="Migliaia 42 4 2" xfId="17234" xr:uid="{00000000-0005-0000-0000-0000B0BC0000}"/>
    <cellStyle name="Migliaia 42 4 2 2" xfId="18325" xr:uid="{00000000-0005-0000-0000-0000B1BC0000}"/>
    <cellStyle name="Migliaia 42 4 2 2 2" xfId="33792" xr:uid="{00000000-0005-0000-0000-0000B2BC0000}"/>
    <cellStyle name="Migliaia 42 4 2 2 2 2" xfId="55277" xr:uid="{00000000-0005-0000-0000-0000B3BC0000}"/>
    <cellStyle name="Migliaia 42 4 2 2 3" xfId="48753" xr:uid="{00000000-0005-0000-0000-0000B4BC0000}"/>
    <cellStyle name="Migliaia 42 4 2 2 3 2" xfId="56199" xr:uid="{00000000-0005-0000-0000-0000B5BC0000}"/>
    <cellStyle name="Migliaia 42 4 2 2 4" xfId="52922" xr:uid="{00000000-0005-0000-0000-0000B6BC0000}"/>
    <cellStyle name="Migliaia 42 4 2 3" xfId="33350" xr:uid="{00000000-0005-0000-0000-0000B7BC0000}"/>
    <cellStyle name="Migliaia 42 4 2 3 2" xfId="54879" xr:uid="{00000000-0005-0000-0000-0000B8BC0000}"/>
    <cellStyle name="Migliaia 42 4 2 4" xfId="48311" xr:uid="{00000000-0005-0000-0000-0000B9BC0000}"/>
    <cellStyle name="Migliaia 42 4 2 4 2" xfId="55757" xr:uid="{00000000-0005-0000-0000-0000BABC0000}"/>
    <cellStyle name="Migliaia 42 4 2 5" xfId="52475" xr:uid="{00000000-0005-0000-0000-0000BBBC0000}"/>
    <cellStyle name="Migliaia 42 4 3" xfId="18324" xr:uid="{00000000-0005-0000-0000-0000BCBC0000}"/>
    <cellStyle name="Migliaia 42 4 3 2" xfId="33791" xr:uid="{00000000-0005-0000-0000-0000BDBC0000}"/>
    <cellStyle name="Migliaia 42 4 3 2 2" xfId="55276" xr:uid="{00000000-0005-0000-0000-0000BEBC0000}"/>
    <cellStyle name="Migliaia 42 4 3 3" xfId="48752" xr:uid="{00000000-0005-0000-0000-0000BFBC0000}"/>
    <cellStyle name="Migliaia 42 4 3 3 2" xfId="56198" xr:uid="{00000000-0005-0000-0000-0000C0BC0000}"/>
    <cellStyle name="Migliaia 42 4 3 4" xfId="52921" xr:uid="{00000000-0005-0000-0000-0000C1BC0000}"/>
    <cellStyle name="Migliaia 42 4 4" xfId="17233" xr:uid="{00000000-0005-0000-0000-0000C2BC0000}"/>
    <cellStyle name="Migliaia 42 4 4 2" xfId="33349" xr:uid="{00000000-0005-0000-0000-0000C3BC0000}"/>
    <cellStyle name="Migliaia 42 4 4 3" xfId="48310" xr:uid="{00000000-0005-0000-0000-0000C4BC0000}"/>
    <cellStyle name="Migliaia 42 4 4 4" xfId="54878" xr:uid="{00000000-0005-0000-0000-0000C5BC0000}"/>
    <cellStyle name="Migliaia 42 4 5" xfId="51125" xr:uid="{00000000-0005-0000-0000-0000C6BC0000}"/>
    <cellStyle name="Migliaia 42 4 5 2" xfId="55756" xr:uid="{00000000-0005-0000-0000-0000C7BC0000}"/>
    <cellStyle name="Migliaia 42 4 6" xfId="52474" xr:uid="{00000000-0005-0000-0000-0000C8BC0000}"/>
    <cellStyle name="Migliaia 42 5" xfId="9273" xr:uid="{00000000-0005-0000-0000-0000C9BC0000}"/>
    <cellStyle name="Migliaia 42 5 2" xfId="17235" xr:uid="{00000000-0005-0000-0000-0000CABC0000}"/>
    <cellStyle name="Migliaia 42 5 2 2" xfId="33351" xr:uid="{00000000-0005-0000-0000-0000CBBC0000}"/>
    <cellStyle name="Migliaia 42 5 2 3" xfId="48312" xr:uid="{00000000-0005-0000-0000-0000CCBC0000}"/>
    <cellStyle name="Migliaia 42 5 2 4" xfId="54880" xr:uid="{00000000-0005-0000-0000-0000CDBC0000}"/>
    <cellStyle name="Migliaia 42 5 3" xfId="51226" xr:uid="{00000000-0005-0000-0000-0000CEBC0000}"/>
    <cellStyle name="Migliaia 42 5 3 2" xfId="55758" xr:uid="{00000000-0005-0000-0000-0000CFBC0000}"/>
    <cellStyle name="Migliaia 42 5 4" xfId="52476" xr:uid="{00000000-0005-0000-0000-0000D0BC0000}"/>
    <cellStyle name="Migliaia 42 6" xfId="9268" xr:uid="{00000000-0005-0000-0000-0000D1BC0000}"/>
    <cellStyle name="Migliaia 42 6 2" xfId="51160" xr:uid="{00000000-0005-0000-0000-0000D2BC0000}"/>
    <cellStyle name="Migliaia 42 6 3" xfId="54563" xr:uid="{00000000-0005-0000-0000-0000D3BC0000}"/>
    <cellStyle name="Migliaia 42 7" xfId="9879" xr:uid="{00000000-0005-0000-0000-0000D4BC0000}"/>
    <cellStyle name="Migliaia 42 7 2" xfId="26205" xr:uid="{00000000-0005-0000-0000-0000D5BC0000}"/>
    <cellStyle name="Migliaia 42 7 3" xfId="41183" xr:uid="{00000000-0005-0000-0000-0000D6BC0000}"/>
    <cellStyle name="Migliaia 42 7 4" xfId="55751" xr:uid="{00000000-0005-0000-0000-0000D7BC0000}"/>
    <cellStyle name="Migliaia 42 8" xfId="17228" xr:uid="{00000000-0005-0000-0000-0000D8BC0000}"/>
    <cellStyle name="Migliaia 42 8 2" xfId="33344" xr:uid="{00000000-0005-0000-0000-0000D9BC0000}"/>
    <cellStyle name="Migliaia 42 8 3" xfId="48305" xr:uid="{00000000-0005-0000-0000-0000DABC0000}"/>
    <cellStyle name="Migliaia 42 9" xfId="19186" xr:uid="{00000000-0005-0000-0000-0000DBBC0000}"/>
    <cellStyle name="Migliaia 43" xfId="433" xr:uid="{00000000-0005-0000-0000-0000DCBC0000}"/>
    <cellStyle name="Migliaia 43 10" xfId="34185" xr:uid="{00000000-0005-0000-0000-0000DDBC0000}"/>
    <cellStyle name="Migliaia 43 11" xfId="49125" xr:uid="{00000000-0005-0000-0000-0000DEBC0000}"/>
    <cellStyle name="Migliaia 43 12" xfId="49530" xr:uid="{00000000-0005-0000-0000-0000DFBC0000}"/>
    <cellStyle name="Migliaia 43 13" xfId="49936" xr:uid="{00000000-0005-0000-0000-0000E0BC0000}"/>
    <cellStyle name="Migliaia 43 14" xfId="50344" xr:uid="{00000000-0005-0000-0000-0000E1BC0000}"/>
    <cellStyle name="Migliaia 43 15" xfId="50786" xr:uid="{00000000-0005-0000-0000-0000E2BC0000}"/>
    <cellStyle name="Migliaia 43 16" xfId="51505" xr:uid="{00000000-0005-0000-0000-0000E3BC0000}"/>
    <cellStyle name="Migliaia 43 17" xfId="51918" xr:uid="{00000000-0005-0000-0000-0000E4BC0000}"/>
    <cellStyle name="Migliaia 43 18" xfId="52477" xr:uid="{00000000-0005-0000-0000-0000E5BC0000}"/>
    <cellStyle name="Migliaia 43 2" xfId="434" xr:uid="{00000000-0005-0000-0000-0000E6BC0000}"/>
    <cellStyle name="Migliaia 43 2 10" xfId="49937" xr:uid="{00000000-0005-0000-0000-0000E7BC0000}"/>
    <cellStyle name="Migliaia 43 2 11" xfId="50345" xr:uid="{00000000-0005-0000-0000-0000E8BC0000}"/>
    <cellStyle name="Migliaia 43 2 12" xfId="50787" xr:uid="{00000000-0005-0000-0000-0000E9BC0000}"/>
    <cellStyle name="Migliaia 43 2 13" xfId="51506" xr:uid="{00000000-0005-0000-0000-0000EABC0000}"/>
    <cellStyle name="Migliaia 43 2 14" xfId="51919" xr:uid="{00000000-0005-0000-0000-0000EBBC0000}"/>
    <cellStyle name="Migliaia 43 2 15" xfId="52478" xr:uid="{00000000-0005-0000-0000-0000ECBC0000}"/>
    <cellStyle name="Migliaia 43 2 2" xfId="1280" xr:uid="{00000000-0005-0000-0000-0000EDBC0000}"/>
    <cellStyle name="Migliaia 43 2 2 10" xfId="51074" xr:uid="{00000000-0005-0000-0000-0000EEBC0000}"/>
    <cellStyle name="Migliaia 43 2 2 11" xfId="51670" xr:uid="{00000000-0005-0000-0000-0000EFBC0000}"/>
    <cellStyle name="Migliaia 43 2 2 12" xfId="52091" xr:uid="{00000000-0005-0000-0000-0000F0BC0000}"/>
    <cellStyle name="Migliaia 43 2 2 13" xfId="52923" xr:uid="{00000000-0005-0000-0000-0000F1BC0000}"/>
    <cellStyle name="Migliaia 43 2 2 2" xfId="10048" xr:uid="{00000000-0005-0000-0000-0000F2BC0000}"/>
    <cellStyle name="Migliaia 43 2 2 2 2" xfId="26369" xr:uid="{00000000-0005-0000-0000-0000F3BC0000}"/>
    <cellStyle name="Migliaia 43 2 2 2 3" xfId="41337" xr:uid="{00000000-0005-0000-0000-0000F4BC0000}"/>
    <cellStyle name="Migliaia 43 2 2 2 4" xfId="55278" xr:uid="{00000000-0005-0000-0000-0000F5BC0000}"/>
    <cellStyle name="Migliaia 43 2 2 3" xfId="18326" xr:uid="{00000000-0005-0000-0000-0000F6BC0000}"/>
    <cellStyle name="Migliaia 43 2 2 3 2" xfId="33793" xr:uid="{00000000-0005-0000-0000-0000F7BC0000}"/>
    <cellStyle name="Migliaia 43 2 2 3 3" xfId="48754" xr:uid="{00000000-0005-0000-0000-0000F8BC0000}"/>
    <cellStyle name="Migliaia 43 2 2 3 4" xfId="56200" xr:uid="{00000000-0005-0000-0000-0000F9BC0000}"/>
    <cellStyle name="Migliaia 43 2 2 4" xfId="19348" xr:uid="{00000000-0005-0000-0000-0000FABC0000}"/>
    <cellStyle name="Migliaia 43 2 2 5" xfId="34338" xr:uid="{00000000-0005-0000-0000-0000FBBC0000}"/>
    <cellStyle name="Migliaia 43 2 2 6" xfId="49290" xr:uid="{00000000-0005-0000-0000-0000FCBC0000}"/>
    <cellStyle name="Migliaia 43 2 2 7" xfId="49695" xr:uid="{00000000-0005-0000-0000-0000FDBC0000}"/>
    <cellStyle name="Migliaia 43 2 2 8" xfId="50104" xr:uid="{00000000-0005-0000-0000-0000FEBC0000}"/>
    <cellStyle name="Migliaia 43 2 2 9" xfId="50509" xr:uid="{00000000-0005-0000-0000-0000FFBC0000}"/>
    <cellStyle name="Migliaia 43 2 3" xfId="9275" xr:uid="{00000000-0005-0000-0000-000000BD0000}"/>
    <cellStyle name="Migliaia 43 2 3 2" xfId="54628" xr:uid="{00000000-0005-0000-0000-000001BD0000}"/>
    <cellStyle name="Migliaia 43 2 4" xfId="9884" xr:uid="{00000000-0005-0000-0000-000002BD0000}"/>
    <cellStyle name="Migliaia 43 2 4 2" xfId="26210" xr:uid="{00000000-0005-0000-0000-000003BD0000}"/>
    <cellStyle name="Migliaia 43 2 4 3" xfId="41188" xr:uid="{00000000-0005-0000-0000-000004BD0000}"/>
    <cellStyle name="Migliaia 43 2 4 4" xfId="55760" xr:uid="{00000000-0005-0000-0000-000005BD0000}"/>
    <cellStyle name="Migliaia 43 2 5" xfId="17237" xr:uid="{00000000-0005-0000-0000-000006BD0000}"/>
    <cellStyle name="Migliaia 43 2 5 2" xfId="33353" xr:uid="{00000000-0005-0000-0000-000007BD0000}"/>
    <cellStyle name="Migliaia 43 2 5 3" xfId="48314" xr:uid="{00000000-0005-0000-0000-000008BD0000}"/>
    <cellStyle name="Migliaia 43 2 6" xfId="19191" xr:uid="{00000000-0005-0000-0000-000009BD0000}"/>
    <cellStyle name="Migliaia 43 2 7" xfId="34186" xr:uid="{00000000-0005-0000-0000-00000ABD0000}"/>
    <cellStyle name="Migliaia 43 2 8" xfId="49126" xr:uid="{00000000-0005-0000-0000-00000BBD0000}"/>
    <cellStyle name="Migliaia 43 2 9" xfId="49531" xr:uid="{00000000-0005-0000-0000-00000CBD0000}"/>
    <cellStyle name="Migliaia 43 3" xfId="435" xr:uid="{00000000-0005-0000-0000-00000DBD0000}"/>
    <cellStyle name="Migliaia 43 3 10" xfId="49938" xr:uid="{00000000-0005-0000-0000-00000EBD0000}"/>
    <cellStyle name="Migliaia 43 3 11" xfId="50346" xr:uid="{00000000-0005-0000-0000-00000FBD0000}"/>
    <cellStyle name="Migliaia 43 3 12" xfId="50788" xr:uid="{00000000-0005-0000-0000-000010BD0000}"/>
    <cellStyle name="Migliaia 43 3 13" xfId="51507" xr:uid="{00000000-0005-0000-0000-000011BD0000}"/>
    <cellStyle name="Migliaia 43 3 14" xfId="51920" xr:uid="{00000000-0005-0000-0000-000012BD0000}"/>
    <cellStyle name="Migliaia 43 3 15" xfId="52479" xr:uid="{00000000-0005-0000-0000-000013BD0000}"/>
    <cellStyle name="Migliaia 43 3 2" xfId="436" xr:uid="{00000000-0005-0000-0000-000014BD0000}"/>
    <cellStyle name="Migliaia 43 3 2 10" xfId="50347" xr:uid="{00000000-0005-0000-0000-000015BD0000}"/>
    <cellStyle name="Migliaia 43 3 2 11" xfId="50789" xr:uid="{00000000-0005-0000-0000-000016BD0000}"/>
    <cellStyle name="Migliaia 43 3 2 12" xfId="51508" xr:uid="{00000000-0005-0000-0000-000017BD0000}"/>
    <cellStyle name="Migliaia 43 3 2 13" xfId="51921" xr:uid="{00000000-0005-0000-0000-000018BD0000}"/>
    <cellStyle name="Migliaia 43 3 2 14" xfId="52480" xr:uid="{00000000-0005-0000-0000-000019BD0000}"/>
    <cellStyle name="Migliaia 43 3 2 2" xfId="9277" xr:uid="{00000000-0005-0000-0000-00001ABD0000}"/>
    <cellStyle name="Migliaia 43 3 2 2 2" xfId="54882" xr:uid="{00000000-0005-0000-0000-00001BBD0000}"/>
    <cellStyle name="Migliaia 43 3 2 3" xfId="9886" xr:uid="{00000000-0005-0000-0000-00001CBD0000}"/>
    <cellStyle name="Migliaia 43 3 2 3 2" xfId="26212" xr:uid="{00000000-0005-0000-0000-00001DBD0000}"/>
    <cellStyle name="Migliaia 43 3 2 3 3" xfId="41190" xr:uid="{00000000-0005-0000-0000-00001EBD0000}"/>
    <cellStyle name="Migliaia 43 3 2 3 4" xfId="55762" xr:uid="{00000000-0005-0000-0000-00001FBD0000}"/>
    <cellStyle name="Migliaia 43 3 2 4" xfId="17239" xr:uid="{00000000-0005-0000-0000-000020BD0000}"/>
    <cellStyle name="Migliaia 43 3 2 4 2" xfId="33355" xr:uid="{00000000-0005-0000-0000-000021BD0000}"/>
    <cellStyle name="Migliaia 43 3 2 4 3" xfId="48316" xr:uid="{00000000-0005-0000-0000-000022BD0000}"/>
    <cellStyle name="Migliaia 43 3 2 5" xfId="19193" xr:uid="{00000000-0005-0000-0000-000023BD0000}"/>
    <cellStyle name="Migliaia 43 3 2 6" xfId="34188" xr:uid="{00000000-0005-0000-0000-000024BD0000}"/>
    <cellStyle name="Migliaia 43 3 2 7" xfId="49128" xr:uid="{00000000-0005-0000-0000-000025BD0000}"/>
    <cellStyle name="Migliaia 43 3 2 8" xfId="49533" xr:uid="{00000000-0005-0000-0000-000026BD0000}"/>
    <cellStyle name="Migliaia 43 3 2 9" xfId="49939" xr:uid="{00000000-0005-0000-0000-000027BD0000}"/>
    <cellStyle name="Migliaia 43 3 3" xfId="9276" xr:uid="{00000000-0005-0000-0000-000028BD0000}"/>
    <cellStyle name="Migliaia 43 3 3 2" xfId="18328" xr:uid="{00000000-0005-0000-0000-000029BD0000}"/>
    <cellStyle name="Migliaia 43 3 3 2 2" xfId="33795" xr:uid="{00000000-0005-0000-0000-00002ABD0000}"/>
    <cellStyle name="Migliaia 43 3 3 2 2 2" xfId="55280" xr:uid="{00000000-0005-0000-0000-00002BBD0000}"/>
    <cellStyle name="Migliaia 43 3 3 2 3" xfId="48756" xr:uid="{00000000-0005-0000-0000-00002CBD0000}"/>
    <cellStyle name="Migliaia 43 3 3 2 3 2" xfId="56202" xr:uid="{00000000-0005-0000-0000-00002DBD0000}"/>
    <cellStyle name="Migliaia 43 3 3 2 4" xfId="52925" xr:uid="{00000000-0005-0000-0000-00002EBD0000}"/>
    <cellStyle name="Migliaia 43 3 3 3" xfId="17240" xr:uid="{00000000-0005-0000-0000-00002FBD0000}"/>
    <cellStyle name="Migliaia 43 3 3 3 2" xfId="33356" xr:uid="{00000000-0005-0000-0000-000030BD0000}"/>
    <cellStyle name="Migliaia 43 3 3 3 3" xfId="48317" xr:uid="{00000000-0005-0000-0000-000031BD0000}"/>
    <cellStyle name="Migliaia 43 3 3 3 4" xfId="54883" xr:uid="{00000000-0005-0000-0000-000032BD0000}"/>
    <cellStyle name="Migliaia 43 3 3 4" xfId="55763" xr:uid="{00000000-0005-0000-0000-000033BD0000}"/>
    <cellStyle name="Migliaia 43 3 3 5" xfId="52481" xr:uid="{00000000-0005-0000-0000-000034BD0000}"/>
    <cellStyle name="Migliaia 43 3 4" xfId="9885" xr:uid="{00000000-0005-0000-0000-000035BD0000}"/>
    <cellStyle name="Migliaia 43 3 4 2" xfId="18327" xr:uid="{00000000-0005-0000-0000-000036BD0000}"/>
    <cellStyle name="Migliaia 43 3 4 2 2" xfId="33794" xr:uid="{00000000-0005-0000-0000-000037BD0000}"/>
    <cellStyle name="Migliaia 43 3 4 2 3" xfId="48755" xr:uid="{00000000-0005-0000-0000-000038BD0000}"/>
    <cellStyle name="Migliaia 43 3 4 2 4" xfId="55279" xr:uid="{00000000-0005-0000-0000-000039BD0000}"/>
    <cellStyle name="Migliaia 43 3 4 3" xfId="26211" xr:uid="{00000000-0005-0000-0000-00003ABD0000}"/>
    <cellStyle name="Migliaia 43 3 4 3 2" xfId="56201" xr:uid="{00000000-0005-0000-0000-00003BBD0000}"/>
    <cellStyle name="Migliaia 43 3 4 4" xfId="41189" xr:uid="{00000000-0005-0000-0000-00003CBD0000}"/>
    <cellStyle name="Migliaia 43 3 4 5" xfId="52924" xr:uid="{00000000-0005-0000-0000-00003DBD0000}"/>
    <cellStyle name="Migliaia 43 3 5" xfId="17238" xr:uid="{00000000-0005-0000-0000-00003EBD0000}"/>
    <cellStyle name="Migliaia 43 3 5 2" xfId="33354" xr:uid="{00000000-0005-0000-0000-00003FBD0000}"/>
    <cellStyle name="Migliaia 43 3 5 3" xfId="48315" xr:uid="{00000000-0005-0000-0000-000040BD0000}"/>
    <cellStyle name="Migliaia 43 3 5 4" xfId="54881" xr:uid="{00000000-0005-0000-0000-000041BD0000}"/>
    <cellStyle name="Migliaia 43 3 6" xfId="19192" xr:uid="{00000000-0005-0000-0000-000042BD0000}"/>
    <cellStyle name="Migliaia 43 3 6 2" xfId="55761" xr:uid="{00000000-0005-0000-0000-000043BD0000}"/>
    <cellStyle name="Migliaia 43 3 7" xfId="34187" xr:uid="{00000000-0005-0000-0000-000044BD0000}"/>
    <cellStyle name="Migliaia 43 3 8" xfId="49127" xr:uid="{00000000-0005-0000-0000-000045BD0000}"/>
    <cellStyle name="Migliaia 43 3 9" xfId="49532" xr:uid="{00000000-0005-0000-0000-000046BD0000}"/>
    <cellStyle name="Migliaia 43 4" xfId="9278" xr:uid="{00000000-0005-0000-0000-000047BD0000}"/>
    <cellStyle name="Migliaia 43 4 2" xfId="17242" xr:uid="{00000000-0005-0000-0000-000048BD0000}"/>
    <cellStyle name="Migliaia 43 4 2 2" xfId="18330" xr:uid="{00000000-0005-0000-0000-000049BD0000}"/>
    <cellStyle name="Migliaia 43 4 2 2 2" xfId="33797" xr:uid="{00000000-0005-0000-0000-00004ABD0000}"/>
    <cellStyle name="Migliaia 43 4 2 2 2 2" xfId="55282" xr:uid="{00000000-0005-0000-0000-00004BBD0000}"/>
    <cellStyle name="Migliaia 43 4 2 2 3" xfId="48758" xr:uid="{00000000-0005-0000-0000-00004CBD0000}"/>
    <cellStyle name="Migliaia 43 4 2 2 3 2" xfId="56204" xr:uid="{00000000-0005-0000-0000-00004DBD0000}"/>
    <cellStyle name="Migliaia 43 4 2 2 4" xfId="52927" xr:uid="{00000000-0005-0000-0000-00004EBD0000}"/>
    <cellStyle name="Migliaia 43 4 2 3" xfId="33358" xr:uid="{00000000-0005-0000-0000-00004FBD0000}"/>
    <cellStyle name="Migliaia 43 4 2 3 2" xfId="54885" xr:uid="{00000000-0005-0000-0000-000050BD0000}"/>
    <cellStyle name="Migliaia 43 4 2 4" xfId="48319" xr:uid="{00000000-0005-0000-0000-000051BD0000}"/>
    <cellStyle name="Migliaia 43 4 2 4 2" xfId="55765" xr:uid="{00000000-0005-0000-0000-000052BD0000}"/>
    <cellStyle name="Migliaia 43 4 2 5" xfId="52483" xr:uid="{00000000-0005-0000-0000-000053BD0000}"/>
    <cellStyle name="Migliaia 43 4 3" xfId="18329" xr:uid="{00000000-0005-0000-0000-000054BD0000}"/>
    <cellStyle name="Migliaia 43 4 3 2" xfId="33796" xr:uid="{00000000-0005-0000-0000-000055BD0000}"/>
    <cellStyle name="Migliaia 43 4 3 2 2" xfId="55281" xr:uid="{00000000-0005-0000-0000-000056BD0000}"/>
    <cellStyle name="Migliaia 43 4 3 3" xfId="48757" xr:uid="{00000000-0005-0000-0000-000057BD0000}"/>
    <cellStyle name="Migliaia 43 4 3 3 2" xfId="56203" xr:uid="{00000000-0005-0000-0000-000058BD0000}"/>
    <cellStyle name="Migliaia 43 4 3 4" xfId="52926" xr:uid="{00000000-0005-0000-0000-000059BD0000}"/>
    <cellStyle name="Migliaia 43 4 4" xfId="17241" xr:uid="{00000000-0005-0000-0000-00005ABD0000}"/>
    <cellStyle name="Migliaia 43 4 4 2" xfId="33357" xr:uid="{00000000-0005-0000-0000-00005BBD0000}"/>
    <cellStyle name="Migliaia 43 4 4 3" xfId="48318" xr:uid="{00000000-0005-0000-0000-00005CBD0000}"/>
    <cellStyle name="Migliaia 43 4 4 4" xfId="54884" xr:uid="{00000000-0005-0000-0000-00005DBD0000}"/>
    <cellStyle name="Migliaia 43 4 5" xfId="50910" xr:uid="{00000000-0005-0000-0000-00005EBD0000}"/>
    <cellStyle name="Migliaia 43 4 5 2" xfId="55764" xr:uid="{00000000-0005-0000-0000-00005FBD0000}"/>
    <cellStyle name="Migliaia 43 4 6" xfId="52482" xr:uid="{00000000-0005-0000-0000-000060BD0000}"/>
    <cellStyle name="Migliaia 43 5" xfId="9279" xr:uid="{00000000-0005-0000-0000-000061BD0000}"/>
    <cellStyle name="Migliaia 43 5 2" xfId="17243" xr:uid="{00000000-0005-0000-0000-000062BD0000}"/>
    <cellStyle name="Migliaia 43 5 2 2" xfId="33359" xr:uid="{00000000-0005-0000-0000-000063BD0000}"/>
    <cellStyle name="Migliaia 43 5 2 3" xfId="48320" xr:uid="{00000000-0005-0000-0000-000064BD0000}"/>
    <cellStyle name="Migliaia 43 5 2 4" xfId="54886" xr:uid="{00000000-0005-0000-0000-000065BD0000}"/>
    <cellStyle name="Migliaia 43 5 3" xfId="50909" xr:uid="{00000000-0005-0000-0000-000066BD0000}"/>
    <cellStyle name="Migliaia 43 5 3 2" xfId="55766" xr:uid="{00000000-0005-0000-0000-000067BD0000}"/>
    <cellStyle name="Migliaia 43 5 4" xfId="52484" xr:uid="{00000000-0005-0000-0000-000068BD0000}"/>
    <cellStyle name="Migliaia 43 6" xfId="9274" xr:uid="{00000000-0005-0000-0000-000069BD0000}"/>
    <cellStyle name="Migliaia 43 6 2" xfId="51227" xr:uid="{00000000-0005-0000-0000-00006ABD0000}"/>
    <cellStyle name="Migliaia 43 6 3" xfId="54564" xr:uid="{00000000-0005-0000-0000-00006BBD0000}"/>
    <cellStyle name="Migliaia 43 7" xfId="9883" xr:uid="{00000000-0005-0000-0000-00006CBD0000}"/>
    <cellStyle name="Migliaia 43 7 2" xfId="26209" xr:uid="{00000000-0005-0000-0000-00006DBD0000}"/>
    <cellStyle name="Migliaia 43 7 3" xfId="41187" xr:uid="{00000000-0005-0000-0000-00006EBD0000}"/>
    <cellStyle name="Migliaia 43 7 4" xfId="55759" xr:uid="{00000000-0005-0000-0000-00006FBD0000}"/>
    <cellStyle name="Migliaia 43 8" xfId="17236" xr:uid="{00000000-0005-0000-0000-000070BD0000}"/>
    <cellStyle name="Migliaia 43 8 2" xfId="33352" xr:uid="{00000000-0005-0000-0000-000071BD0000}"/>
    <cellStyle name="Migliaia 43 8 3" xfId="48313" xr:uid="{00000000-0005-0000-0000-000072BD0000}"/>
    <cellStyle name="Migliaia 43 9" xfId="19190" xr:uid="{00000000-0005-0000-0000-000073BD0000}"/>
    <cellStyle name="Migliaia 44" xfId="437" xr:uid="{00000000-0005-0000-0000-000074BD0000}"/>
    <cellStyle name="Migliaia 44 10" xfId="34189" xr:uid="{00000000-0005-0000-0000-000075BD0000}"/>
    <cellStyle name="Migliaia 44 11" xfId="49129" xr:uid="{00000000-0005-0000-0000-000076BD0000}"/>
    <cellStyle name="Migliaia 44 12" xfId="49534" xr:uid="{00000000-0005-0000-0000-000077BD0000}"/>
    <cellStyle name="Migliaia 44 13" xfId="49940" xr:uid="{00000000-0005-0000-0000-000078BD0000}"/>
    <cellStyle name="Migliaia 44 14" xfId="50348" xr:uid="{00000000-0005-0000-0000-000079BD0000}"/>
    <cellStyle name="Migliaia 44 15" xfId="50790" xr:uid="{00000000-0005-0000-0000-00007ABD0000}"/>
    <cellStyle name="Migliaia 44 16" xfId="51509" xr:uid="{00000000-0005-0000-0000-00007BBD0000}"/>
    <cellStyle name="Migliaia 44 17" xfId="51922" xr:uid="{00000000-0005-0000-0000-00007CBD0000}"/>
    <cellStyle name="Migliaia 44 18" xfId="52485" xr:uid="{00000000-0005-0000-0000-00007DBD0000}"/>
    <cellStyle name="Migliaia 44 2" xfId="438" xr:uid="{00000000-0005-0000-0000-00007EBD0000}"/>
    <cellStyle name="Migliaia 44 2 10" xfId="49941" xr:uid="{00000000-0005-0000-0000-00007FBD0000}"/>
    <cellStyle name="Migliaia 44 2 11" xfId="50349" xr:uid="{00000000-0005-0000-0000-000080BD0000}"/>
    <cellStyle name="Migliaia 44 2 12" xfId="50791" xr:uid="{00000000-0005-0000-0000-000081BD0000}"/>
    <cellStyle name="Migliaia 44 2 13" xfId="51510" xr:uid="{00000000-0005-0000-0000-000082BD0000}"/>
    <cellStyle name="Migliaia 44 2 14" xfId="51923" xr:uid="{00000000-0005-0000-0000-000083BD0000}"/>
    <cellStyle name="Migliaia 44 2 15" xfId="52486" xr:uid="{00000000-0005-0000-0000-000084BD0000}"/>
    <cellStyle name="Migliaia 44 2 2" xfId="1281" xr:uid="{00000000-0005-0000-0000-000085BD0000}"/>
    <cellStyle name="Migliaia 44 2 2 10" xfId="51075" xr:uid="{00000000-0005-0000-0000-000086BD0000}"/>
    <cellStyle name="Migliaia 44 2 2 11" xfId="51671" xr:uid="{00000000-0005-0000-0000-000087BD0000}"/>
    <cellStyle name="Migliaia 44 2 2 12" xfId="52092" xr:uid="{00000000-0005-0000-0000-000088BD0000}"/>
    <cellStyle name="Migliaia 44 2 2 13" xfId="52928" xr:uid="{00000000-0005-0000-0000-000089BD0000}"/>
    <cellStyle name="Migliaia 44 2 2 2" xfId="10049" xr:uid="{00000000-0005-0000-0000-00008ABD0000}"/>
    <cellStyle name="Migliaia 44 2 2 2 2" xfId="26370" xr:uid="{00000000-0005-0000-0000-00008BBD0000}"/>
    <cellStyle name="Migliaia 44 2 2 2 3" xfId="41338" xr:uid="{00000000-0005-0000-0000-00008CBD0000}"/>
    <cellStyle name="Migliaia 44 2 2 2 4" xfId="55283" xr:uid="{00000000-0005-0000-0000-00008DBD0000}"/>
    <cellStyle name="Migliaia 44 2 2 3" xfId="18331" xr:uid="{00000000-0005-0000-0000-00008EBD0000}"/>
    <cellStyle name="Migliaia 44 2 2 3 2" xfId="33798" xr:uid="{00000000-0005-0000-0000-00008FBD0000}"/>
    <cellStyle name="Migliaia 44 2 2 3 3" xfId="48759" xr:uid="{00000000-0005-0000-0000-000090BD0000}"/>
    <cellStyle name="Migliaia 44 2 2 3 4" xfId="56205" xr:uid="{00000000-0005-0000-0000-000091BD0000}"/>
    <cellStyle name="Migliaia 44 2 2 4" xfId="19349" xr:uid="{00000000-0005-0000-0000-000092BD0000}"/>
    <cellStyle name="Migliaia 44 2 2 5" xfId="34339" xr:uid="{00000000-0005-0000-0000-000093BD0000}"/>
    <cellStyle name="Migliaia 44 2 2 6" xfId="49291" xr:uid="{00000000-0005-0000-0000-000094BD0000}"/>
    <cellStyle name="Migliaia 44 2 2 7" xfId="49696" xr:uid="{00000000-0005-0000-0000-000095BD0000}"/>
    <cellStyle name="Migliaia 44 2 2 8" xfId="50105" xr:uid="{00000000-0005-0000-0000-000096BD0000}"/>
    <cellStyle name="Migliaia 44 2 2 9" xfId="50510" xr:uid="{00000000-0005-0000-0000-000097BD0000}"/>
    <cellStyle name="Migliaia 44 2 3" xfId="9281" xr:uid="{00000000-0005-0000-0000-000098BD0000}"/>
    <cellStyle name="Migliaia 44 2 3 2" xfId="54629" xr:uid="{00000000-0005-0000-0000-000099BD0000}"/>
    <cellStyle name="Migliaia 44 2 4" xfId="9888" xr:uid="{00000000-0005-0000-0000-00009ABD0000}"/>
    <cellStyle name="Migliaia 44 2 4 2" xfId="26214" xr:uid="{00000000-0005-0000-0000-00009BBD0000}"/>
    <cellStyle name="Migliaia 44 2 4 3" xfId="41192" xr:uid="{00000000-0005-0000-0000-00009CBD0000}"/>
    <cellStyle name="Migliaia 44 2 4 4" xfId="55768" xr:uid="{00000000-0005-0000-0000-00009DBD0000}"/>
    <cellStyle name="Migliaia 44 2 5" xfId="17245" xr:uid="{00000000-0005-0000-0000-00009EBD0000}"/>
    <cellStyle name="Migliaia 44 2 5 2" xfId="33361" xr:uid="{00000000-0005-0000-0000-00009FBD0000}"/>
    <cellStyle name="Migliaia 44 2 5 3" xfId="48322" xr:uid="{00000000-0005-0000-0000-0000A0BD0000}"/>
    <cellStyle name="Migliaia 44 2 6" xfId="19195" xr:uid="{00000000-0005-0000-0000-0000A1BD0000}"/>
    <cellStyle name="Migliaia 44 2 7" xfId="34190" xr:uid="{00000000-0005-0000-0000-0000A2BD0000}"/>
    <cellStyle name="Migliaia 44 2 8" xfId="49130" xr:uid="{00000000-0005-0000-0000-0000A3BD0000}"/>
    <cellStyle name="Migliaia 44 2 9" xfId="49535" xr:uid="{00000000-0005-0000-0000-0000A4BD0000}"/>
    <cellStyle name="Migliaia 44 3" xfId="439" xr:uid="{00000000-0005-0000-0000-0000A5BD0000}"/>
    <cellStyle name="Migliaia 44 3 10" xfId="49942" xr:uid="{00000000-0005-0000-0000-0000A6BD0000}"/>
    <cellStyle name="Migliaia 44 3 11" xfId="50350" xr:uid="{00000000-0005-0000-0000-0000A7BD0000}"/>
    <cellStyle name="Migliaia 44 3 12" xfId="50792" xr:uid="{00000000-0005-0000-0000-0000A8BD0000}"/>
    <cellStyle name="Migliaia 44 3 13" xfId="51511" xr:uid="{00000000-0005-0000-0000-0000A9BD0000}"/>
    <cellStyle name="Migliaia 44 3 14" xfId="51924" xr:uid="{00000000-0005-0000-0000-0000AABD0000}"/>
    <cellStyle name="Migliaia 44 3 15" xfId="52487" xr:uid="{00000000-0005-0000-0000-0000ABBD0000}"/>
    <cellStyle name="Migliaia 44 3 2" xfId="440" xr:uid="{00000000-0005-0000-0000-0000ACBD0000}"/>
    <cellStyle name="Migliaia 44 3 2 10" xfId="50351" xr:uid="{00000000-0005-0000-0000-0000ADBD0000}"/>
    <cellStyle name="Migliaia 44 3 2 11" xfId="50793" xr:uid="{00000000-0005-0000-0000-0000AEBD0000}"/>
    <cellStyle name="Migliaia 44 3 2 12" xfId="51512" xr:uid="{00000000-0005-0000-0000-0000AFBD0000}"/>
    <cellStyle name="Migliaia 44 3 2 13" xfId="51925" xr:uid="{00000000-0005-0000-0000-0000B0BD0000}"/>
    <cellStyle name="Migliaia 44 3 2 14" xfId="52488" xr:uid="{00000000-0005-0000-0000-0000B1BD0000}"/>
    <cellStyle name="Migliaia 44 3 2 2" xfId="9283" xr:uid="{00000000-0005-0000-0000-0000B2BD0000}"/>
    <cellStyle name="Migliaia 44 3 2 2 2" xfId="54888" xr:uid="{00000000-0005-0000-0000-0000B3BD0000}"/>
    <cellStyle name="Migliaia 44 3 2 3" xfId="9890" xr:uid="{00000000-0005-0000-0000-0000B4BD0000}"/>
    <cellStyle name="Migliaia 44 3 2 3 2" xfId="26216" xr:uid="{00000000-0005-0000-0000-0000B5BD0000}"/>
    <cellStyle name="Migliaia 44 3 2 3 3" xfId="41194" xr:uid="{00000000-0005-0000-0000-0000B6BD0000}"/>
    <cellStyle name="Migliaia 44 3 2 3 4" xfId="55770" xr:uid="{00000000-0005-0000-0000-0000B7BD0000}"/>
    <cellStyle name="Migliaia 44 3 2 4" xfId="17247" xr:uid="{00000000-0005-0000-0000-0000B8BD0000}"/>
    <cellStyle name="Migliaia 44 3 2 4 2" xfId="33363" xr:uid="{00000000-0005-0000-0000-0000B9BD0000}"/>
    <cellStyle name="Migliaia 44 3 2 4 3" xfId="48324" xr:uid="{00000000-0005-0000-0000-0000BABD0000}"/>
    <cellStyle name="Migliaia 44 3 2 5" xfId="19197" xr:uid="{00000000-0005-0000-0000-0000BBBD0000}"/>
    <cellStyle name="Migliaia 44 3 2 6" xfId="34192" xr:uid="{00000000-0005-0000-0000-0000BCBD0000}"/>
    <cellStyle name="Migliaia 44 3 2 7" xfId="49132" xr:uid="{00000000-0005-0000-0000-0000BDBD0000}"/>
    <cellStyle name="Migliaia 44 3 2 8" xfId="49537" xr:uid="{00000000-0005-0000-0000-0000BEBD0000}"/>
    <cellStyle name="Migliaia 44 3 2 9" xfId="49943" xr:uid="{00000000-0005-0000-0000-0000BFBD0000}"/>
    <cellStyle name="Migliaia 44 3 3" xfId="9282" xr:uid="{00000000-0005-0000-0000-0000C0BD0000}"/>
    <cellStyle name="Migliaia 44 3 3 2" xfId="18333" xr:uid="{00000000-0005-0000-0000-0000C1BD0000}"/>
    <cellStyle name="Migliaia 44 3 3 2 2" xfId="33800" xr:uid="{00000000-0005-0000-0000-0000C2BD0000}"/>
    <cellStyle name="Migliaia 44 3 3 2 2 2" xfId="55285" xr:uid="{00000000-0005-0000-0000-0000C3BD0000}"/>
    <cellStyle name="Migliaia 44 3 3 2 3" xfId="48761" xr:uid="{00000000-0005-0000-0000-0000C4BD0000}"/>
    <cellStyle name="Migliaia 44 3 3 2 3 2" xfId="56207" xr:uid="{00000000-0005-0000-0000-0000C5BD0000}"/>
    <cellStyle name="Migliaia 44 3 3 2 4" xfId="52930" xr:uid="{00000000-0005-0000-0000-0000C6BD0000}"/>
    <cellStyle name="Migliaia 44 3 3 3" xfId="17248" xr:uid="{00000000-0005-0000-0000-0000C7BD0000}"/>
    <cellStyle name="Migliaia 44 3 3 3 2" xfId="33364" xr:uid="{00000000-0005-0000-0000-0000C8BD0000}"/>
    <cellStyle name="Migliaia 44 3 3 3 3" xfId="48325" xr:uid="{00000000-0005-0000-0000-0000C9BD0000}"/>
    <cellStyle name="Migliaia 44 3 3 3 4" xfId="54889" xr:uid="{00000000-0005-0000-0000-0000CABD0000}"/>
    <cellStyle name="Migliaia 44 3 3 4" xfId="55771" xr:uid="{00000000-0005-0000-0000-0000CBBD0000}"/>
    <cellStyle name="Migliaia 44 3 3 5" xfId="52489" xr:uid="{00000000-0005-0000-0000-0000CCBD0000}"/>
    <cellStyle name="Migliaia 44 3 4" xfId="9889" xr:uid="{00000000-0005-0000-0000-0000CDBD0000}"/>
    <cellStyle name="Migliaia 44 3 4 2" xfId="18332" xr:uid="{00000000-0005-0000-0000-0000CEBD0000}"/>
    <cellStyle name="Migliaia 44 3 4 2 2" xfId="33799" xr:uid="{00000000-0005-0000-0000-0000CFBD0000}"/>
    <cellStyle name="Migliaia 44 3 4 2 3" xfId="48760" xr:uid="{00000000-0005-0000-0000-0000D0BD0000}"/>
    <cellStyle name="Migliaia 44 3 4 2 4" xfId="55284" xr:uid="{00000000-0005-0000-0000-0000D1BD0000}"/>
    <cellStyle name="Migliaia 44 3 4 3" xfId="26215" xr:uid="{00000000-0005-0000-0000-0000D2BD0000}"/>
    <cellStyle name="Migliaia 44 3 4 3 2" xfId="56206" xr:uid="{00000000-0005-0000-0000-0000D3BD0000}"/>
    <cellStyle name="Migliaia 44 3 4 4" xfId="41193" xr:uid="{00000000-0005-0000-0000-0000D4BD0000}"/>
    <cellStyle name="Migliaia 44 3 4 5" xfId="52929" xr:uid="{00000000-0005-0000-0000-0000D5BD0000}"/>
    <cellStyle name="Migliaia 44 3 5" xfId="17246" xr:uid="{00000000-0005-0000-0000-0000D6BD0000}"/>
    <cellStyle name="Migliaia 44 3 5 2" xfId="33362" xr:uid="{00000000-0005-0000-0000-0000D7BD0000}"/>
    <cellStyle name="Migliaia 44 3 5 3" xfId="48323" xr:uid="{00000000-0005-0000-0000-0000D8BD0000}"/>
    <cellStyle name="Migliaia 44 3 5 4" xfId="54887" xr:uid="{00000000-0005-0000-0000-0000D9BD0000}"/>
    <cellStyle name="Migliaia 44 3 6" xfId="19196" xr:uid="{00000000-0005-0000-0000-0000DABD0000}"/>
    <cellStyle name="Migliaia 44 3 6 2" xfId="55769" xr:uid="{00000000-0005-0000-0000-0000DBBD0000}"/>
    <cellStyle name="Migliaia 44 3 7" xfId="34191" xr:uid="{00000000-0005-0000-0000-0000DCBD0000}"/>
    <cellStyle name="Migliaia 44 3 8" xfId="49131" xr:uid="{00000000-0005-0000-0000-0000DDBD0000}"/>
    <cellStyle name="Migliaia 44 3 9" xfId="49536" xr:uid="{00000000-0005-0000-0000-0000DEBD0000}"/>
    <cellStyle name="Migliaia 44 4" xfId="9284" xr:uid="{00000000-0005-0000-0000-0000DFBD0000}"/>
    <cellStyle name="Migliaia 44 4 2" xfId="17250" xr:uid="{00000000-0005-0000-0000-0000E0BD0000}"/>
    <cellStyle name="Migliaia 44 4 2 2" xfId="18335" xr:uid="{00000000-0005-0000-0000-0000E1BD0000}"/>
    <cellStyle name="Migliaia 44 4 2 2 2" xfId="33802" xr:uid="{00000000-0005-0000-0000-0000E2BD0000}"/>
    <cellStyle name="Migliaia 44 4 2 2 2 2" xfId="55287" xr:uid="{00000000-0005-0000-0000-0000E3BD0000}"/>
    <cellStyle name="Migliaia 44 4 2 2 3" xfId="48763" xr:uid="{00000000-0005-0000-0000-0000E4BD0000}"/>
    <cellStyle name="Migliaia 44 4 2 2 3 2" xfId="56209" xr:uid="{00000000-0005-0000-0000-0000E5BD0000}"/>
    <cellStyle name="Migliaia 44 4 2 2 4" xfId="52932" xr:uid="{00000000-0005-0000-0000-0000E6BD0000}"/>
    <cellStyle name="Migliaia 44 4 2 3" xfId="33366" xr:uid="{00000000-0005-0000-0000-0000E7BD0000}"/>
    <cellStyle name="Migliaia 44 4 2 3 2" xfId="54891" xr:uid="{00000000-0005-0000-0000-0000E8BD0000}"/>
    <cellStyle name="Migliaia 44 4 2 4" xfId="48327" xr:uid="{00000000-0005-0000-0000-0000E9BD0000}"/>
    <cellStyle name="Migliaia 44 4 2 4 2" xfId="55773" xr:uid="{00000000-0005-0000-0000-0000EABD0000}"/>
    <cellStyle name="Migliaia 44 4 2 5" xfId="52491" xr:uid="{00000000-0005-0000-0000-0000EBBD0000}"/>
    <cellStyle name="Migliaia 44 4 3" xfId="18334" xr:uid="{00000000-0005-0000-0000-0000ECBD0000}"/>
    <cellStyle name="Migliaia 44 4 3 2" xfId="33801" xr:uid="{00000000-0005-0000-0000-0000EDBD0000}"/>
    <cellStyle name="Migliaia 44 4 3 2 2" xfId="55286" xr:uid="{00000000-0005-0000-0000-0000EEBD0000}"/>
    <cellStyle name="Migliaia 44 4 3 3" xfId="48762" xr:uid="{00000000-0005-0000-0000-0000EFBD0000}"/>
    <cellStyle name="Migliaia 44 4 3 3 2" xfId="56208" xr:uid="{00000000-0005-0000-0000-0000F0BD0000}"/>
    <cellStyle name="Migliaia 44 4 3 4" xfId="52931" xr:uid="{00000000-0005-0000-0000-0000F1BD0000}"/>
    <cellStyle name="Migliaia 44 4 4" xfId="17249" xr:uid="{00000000-0005-0000-0000-0000F2BD0000}"/>
    <cellStyle name="Migliaia 44 4 4 2" xfId="33365" xr:uid="{00000000-0005-0000-0000-0000F3BD0000}"/>
    <cellStyle name="Migliaia 44 4 4 3" xfId="48326" xr:uid="{00000000-0005-0000-0000-0000F4BD0000}"/>
    <cellStyle name="Migliaia 44 4 4 4" xfId="54890" xr:uid="{00000000-0005-0000-0000-0000F5BD0000}"/>
    <cellStyle name="Migliaia 44 4 5" xfId="51124" xr:uid="{00000000-0005-0000-0000-0000F6BD0000}"/>
    <cellStyle name="Migliaia 44 4 5 2" xfId="55772" xr:uid="{00000000-0005-0000-0000-0000F7BD0000}"/>
    <cellStyle name="Migliaia 44 4 6" xfId="52490" xr:uid="{00000000-0005-0000-0000-0000F8BD0000}"/>
    <cellStyle name="Migliaia 44 5" xfId="9285" xr:uid="{00000000-0005-0000-0000-0000F9BD0000}"/>
    <cellStyle name="Migliaia 44 5 2" xfId="17251" xr:uid="{00000000-0005-0000-0000-0000FABD0000}"/>
    <cellStyle name="Migliaia 44 5 2 2" xfId="33367" xr:uid="{00000000-0005-0000-0000-0000FBBD0000}"/>
    <cellStyle name="Migliaia 44 5 2 3" xfId="48328" xr:uid="{00000000-0005-0000-0000-0000FCBD0000}"/>
    <cellStyle name="Migliaia 44 5 2 4" xfId="54892" xr:uid="{00000000-0005-0000-0000-0000FDBD0000}"/>
    <cellStyle name="Migliaia 44 5 3" xfId="50908" xr:uid="{00000000-0005-0000-0000-0000FEBD0000}"/>
    <cellStyle name="Migliaia 44 5 3 2" xfId="55774" xr:uid="{00000000-0005-0000-0000-0000FFBD0000}"/>
    <cellStyle name="Migliaia 44 5 4" xfId="52492" xr:uid="{00000000-0005-0000-0000-000000BE0000}"/>
    <cellStyle name="Migliaia 44 6" xfId="9280" xr:uid="{00000000-0005-0000-0000-000001BE0000}"/>
    <cellStyle name="Migliaia 44 6 2" xfId="51228" xr:uid="{00000000-0005-0000-0000-000002BE0000}"/>
    <cellStyle name="Migliaia 44 6 3" xfId="54565" xr:uid="{00000000-0005-0000-0000-000003BE0000}"/>
    <cellStyle name="Migliaia 44 7" xfId="9887" xr:uid="{00000000-0005-0000-0000-000004BE0000}"/>
    <cellStyle name="Migliaia 44 7 2" xfId="26213" xr:uid="{00000000-0005-0000-0000-000005BE0000}"/>
    <cellStyle name="Migliaia 44 7 3" xfId="41191" xr:uid="{00000000-0005-0000-0000-000006BE0000}"/>
    <cellStyle name="Migliaia 44 7 4" xfId="55767" xr:uid="{00000000-0005-0000-0000-000007BE0000}"/>
    <cellStyle name="Migliaia 44 8" xfId="17244" xr:uid="{00000000-0005-0000-0000-000008BE0000}"/>
    <cellStyle name="Migliaia 44 8 2" xfId="33360" xr:uid="{00000000-0005-0000-0000-000009BE0000}"/>
    <cellStyle name="Migliaia 44 8 3" xfId="48321" xr:uid="{00000000-0005-0000-0000-00000ABE0000}"/>
    <cellStyle name="Migliaia 44 9" xfId="19194" xr:uid="{00000000-0005-0000-0000-00000BBE0000}"/>
    <cellStyle name="Migliaia 45" xfId="441" xr:uid="{00000000-0005-0000-0000-00000CBE0000}"/>
    <cellStyle name="Migliaia 45 10" xfId="34193" xr:uid="{00000000-0005-0000-0000-00000DBE0000}"/>
    <cellStyle name="Migliaia 45 11" xfId="49133" xr:uid="{00000000-0005-0000-0000-00000EBE0000}"/>
    <cellStyle name="Migliaia 45 12" xfId="49538" xr:uid="{00000000-0005-0000-0000-00000FBE0000}"/>
    <cellStyle name="Migliaia 45 13" xfId="49944" xr:uid="{00000000-0005-0000-0000-000010BE0000}"/>
    <cellStyle name="Migliaia 45 14" xfId="50352" xr:uid="{00000000-0005-0000-0000-000011BE0000}"/>
    <cellStyle name="Migliaia 45 15" xfId="50794" xr:uid="{00000000-0005-0000-0000-000012BE0000}"/>
    <cellStyle name="Migliaia 45 16" xfId="51513" xr:uid="{00000000-0005-0000-0000-000013BE0000}"/>
    <cellStyle name="Migliaia 45 17" xfId="51926" xr:uid="{00000000-0005-0000-0000-000014BE0000}"/>
    <cellStyle name="Migliaia 45 18" xfId="52493" xr:uid="{00000000-0005-0000-0000-000015BE0000}"/>
    <cellStyle name="Migliaia 45 2" xfId="442" xr:uid="{00000000-0005-0000-0000-000016BE0000}"/>
    <cellStyle name="Migliaia 45 2 10" xfId="49945" xr:uid="{00000000-0005-0000-0000-000017BE0000}"/>
    <cellStyle name="Migliaia 45 2 11" xfId="50353" xr:uid="{00000000-0005-0000-0000-000018BE0000}"/>
    <cellStyle name="Migliaia 45 2 12" xfId="50795" xr:uid="{00000000-0005-0000-0000-000019BE0000}"/>
    <cellStyle name="Migliaia 45 2 13" xfId="51514" xr:uid="{00000000-0005-0000-0000-00001ABE0000}"/>
    <cellStyle name="Migliaia 45 2 14" xfId="51927" xr:uid="{00000000-0005-0000-0000-00001BBE0000}"/>
    <cellStyle name="Migliaia 45 2 15" xfId="52494" xr:uid="{00000000-0005-0000-0000-00001CBE0000}"/>
    <cellStyle name="Migliaia 45 2 2" xfId="1282" xr:uid="{00000000-0005-0000-0000-00001DBE0000}"/>
    <cellStyle name="Migliaia 45 2 2 10" xfId="51076" xr:uid="{00000000-0005-0000-0000-00001EBE0000}"/>
    <cellStyle name="Migliaia 45 2 2 11" xfId="51672" xr:uid="{00000000-0005-0000-0000-00001FBE0000}"/>
    <cellStyle name="Migliaia 45 2 2 12" xfId="52093" xr:uid="{00000000-0005-0000-0000-000020BE0000}"/>
    <cellStyle name="Migliaia 45 2 2 13" xfId="52933" xr:uid="{00000000-0005-0000-0000-000021BE0000}"/>
    <cellStyle name="Migliaia 45 2 2 2" xfId="10050" xr:uid="{00000000-0005-0000-0000-000022BE0000}"/>
    <cellStyle name="Migliaia 45 2 2 2 2" xfId="26371" xr:uid="{00000000-0005-0000-0000-000023BE0000}"/>
    <cellStyle name="Migliaia 45 2 2 2 3" xfId="41339" xr:uid="{00000000-0005-0000-0000-000024BE0000}"/>
    <cellStyle name="Migliaia 45 2 2 2 4" xfId="55288" xr:uid="{00000000-0005-0000-0000-000025BE0000}"/>
    <cellStyle name="Migliaia 45 2 2 3" xfId="18336" xr:uid="{00000000-0005-0000-0000-000026BE0000}"/>
    <cellStyle name="Migliaia 45 2 2 3 2" xfId="33803" xr:uid="{00000000-0005-0000-0000-000027BE0000}"/>
    <cellStyle name="Migliaia 45 2 2 3 3" xfId="48764" xr:uid="{00000000-0005-0000-0000-000028BE0000}"/>
    <cellStyle name="Migliaia 45 2 2 3 4" xfId="56210" xr:uid="{00000000-0005-0000-0000-000029BE0000}"/>
    <cellStyle name="Migliaia 45 2 2 4" xfId="19350" xr:uid="{00000000-0005-0000-0000-00002ABE0000}"/>
    <cellStyle name="Migliaia 45 2 2 5" xfId="34340" xr:uid="{00000000-0005-0000-0000-00002BBE0000}"/>
    <cellStyle name="Migliaia 45 2 2 6" xfId="49292" xr:uid="{00000000-0005-0000-0000-00002CBE0000}"/>
    <cellStyle name="Migliaia 45 2 2 7" xfId="49697" xr:uid="{00000000-0005-0000-0000-00002DBE0000}"/>
    <cellStyle name="Migliaia 45 2 2 8" xfId="50106" xr:uid="{00000000-0005-0000-0000-00002EBE0000}"/>
    <cellStyle name="Migliaia 45 2 2 9" xfId="50511" xr:uid="{00000000-0005-0000-0000-00002FBE0000}"/>
    <cellStyle name="Migliaia 45 2 3" xfId="9287" xr:uid="{00000000-0005-0000-0000-000030BE0000}"/>
    <cellStyle name="Migliaia 45 2 3 2" xfId="54630" xr:uid="{00000000-0005-0000-0000-000031BE0000}"/>
    <cellStyle name="Migliaia 45 2 4" xfId="9892" xr:uid="{00000000-0005-0000-0000-000032BE0000}"/>
    <cellStyle name="Migliaia 45 2 4 2" xfId="26218" xr:uid="{00000000-0005-0000-0000-000033BE0000}"/>
    <cellStyle name="Migliaia 45 2 4 3" xfId="41196" xr:uid="{00000000-0005-0000-0000-000034BE0000}"/>
    <cellStyle name="Migliaia 45 2 4 4" xfId="55776" xr:uid="{00000000-0005-0000-0000-000035BE0000}"/>
    <cellStyle name="Migliaia 45 2 5" xfId="17253" xr:uid="{00000000-0005-0000-0000-000036BE0000}"/>
    <cellStyle name="Migliaia 45 2 5 2" xfId="33369" xr:uid="{00000000-0005-0000-0000-000037BE0000}"/>
    <cellStyle name="Migliaia 45 2 5 3" xfId="48330" xr:uid="{00000000-0005-0000-0000-000038BE0000}"/>
    <cellStyle name="Migliaia 45 2 6" xfId="19199" xr:uid="{00000000-0005-0000-0000-000039BE0000}"/>
    <cellStyle name="Migliaia 45 2 7" xfId="34194" xr:uid="{00000000-0005-0000-0000-00003ABE0000}"/>
    <cellStyle name="Migliaia 45 2 8" xfId="49134" xr:uid="{00000000-0005-0000-0000-00003BBE0000}"/>
    <cellStyle name="Migliaia 45 2 9" xfId="49539" xr:uid="{00000000-0005-0000-0000-00003CBE0000}"/>
    <cellStyle name="Migliaia 45 3" xfId="443" xr:uid="{00000000-0005-0000-0000-00003DBE0000}"/>
    <cellStyle name="Migliaia 45 3 10" xfId="49946" xr:uid="{00000000-0005-0000-0000-00003EBE0000}"/>
    <cellStyle name="Migliaia 45 3 11" xfId="50354" xr:uid="{00000000-0005-0000-0000-00003FBE0000}"/>
    <cellStyle name="Migliaia 45 3 12" xfId="50796" xr:uid="{00000000-0005-0000-0000-000040BE0000}"/>
    <cellStyle name="Migliaia 45 3 13" xfId="51515" xr:uid="{00000000-0005-0000-0000-000041BE0000}"/>
    <cellStyle name="Migliaia 45 3 14" xfId="51928" xr:uid="{00000000-0005-0000-0000-000042BE0000}"/>
    <cellStyle name="Migliaia 45 3 15" xfId="52495" xr:uid="{00000000-0005-0000-0000-000043BE0000}"/>
    <cellStyle name="Migliaia 45 3 2" xfId="444" xr:uid="{00000000-0005-0000-0000-000044BE0000}"/>
    <cellStyle name="Migliaia 45 3 2 10" xfId="50355" xr:uid="{00000000-0005-0000-0000-000045BE0000}"/>
    <cellStyle name="Migliaia 45 3 2 11" xfId="50797" xr:uid="{00000000-0005-0000-0000-000046BE0000}"/>
    <cellStyle name="Migliaia 45 3 2 12" xfId="51516" xr:uid="{00000000-0005-0000-0000-000047BE0000}"/>
    <cellStyle name="Migliaia 45 3 2 13" xfId="51929" xr:uid="{00000000-0005-0000-0000-000048BE0000}"/>
    <cellStyle name="Migliaia 45 3 2 14" xfId="52496" xr:uid="{00000000-0005-0000-0000-000049BE0000}"/>
    <cellStyle name="Migliaia 45 3 2 2" xfId="9289" xr:uid="{00000000-0005-0000-0000-00004ABE0000}"/>
    <cellStyle name="Migliaia 45 3 2 2 2" xfId="54894" xr:uid="{00000000-0005-0000-0000-00004BBE0000}"/>
    <cellStyle name="Migliaia 45 3 2 3" xfId="9894" xr:uid="{00000000-0005-0000-0000-00004CBE0000}"/>
    <cellStyle name="Migliaia 45 3 2 3 2" xfId="26220" xr:uid="{00000000-0005-0000-0000-00004DBE0000}"/>
    <cellStyle name="Migliaia 45 3 2 3 3" xfId="41198" xr:uid="{00000000-0005-0000-0000-00004EBE0000}"/>
    <cellStyle name="Migliaia 45 3 2 3 4" xfId="55778" xr:uid="{00000000-0005-0000-0000-00004FBE0000}"/>
    <cellStyle name="Migliaia 45 3 2 4" xfId="17255" xr:uid="{00000000-0005-0000-0000-000050BE0000}"/>
    <cellStyle name="Migliaia 45 3 2 4 2" xfId="33371" xr:uid="{00000000-0005-0000-0000-000051BE0000}"/>
    <cellStyle name="Migliaia 45 3 2 4 3" xfId="48332" xr:uid="{00000000-0005-0000-0000-000052BE0000}"/>
    <cellStyle name="Migliaia 45 3 2 5" xfId="19201" xr:uid="{00000000-0005-0000-0000-000053BE0000}"/>
    <cellStyle name="Migliaia 45 3 2 6" xfId="34196" xr:uid="{00000000-0005-0000-0000-000054BE0000}"/>
    <cellStyle name="Migliaia 45 3 2 7" xfId="49136" xr:uid="{00000000-0005-0000-0000-000055BE0000}"/>
    <cellStyle name="Migliaia 45 3 2 8" xfId="49541" xr:uid="{00000000-0005-0000-0000-000056BE0000}"/>
    <cellStyle name="Migliaia 45 3 2 9" xfId="49947" xr:uid="{00000000-0005-0000-0000-000057BE0000}"/>
    <cellStyle name="Migliaia 45 3 3" xfId="9288" xr:uid="{00000000-0005-0000-0000-000058BE0000}"/>
    <cellStyle name="Migliaia 45 3 3 2" xfId="18338" xr:uid="{00000000-0005-0000-0000-000059BE0000}"/>
    <cellStyle name="Migliaia 45 3 3 2 2" xfId="33805" xr:uid="{00000000-0005-0000-0000-00005ABE0000}"/>
    <cellStyle name="Migliaia 45 3 3 2 2 2" xfId="55290" xr:uid="{00000000-0005-0000-0000-00005BBE0000}"/>
    <cellStyle name="Migliaia 45 3 3 2 3" xfId="48766" xr:uid="{00000000-0005-0000-0000-00005CBE0000}"/>
    <cellStyle name="Migliaia 45 3 3 2 3 2" xfId="56212" xr:uid="{00000000-0005-0000-0000-00005DBE0000}"/>
    <cellStyle name="Migliaia 45 3 3 2 4" xfId="52935" xr:uid="{00000000-0005-0000-0000-00005EBE0000}"/>
    <cellStyle name="Migliaia 45 3 3 3" xfId="17256" xr:uid="{00000000-0005-0000-0000-00005FBE0000}"/>
    <cellStyle name="Migliaia 45 3 3 3 2" xfId="33372" xr:uid="{00000000-0005-0000-0000-000060BE0000}"/>
    <cellStyle name="Migliaia 45 3 3 3 3" xfId="48333" xr:uid="{00000000-0005-0000-0000-000061BE0000}"/>
    <cellStyle name="Migliaia 45 3 3 3 4" xfId="54895" xr:uid="{00000000-0005-0000-0000-000062BE0000}"/>
    <cellStyle name="Migliaia 45 3 3 4" xfId="55779" xr:uid="{00000000-0005-0000-0000-000063BE0000}"/>
    <cellStyle name="Migliaia 45 3 3 5" xfId="52497" xr:uid="{00000000-0005-0000-0000-000064BE0000}"/>
    <cellStyle name="Migliaia 45 3 4" xfId="9893" xr:uid="{00000000-0005-0000-0000-000065BE0000}"/>
    <cellStyle name="Migliaia 45 3 4 2" xfId="18337" xr:uid="{00000000-0005-0000-0000-000066BE0000}"/>
    <cellStyle name="Migliaia 45 3 4 2 2" xfId="33804" xr:uid="{00000000-0005-0000-0000-000067BE0000}"/>
    <cellStyle name="Migliaia 45 3 4 2 3" xfId="48765" xr:uid="{00000000-0005-0000-0000-000068BE0000}"/>
    <cellStyle name="Migliaia 45 3 4 2 4" xfId="55289" xr:uid="{00000000-0005-0000-0000-000069BE0000}"/>
    <cellStyle name="Migliaia 45 3 4 3" xfId="26219" xr:uid="{00000000-0005-0000-0000-00006ABE0000}"/>
    <cellStyle name="Migliaia 45 3 4 3 2" xfId="56211" xr:uid="{00000000-0005-0000-0000-00006BBE0000}"/>
    <cellStyle name="Migliaia 45 3 4 4" xfId="41197" xr:uid="{00000000-0005-0000-0000-00006CBE0000}"/>
    <cellStyle name="Migliaia 45 3 4 5" xfId="52934" xr:uid="{00000000-0005-0000-0000-00006DBE0000}"/>
    <cellStyle name="Migliaia 45 3 5" xfId="17254" xr:uid="{00000000-0005-0000-0000-00006EBE0000}"/>
    <cellStyle name="Migliaia 45 3 5 2" xfId="33370" xr:uid="{00000000-0005-0000-0000-00006FBE0000}"/>
    <cellStyle name="Migliaia 45 3 5 3" xfId="48331" xr:uid="{00000000-0005-0000-0000-000070BE0000}"/>
    <cellStyle name="Migliaia 45 3 5 4" xfId="54893" xr:uid="{00000000-0005-0000-0000-000071BE0000}"/>
    <cellStyle name="Migliaia 45 3 6" xfId="19200" xr:uid="{00000000-0005-0000-0000-000072BE0000}"/>
    <cellStyle name="Migliaia 45 3 6 2" xfId="55777" xr:uid="{00000000-0005-0000-0000-000073BE0000}"/>
    <cellStyle name="Migliaia 45 3 7" xfId="34195" xr:uid="{00000000-0005-0000-0000-000074BE0000}"/>
    <cellStyle name="Migliaia 45 3 8" xfId="49135" xr:uid="{00000000-0005-0000-0000-000075BE0000}"/>
    <cellStyle name="Migliaia 45 3 9" xfId="49540" xr:uid="{00000000-0005-0000-0000-000076BE0000}"/>
    <cellStyle name="Migliaia 45 4" xfId="9290" xr:uid="{00000000-0005-0000-0000-000077BE0000}"/>
    <cellStyle name="Migliaia 45 4 2" xfId="17258" xr:uid="{00000000-0005-0000-0000-000078BE0000}"/>
    <cellStyle name="Migliaia 45 4 2 2" xfId="18340" xr:uid="{00000000-0005-0000-0000-000079BE0000}"/>
    <cellStyle name="Migliaia 45 4 2 2 2" xfId="33807" xr:uid="{00000000-0005-0000-0000-00007ABE0000}"/>
    <cellStyle name="Migliaia 45 4 2 2 2 2" xfId="55292" xr:uid="{00000000-0005-0000-0000-00007BBE0000}"/>
    <cellStyle name="Migliaia 45 4 2 2 3" xfId="48768" xr:uid="{00000000-0005-0000-0000-00007CBE0000}"/>
    <cellStyle name="Migliaia 45 4 2 2 3 2" xfId="56214" xr:uid="{00000000-0005-0000-0000-00007DBE0000}"/>
    <cellStyle name="Migliaia 45 4 2 2 4" xfId="52937" xr:uid="{00000000-0005-0000-0000-00007EBE0000}"/>
    <cellStyle name="Migliaia 45 4 2 3" xfId="33374" xr:uid="{00000000-0005-0000-0000-00007FBE0000}"/>
    <cellStyle name="Migliaia 45 4 2 3 2" xfId="54897" xr:uid="{00000000-0005-0000-0000-000080BE0000}"/>
    <cellStyle name="Migliaia 45 4 2 4" xfId="48335" xr:uid="{00000000-0005-0000-0000-000081BE0000}"/>
    <cellStyle name="Migliaia 45 4 2 4 2" xfId="55781" xr:uid="{00000000-0005-0000-0000-000082BE0000}"/>
    <cellStyle name="Migliaia 45 4 2 5" xfId="52499" xr:uid="{00000000-0005-0000-0000-000083BE0000}"/>
    <cellStyle name="Migliaia 45 4 3" xfId="18339" xr:uid="{00000000-0005-0000-0000-000084BE0000}"/>
    <cellStyle name="Migliaia 45 4 3 2" xfId="33806" xr:uid="{00000000-0005-0000-0000-000085BE0000}"/>
    <cellStyle name="Migliaia 45 4 3 2 2" xfId="55291" xr:uid="{00000000-0005-0000-0000-000086BE0000}"/>
    <cellStyle name="Migliaia 45 4 3 3" xfId="48767" xr:uid="{00000000-0005-0000-0000-000087BE0000}"/>
    <cellStyle name="Migliaia 45 4 3 3 2" xfId="56213" xr:uid="{00000000-0005-0000-0000-000088BE0000}"/>
    <cellStyle name="Migliaia 45 4 3 4" xfId="52936" xr:uid="{00000000-0005-0000-0000-000089BE0000}"/>
    <cellStyle name="Migliaia 45 4 4" xfId="17257" xr:uid="{00000000-0005-0000-0000-00008ABE0000}"/>
    <cellStyle name="Migliaia 45 4 4 2" xfId="33373" xr:uid="{00000000-0005-0000-0000-00008BBE0000}"/>
    <cellStyle name="Migliaia 45 4 4 3" xfId="48334" xr:uid="{00000000-0005-0000-0000-00008CBE0000}"/>
    <cellStyle name="Migliaia 45 4 4 4" xfId="54896" xr:uid="{00000000-0005-0000-0000-00008DBE0000}"/>
    <cellStyle name="Migliaia 45 4 5" xfId="50907" xr:uid="{00000000-0005-0000-0000-00008EBE0000}"/>
    <cellStyle name="Migliaia 45 4 5 2" xfId="55780" xr:uid="{00000000-0005-0000-0000-00008FBE0000}"/>
    <cellStyle name="Migliaia 45 4 6" xfId="52498" xr:uid="{00000000-0005-0000-0000-000090BE0000}"/>
    <cellStyle name="Migliaia 45 5" xfId="9291" xr:uid="{00000000-0005-0000-0000-000091BE0000}"/>
    <cellStyle name="Migliaia 45 5 2" xfId="17259" xr:uid="{00000000-0005-0000-0000-000092BE0000}"/>
    <cellStyle name="Migliaia 45 5 2 2" xfId="33375" xr:uid="{00000000-0005-0000-0000-000093BE0000}"/>
    <cellStyle name="Migliaia 45 5 2 3" xfId="48336" xr:uid="{00000000-0005-0000-0000-000094BE0000}"/>
    <cellStyle name="Migliaia 45 5 2 4" xfId="54898" xr:uid="{00000000-0005-0000-0000-000095BE0000}"/>
    <cellStyle name="Migliaia 45 5 3" xfId="51154" xr:uid="{00000000-0005-0000-0000-000096BE0000}"/>
    <cellStyle name="Migliaia 45 5 3 2" xfId="55782" xr:uid="{00000000-0005-0000-0000-000097BE0000}"/>
    <cellStyle name="Migliaia 45 5 4" xfId="52500" xr:uid="{00000000-0005-0000-0000-000098BE0000}"/>
    <cellStyle name="Migliaia 45 6" xfId="9286" xr:uid="{00000000-0005-0000-0000-000099BE0000}"/>
    <cellStyle name="Migliaia 45 6 2" xfId="51123" xr:uid="{00000000-0005-0000-0000-00009ABE0000}"/>
    <cellStyle name="Migliaia 45 6 3" xfId="54566" xr:uid="{00000000-0005-0000-0000-00009BBE0000}"/>
    <cellStyle name="Migliaia 45 7" xfId="9891" xr:uid="{00000000-0005-0000-0000-00009CBE0000}"/>
    <cellStyle name="Migliaia 45 7 2" xfId="26217" xr:uid="{00000000-0005-0000-0000-00009DBE0000}"/>
    <cellStyle name="Migliaia 45 7 3" xfId="41195" xr:uid="{00000000-0005-0000-0000-00009EBE0000}"/>
    <cellStyle name="Migliaia 45 7 4" xfId="55775" xr:uid="{00000000-0005-0000-0000-00009FBE0000}"/>
    <cellStyle name="Migliaia 45 8" xfId="17252" xr:uid="{00000000-0005-0000-0000-0000A0BE0000}"/>
    <cellStyle name="Migliaia 45 8 2" xfId="33368" xr:uid="{00000000-0005-0000-0000-0000A1BE0000}"/>
    <cellStyle name="Migliaia 45 8 3" xfId="48329" xr:uid="{00000000-0005-0000-0000-0000A2BE0000}"/>
    <cellStyle name="Migliaia 45 9" xfId="19198" xr:uid="{00000000-0005-0000-0000-0000A3BE0000}"/>
    <cellStyle name="Migliaia 46" xfId="445" xr:uid="{00000000-0005-0000-0000-0000A4BE0000}"/>
    <cellStyle name="Migliaia 46 10" xfId="34197" xr:uid="{00000000-0005-0000-0000-0000A5BE0000}"/>
    <cellStyle name="Migliaia 46 11" xfId="49137" xr:uid="{00000000-0005-0000-0000-0000A6BE0000}"/>
    <cellStyle name="Migliaia 46 12" xfId="49542" xr:uid="{00000000-0005-0000-0000-0000A7BE0000}"/>
    <cellStyle name="Migliaia 46 13" xfId="49948" xr:uid="{00000000-0005-0000-0000-0000A8BE0000}"/>
    <cellStyle name="Migliaia 46 14" xfId="50356" xr:uid="{00000000-0005-0000-0000-0000A9BE0000}"/>
    <cellStyle name="Migliaia 46 15" xfId="50798" xr:uid="{00000000-0005-0000-0000-0000AABE0000}"/>
    <cellStyle name="Migliaia 46 16" xfId="51517" xr:uid="{00000000-0005-0000-0000-0000ABBE0000}"/>
    <cellStyle name="Migliaia 46 17" xfId="51930" xr:uid="{00000000-0005-0000-0000-0000ACBE0000}"/>
    <cellStyle name="Migliaia 46 18" xfId="52501" xr:uid="{00000000-0005-0000-0000-0000ADBE0000}"/>
    <cellStyle name="Migliaia 46 2" xfId="446" xr:uid="{00000000-0005-0000-0000-0000AEBE0000}"/>
    <cellStyle name="Migliaia 46 2 10" xfId="49949" xr:uid="{00000000-0005-0000-0000-0000AFBE0000}"/>
    <cellStyle name="Migliaia 46 2 11" xfId="50357" xr:uid="{00000000-0005-0000-0000-0000B0BE0000}"/>
    <cellStyle name="Migliaia 46 2 12" xfId="50799" xr:uid="{00000000-0005-0000-0000-0000B1BE0000}"/>
    <cellStyle name="Migliaia 46 2 13" xfId="51518" xr:uid="{00000000-0005-0000-0000-0000B2BE0000}"/>
    <cellStyle name="Migliaia 46 2 14" xfId="51931" xr:uid="{00000000-0005-0000-0000-0000B3BE0000}"/>
    <cellStyle name="Migliaia 46 2 15" xfId="52502" xr:uid="{00000000-0005-0000-0000-0000B4BE0000}"/>
    <cellStyle name="Migliaia 46 2 2" xfId="1283" xr:uid="{00000000-0005-0000-0000-0000B5BE0000}"/>
    <cellStyle name="Migliaia 46 2 2 10" xfId="51077" xr:uid="{00000000-0005-0000-0000-0000B6BE0000}"/>
    <cellStyle name="Migliaia 46 2 2 11" xfId="51673" xr:uid="{00000000-0005-0000-0000-0000B7BE0000}"/>
    <cellStyle name="Migliaia 46 2 2 12" xfId="52094" xr:uid="{00000000-0005-0000-0000-0000B8BE0000}"/>
    <cellStyle name="Migliaia 46 2 2 13" xfId="52938" xr:uid="{00000000-0005-0000-0000-0000B9BE0000}"/>
    <cellStyle name="Migliaia 46 2 2 2" xfId="10051" xr:uid="{00000000-0005-0000-0000-0000BABE0000}"/>
    <cellStyle name="Migliaia 46 2 2 2 2" xfId="26372" xr:uid="{00000000-0005-0000-0000-0000BBBE0000}"/>
    <cellStyle name="Migliaia 46 2 2 2 3" xfId="41340" xr:uid="{00000000-0005-0000-0000-0000BCBE0000}"/>
    <cellStyle name="Migliaia 46 2 2 2 4" xfId="55293" xr:uid="{00000000-0005-0000-0000-0000BDBE0000}"/>
    <cellStyle name="Migliaia 46 2 2 3" xfId="18341" xr:uid="{00000000-0005-0000-0000-0000BEBE0000}"/>
    <cellStyle name="Migliaia 46 2 2 3 2" xfId="33808" xr:uid="{00000000-0005-0000-0000-0000BFBE0000}"/>
    <cellStyle name="Migliaia 46 2 2 3 3" xfId="48769" xr:uid="{00000000-0005-0000-0000-0000C0BE0000}"/>
    <cellStyle name="Migliaia 46 2 2 3 4" xfId="56215" xr:uid="{00000000-0005-0000-0000-0000C1BE0000}"/>
    <cellStyle name="Migliaia 46 2 2 4" xfId="19351" xr:uid="{00000000-0005-0000-0000-0000C2BE0000}"/>
    <cellStyle name="Migliaia 46 2 2 5" xfId="34341" xr:uid="{00000000-0005-0000-0000-0000C3BE0000}"/>
    <cellStyle name="Migliaia 46 2 2 6" xfId="49293" xr:uid="{00000000-0005-0000-0000-0000C4BE0000}"/>
    <cellStyle name="Migliaia 46 2 2 7" xfId="49698" xr:uid="{00000000-0005-0000-0000-0000C5BE0000}"/>
    <cellStyle name="Migliaia 46 2 2 8" xfId="50107" xr:uid="{00000000-0005-0000-0000-0000C6BE0000}"/>
    <cellStyle name="Migliaia 46 2 2 9" xfId="50512" xr:uid="{00000000-0005-0000-0000-0000C7BE0000}"/>
    <cellStyle name="Migliaia 46 2 3" xfId="9293" xr:uid="{00000000-0005-0000-0000-0000C8BE0000}"/>
    <cellStyle name="Migliaia 46 2 3 2" xfId="54631" xr:uid="{00000000-0005-0000-0000-0000C9BE0000}"/>
    <cellStyle name="Migliaia 46 2 4" xfId="9896" xr:uid="{00000000-0005-0000-0000-0000CABE0000}"/>
    <cellStyle name="Migliaia 46 2 4 2" xfId="26222" xr:uid="{00000000-0005-0000-0000-0000CBBE0000}"/>
    <cellStyle name="Migliaia 46 2 4 3" xfId="41200" xr:uid="{00000000-0005-0000-0000-0000CCBE0000}"/>
    <cellStyle name="Migliaia 46 2 4 4" xfId="55784" xr:uid="{00000000-0005-0000-0000-0000CDBE0000}"/>
    <cellStyle name="Migliaia 46 2 5" xfId="17261" xr:uid="{00000000-0005-0000-0000-0000CEBE0000}"/>
    <cellStyle name="Migliaia 46 2 5 2" xfId="33377" xr:uid="{00000000-0005-0000-0000-0000CFBE0000}"/>
    <cellStyle name="Migliaia 46 2 5 3" xfId="48338" xr:uid="{00000000-0005-0000-0000-0000D0BE0000}"/>
    <cellStyle name="Migliaia 46 2 6" xfId="19203" xr:uid="{00000000-0005-0000-0000-0000D1BE0000}"/>
    <cellStyle name="Migliaia 46 2 7" xfId="34198" xr:uid="{00000000-0005-0000-0000-0000D2BE0000}"/>
    <cellStyle name="Migliaia 46 2 8" xfId="49138" xr:uid="{00000000-0005-0000-0000-0000D3BE0000}"/>
    <cellStyle name="Migliaia 46 2 9" xfId="49543" xr:uid="{00000000-0005-0000-0000-0000D4BE0000}"/>
    <cellStyle name="Migliaia 46 3" xfId="447" xr:uid="{00000000-0005-0000-0000-0000D5BE0000}"/>
    <cellStyle name="Migliaia 46 3 10" xfId="49950" xr:uid="{00000000-0005-0000-0000-0000D6BE0000}"/>
    <cellStyle name="Migliaia 46 3 11" xfId="50358" xr:uid="{00000000-0005-0000-0000-0000D7BE0000}"/>
    <cellStyle name="Migliaia 46 3 12" xfId="50800" xr:uid="{00000000-0005-0000-0000-0000D8BE0000}"/>
    <cellStyle name="Migliaia 46 3 13" xfId="51519" xr:uid="{00000000-0005-0000-0000-0000D9BE0000}"/>
    <cellStyle name="Migliaia 46 3 14" xfId="51932" xr:uid="{00000000-0005-0000-0000-0000DABE0000}"/>
    <cellStyle name="Migliaia 46 3 15" xfId="52503" xr:uid="{00000000-0005-0000-0000-0000DBBE0000}"/>
    <cellStyle name="Migliaia 46 3 2" xfId="448" xr:uid="{00000000-0005-0000-0000-0000DCBE0000}"/>
    <cellStyle name="Migliaia 46 3 2 10" xfId="50359" xr:uid="{00000000-0005-0000-0000-0000DDBE0000}"/>
    <cellStyle name="Migliaia 46 3 2 11" xfId="50801" xr:uid="{00000000-0005-0000-0000-0000DEBE0000}"/>
    <cellStyle name="Migliaia 46 3 2 12" xfId="51520" xr:uid="{00000000-0005-0000-0000-0000DFBE0000}"/>
    <cellStyle name="Migliaia 46 3 2 13" xfId="51933" xr:uid="{00000000-0005-0000-0000-0000E0BE0000}"/>
    <cellStyle name="Migliaia 46 3 2 14" xfId="52504" xr:uid="{00000000-0005-0000-0000-0000E1BE0000}"/>
    <cellStyle name="Migliaia 46 3 2 2" xfId="9295" xr:uid="{00000000-0005-0000-0000-0000E2BE0000}"/>
    <cellStyle name="Migliaia 46 3 2 2 2" xfId="54900" xr:uid="{00000000-0005-0000-0000-0000E3BE0000}"/>
    <cellStyle name="Migliaia 46 3 2 3" xfId="9898" xr:uid="{00000000-0005-0000-0000-0000E4BE0000}"/>
    <cellStyle name="Migliaia 46 3 2 3 2" xfId="26224" xr:uid="{00000000-0005-0000-0000-0000E5BE0000}"/>
    <cellStyle name="Migliaia 46 3 2 3 3" xfId="41202" xr:uid="{00000000-0005-0000-0000-0000E6BE0000}"/>
    <cellStyle name="Migliaia 46 3 2 3 4" xfId="55786" xr:uid="{00000000-0005-0000-0000-0000E7BE0000}"/>
    <cellStyle name="Migliaia 46 3 2 4" xfId="17263" xr:uid="{00000000-0005-0000-0000-0000E8BE0000}"/>
    <cellStyle name="Migliaia 46 3 2 4 2" xfId="33379" xr:uid="{00000000-0005-0000-0000-0000E9BE0000}"/>
    <cellStyle name="Migliaia 46 3 2 4 3" xfId="48340" xr:uid="{00000000-0005-0000-0000-0000EABE0000}"/>
    <cellStyle name="Migliaia 46 3 2 5" xfId="19205" xr:uid="{00000000-0005-0000-0000-0000EBBE0000}"/>
    <cellStyle name="Migliaia 46 3 2 6" xfId="34200" xr:uid="{00000000-0005-0000-0000-0000ECBE0000}"/>
    <cellStyle name="Migliaia 46 3 2 7" xfId="49140" xr:uid="{00000000-0005-0000-0000-0000EDBE0000}"/>
    <cellStyle name="Migliaia 46 3 2 8" xfId="49545" xr:uid="{00000000-0005-0000-0000-0000EEBE0000}"/>
    <cellStyle name="Migliaia 46 3 2 9" xfId="49951" xr:uid="{00000000-0005-0000-0000-0000EFBE0000}"/>
    <cellStyle name="Migliaia 46 3 3" xfId="9294" xr:uid="{00000000-0005-0000-0000-0000F0BE0000}"/>
    <cellStyle name="Migliaia 46 3 3 2" xfId="18343" xr:uid="{00000000-0005-0000-0000-0000F1BE0000}"/>
    <cellStyle name="Migliaia 46 3 3 2 2" xfId="33810" xr:uid="{00000000-0005-0000-0000-0000F2BE0000}"/>
    <cellStyle name="Migliaia 46 3 3 2 2 2" xfId="55295" xr:uid="{00000000-0005-0000-0000-0000F3BE0000}"/>
    <cellStyle name="Migliaia 46 3 3 2 3" xfId="48771" xr:uid="{00000000-0005-0000-0000-0000F4BE0000}"/>
    <cellStyle name="Migliaia 46 3 3 2 3 2" xfId="56217" xr:uid="{00000000-0005-0000-0000-0000F5BE0000}"/>
    <cellStyle name="Migliaia 46 3 3 2 4" xfId="52940" xr:uid="{00000000-0005-0000-0000-0000F6BE0000}"/>
    <cellStyle name="Migliaia 46 3 3 3" xfId="17264" xr:uid="{00000000-0005-0000-0000-0000F7BE0000}"/>
    <cellStyle name="Migliaia 46 3 3 3 2" xfId="33380" xr:uid="{00000000-0005-0000-0000-0000F8BE0000}"/>
    <cellStyle name="Migliaia 46 3 3 3 3" xfId="48341" xr:uid="{00000000-0005-0000-0000-0000F9BE0000}"/>
    <cellStyle name="Migliaia 46 3 3 3 4" xfId="54901" xr:uid="{00000000-0005-0000-0000-0000FABE0000}"/>
    <cellStyle name="Migliaia 46 3 3 4" xfId="55787" xr:uid="{00000000-0005-0000-0000-0000FBBE0000}"/>
    <cellStyle name="Migliaia 46 3 3 5" xfId="52505" xr:uid="{00000000-0005-0000-0000-0000FCBE0000}"/>
    <cellStyle name="Migliaia 46 3 4" xfId="9897" xr:uid="{00000000-0005-0000-0000-0000FDBE0000}"/>
    <cellStyle name="Migliaia 46 3 4 2" xfId="18342" xr:uid="{00000000-0005-0000-0000-0000FEBE0000}"/>
    <cellStyle name="Migliaia 46 3 4 2 2" xfId="33809" xr:uid="{00000000-0005-0000-0000-0000FFBE0000}"/>
    <cellStyle name="Migliaia 46 3 4 2 3" xfId="48770" xr:uid="{00000000-0005-0000-0000-000000BF0000}"/>
    <cellStyle name="Migliaia 46 3 4 2 4" xfId="55294" xr:uid="{00000000-0005-0000-0000-000001BF0000}"/>
    <cellStyle name="Migliaia 46 3 4 3" xfId="26223" xr:uid="{00000000-0005-0000-0000-000002BF0000}"/>
    <cellStyle name="Migliaia 46 3 4 3 2" xfId="56216" xr:uid="{00000000-0005-0000-0000-000003BF0000}"/>
    <cellStyle name="Migliaia 46 3 4 4" xfId="41201" xr:uid="{00000000-0005-0000-0000-000004BF0000}"/>
    <cellStyle name="Migliaia 46 3 4 5" xfId="52939" xr:uid="{00000000-0005-0000-0000-000005BF0000}"/>
    <cellStyle name="Migliaia 46 3 5" xfId="17262" xr:uid="{00000000-0005-0000-0000-000006BF0000}"/>
    <cellStyle name="Migliaia 46 3 5 2" xfId="33378" xr:uid="{00000000-0005-0000-0000-000007BF0000}"/>
    <cellStyle name="Migliaia 46 3 5 3" xfId="48339" xr:uid="{00000000-0005-0000-0000-000008BF0000}"/>
    <cellStyle name="Migliaia 46 3 5 4" xfId="54899" xr:uid="{00000000-0005-0000-0000-000009BF0000}"/>
    <cellStyle name="Migliaia 46 3 6" xfId="19204" xr:uid="{00000000-0005-0000-0000-00000ABF0000}"/>
    <cellStyle name="Migliaia 46 3 6 2" xfId="55785" xr:uid="{00000000-0005-0000-0000-00000BBF0000}"/>
    <cellStyle name="Migliaia 46 3 7" xfId="34199" xr:uid="{00000000-0005-0000-0000-00000CBF0000}"/>
    <cellStyle name="Migliaia 46 3 8" xfId="49139" xr:uid="{00000000-0005-0000-0000-00000DBF0000}"/>
    <cellStyle name="Migliaia 46 3 9" xfId="49544" xr:uid="{00000000-0005-0000-0000-00000EBF0000}"/>
    <cellStyle name="Migliaia 46 4" xfId="9296" xr:uid="{00000000-0005-0000-0000-00000FBF0000}"/>
    <cellStyle name="Migliaia 46 4 2" xfId="17266" xr:uid="{00000000-0005-0000-0000-000010BF0000}"/>
    <cellStyle name="Migliaia 46 4 2 2" xfId="18345" xr:uid="{00000000-0005-0000-0000-000011BF0000}"/>
    <cellStyle name="Migliaia 46 4 2 2 2" xfId="33812" xr:uid="{00000000-0005-0000-0000-000012BF0000}"/>
    <cellStyle name="Migliaia 46 4 2 2 2 2" xfId="55297" xr:uid="{00000000-0005-0000-0000-000013BF0000}"/>
    <cellStyle name="Migliaia 46 4 2 2 3" xfId="48773" xr:uid="{00000000-0005-0000-0000-000014BF0000}"/>
    <cellStyle name="Migliaia 46 4 2 2 3 2" xfId="56219" xr:uid="{00000000-0005-0000-0000-000015BF0000}"/>
    <cellStyle name="Migliaia 46 4 2 2 4" xfId="52942" xr:uid="{00000000-0005-0000-0000-000016BF0000}"/>
    <cellStyle name="Migliaia 46 4 2 3" xfId="33382" xr:uid="{00000000-0005-0000-0000-000017BF0000}"/>
    <cellStyle name="Migliaia 46 4 2 3 2" xfId="54903" xr:uid="{00000000-0005-0000-0000-000018BF0000}"/>
    <cellStyle name="Migliaia 46 4 2 4" xfId="48343" xr:uid="{00000000-0005-0000-0000-000019BF0000}"/>
    <cellStyle name="Migliaia 46 4 2 4 2" xfId="55789" xr:uid="{00000000-0005-0000-0000-00001ABF0000}"/>
    <cellStyle name="Migliaia 46 4 2 5" xfId="52507" xr:uid="{00000000-0005-0000-0000-00001BBF0000}"/>
    <cellStyle name="Migliaia 46 4 3" xfId="18344" xr:uid="{00000000-0005-0000-0000-00001CBF0000}"/>
    <cellStyle name="Migliaia 46 4 3 2" xfId="33811" xr:uid="{00000000-0005-0000-0000-00001DBF0000}"/>
    <cellStyle name="Migliaia 46 4 3 2 2" xfId="55296" xr:uid="{00000000-0005-0000-0000-00001EBF0000}"/>
    <cellStyle name="Migliaia 46 4 3 3" xfId="48772" xr:uid="{00000000-0005-0000-0000-00001FBF0000}"/>
    <cellStyle name="Migliaia 46 4 3 3 2" xfId="56218" xr:uid="{00000000-0005-0000-0000-000020BF0000}"/>
    <cellStyle name="Migliaia 46 4 3 4" xfId="52941" xr:uid="{00000000-0005-0000-0000-000021BF0000}"/>
    <cellStyle name="Migliaia 46 4 4" xfId="17265" xr:uid="{00000000-0005-0000-0000-000022BF0000}"/>
    <cellStyle name="Migliaia 46 4 4 2" xfId="33381" xr:uid="{00000000-0005-0000-0000-000023BF0000}"/>
    <cellStyle name="Migliaia 46 4 4 3" xfId="48342" xr:uid="{00000000-0005-0000-0000-000024BF0000}"/>
    <cellStyle name="Migliaia 46 4 4 4" xfId="54902" xr:uid="{00000000-0005-0000-0000-000025BF0000}"/>
    <cellStyle name="Migliaia 46 4 5" xfId="51122" xr:uid="{00000000-0005-0000-0000-000026BF0000}"/>
    <cellStyle name="Migliaia 46 4 5 2" xfId="55788" xr:uid="{00000000-0005-0000-0000-000027BF0000}"/>
    <cellStyle name="Migliaia 46 4 6" xfId="52506" xr:uid="{00000000-0005-0000-0000-000028BF0000}"/>
    <cellStyle name="Migliaia 46 5" xfId="9297" xr:uid="{00000000-0005-0000-0000-000029BF0000}"/>
    <cellStyle name="Migliaia 46 5 2" xfId="17267" xr:uid="{00000000-0005-0000-0000-00002ABF0000}"/>
    <cellStyle name="Migliaia 46 5 2 2" xfId="33383" xr:uid="{00000000-0005-0000-0000-00002BBF0000}"/>
    <cellStyle name="Migliaia 46 5 2 3" xfId="48344" xr:uid="{00000000-0005-0000-0000-00002CBF0000}"/>
    <cellStyle name="Migliaia 46 5 2 4" xfId="54904" xr:uid="{00000000-0005-0000-0000-00002DBF0000}"/>
    <cellStyle name="Migliaia 46 5 3" xfId="50960" xr:uid="{00000000-0005-0000-0000-00002EBF0000}"/>
    <cellStyle name="Migliaia 46 5 3 2" xfId="55790" xr:uid="{00000000-0005-0000-0000-00002FBF0000}"/>
    <cellStyle name="Migliaia 46 5 4" xfId="52508" xr:uid="{00000000-0005-0000-0000-000030BF0000}"/>
    <cellStyle name="Migliaia 46 6" xfId="9292" xr:uid="{00000000-0005-0000-0000-000031BF0000}"/>
    <cellStyle name="Migliaia 46 6 2" xfId="50958" xr:uid="{00000000-0005-0000-0000-000032BF0000}"/>
    <cellStyle name="Migliaia 46 6 3" xfId="54567" xr:uid="{00000000-0005-0000-0000-000033BF0000}"/>
    <cellStyle name="Migliaia 46 7" xfId="9895" xr:uid="{00000000-0005-0000-0000-000034BF0000}"/>
    <cellStyle name="Migliaia 46 7 2" xfId="26221" xr:uid="{00000000-0005-0000-0000-000035BF0000}"/>
    <cellStyle name="Migliaia 46 7 3" xfId="41199" xr:uid="{00000000-0005-0000-0000-000036BF0000}"/>
    <cellStyle name="Migliaia 46 7 4" xfId="55783" xr:uid="{00000000-0005-0000-0000-000037BF0000}"/>
    <cellStyle name="Migliaia 46 8" xfId="17260" xr:uid="{00000000-0005-0000-0000-000038BF0000}"/>
    <cellStyle name="Migliaia 46 8 2" xfId="33376" xr:uid="{00000000-0005-0000-0000-000039BF0000}"/>
    <cellStyle name="Migliaia 46 8 3" xfId="48337" xr:uid="{00000000-0005-0000-0000-00003ABF0000}"/>
    <cellStyle name="Migliaia 46 9" xfId="19202" xr:uid="{00000000-0005-0000-0000-00003BBF0000}"/>
    <cellStyle name="Migliaia 47" xfId="449" xr:uid="{00000000-0005-0000-0000-00003CBF0000}"/>
    <cellStyle name="Migliaia 47 10" xfId="34201" xr:uid="{00000000-0005-0000-0000-00003DBF0000}"/>
    <cellStyle name="Migliaia 47 11" xfId="49141" xr:uid="{00000000-0005-0000-0000-00003EBF0000}"/>
    <cellStyle name="Migliaia 47 12" xfId="49546" xr:uid="{00000000-0005-0000-0000-00003FBF0000}"/>
    <cellStyle name="Migliaia 47 13" xfId="49952" xr:uid="{00000000-0005-0000-0000-000040BF0000}"/>
    <cellStyle name="Migliaia 47 14" xfId="50360" xr:uid="{00000000-0005-0000-0000-000041BF0000}"/>
    <cellStyle name="Migliaia 47 15" xfId="50802" xr:uid="{00000000-0005-0000-0000-000042BF0000}"/>
    <cellStyle name="Migliaia 47 16" xfId="51521" xr:uid="{00000000-0005-0000-0000-000043BF0000}"/>
    <cellStyle name="Migliaia 47 17" xfId="51934" xr:uid="{00000000-0005-0000-0000-000044BF0000}"/>
    <cellStyle name="Migliaia 47 18" xfId="52509" xr:uid="{00000000-0005-0000-0000-000045BF0000}"/>
    <cellStyle name="Migliaia 47 2" xfId="450" xr:uid="{00000000-0005-0000-0000-000046BF0000}"/>
    <cellStyle name="Migliaia 47 2 10" xfId="49953" xr:uid="{00000000-0005-0000-0000-000047BF0000}"/>
    <cellStyle name="Migliaia 47 2 11" xfId="50361" xr:uid="{00000000-0005-0000-0000-000048BF0000}"/>
    <cellStyle name="Migliaia 47 2 12" xfId="50803" xr:uid="{00000000-0005-0000-0000-000049BF0000}"/>
    <cellStyle name="Migliaia 47 2 13" xfId="51522" xr:uid="{00000000-0005-0000-0000-00004ABF0000}"/>
    <cellStyle name="Migliaia 47 2 14" xfId="51935" xr:uid="{00000000-0005-0000-0000-00004BBF0000}"/>
    <cellStyle name="Migliaia 47 2 15" xfId="52510" xr:uid="{00000000-0005-0000-0000-00004CBF0000}"/>
    <cellStyle name="Migliaia 47 2 2" xfId="1284" xr:uid="{00000000-0005-0000-0000-00004DBF0000}"/>
    <cellStyle name="Migliaia 47 2 2 10" xfId="51078" xr:uid="{00000000-0005-0000-0000-00004EBF0000}"/>
    <cellStyle name="Migliaia 47 2 2 11" xfId="51674" xr:uid="{00000000-0005-0000-0000-00004FBF0000}"/>
    <cellStyle name="Migliaia 47 2 2 12" xfId="52095" xr:uid="{00000000-0005-0000-0000-000050BF0000}"/>
    <cellStyle name="Migliaia 47 2 2 13" xfId="52943" xr:uid="{00000000-0005-0000-0000-000051BF0000}"/>
    <cellStyle name="Migliaia 47 2 2 2" xfId="10052" xr:uid="{00000000-0005-0000-0000-000052BF0000}"/>
    <cellStyle name="Migliaia 47 2 2 2 2" xfId="26373" xr:uid="{00000000-0005-0000-0000-000053BF0000}"/>
    <cellStyle name="Migliaia 47 2 2 2 3" xfId="41341" xr:uid="{00000000-0005-0000-0000-000054BF0000}"/>
    <cellStyle name="Migliaia 47 2 2 2 4" xfId="55298" xr:uid="{00000000-0005-0000-0000-000055BF0000}"/>
    <cellStyle name="Migliaia 47 2 2 3" xfId="18346" xr:uid="{00000000-0005-0000-0000-000056BF0000}"/>
    <cellStyle name="Migliaia 47 2 2 3 2" xfId="33813" xr:uid="{00000000-0005-0000-0000-000057BF0000}"/>
    <cellStyle name="Migliaia 47 2 2 3 3" xfId="48774" xr:uid="{00000000-0005-0000-0000-000058BF0000}"/>
    <cellStyle name="Migliaia 47 2 2 3 4" xfId="56220" xr:uid="{00000000-0005-0000-0000-000059BF0000}"/>
    <cellStyle name="Migliaia 47 2 2 4" xfId="19352" xr:uid="{00000000-0005-0000-0000-00005ABF0000}"/>
    <cellStyle name="Migliaia 47 2 2 5" xfId="34342" xr:uid="{00000000-0005-0000-0000-00005BBF0000}"/>
    <cellStyle name="Migliaia 47 2 2 6" xfId="49294" xr:uid="{00000000-0005-0000-0000-00005CBF0000}"/>
    <cellStyle name="Migliaia 47 2 2 7" xfId="49699" xr:uid="{00000000-0005-0000-0000-00005DBF0000}"/>
    <cellStyle name="Migliaia 47 2 2 8" xfId="50108" xr:uid="{00000000-0005-0000-0000-00005EBF0000}"/>
    <cellStyle name="Migliaia 47 2 2 9" xfId="50513" xr:uid="{00000000-0005-0000-0000-00005FBF0000}"/>
    <cellStyle name="Migliaia 47 2 3" xfId="9299" xr:uid="{00000000-0005-0000-0000-000060BF0000}"/>
    <cellStyle name="Migliaia 47 2 3 2" xfId="54632" xr:uid="{00000000-0005-0000-0000-000061BF0000}"/>
    <cellStyle name="Migliaia 47 2 4" xfId="9900" xr:uid="{00000000-0005-0000-0000-000062BF0000}"/>
    <cellStyle name="Migliaia 47 2 4 2" xfId="26226" xr:uid="{00000000-0005-0000-0000-000063BF0000}"/>
    <cellStyle name="Migliaia 47 2 4 3" xfId="41204" xr:uid="{00000000-0005-0000-0000-000064BF0000}"/>
    <cellStyle name="Migliaia 47 2 4 4" xfId="55792" xr:uid="{00000000-0005-0000-0000-000065BF0000}"/>
    <cellStyle name="Migliaia 47 2 5" xfId="17269" xr:uid="{00000000-0005-0000-0000-000066BF0000}"/>
    <cellStyle name="Migliaia 47 2 5 2" xfId="33385" xr:uid="{00000000-0005-0000-0000-000067BF0000}"/>
    <cellStyle name="Migliaia 47 2 5 3" xfId="48346" xr:uid="{00000000-0005-0000-0000-000068BF0000}"/>
    <cellStyle name="Migliaia 47 2 6" xfId="19207" xr:uid="{00000000-0005-0000-0000-000069BF0000}"/>
    <cellStyle name="Migliaia 47 2 7" xfId="34202" xr:uid="{00000000-0005-0000-0000-00006ABF0000}"/>
    <cellStyle name="Migliaia 47 2 8" xfId="49142" xr:uid="{00000000-0005-0000-0000-00006BBF0000}"/>
    <cellStyle name="Migliaia 47 2 9" xfId="49547" xr:uid="{00000000-0005-0000-0000-00006CBF0000}"/>
    <cellStyle name="Migliaia 47 3" xfId="451" xr:uid="{00000000-0005-0000-0000-00006DBF0000}"/>
    <cellStyle name="Migliaia 47 3 10" xfId="49954" xr:uid="{00000000-0005-0000-0000-00006EBF0000}"/>
    <cellStyle name="Migliaia 47 3 11" xfId="50362" xr:uid="{00000000-0005-0000-0000-00006FBF0000}"/>
    <cellStyle name="Migliaia 47 3 12" xfId="50804" xr:uid="{00000000-0005-0000-0000-000070BF0000}"/>
    <cellStyle name="Migliaia 47 3 13" xfId="51523" xr:uid="{00000000-0005-0000-0000-000071BF0000}"/>
    <cellStyle name="Migliaia 47 3 14" xfId="51936" xr:uid="{00000000-0005-0000-0000-000072BF0000}"/>
    <cellStyle name="Migliaia 47 3 15" xfId="52511" xr:uid="{00000000-0005-0000-0000-000073BF0000}"/>
    <cellStyle name="Migliaia 47 3 2" xfId="452" xr:uid="{00000000-0005-0000-0000-000074BF0000}"/>
    <cellStyle name="Migliaia 47 3 2 10" xfId="50363" xr:uid="{00000000-0005-0000-0000-000075BF0000}"/>
    <cellStyle name="Migliaia 47 3 2 11" xfId="50805" xr:uid="{00000000-0005-0000-0000-000076BF0000}"/>
    <cellStyle name="Migliaia 47 3 2 12" xfId="51524" xr:uid="{00000000-0005-0000-0000-000077BF0000}"/>
    <cellStyle name="Migliaia 47 3 2 13" xfId="51937" xr:uid="{00000000-0005-0000-0000-000078BF0000}"/>
    <cellStyle name="Migliaia 47 3 2 14" xfId="52512" xr:uid="{00000000-0005-0000-0000-000079BF0000}"/>
    <cellStyle name="Migliaia 47 3 2 2" xfId="9301" xr:uid="{00000000-0005-0000-0000-00007ABF0000}"/>
    <cellStyle name="Migliaia 47 3 2 2 2" xfId="54906" xr:uid="{00000000-0005-0000-0000-00007BBF0000}"/>
    <cellStyle name="Migliaia 47 3 2 3" xfId="9902" xr:uid="{00000000-0005-0000-0000-00007CBF0000}"/>
    <cellStyle name="Migliaia 47 3 2 3 2" xfId="26228" xr:uid="{00000000-0005-0000-0000-00007DBF0000}"/>
    <cellStyle name="Migliaia 47 3 2 3 3" xfId="41206" xr:uid="{00000000-0005-0000-0000-00007EBF0000}"/>
    <cellStyle name="Migliaia 47 3 2 3 4" xfId="55794" xr:uid="{00000000-0005-0000-0000-00007FBF0000}"/>
    <cellStyle name="Migliaia 47 3 2 4" xfId="17271" xr:uid="{00000000-0005-0000-0000-000080BF0000}"/>
    <cellStyle name="Migliaia 47 3 2 4 2" xfId="33387" xr:uid="{00000000-0005-0000-0000-000081BF0000}"/>
    <cellStyle name="Migliaia 47 3 2 4 3" xfId="48348" xr:uid="{00000000-0005-0000-0000-000082BF0000}"/>
    <cellStyle name="Migliaia 47 3 2 5" xfId="19209" xr:uid="{00000000-0005-0000-0000-000083BF0000}"/>
    <cellStyle name="Migliaia 47 3 2 6" xfId="34204" xr:uid="{00000000-0005-0000-0000-000084BF0000}"/>
    <cellStyle name="Migliaia 47 3 2 7" xfId="49144" xr:uid="{00000000-0005-0000-0000-000085BF0000}"/>
    <cellStyle name="Migliaia 47 3 2 8" xfId="49549" xr:uid="{00000000-0005-0000-0000-000086BF0000}"/>
    <cellStyle name="Migliaia 47 3 2 9" xfId="49955" xr:uid="{00000000-0005-0000-0000-000087BF0000}"/>
    <cellStyle name="Migliaia 47 3 3" xfId="9300" xr:uid="{00000000-0005-0000-0000-000088BF0000}"/>
    <cellStyle name="Migliaia 47 3 3 2" xfId="18348" xr:uid="{00000000-0005-0000-0000-000089BF0000}"/>
    <cellStyle name="Migliaia 47 3 3 2 2" xfId="33815" xr:uid="{00000000-0005-0000-0000-00008ABF0000}"/>
    <cellStyle name="Migliaia 47 3 3 2 2 2" xfId="55300" xr:uid="{00000000-0005-0000-0000-00008BBF0000}"/>
    <cellStyle name="Migliaia 47 3 3 2 3" xfId="48776" xr:uid="{00000000-0005-0000-0000-00008CBF0000}"/>
    <cellStyle name="Migliaia 47 3 3 2 3 2" xfId="56222" xr:uid="{00000000-0005-0000-0000-00008DBF0000}"/>
    <cellStyle name="Migliaia 47 3 3 2 4" xfId="52945" xr:uid="{00000000-0005-0000-0000-00008EBF0000}"/>
    <cellStyle name="Migliaia 47 3 3 3" xfId="17272" xr:uid="{00000000-0005-0000-0000-00008FBF0000}"/>
    <cellStyle name="Migliaia 47 3 3 3 2" xfId="33388" xr:uid="{00000000-0005-0000-0000-000090BF0000}"/>
    <cellStyle name="Migliaia 47 3 3 3 3" xfId="48349" xr:uid="{00000000-0005-0000-0000-000091BF0000}"/>
    <cellStyle name="Migliaia 47 3 3 3 4" xfId="54907" xr:uid="{00000000-0005-0000-0000-000092BF0000}"/>
    <cellStyle name="Migliaia 47 3 3 4" xfId="55795" xr:uid="{00000000-0005-0000-0000-000093BF0000}"/>
    <cellStyle name="Migliaia 47 3 3 5" xfId="52513" xr:uid="{00000000-0005-0000-0000-000094BF0000}"/>
    <cellStyle name="Migliaia 47 3 4" xfId="9901" xr:uid="{00000000-0005-0000-0000-000095BF0000}"/>
    <cellStyle name="Migliaia 47 3 4 2" xfId="18347" xr:uid="{00000000-0005-0000-0000-000096BF0000}"/>
    <cellStyle name="Migliaia 47 3 4 2 2" xfId="33814" xr:uid="{00000000-0005-0000-0000-000097BF0000}"/>
    <cellStyle name="Migliaia 47 3 4 2 3" xfId="48775" xr:uid="{00000000-0005-0000-0000-000098BF0000}"/>
    <cellStyle name="Migliaia 47 3 4 2 4" xfId="55299" xr:uid="{00000000-0005-0000-0000-000099BF0000}"/>
    <cellStyle name="Migliaia 47 3 4 3" xfId="26227" xr:uid="{00000000-0005-0000-0000-00009ABF0000}"/>
    <cellStyle name="Migliaia 47 3 4 3 2" xfId="56221" xr:uid="{00000000-0005-0000-0000-00009BBF0000}"/>
    <cellStyle name="Migliaia 47 3 4 4" xfId="41205" xr:uid="{00000000-0005-0000-0000-00009CBF0000}"/>
    <cellStyle name="Migliaia 47 3 4 5" xfId="52944" xr:uid="{00000000-0005-0000-0000-00009DBF0000}"/>
    <cellStyle name="Migliaia 47 3 5" xfId="17270" xr:uid="{00000000-0005-0000-0000-00009EBF0000}"/>
    <cellStyle name="Migliaia 47 3 5 2" xfId="33386" xr:uid="{00000000-0005-0000-0000-00009FBF0000}"/>
    <cellStyle name="Migliaia 47 3 5 3" xfId="48347" xr:uid="{00000000-0005-0000-0000-0000A0BF0000}"/>
    <cellStyle name="Migliaia 47 3 5 4" xfId="54905" xr:uid="{00000000-0005-0000-0000-0000A1BF0000}"/>
    <cellStyle name="Migliaia 47 3 6" xfId="19208" xr:uid="{00000000-0005-0000-0000-0000A2BF0000}"/>
    <cellStyle name="Migliaia 47 3 6 2" xfId="55793" xr:uid="{00000000-0005-0000-0000-0000A3BF0000}"/>
    <cellStyle name="Migliaia 47 3 7" xfId="34203" xr:uid="{00000000-0005-0000-0000-0000A4BF0000}"/>
    <cellStyle name="Migliaia 47 3 8" xfId="49143" xr:uid="{00000000-0005-0000-0000-0000A5BF0000}"/>
    <cellStyle name="Migliaia 47 3 9" xfId="49548" xr:uid="{00000000-0005-0000-0000-0000A6BF0000}"/>
    <cellStyle name="Migliaia 47 4" xfId="9302" xr:uid="{00000000-0005-0000-0000-0000A7BF0000}"/>
    <cellStyle name="Migliaia 47 4 2" xfId="17274" xr:uid="{00000000-0005-0000-0000-0000A8BF0000}"/>
    <cellStyle name="Migliaia 47 4 2 2" xfId="18350" xr:uid="{00000000-0005-0000-0000-0000A9BF0000}"/>
    <cellStyle name="Migliaia 47 4 2 2 2" xfId="33817" xr:uid="{00000000-0005-0000-0000-0000AABF0000}"/>
    <cellStyle name="Migliaia 47 4 2 2 2 2" xfId="55302" xr:uid="{00000000-0005-0000-0000-0000ABBF0000}"/>
    <cellStyle name="Migliaia 47 4 2 2 3" xfId="48778" xr:uid="{00000000-0005-0000-0000-0000ACBF0000}"/>
    <cellStyle name="Migliaia 47 4 2 2 3 2" xfId="56224" xr:uid="{00000000-0005-0000-0000-0000ADBF0000}"/>
    <cellStyle name="Migliaia 47 4 2 2 4" xfId="52947" xr:uid="{00000000-0005-0000-0000-0000AEBF0000}"/>
    <cellStyle name="Migliaia 47 4 2 3" xfId="33390" xr:uid="{00000000-0005-0000-0000-0000AFBF0000}"/>
    <cellStyle name="Migliaia 47 4 2 3 2" xfId="54909" xr:uid="{00000000-0005-0000-0000-0000B0BF0000}"/>
    <cellStyle name="Migliaia 47 4 2 4" xfId="48351" xr:uid="{00000000-0005-0000-0000-0000B1BF0000}"/>
    <cellStyle name="Migliaia 47 4 2 4 2" xfId="55797" xr:uid="{00000000-0005-0000-0000-0000B2BF0000}"/>
    <cellStyle name="Migliaia 47 4 2 5" xfId="52515" xr:uid="{00000000-0005-0000-0000-0000B3BF0000}"/>
    <cellStyle name="Migliaia 47 4 3" xfId="18349" xr:uid="{00000000-0005-0000-0000-0000B4BF0000}"/>
    <cellStyle name="Migliaia 47 4 3 2" xfId="33816" xr:uid="{00000000-0005-0000-0000-0000B5BF0000}"/>
    <cellStyle name="Migliaia 47 4 3 2 2" xfId="55301" xr:uid="{00000000-0005-0000-0000-0000B6BF0000}"/>
    <cellStyle name="Migliaia 47 4 3 3" xfId="48777" xr:uid="{00000000-0005-0000-0000-0000B7BF0000}"/>
    <cellStyle name="Migliaia 47 4 3 3 2" xfId="56223" xr:uid="{00000000-0005-0000-0000-0000B8BF0000}"/>
    <cellStyle name="Migliaia 47 4 3 4" xfId="52946" xr:uid="{00000000-0005-0000-0000-0000B9BF0000}"/>
    <cellStyle name="Migliaia 47 4 4" xfId="17273" xr:uid="{00000000-0005-0000-0000-0000BABF0000}"/>
    <cellStyle name="Migliaia 47 4 4 2" xfId="33389" xr:uid="{00000000-0005-0000-0000-0000BBBF0000}"/>
    <cellStyle name="Migliaia 47 4 4 3" xfId="48350" xr:uid="{00000000-0005-0000-0000-0000BCBF0000}"/>
    <cellStyle name="Migliaia 47 4 4 4" xfId="54908" xr:uid="{00000000-0005-0000-0000-0000BDBF0000}"/>
    <cellStyle name="Migliaia 47 4 5" xfId="50906" xr:uid="{00000000-0005-0000-0000-0000BEBF0000}"/>
    <cellStyle name="Migliaia 47 4 5 2" xfId="55796" xr:uid="{00000000-0005-0000-0000-0000BFBF0000}"/>
    <cellStyle name="Migliaia 47 4 6" xfId="52514" xr:uid="{00000000-0005-0000-0000-0000C0BF0000}"/>
    <cellStyle name="Migliaia 47 5" xfId="9303" xr:uid="{00000000-0005-0000-0000-0000C1BF0000}"/>
    <cellStyle name="Migliaia 47 5 2" xfId="17275" xr:uid="{00000000-0005-0000-0000-0000C2BF0000}"/>
    <cellStyle name="Migliaia 47 5 2 2" xfId="33391" xr:uid="{00000000-0005-0000-0000-0000C3BF0000}"/>
    <cellStyle name="Migliaia 47 5 2 3" xfId="48352" xr:uid="{00000000-0005-0000-0000-0000C4BF0000}"/>
    <cellStyle name="Migliaia 47 5 2 4" xfId="54910" xr:uid="{00000000-0005-0000-0000-0000C5BF0000}"/>
    <cellStyle name="Migliaia 47 5 3" xfId="51229" xr:uid="{00000000-0005-0000-0000-0000C6BF0000}"/>
    <cellStyle name="Migliaia 47 5 3 2" xfId="55798" xr:uid="{00000000-0005-0000-0000-0000C7BF0000}"/>
    <cellStyle name="Migliaia 47 5 4" xfId="52516" xr:uid="{00000000-0005-0000-0000-0000C8BF0000}"/>
    <cellStyle name="Migliaia 47 6" xfId="9298" xr:uid="{00000000-0005-0000-0000-0000C9BF0000}"/>
    <cellStyle name="Migliaia 47 6 2" xfId="51159" xr:uid="{00000000-0005-0000-0000-0000CABF0000}"/>
    <cellStyle name="Migliaia 47 6 3" xfId="54568" xr:uid="{00000000-0005-0000-0000-0000CBBF0000}"/>
    <cellStyle name="Migliaia 47 7" xfId="9899" xr:uid="{00000000-0005-0000-0000-0000CCBF0000}"/>
    <cellStyle name="Migliaia 47 7 2" xfId="26225" xr:uid="{00000000-0005-0000-0000-0000CDBF0000}"/>
    <cellStyle name="Migliaia 47 7 3" xfId="41203" xr:uid="{00000000-0005-0000-0000-0000CEBF0000}"/>
    <cellStyle name="Migliaia 47 7 4" xfId="55791" xr:uid="{00000000-0005-0000-0000-0000CFBF0000}"/>
    <cellStyle name="Migliaia 47 8" xfId="17268" xr:uid="{00000000-0005-0000-0000-0000D0BF0000}"/>
    <cellStyle name="Migliaia 47 8 2" xfId="33384" xr:uid="{00000000-0005-0000-0000-0000D1BF0000}"/>
    <cellStyle name="Migliaia 47 8 3" xfId="48345" xr:uid="{00000000-0005-0000-0000-0000D2BF0000}"/>
    <cellStyle name="Migliaia 47 9" xfId="19206" xr:uid="{00000000-0005-0000-0000-0000D3BF0000}"/>
    <cellStyle name="Migliaia 48" xfId="453" xr:uid="{00000000-0005-0000-0000-0000D4BF0000}"/>
    <cellStyle name="Migliaia 48 10" xfId="34205" xr:uid="{00000000-0005-0000-0000-0000D5BF0000}"/>
    <cellStyle name="Migliaia 48 11" xfId="49145" xr:uid="{00000000-0005-0000-0000-0000D6BF0000}"/>
    <cellStyle name="Migliaia 48 12" xfId="49550" xr:uid="{00000000-0005-0000-0000-0000D7BF0000}"/>
    <cellStyle name="Migliaia 48 13" xfId="49956" xr:uid="{00000000-0005-0000-0000-0000D8BF0000}"/>
    <cellStyle name="Migliaia 48 14" xfId="50364" xr:uid="{00000000-0005-0000-0000-0000D9BF0000}"/>
    <cellStyle name="Migliaia 48 15" xfId="50806" xr:uid="{00000000-0005-0000-0000-0000DABF0000}"/>
    <cellStyle name="Migliaia 48 16" xfId="51525" xr:uid="{00000000-0005-0000-0000-0000DBBF0000}"/>
    <cellStyle name="Migliaia 48 17" xfId="51938" xr:uid="{00000000-0005-0000-0000-0000DCBF0000}"/>
    <cellStyle name="Migliaia 48 18" xfId="52517" xr:uid="{00000000-0005-0000-0000-0000DDBF0000}"/>
    <cellStyle name="Migliaia 48 2" xfId="454" xr:uid="{00000000-0005-0000-0000-0000DEBF0000}"/>
    <cellStyle name="Migliaia 48 2 10" xfId="49957" xr:uid="{00000000-0005-0000-0000-0000DFBF0000}"/>
    <cellStyle name="Migliaia 48 2 11" xfId="50365" xr:uid="{00000000-0005-0000-0000-0000E0BF0000}"/>
    <cellStyle name="Migliaia 48 2 12" xfId="50807" xr:uid="{00000000-0005-0000-0000-0000E1BF0000}"/>
    <cellStyle name="Migliaia 48 2 13" xfId="51526" xr:uid="{00000000-0005-0000-0000-0000E2BF0000}"/>
    <cellStyle name="Migliaia 48 2 14" xfId="51939" xr:uid="{00000000-0005-0000-0000-0000E3BF0000}"/>
    <cellStyle name="Migliaia 48 2 15" xfId="52518" xr:uid="{00000000-0005-0000-0000-0000E4BF0000}"/>
    <cellStyle name="Migliaia 48 2 2" xfId="1285" xr:uid="{00000000-0005-0000-0000-0000E5BF0000}"/>
    <cellStyle name="Migliaia 48 2 2 10" xfId="51079" xr:uid="{00000000-0005-0000-0000-0000E6BF0000}"/>
    <cellStyle name="Migliaia 48 2 2 11" xfId="51675" xr:uid="{00000000-0005-0000-0000-0000E7BF0000}"/>
    <cellStyle name="Migliaia 48 2 2 12" xfId="52096" xr:uid="{00000000-0005-0000-0000-0000E8BF0000}"/>
    <cellStyle name="Migliaia 48 2 2 13" xfId="52948" xr:uid="{00000000-0005-0000-0000-0000E9BF0000}"/>
    <cellStyle name="Migliaia 48 2 2 2" xfId="10053" xr:uid="{00000000-0005-0000-0000-0000EABF0000}"/>
    <cellStyle name="Migliaia 48 2 2 2 2" xfId="26374" xr:uid="{00000000-0005-0000-0000-0000EBBF0000}"/>
    <cellStyle name="Migliaia 48 2 2 2 3" xfId="41342" xr:uid="{00000000-0005-0000-0000-0000ECBF0000}"/>
    <cellStyle name="Migliaia 48 2 2 2 4" xfId="55303" xr:uid="{00000000-0005-0000-0000-0000EDBF0000}"/>
    <cellStyle name="Migliaia 48 2 2 3" xfId="18351" xr:uid="{00000000-0005-0000-0000-0000EEBF0000}"/>
    <cellStyle name="Migliaia 48 2 2 3 2" xfId="33818" xr:uid="{00000000-0005-0000-0000-0000EFBF0000}"/>
    <cellStyle name="Migliaia 48 2 2 3 3" xfId="48779" xr:uid="{00000000-0005-0000-0000-0000F0BF0000}"/>
    <cellStyle name="Migliaia 48 2 2 3 4" xfId="56225" xr:uid="{00000000-0005-0000-0000-0000F1BF0000}"/>
    <cellStyle name="Migliaia 48 2 2 4" xfId="19353" xr:uid="{00000000-0005-0000-0000-0000F2BF0000}"/>
    <cellStyle name="Migliaia 48 2 2 5" xfId="34343" xr:uid="{00000000-0005-0000-0000-0000F3BF0000}"/>
    <cellStyle name="Migliaia 48 2 2 6" xfId="49295" xr:uid="{00000000-0005-0000-0000-0000F4BF0000}"/>
    <cellStyle name="Migliaia 48 2 2 7" xfId="49700" xr:uid="{00000000-0005-0000-0000-0000F5BF0000}"/>
    <cellStyle name="Migliaia 48 2 2 8" xfId="50109" xr:uid="{00000000-0005-0000-0000-0000F6BF0000}"/>
    <cellStyle name="Migliaia 48 2 2 9" xfId="50514" xr:uid="{00000000-0005-0000-0000-0000F7BF0000}"/>
    <cellStyle name="Migliaia 48 2 3" xfId="9305" xr:uid="{00000000-0005-0000-0000-0000F8BF0000}"/>
    <cellStyle name="Migliaia 48 2 3 2" xfId="54633" xr:uid="{00000000-0005-0000-0000-0000F9BF0000}"/>
    <cellStyle name="Migliaia 48 2 4" xfId="9904" xr:uid="{00000000-0005-0000-0000-0000FABF0000}"/>
    <cellStyle name="Migliaia 48 2 4 2" xfId="26230" xr:uid="{00000000-0005-0000-0000-0000FBBF0000}"/>
    <cellStyle name="Migliaia 48 2 4 3" xfId="41208" xr:uid="{00000000-0005-0000-0000-0000FCBF0000}"/>
    <cellStyle name="Migliaia 48 2 4 4" xfId="55800" xr:uid="{00000000-0005-0000-0000-0000FDBF0000}"/>
    <cellStyle name="Migliaia 48 2 5" xfId="17277" xr:uid="{00000000-0005-0000-0000-0000FEBF0000}"/>
    <cellStyle name="Migliaia 48 2 5 2" xfId="33393" xr:uid="{00000000-0005-0000-0000-0000FFBF0000}"/>
    <cellStyle name="Migliaia 48 2 5 3" xfId="48354" xr:uid="{00000000-0005-0000-0000-000000C00000}"/>
    <cellStyle name="Migliaia 48 2 6" xfId="19211" xr:uid="{00000000-0005-0000-0000-000001C00000}"/>
    <cellStyle name="Migliaia 48 2 7" xfId="34206" xr:uid="{00000000-0005-0000-0000-000002C00000}"/>
    <cellStyle name="Migliaia 48 2 8" xfId="49146" xr:uid="{00000000-0005-0000-0000-000003C00000}"/>
    <cellStyle name="Migliaia 48 2 9" xfId="49551" xr:uid="{00000000-0005-0000-0000-000004C00000}"/>
    <cellStyle name="Migliaia 48 3" xfId="455" xr:uid="{00000000-0005-0000-0000-000005C00000}"/>
    <cellStyle name="Migliaia 48 3 10" xfId="49958" xr:uid="{00000000-0005-0000-0000-000006C00000}"/>
    <cellStyle name="Migliaia 48 3 11" xfId="50366" xr:uid="{00000000-0005-0000-0000-000007C00000}"/>
    <cellStyle name="Migliaia 48 3 12" xfId="50808" xr:uid="{00000000-0005-0000-0000-000008C00000}"/>
    <cellStyle name="Migliaia 48 3 13" xfId="51527" xr:uid="{00000000-0005-0000-0000-000009C00000}"/>
    <cellStyle name="Migliaia 48 3 14" xfId="51940" xr:uid="{00000000-0005-0000-0000-00000AC00000}"/>
    <cellStyle name="Migliaia 48 3 15" xfId="52519" xr:uid="{00000000-0005-0000-0000-00000BC00000}"/>
    <cellStyle name="Migliaia 48 3 2" xfId="456" xr:uid="{00000000-0005-0000-0000-00000CC00000}"/>
    <cellStyle name="Migliaia 48 3 2 10" xfId="50367" xr:uid="{00000000-0005-0000-0000-00000DC00000}"/>
    <cellStyle name="Migliaia 48 3 2 11" xfId="50809" xr:uid="{00000000-0005-0000-0000-00000EC00000}"/>
    <cellStyle name="Migliaia 48 3 2 12" xfId="51528" xr:uid="{00000000-0005-0000-0000-00000FC00000}"/>
    <cellStyle name="Migliaia 48 3 2 13" xfId="51941" xr:uid="{00000000-0005-0000-0000-000010C00000}"/>
    <cellStyle name="Migliaia 48 3 2 14" xfId="52520" xr:uid="{00000000-0005-0000-0000-000011C00000}"/>
    <cellStyle name="Migliaia 48 3 2 2" xfId="9307" xr:uid="{00000000-0005-0000-0000-000012C00000}"/>
    <cellStyle name="Migliaia 48 3 2 2 2" xfId="54912" xr:uid="{00000000-0005-0000-0000-000013C00000}"/>
    <cellStyle name="Migliaia 48 3 2 3" xfId="9906" xr:uid="{00000000-0005-0000-0000-000014C00000}"/>
    <cellStyle name="Migliaia 48 3 2 3 2" xfId="26232" xr:uid="{00000000-0005-0000-0000-000015C00000}"/>
    <cellStyle name="Migliaia 48 3 2 3 3" xfId="41210" xr:uid="{00000000-0005-0000-0000-000016C00000}"/>
    <cellStyle name="Migliaia 48 3 2 3 4" xfId="55802" xr:uid="{00000000-0005-0000-0000-000017C00000}"/>
    <cellStyle name="Migliaia 48 3 2 4" xfId="17279" xr:uid="{00000000-0005-0000-0000-000018C00000}"/>
    <cellStyle name="Migliaia 48 3 2 4 2" xfId="33395" xr:uid="{00000000-0005-0000-0000-000019C00000}"/>
    <cellStyle name="Migliaia 48 3 2 4 3" xfId="48356" xr:uid="{00000000-0005-0000-0000-00001AC00000}"/>
    <cellStyle name="Migliaia 48 3 2 5" xfId="19213" xr:uid="{00000000-0005-0000-0000-00001BC00000}"/>
    <cellStyle name="Migliaia 48 3 2 6" xfId="34208" xr:uid="{00000000-0005-0000-0000-00001CC00000}"/>
    <cellStyle name="Migliaia 48 3 2 7" xfId="49148" xr:uid="{00000000-0005-0000-0000-00001DC00000}"/>
    <cellStyle name="Migliaia 48 3 2 8" xfId="49553" xr:uid="{00000000-0005-0000-0000-00001EC00000}"/>
    <cellStyle name="Migliaia 48 3 2 9" xfId="49959" xr:uid="{00000000-0005-0000-0000-00001FC00000}"/>
    <cellStyle name="Migliaia 48 3 3" xfId="9306" xr:uid="{00000000-0005-0000-0000-000020C00000}"/>
    <cellStyle name="Migliaia 48 3 3 2" xfId="18353" xr:uid="{00000000-0005-0000-0000-000021C00000}"/>
    <cellStyle name="Migliaia 48 3 3 2 2" xfId="33820" xr:uid="{00000000-0005-0000-0000-000022C00000}"/>
    <cellStyle name="Migliaia 48 3 3 2 2 2" xfId="55305" xr:uid="{00000000-0005-0000-0000-000023C00000}"/>
    <cellStyle name="Migliaia 48 3 3 2 3" xfId="48781" xr:uid="{00000000-0005-0000-0000-000024C00000}"/>
    <cellStyle name="Migliaia 48 3 3 2 3 2" xfId="56227" xr:uid="{00000000-0005-0000-0000-000025C00000}"/>
    <cellStyle name="Migliaia 48 3 3 2 4" xfId="52950" xr:uid="{00000000-0005-0000-0000-000026C00000}"/>
    <cellStyle name="Migliaia 48 3 3 3" xfId="17280" xr:uid="{00000000-0005-0000-0000-000027C00000}"/>
    <cellStyle name="Migliaia 48 3 3 3 2" xfId="33396" xr:uid="{00000000-0005-0000-0000-000028C00000}"/>
    <cellStyle name="Migliaia 48 3 3 3 3" xfId="48357" xr:uid="{00000000-0005-0000-0000-000029C00000}"/>
    <cellStyle name="Migliaia 48 3 3 3 4" xfId="54913" xr:uid="{00000000-0005-0000-0000-00002AC00000}"/>
    <cellStyle name="Migliaia 48 3 3 4" xfId="55803" xr:uid="{00000000-0005-0000-0000-00002BC00000}"/>
    <cellStyle name="Migliaia 48 3 3 5" xfId="52521" xr:uid="{00000000-0005-0000-0000-00002CC00000}"/>
    <cellStyle name="Migliaia 48 3 4" xfId="9905" xr:uid="{00000000-0005-0000-0000-00002DC00000}"/>
    <cellStyle name="Migliaia 48 3 4 2" xfId="18352" xr:uid="{00000000-0005-0000-0000-00002EC00000}"/>
    <cellStyle name="Migliaia 48 3 4 2 2" xfId="33819" xr:uid="{00000000-0005-0000-0000-00002FC00000}"/>
    <cellStyle name="Migliaia 48 3 4 2 3" xfId="48780" xr:uid="{00000000-0005-0000-0000-000030C00000}"/>
    <cellStyle name="Migliaia 48 3 4 2 4" xfId="55304" xr:uid="{00000000-0005-0000-0000-000031C00000}"/>
    <cellStyle name="Migliaia 48 3 4 3" xfId="26231" xr:uid="{00000000-0005-0000-0000-000032C00000}"/>
    <cellStyle name="Migliaia 48 3 4 3 2" xfId="56226" xr:uid="{00000000-0005-0000-0000-000033C00000}"/>
    <cellStyle name="Migliaia 48 3 4 4" xfId="41209" xr:uid="{00000000-0005-0000-0000-000034C00000}"/>
    <cellStyle name="Migliaia 48 3 4 5" xfId="52949" xr:uid="{00000000-0005-0000-0000-000035C00000}"/>
    <cellStyle name="Migliaia 48 3 5" xfId="17278" xr:uid="{00000000-0005-0000-0000-000036C00000}"/>
    <cellStyle name="Migliaia 48 3 5 2" xfId="33394" xr:uid="{00000000-0005-0000-0000-000037C00000}"/>
    <cellStyle name="Migliaia 48 3 5 3" xfId="48355" xr:uid="{00000000-0005-0000-0000-000038C00000}"/>
    <cellStyle name="Migliaia 48 3 5 4" xfId="54911" xr:uid="{00000000-0005-0000-0000-000039C00000}"/>
    <cellStyle name="Migliaia 48 3 6" xfId="19212" xr:uid="{00000000-0005-0000-0000-00003AC00000}"/>
    <cellStyle name="Migliaia 48 3 6 2" xfId="55801" xr:uid="{00000000-0005-0000-0000-00003BC00000}"/>
    <cellStyle name="Migliaia 48 3 7" xfId="34207" xr:uid="{00000000-0005-0000-0000-00003CC00000}"/>
    <cellStyle name="Migliaia 48 3 8" xfId="49147" xr:uid="{00000000-0005-0000-0000-00003DC00000}"/>
    <cellStyle name="Migliaia 48 3 9" xfId="49552" xr:uid="{00000000-0005-0000-0000-00003EC00000}"/>
    <cellStyle name="Migliaia 48 4" xfId="9308" xr:uid="{00000000-0005-0000-0000-00003FC00000}"/>
    <cellStyle name="Migliaia 48 4 2" xfId="17282" xr:uid="{00000000-0005-0000-0000-000040C00000}"/>
    <cellStyle name="Migliaia 48 4 2 2" xfId="18355" xr:uid="{00000000-0005-0000-0000-000041C00000}"/>
    <cellStyle name="Migliaia 48 4 2 2 2" xfId="33822" xr:uid="{00000000-0005-0000-0000-000042C00000}"/>
    <cellStyle name="Migliaia 48 4 2 2 2 2" xfId="55307" xr:uid="{00000000-0005-0000-0000-000043C00000}"/>
    <cellStyle name="Migliaia 48 4 2 2 3" xfId="48783" xr:uid="{00000000-0005-0000-0000-000044C00000}"/>
    <cellStyle name="Migliaia 48 4 2 2 3 2" xfId="56229" xr:uid="{00000000-0005-0000-0000-000045C00000}"/>
    <cellStyle name="Migliaia 48 4 2 2 4" xfId="52952" xr:uid="{00000000-0005-0000-0000-000046C00000}"/>
    <cellStyle name="Migliaia 48 4 2 3" xfId="33398" xr:uid="{00000000-0005-0000-0000-000047C00000}"/>
    <cellStyle name="Migliaia 48 4 2 3 2" xfId="54915" xr:uid="{00000000-0005-0000-0000-000048C00000}"/>
    <cellStyle name="Migliaia 48 4 2 4" xfId="48359" xr:uid="{00000000-0005-0000-0000-000049C00000}"/>
    <cellStyle name="Migliaia 48 4 2 4 2" xfId="55805" xr:uid="{00000000-0005-0000-0000-00004AC00000}"/>
    <cellStyle name="Migliaia 48 4 2 5" xfId="52523" xr:uid="{00000000-0005-0000-0000-00004BC00000}"/>
    <cellStyle name="Migliaia 48 4 3" xfId="18354" xr:uid="{00000000-0005-0000-0000-00004CC00000}"/>
    <cellStyle name="Migliaia 48 4 3 2" xfId="33821" xr:uid="{00000000-0005-0000-0000-00004DC00000}"/>
    <cellStyle name="Migliaia 48 4 3 2 2" xfId="55306" xr:uid="{00000000-0005-0000-0000-00004EC00000}"/>
    <cellStyle name="Migliaia 48 4 3 3" xfId="48782" xr:uid="{00000000-0005-0000-0000-00004FC00000}"/>
    <cellStyle name="Migliaia 48 4 3 3 2" xfId="56228" xr:uid="{00000000-0005-0000-0000-000050C00000}"/>
    <cellStyle name="Migliaia 48 4 3 4" xfId="52951" xr:uid="{00000000-0005-0000-0000-000051C00000}"/>
    <cellStyle name="Migliaia 48 4 4" xfId="17281" xr:uid="{00000000-0005-0000-0000-000052C00000}"/>
    <cellStyle name="Migliaia 48 4 4 2" xfId="33397" xr:uid="{00000000-0005-0000-0000-000053C00000}"/>
    <cellStyle name="Migliaia 48 4 4 3" xfId="48358" xr:uid="{00000000-0005-0000-0000-000054C00000}"/>
    <cellStyle name="Migliaia 48 4 4 4" xfId="54914" xr:uid="{00000000-0005-0000-0000-000055C00000}"/>
    <cellStyle name="Migliaia 48 4 5" xfId="50972" xr:uid="{00000000-0005-0000-0000-000056C00000}"/>
    <cellStyle name="Migliaia 48 4 5 2" xfId="55804" xr:uid="{00000000-0005-0000-0000-000057C00000}"/>
    <cellStyle name="Migliaia 48 4 6" xfId="52522" xr:uid="{00000000-0005-0000-0000-000058C00000}"/>
    <cellStyle name="Migliaia 48 5" xfId="9309" xr:uid="{00000000-0005-0000-0000-000059C00000}"/>
    <cellStyle name="Migliaia 48 5 2" xfId="17283" xr:uid="{00000000-0005-0000-0000-00005AC00000}"/>
    <cellStyle name="Migliaia 48 5 2 2" xfId="33399" xr:uid="{00000000-0005-0000-0000-00005BC00000}"/>
    <cellStyle name="Migliaia 48 5 2 3" xfId="48360" xr:uid="{00000000-0005-0000-0000-00005CC00000}"/>
    <cellStyle name="Migliaia 48 5 2 4" xfId="54916" xr:uid="{00000000-0005-0000-0000-00005DC00000}"/>
    <cellStyle name="Migliaia 48 5 3" xfId="50905" xr:uid="{00000000-0005-0000-0000-00005EC00000}"/>
    <cellStyle name="Migliaia 48 5 3 2" xfId="55806" xr:uid="{00000000-0005-0000-0000-00005FC00000}"/>
    <cellStyle name="Migliaia 48 5 4" xfId="52524" xr:uid="{00000000-0005-0000-0000-000060C00000}"/>
    <cellStyle name="Migliaia 48 6" xfId="9304" xr:uid="{00000000-0005-0000-0000-000061C00000}"/>
    <cellStyle name="Migliaia 48 6 2" xfId="51121" xr:uid="{00000000-0005-0000-0000-000062C00000}"/>
    <cellStyle name="Migliaia 48 6 3" xfId="54569" xr:uid="{00000000-0005-0000-0000-000063C00000}"/>
    <cellStyle name="Migliaia 48 7" xfId="9903" xr:uid="{00000000-0005-0000-0000-000064C00000}"/>
    <cellStyle name="Migliaia 48 7 2" xfId="26229" xr:uid="{00000000-0005-0000-0000-000065C00000}"/>
    <cellStyle name="Migliaia 48 7 3" xfId="41207" xr:uid="{00000000-0005-0000-0000-000066C00000}"/>
    <cellStyle name="Migliaia 48 7 4" xfId="55799" xr:uid="{00000000-0005-0000-0000-000067C00000}"/>
    <cellStyle name="Migliaia 48 8" xfId="17276" xr:uid="{00000000-0005-0000-0000-000068C00000}"/>
    <cellStyle name="Migliaia 48 8 2" xfId="33392" xr:uid="{00000000-0005-0000-0000-000069C00000}"/>
    <cellStyle name="Migliaia 48 8 3" xfId="48353" xr:uid="{00000000-0005-0000-0000-00006AC00000}"/>
    <cellStyle name="Migliaia 48 9" xfId="19210" xr:uid="{00000000-0005-0000-0000-00006BC00000}"/>
    <cellStyle name="Migliaia 49" xfId="457" xr:uid="{00000000-0005-0000-0000-00006CC00000}"/>
    <cellStyle name="Migliaia 49 10" xfId="34209" xr:uid="{00000000-0005-0000-0000-00006DC00000}"/>
    <cellStyle name="Migliaia 49 11" xfId="49149" xr:uid="{00000000-0005-0000-0000-00006EC00000}"/>
    <cellStyle name="Migliaia 49 12" xfId="49554" xr:uid="{00000000-0005-0000-0000-00006FC00000}"/>
    <cellStyle name="Migliaia 49 13" xfId="49960" xr:uid="{00000000-0005-0000-0000-000070C00000}"/>
    <cellStyle name="Migliaia 49 14" xfId="50368" xr:uid="{00000000-0005-0000-0000-000071C00000}"/>
    <cellStyle name="Migliaia 49 15" xfId="50810" xr:uid="{00000000-0005-0000-0000-000072C00000}"/>
    <cellStyle name="Migliaia 49 16" xfId="51529" xr:uid="{00000000-0005-0000-0000-000073C00000}"/>
    <cellStyle name="Migliaia 49 17" xfId="51942" xr:uid="{00000000-0005-0000-0000-000074C00000}"/>
    <cellStyle name="Migliaia 49 18" xfId="52525" xr:uid="{00000000-0005-0000-0000-000075C00000}"/>
    <cellStyle name="Migliaia 49 2" xfId="458" xr:uid="{00000000-0005-0000-0000-000076C00000}"/>
    <cellStyle name="Migliaia 49 2 10" xfId="49961" xr:uid="{00000000-0005-0000-0000-000077C00000}"/>
    <cellStyle name="Migliaia 49 2 11" xfId="50369" xr:uid="{00000000-0005-0000-0000-000078C00000}"/>
    <cellStyle name="Migliaia 49 2 12" xfId="50811" xr:uid="{00000000-0005-0000-0000-000079C00000}"/>
    <cellStyle name="Migliaia 49 2 13" xfId="51530" xr:uid="{00000000-0005-0000-0000-00007AC00000}"/>
    <cellStyle name="Migliaia 49 2 14" xfId="51943" xr:uid="{00000000-0005-0000-0000-00007BC00000}"/>
    <cellStyle name="Migliaia 49 2 15" xfId="52526" xr:uid="{00000000-0005-0000-0000-00007CC00000}"/>
    <cellStyle name="Migliaia 49 2 2" xfId="1286" xr:uid="{00000000-0005-0000-0000-00007DC00000}"/>
    <cellStyle name="Migliaia 49 2 2 10" xfId="51080" xr:uid="{00000000-0005-0000-0000-00007EC00000}"/>
    <cellStyle name="Migliaia 49 2 2 11" xfId="51676" xr:uid="{00000000-0005-0000-0000-00007FC00000}"/>
    <cellStyle name="Migliaia 49 2 2 12" xfId="52097" xr:uid="{00000000-0005-0000-0000-000080C00000}"/>
    <cellStyle name="Migliaia 49 2 2 13" xfId="52953" xr:uid="{00000000-0005-0000-0000-000081C00000}"/>
    <cellStyle name="Migliaia 49 2 2 2" xfId="10054" xr:uid="{00000000-0005-0000-0000-000082C00000}"/>
    <cellStyle name="Migliaia 49 2 2 2 2" xfId="26375" xr:uid="{00000000-0005-0000-0000-000083C00000}"/>
    <cellStyle name="Migliaia 49 2 2 2 3" xfId="41343" xr:uid="{00000000-0005-0000-0000-000084C00000}"/>
    <cellStyle name="Migliaia 49 2 2 2 4" xfId="55308" xr:uid="{00000000-0005-0000-0000-000085C00000}"/>
    <cellStyle name="Migliaia 49 2 2 3" xfId="18356" xr:uid="{00000000-0005-0000-0000-000086C00000}"/>
    <cellStyle name="Migliaia 49 2 2 3 2" xfId="33823" xr:uid="{00000000-0005-0000-0000-000087C00000}"/>
    <cellStyle name="Migliaia 49 2 2 3 3" xfId="48784" xr:uid="{00000000-0005-0000-0000-000088C00000}"/>
    <cellStyle name="Migliaia 49 2 2 3 4" xfId="56230" xr:uid="{00000000-0005-0000-0000-000089C00000}"/>
    <cellStyle name="Migliaia 49 2 2 4" xfId="19354" xr:uid="{00000000-0005-0000-0000-00008AC00000}"/>
    <cellStyle name="Migliaia 49 2 2 5" xfId="34344" xr:uid="{00000000-0005-0000-0000-00008BC00000}"/>
    <cellStyle name="Migliaia 49 2 2 6" xfId="49296" xr:uid="{00000000-0005-0000-0000-00008CC00000}"/>
    <cellStyle name="Migliaia 49 2 2 7" xfId="49701" xr:uid="{00000000-0005-0000-0000-00008DC00000}"/>
    <cellStyle name="Migliaia 49 2 2 8" xfId="50110" xr:uid="{00000000-0005-0000-0000-00008EC00000}"/>
    <cellStyle name="Migliaia 49 2 2 9" xfId="50515" xr:uid="{00000000-0005-0000-0000-00008FC00000}"/>
    <cellStyle name="Migliaia 49 2 3" xfId="9311" xr:uid="{00000000-0005-0000-0000-000090C00000}"/>
    <cellStyle name="Migliaia 49 2 3 2" xfId="54634" xr:uid="{00000000-0005-0000-0000-000091C00000}"/>
    <cellStyle name="Migliaia 49 2 4" xfId="9908" xr:uid="{00000000-0005-0000-0000-000092C00000}"/>
    <cellStyle name="Migliaia 49 2 4 2" xfId="26234" xr:uid="{00000000-0005-0000-0000-000093C00000}"/>
    <cellStyle name="Migliaia 49 2 4 3" xfId="41212" xr:uid="{00000000-0005-0000-0000-000094C00000}"/>
    <cellStyle name="Migliaia 49 2 4 4" xfId="55808" xr:uid="{00000000-0005-0000-0000-000095C00000}"/>
    <cellStyle name="Migliaia 49 2 5" xfId="17285" xr:uid="{00000000-0005-0000-0000-000096C00000}"/>
    <cellStyle name="Migliaia 49 2 5 2" xfId="33401" xr:uid="{00000000-0005-0000-0000-000097C00000}"/>
    <cellStyle name="Migliaia 49 2 5 3" xfId="48362" xr:uid="{00000000-0005-0000-0000-000098C00000}"/>
    <cellStyle name="Migliaia 49 2 6" xfId="19215" xr:uid="{00000000-0005-0000-0000-000099C00000}"/>
    <cellStyle name="Migliaia 49 2 7" xfId="34210" xr:uid="{00000000-0005-0000-0000-00009AC00000}"/>
    <cellStyle name="Migliaia 49 2 8" xfId="49150" xr:uid="{00000000-0005-0000-0000-00009BC00000}"/>
    <cellStyle name="Migliaia 49 2 9" xfId="49555" xr:uid="{00000000-0005-0000-0000-00009CC00000}"/>
    <cellStyle name="Migliaia 49 3" xfId="459" xr:uid="{00000000-0005-0000-0000-00009DC00000}"/>
    <cellStyle name="Migliaia 49 3 10" xfId="49962" xr:uid="{00000000-0005-0000-0000-00009EC00000}"/>
    <cellStyle name="Migliaia 49 3 11" xfId="50370" xr:uid="{00000000-0005-0000-0000-00009FC00000}"/>
    <cellStyle name="Migliaia 49 3 12" xfId="50812" xr:uid="{00000000-0005-0000-0000-0000A0C00000}"/>
    <cellStyle name="Migliaia 49 3 13" xfId="51531" xr:uid="{00000000-0005-0000-0000-0000A1C00000}"/>
    <cellStyle name="Migliaia 49 3 14" xfId="51944" xr:uid="{00000000-0005-0000-0000-0000A2C00000}"/>
    <cellStyle name="Migliaia 49 3 15" xfId="52527" xr:uid="{00000000-0005-0000-0000-0000A3C00000}"/>
    <cellStyle name="Migliaia 49 3 2" xfId="460" xr:uid="{00000000-0005-0000-0000-0000A4C00000}"/>
    <cellStyle name="Migliaia 49 3 2 10" xfId="50371" xr:uid="{00000000-0005-0000-0000-0000A5C00000}"/>
    <cellStyle name="Migliaia 49 3 2 11" xfId="50813" xr:uid="{00000000-0005-0000-0000-0000A6C00000}"/>
    <cellStyle name="Migliaia 49 3 2 12" xfId="51532" xr:uid="{00000000-0005-0000-0000-0000A7C00000}"/>
    <cellStyle name="Migliaia 49 3 2 13" xfId="51945" xr:uid="{00000000-0005-0000-0000-0000A8C00000}"/>
    <cellStyle name="Migliaia 49 3 2 14" xfId="52528" xr:uid="{00000000-0005-0000-0000-0000A9C00000}"/>
    <cellStyle name="Migliaia 49 3 2 2" xfId="9313" xr:uid="{00000000-0005-0000-0000-0000AAC00000}"/>
    <cellStyle name="Migliaia 49 3 2 2 2" xfId="54918" xr:uid="{00000000-0005-0000-0000-0000ABC00000}"/>
    <cellStyle name="Migliaia 49 3 2 3" xfId="9910" xr:uid="{00000000-0005-0000-0000-0000ACC00000}"/>
    <cellStyle name="Migliaia 49 3 2 3 2" xfId="26236" xr:uid="{00000000-0005-0000-0000-0000ADC00000}"/>
    <cellStyle name="Migliaia 49 3 2 3 3" xfId="41214" xr:uid="{00000000-0005-0000-0000-0000AEC00000}"/>
    <cellStyle name="Migliaia 49 3 2 3 4" xfId="55810" xr:uid="{00000000-0005-0000-0000-0000AFC00000}"/>
    <cellStyle name="Migliaia 49 3 2 4" xfId="17287" xr:uid="{00000000-0005-0000-0000-0000B0C00000}"/>
    <cellStyle name="Migliaia 49 3 2 4 2" xfId="33403" xr:uid="{00000000-0005-0000-0000-0000B1C00000}"/>
    <cellStyle name="Migliaia 49 3 2 4 3" xfId="48364" xr:uid="{00000000-0005-0000-0000-0000B2C00000}"/>
    <cellStyle name="Migliaia 49 3 2 5" xfId="19217" xr:uid="{00000000-0005-0000-0000-0000B3C00000}"/>
    <cellStyle name="Migliaia 49 3 2 6" xfId="34212" xr:uid="{00000000-0005-0000-0000-0000B4C00000}"/>
    <cellStyle name="Migliaia 49 3 2 7" xfId="49152" xr:uid="{00000000-0005-0000-0000-0000B5C00000}"/>
    <cellStyle name="Migliaia 49 3 2 8" xfId="49557" xr:uid="{00000000-0005-0000-0000-0000B6C00000}"/>
    <cellStyle name="Migliaia 49 3 2 9" xfId="49963" xr:uid="{00000000-0005-0000-0000-0000B7C00000}"/>
    <cellStyle name="Migliaia 49 3 3" xfId="9312" xr:uid="{00000000-0005-0000-0000-0000B8C00000}"/>
    <cellStyle name="Migliaia 49 3 3 2" xfId="18358" xr:uid="{00000000-0005-0000-0000-0000B9C00000}"/>
    <cellStyle name="Migliaia 49 3 3 2 2" xfId="33825" xr:uid="{00000000-0005-0000-0000-0000BAC00000}"/>
    <cellStyle name="Migliaia 49 3 3 2 2 2" xfId="55310" xr:uid="{00000000-0005-0000-0000-0000BBC00000}"/>
    <cellStyle name="Migliaia 49 3 3 2 3" xfId="48786" xr:uid="{00000000-0005-0000-0000-0000BCC00000}"/>
    <cellStyle name="Migliaia 49 3 3 2 3 2" xfId="56232" xr:uid="{00000000-0005-0000-0000-0000BDC00000}"/>
    <cellStyle name="Migliaia 49 3 3 2 4" xfId="52955" xr:uid="{00000000-0005-0000-0000-0000BEC00000}"/>
    <cellStyle name="Migliaia 49 3 3 3" xfId="17288" xr:uid="{00000000-0005-0000-0000-0000BFC00000}"/>
    <cellStyle name="Migliaia 49 3 3 3 2" xfId="33404" xr:uid="{00000000-0005-0000-0000-0000C0C00000}"/>
    <cellStyle name="Migliaia 49 3 3 3 3" xfId="48365" xr:uid="{00000000-0005-0000-0000-0000C1C00000}"/>
    <cellStyle name="Migliaia 49 3 3 3 4" xfId="54919" xr:uid="{00000000-0005-0000-0000-0000C2C00000}"/>
    <cellStyle name="Migliaia 49 3 3 4" xfId="55811" xr:uid="{00000000-0005-0000-0000-0000C3C00000}"/>
    <cellStyle name="Migliaia 49 3 3 5" xfId="52529" xr:uid="{00000000-0005-0000-0000-0000C4C00000}"/>
    <cellStyle name="Migliaia 49 3 4" xfId="9909" xr:uid="{00000000-0005-0000-0000-0000C5C00000}"/>
    <cellStyle name="Migliaia 49 3 4 2" xfId="18357" xr:uid="{00000000-0005-0000-0000-0000C6C00000}"/>
    <cellStyle name="Migliaia 49 3 4 2 2" xfId="33824" xr:uid="{00000000-0005-0000-0000-0000C7C00000}"/>
    <cellStyle name="Migliaia 49 3 4 2 3" xfId="48785" xr:uid="{00000000-0005-0000-0000-0000C8C00000}"/>
    <cellStyle name="Migliaia 49 3 4 2 4" xfId="55309" xr:uid="{00000000-0005-0000-0000-0000C9C00000}"/>
    <cellStyle name="Migliaia 49 3 4 3" xfId="26235" xr:uid="{00000000-0005-0000-0000-0000CAC00000}"/>
    <cellStyle name="Migliaia 49 3 4 3 2" xfId="56231" xr:uid="{00000000-0005-0000-0000-0000CBC00000}"/>
    <cellStyle name="Migliaia 49 3 4 4" xfId="41213" xr:uid="{00000000-0005-0000-0000-0000CCC00000}"/>
    <cellStyle name="Migliaia 49 3 4 5" xfId="52954" xr:uid="{00000000-0005-0000-0000-0000CDC00000}"/>
    <cellStyle name="Migliaia 49 3 5" xfId="17286" xr:uid="{00000000-0005-0000-0000-0000CEC00000}"/>
    <cellStyle name="Migliaia 49 3 5 2" xfId="33402" xr:uid="{00000000-0005-0000-0000-0000CFC00000}"/>
    <cellStyle name="Migliaia 49 3 5 3" xfId="48363" xr:uid="{00000000-0005-0000-0000-0000D0C00000}"/>
    <cellStyle name="Migliaia 49 3 5 4" xfId="54917" xr:uid="{00000000-0005-0000-0000-0000D1C00000}"/>
    <cellStyle name="Migliaia 49 3 6" xfId="19216" xr:uid="{00000000-0005-0000-0000-0000D2C00000}"/>
    <cellStyle name="Migliaia 49 3 6 2" xfId="55809" xr:uid="{00000000-0005-0000-0000-0000D3C00000}"/>
    <cellStyle name="Migliaia 49 3 7" xfId="34211" xr:uid="{00000000-0005-0000-0000-0000D4C00000}"/>
    <cellStyle name="Migliaia 49 3 8" xfId="49151" xr:uid="{00000000-0005-0000-0000-0000D5C00000}"/>
    <cellStyle name="Migliaia 49 3 9" xfId="49556" xr:uid="{00000000-0005-0000-0000-0000D6C00000}"/>
    <cellStyle name="Migliaia 49 4" xfId="9314" xr:uid="{00000000-0005-0000-0000-0000D7C00000}"/>
    <cellStyle name="Migliaia 49 4 2" xfId="17290" xr:uid="{00000000-0005-0000-0000-0000D8C00000}"/>
    <cellStyle name="Migliaia 49 4 2 2" xfId="18360" xr:uid="{00000000-0005-0000-0000-0000D9C00000}"/>
    <cellStyle name="Migliaia 49 4 2 2 2" xfId="33827" xr:uid="{00000000-0005-0000-0000-0000DAC00000}"/>
    <cellStyle name="Migliaia 49 4 2 2 2 2" xfId="55312" xr:uid="{00000000-0005-0000-0000-0000DBC00000}"/>
    <cellStyle name="Migliaia 49 4 2 2 3" xfId="48788" xr:uid="{00000000-0005-0000-0000-0000DCC00000}"/>
    <cellStyle name="Migliaia 49 4 2 2 3 2" xfId="56234" xr:uid="{00000000-0005-0000-0000-0000DDC00000}"/>
    <cellStyle name="Migliaia 49 4 2 2 4" xfId="52957" xr:uid="{00000000-0005-0000-0000-0000DEC00000}"/>
    <cellStyle name="Migliaia 49 4 2 3" xfId="33406" xr:uid="{00000000-0005-0000-0000-0000DFC00000}"/>
    <cellStyle name="Migliaia 49 4 2 3 2" xfId="54921" xr:uid="{00000000-0005-0000-0000-0000E0C00000}"/>
    <cellStyle name="Migliaia 49 4 2 4" xfId="48367" xr:uid="{00000000-0005-0000-0000-0000E1C00000}"/>
    <cellStyle name="Migliaia 49 4 2 4 2" xfId="55813" xr:uid="{00000000-0005-0000-0000-0000E2C00000}"/>
    <cellStyle name="Migliaia 49 4 2 5" xfId="52531" xr:uid="{00000000-0005-0000-0000-0000E3C00000}"/>
    <cellStyle name="Migliaia 49 4 3" xfId="18359" xr:uid="{00000000-0005-0000-0000-0000E4C00000}"/>
    <cellStyle name="Migliaia 49 4 3 2" xfId="33826" xr:uid="{00000000-0005-0000-0000-0000E5C00000}"/>
    <cellStyle name="Migliaia 49 4 3 2 2" xfId="55311" xr:uid="{00000000-0005-0000-0000-0000E6C00000}"/>
    <cellStyle name="Migliaia 49 4 3 3" xfId="48787" xr:uid="{00000000-0005-0000-0000-0000E7C00000}"/>
    <cellStyle name="Migliaia 49 4 3 3 2" xfId="56233" xr:uid="{00000000-0005-0000-0000-0000E8C00000}"/>
    <cellStyle name="Migliaia 49 4 3 4" xfId="52956" xr:uid="{00000000-0005-0000-0000-0000E9C00000}"/>
    <cellStyle name="Migliaia 49 4 4" xfId="17289" xr:uid="{00000000-0005-0000-0000-0000EAC00000}"/>
    <cellStyle name="Migliaia 49 4 4 2" xfId="33405" xr:uid="{00000000-0005-0000-0000-0000EBC00000}"/>
    <cellStyle name="Migliaia 49 4 4 3" xfId="48366" xr:uid="{00000000-0005-0000-0000-0000ECC00000}"/>
    <cellStyle name="Migliaia 49 4 4 4" xfId="54920" xr:uid="{00000000-0005-0000-0000-0000EDC00000}"/>
    <cellStyle name="Migliaia 49 4 5" xfId="51120" xr:uid="{00000000-0005-0000-0000-0000EEC00000}"/>
    <cellStyle name="Migliaia 49 4 5 2" xfId="55812" xr:uid="{00000000-0005-0000-0000-0000EFC00000}"/>
    <cellStyle name="Migliaia 49 4 6" xfId="52530" xr:uid="{00000000-0005-0000-0000-0000F0C00000}"/>
    <cellStyle name="Migliaia 49 5" xfId="9315" xr:uid="{00000000-0005-0000-0000-0000F1C00000}"/>
    <cellStyle name="Migliaia 49 5 2" xfId="17291" xr:uid="{00000000-0005-0000-0000-0000F2C00000}"/>
    <cellStyle name="Migliaia 49 5 2 2" xfId="33407" xr:uid="{00000000-0005-0000-0000-0000F3C00000}"/>
    <cellStyle name="Migliaia 49 5 2 3" xfId="48368" xr:uid="{00000000-0005-0000-0000-0000F4C00000}"/>
    <cellStyle name="Migliaia 49 5 2 4" xfId="54922" xr:uid="{00000000-0005-0000-0000-0000F5C00000}"/>
    <cellStyle name="Migliaia 49 5 3" xfId="51173" xr:uid="{00000000-0005-0000-0000-0000F6C00000}"/>
    <cellStyle name="Migliaia 49 5 3 2" xfId="55814" xr:uid="{00000000-0005-0000-0000-0000F7C00000}"/>
    <cellStyle name="Migliaia 49 5 4" xfId="52532" xr:uid="{00000000-0005-0000-0000-0000F8C00000}"/>
    <cellStyle name="Migliaia 49 6" xfId="9310" xr:uid="{00000000-0005-0000-0000-0000F9C00000}"/>
    <cellStyle name="Migliaia 49 6 2" xfId="51185" xr:uid="{00000000-0005-0000-0000-0000FAC00000}"/>
    <cellStyle name="Migliaia 49 6 3" xfId="54570" xr:uid="{00000000-0005-0000-0000-0000FBC00000}"/>
    <cellStyle name="Migliaia 49 7" xfId="9907" xr:uid="{00000000-0005-0000-0000-0000FCC00000}"/>
    <cellStyle name="Migliaia 49 7 2" xfId="26233" xr:uid="{00000000-0005-0000-0000-0000FDC00000}"/>
    <cellStyle name="Migliaia 49 7 3" xfId="41211" xr:uid="{00000000-0005-0000-0000-0000FEC00000}"/>
    <cellStyle name="Migliaia 49 7 4" xfId="55807" xr:uid="{00000000-0005-0000-0000-0000FFC00000}"/>
    <cellStyle name="Migliaia 49 8" xfId="17284" xr:uid="{00000000-0005-0000-0000-000000C10000}"/>
    <cellStyle name="Migliaia 49 8 2" xfId="33400" xr:uid="{00000000-0005-0000-0000-000001C10000}"/>
    <cellStyle name="Migliaia 49 8 3" xfId="48361" xr:uid="{00000000-0005-0000-0000-000002C10000}"/>
    <cellStyle name="Migliaia 49 9" xfId="19214" xr:uid="{00000000-0005-0000-0000-000003C10000}"/>
    <cellStyle name="Migliaia 5" xfId="461" xr:uid="{00000000-0005-0000-0000-000004C10000}"/>
    <cellStyle name="Migliaia 5 10" xfId="34213" xr:uid="{00000000-0005-0000-0000-000005C10000}"/>
    <cellStyle name="Migliaia 5 11" xfId="49153" xr:uid="{00000000-0005-0000-0000-000006C10000}"/>
    <cellStyle name="Migliaia 5 12" xfId="49558" xr:uid="{00000000-0005-0000-0000-000007C10000}"/>
    <cellStyle name="Migliaia 5 13" xfId="49964" xr:uid="{00000000-0005-0000-0000-000008C10000}"/>
    <cellStyle name="Migliaia 5 14" xfId="50372" xr:uid="{00000000-0005-0000-0000-000009C10000}"/>
    <cellStyle name="Migliaia 5 15" xfId="50814" xr:uid="{00000000-0005-0000-0000-00000AC10000}"/>
    <cellStyle name="Migliaia 5 16" xfId="51533" xr:uid="{00000000-0005-0000-0000-00000BC10000}"/>
    <cellStyle name="Migliaia 5 17" xfId="51946" xr:uid="{00000000-0005-0000-0000-00000CC10000}"/>
    <cellStyle name="Migliaia 5 18" xfId="52533" xr:uid="{00000000-0005-0000-0000-00000DC10000}"/>
    <cellStyle name="Migliaia 5 2" xfId="462" xr:uid="{00000000-0005-0000-0000-00000EC10000}"/>
    <cellStyle name="Migliaia 5 2 10" xfId="49965" xr:uid="{00000000-0005-0000-0000-00000FC10000}"/>
    <cellStyle name="Migliaia 5 2 11" xfId="50373" xr:uid="{00000000-0005-0000-0000-000010C10000}"/>
    <cellStyle name="Migliaia 5 2 12" xfId="50815" xr:uid="{00000000-0005-0000-0000-000011C10000}"/>
    <cellStyle name="Migliaia 5 2 13" xfId="51534" xr:uid="{00000000-0005-0000-0000-000012C10000}"/>
    <cellStyle name="Migliaia 5 2 14" xfId="51947" xr:uid="{00000000-0005-0000-0000-000013C10000}"/>
    <cellStyle name="Migliaia 5 2 15" xfId="52534" xr:uid="{00000000-0005-0000-0000-000014C10000}"/>
    <cellStyle name="Migliaia 5 2 2" xfId="1287" xr:uid="{00000000-0005-0000-0000-000015C10000}"/>
    <cellStyle name="Migliaia 5 2 2 10" xfId="51081" xr:uid="{00000000-0005-0000-0000-000016C10000}"/>
    <cellStyle name="Migliaia 5 2 2 11" xfId="51677" xr:uid="{00000000-0005-0000-0000-000017C10000}"/>
    <cellStyle name="Migliaia 5 2 2 12" xfId="52098" xr:uid="{00000000-0005-0000-0000-000018C10000}"/>
    <cellStyle name="Migliaia 5 2 2 13" xfId="52958" xr:uid="{00000000-0005-0000-0000-000019C10000}"/>
    <cellStyle name="Migliaia 5 2 2 2" xfId="10055" xr:uid="{00000000-0005-0000-0000-00001AC10000}"/>
    <cellStyle name="Migliaia 5 2 2 2 2" xfId="26376" xr:uid="{00000000-0005-0000-0000-00001BC10000}"/>
    <cellStyle name="Migliaia 5 2 2 2 3" xfId="41344" xr:uid="{00000000-0005-0000-0000-00001CC10000}"/>
    <cellStyle name="Migliaia 5 2 2 2 4" xfId="55313" xr:uid="{00000000-0005-0000-0000-00001DC10000}"/>
    <cellStyle name="Migliaia 5 2 2 3" xfId="18361" xr:uid="{00000000-0005-0000-0000-00001EC10000}"/>
    <cellStyle name="Migliaia 5 2 2 3 2" xfId="33828" xr:uid="{00000000-0005-0000-0000-00001FC10000}"/>
    <cellStyle name="Migliaia 5 2 2 3 3" xfId="48789" xr:uid="{00000000-0005-0000-0000-000020C10000}"/>
    <cellStyle name="Migliaia 5 2 2 3 4" xfId="56235" xr:uid="{00000000-0005-0000-0000-000021C10000}"/>
    <cellStyle name="Migliaia 5 2 2 4" xfId="19355" xr:uid="{00000000-0005-0000-0000-000022C10000}"/>
    <cellStyle name="Migliaia 5 2 2 5" xfId="34345" xr:uid="{00000000-0005-0000-0000-000023C10000}"/>
    <cellStyle name="Migliaia 5 2 2 6" xfId="49297" xr:uid="{00000000-0005-0000-0000-000024C10000}"/>
    <cellStyle name="Migliaia 5 2 2 7" xfId="49702" xr:uid="{00000000-0005-0000-0000-000025C10000}"/>
    <cellStyle name="Migliaia 5 2 2 8" xfId="50111" xr:uid="{00000000-0005-0000-0000-000026C10000}"/>
    <cellStyle name="Migliaia 5 2 2 9" xfId="50516" xr:uid="{00000000-0005-0000-0000-000027C10000}"/>
    <cellStyle name="Migliaia 5 2 3" xfId="9317" xr:uid="{00000000-0005-0000-0000-000028C10000}"/>
    <cellStyle name="Migliaia 5 2 3 2" xfId="54635" xr:uid="{00000000-0005-0000-0000-000029C10000}"/>
    <cellStyle name="Migliaia 5 2 4" xfId="9912" xr:uid="{00000000-0005-0000-0000-00002AC10000}"/>
    <cellStyle name="Migliaia 5 2 4 2" xfId="26238" xr:uid="{00000000-0005-0000-0000-00002BC10000}"/>
    <cellStyle name="Migliaia 5 2 4 3" xfId="41216" xr:uid="{00000000-0005-0000-0000-00002CC10000}"/>
    <cellStyle name="Migliaia 5 2 4 4" xfId="55816" xr:uid="{00000000-0005-0000-0000-00002DC10000}"/>
    <cellStyle name="Migliaia 5 2 5" xfId="17293" xr:uid="{00000000-0005-0000-0000-00002EC10000}"/>
    <cellStyle name="Migliaia 5 2 5 2" xfId="33409" xr:uid="{00000000-0005-0000-0000-00002FC10000}"/>
    <cellStyle name="Migliaia 5 2 5 3" xfId="48370" xr:uid="{00000000-0005-0000-0000-000030C10000}"/>
    <cellStyle name="Migliaia 5 2 6" xfId="19219" xr:uid="{00000000-0005-0000-0000-000031C10000}"/>
    <cellStyle name="Migliaia 5 2 7" xfId="34214" xr:uid="{00000000-0005-0000-0000-000032C10000}"/>
    <cellStyle name="Migliaia 5 2 8" xfId="49154" xr:uid="{00000000-0005-0000-0000-000033C10000}"/>
    <cellStyle name="Migliaia 5 2 9" xfId="49559" xr:uid="{00000000-0005-0000-0000-000034C10000}"/>
    <cellStyle name="Migliaia 5 3" xfId="463" xr:uid="{00000000-0005-0000-0000-000035C10000}"/>
    <cellStyle name="Migliaia 5 3 10" xfId="49966" xr:uid="{00000000-0005-0000-0000-000036C10000}"/>
    <cellStyle name="Migliaia 5 3 11" xfId="50374" xr:uid="{00000000-0005-0000-0000-000037C10000}"/>
    <cellStyle name="Migliaia 5 3 12" xfId="50816" xr:uid="{00000000-0005-0000-0000-000038C10000}"/>
    <cellStyle name="Migliaia 5 3 13" xfId="51535" xr:uid="{00000000-0005-0000-0000-000039C10000}"/>
    <cellStyle name="Migliaia 5 3 14" xfId="51948" xr:uid="{00000000-0005-0000-0000-00003AC10000}"/>
    <cellStyle name="Migliaia 5 3 15" xfId="52535" xr:uid="{00000000-0005-0000-0000-00003BC10000}"/>
    <cellStyle name="Migliaia 5 3 2" xfId="464" xr:uid="{00000000-0005-0000-0000-00003CC10000}"/>
    <cellStyle name="Migliaia 5 3 2 10" xfId="50375" xr:uid="{00000000-0005-0000-0000-00003DC10000}"/>
    <cellStyle name="Migliaia 5 3 2 11" xfId="50817" xr:uid="{00000000-0005-0000-0000-00003EC10000}"/>
    <cellStyle name="Migliaia 5 3 2 12" xfId="51536" xr:uid="{00000000-0005-0000-0000-00003FC10000}"/>
    <cellStyle name="Migliaia 5 3 2 13" xfId="51949" xr:uid="{00000000-0005-0000-0000-000040C10000}"/>
    <cellStyle name="Migliaia 5 3 2 14" xfId="52536" xr:uid="{00000000-0005-0000-0000-000041C10000}"/>
    <cellStyle name="Migliaia 5 3 2 2" xfId="9319" xr:uid="{00000000-0005-0000-0000-000042C10000}"/>
    <cellStyle name="Migliaia 5 3 2 2 2" xfId="54924" xr:uid="{00000000-0005-0000-0000-000043C10000}"/>
    <cellStyle name="Migliaia 5 3 2 3" xfId="9914" xr:uid="{00000000-0005-0000-0000-000044C10000}"/>
    <cellStyle name="Migliaia 5 3 2 3 2" xfId="26240" xr:uid="{00000000-0005-0000-0000-000045C10000}"/>
    <cellStyle name="Migliaia 5 3 2 3 3" xfId="41218" xr:uid="{00000000-0005-0000-0000-000046C10000}"/>
    <cellStyle name="Migliaia 5 3 2 3 4" xfId="55818" xr:uid="{00000000-0005-0000-0000-000047C10000}"/>
    <cellStyle name="Migliaia 5 3 2 4" xfId="17295" xr:uid="{00000000-0005-0000-0000-000048C10000}"/>
    <cellStyle name="Migliaia 5 3 2 4 2" xfId="33411" xr:uid="{00000000-0005-0000-0000-000049C10000}"/>
    <cellStyle name="Migliaia 5 3 2 4 3" xfId="48372" xr:uid="{00000000-0005-0000-0000-00004AC10000}"/>
    <cellStyle name="Migliaia 5 3 2 5" xfId="19221" xr:uid="{00000000-0005-0000-0000-00004BC10000}"/>
    <cellStyle name="Migliaia 5 3 2 6" xfId="34216" xr:uid="{00000000-0005-0000-0000-00004CC10000}"/>
    <cellStyle name="Migliaia 5 3 2 7" xfId="49156" xr:uid="{00000000-0005-0000-0000-00004DC10000}"/>
    <cellStyle name="Migliaia 5 3 2 8" xfId="49561" xr:uid="{00000000-0005-0000-0000-00004EC10000}"/>
    <cellStyle name="Migliaia 5 3 2 9" xfId="49967" xr:uid="{00000000-0005-0000-0000-00004FC10000}"/>
    <cellStyle name="Migliaia 5 3 3" xfId="9318" xr:uid="{00000000-0005-0000-0000-000050C10000}"/>
    <cellStyle name="Migliaia 5 3 3 2" xfId="18363" xr:uid="{00000000-0005-0000-0000-000051C10000}"/>
    <cellStyle name="Migliaia 5 3 3 2 2" xfId="33830" xr:uid="{00000000-0005-0000-0000-000052C10000}"/>
    <cellStyle name="Migliaia 5 3 3 2 2 2" xfId="55315" xr:uid="{00000000-0005-0000-0000-000053C10000}"/>
    <cellStyle name="Migliaia 5 3 3 2 3" xfId="48791" xr:uid="{00000000-0005-0000-0000-000054C10000}"/>
    <cellStyle name="Migliaia 5 3 3 2 3 2" xfId="56237" xr:uid="{00000000-0005-0000-0000-000055C10000}"/>
    <cellStyle name="Migliaia 5 3 3 2 4" xfId="52960" xr:uid="{00000000-0005-0000-0000-000056C10000}"/>
    <cellStyle name="Migliaia 5 3 3 3" xfId="17296" xr:uid="{00000000-0005-0000-0000-000057C10000}"/>
    <cellStyle name="Migliaia 5 3 3 3 2" xfId="33412" xr:uid="{00000000-0005-0000-0000-000058C10000}"/>
    <cellStyle name="Migliaia 5 3 3 3 3" xfId="48373" xr:uid="{00000000-0005-0000-0000-000059C10000}"/>
    <cellStyle name="Migliaia 5 3 3 3 4" xfId="54925" xr:uid="{00000000-0005-0000-0000-00005AC10000}"/>
    <cellStyle name="Migliaia 5 3 3 4" xfId="55819" xr:uid="{00000000-0005-0000-0000-00005BC10000}"/>
    <cellStyle name="Migliaia 5 3 3 5" xfId="52537" xr:uid="{00000000-0005-0000-0000-00005CC10000}"/>
    <cellStyle name="Migliaia 5 3 4" xfId="9913" xr:uid="{00000000-0005-0000-0000-00005DC10000}"/>
    <cellStyle name="Migliaia 5 3 4 2" xfId="18362" xr:uid="{00000000-0005-0000-0000-00005EC10000}"/>
    <cellStyle name="Migliaia 5 3 4 2 2" xfId="33829" xr:uid="{00000000-0005-0000-0000-00005FC10000}"/>
    <cellStyle name="Migliaia 5 3 4 2 3" xfId="48790" xr:uid="{00000000-0005-0000-0000-000060C10000}"/>
    <cellStyle name="Migliaia 5 3 4 2 4" xfId="55314" xr:uid="{00000000-0005-0000-0000-000061C10000}"/>
    <cellStyle name="Migliaia 5 3 4 3" xfId="26239" xr:uid="{00000000-0005-0000-0000-000062C10000}"/>
    <cellStyle name="Migliaia 5 3 4 3 2" xfId="56236" xr:uid="{00000000-0005-0000-0000-000063C10000}"/>
    <cellStyle name="Migliaia 5 3 4 4" xfId="41217" xr:uid="{00000000-0005-0000-0000-000064C10000}"/>
    <cellStyle name="Migliaia 5 3 4 5" xfId="52959" xr:uid="{00000000-0005-0000-0000-000065C10000}"/>
    <cellStyle name="Migliaia 5 3 5" xfId="17294" xr:uid="{00000000-0005-0000-0000-000066C10000}"/>
    <cellStyle name="Migliaia 5 3 5 2" xfId="33410" xr:uid="{00000000-0005-0000-0000-000067C10000}"/>
    <cellStyle name="Migliaia 5 3 5 3" xfId="48371" xr:uid="{00000000-0005-0000-0000-000068C10000}"/>
    <cellStyle name="Migliaia 5 3 5 4" xfId="54923" xr:uid="{00000000-0005-0000-0000-000069C10000}"/>
    <cellStyle name="Migliaia 5 3 6" xfId="19220" xr:uid="{00000000-0005-0000-0000-00006AC10000}"/>
    <cellStyle name="Migliaia 5 3 6 2" xfId="55817" xr:uid="{00000000-0005-0000-0000-00006BC10000}"/>
    <cellStyle name="Migliaia 5 3 7" xfId="34215" xr:uid="{00000000-0005-0000-0000-00006CC10000}"/>
    <cellStyle name="Migliaia 5 3 8" xfId="49155" xr:uid="{00000000-0005-0000-0000-00006DC10000}"/>
    <cellStyle name="Migliaia 5 3 9" xfId="49560" xr:uid="{00000000-0005-0000-0000-00006EC10000}"/>
    <cellStyle name="Migliaia 5 4" xfId="9320" xr:uid="{00000000-0005-0000-0000-00006FC10000}"/>
    <cellStyle name="Migliaia 5 4 2" xfId="17298" xr:uid="{00000000-0005-0000-0000-000070C10000}"/>
    <cellStyle name="Migliaia 5 4 2 2" xfId="18365" xr:uid="{00000000-0005-0000-0000-000071C10000}"/>
    <cellStyle name="Migliaia 5 4 2 2 2" xfId="33832" xr:uid="{00000000-0005-0000-0000-000072C10000}"/>
    <cellStyle name="Migliaia 5 4 2 2 2 2" xfId="55317" xr:uid="{00000000-0005-0000-0000-000073C10000}"/>
    <cellStyle name="Migliaia 5 4 2 2 3" xfId="48793" xr:uid="{00000000-0005-0000-0000-000074C10000}"/>
    <cellStyle name="Migliaia 5 4 2 2 3 2" xfId="56239" xr:uid="{00000000-0005-0000-0000-000075C10000}"/>
    <cellStyle name="Migliaia 5 4 2 2 4" xfId="52962" xr:uid="{00000000-0005-0000-0000-000076C10000}"/>
    <cellStyle name="Migliaia 5 4 2 3" xfId="33414" xr:uid="{00000000-0005-0000-0000-000077C10000}"/>
    <cellStyle name="Migliaia 5 4 2 3 2" xfId="54927" xr:uid="{00000000-0005-0000-0000-000078C10000}"/>
    <cellStyle name="Migliaia 5 4 2 4" xfId="48375" xr:uid="{00000000-0005-0000-0000-000079C10000}"/>
    <cellStyle name="Migliaia 5 4 2 4 2" xfId="55821" xr:uid="{00000000-0005-0000-0000-00007AC10000}"/>
    <cellStyle name="Migliaia 5 4 2 5" xfId="52539" xr:uid="{00000000-0005-0000-0000-00007BC10000}"/>
    <cellStyle name="Migliaia 5 4 3" xfId="18364" xr:uid="{00000000-0005-0000-0000-00007CC10000}"/>
    <cellStyle name="Migliaia 5 4 3 2" xfId="33831" xr:uid="{00000000-0005-0000-0000-00007DC10000}"/>
    <cellStyle name="Migliaia 5 4 3 2 2" xfId="55316" xr:uid="{00000000-0005-0000-0000-00007EC10000}"/>
    <cellStyle name="Migliaia 5 4 3 3" xfId="48792" xr:uid="{00000000-0005-0000-0000-00007FC10000}"/>
    <cellStyle name="Migliaia 5 4 3 3 2" xfId="56238" xr:uid="{00000000-0005-0000-0000-000080C10000}"/>
    <cellStyle name="Migliaia 5 4 3 4" xfId="52961" xr:uid="{00000000-0005-0000-0000-000081C10000}"/>
    <cellStyle name="Migliaia 5 4 4" xfId="17297" xr:uid="{00000000-0005-0000-0000-000082C10000}"/>
    <cellStyle name="Migliaia 5 4 4 2" xfId="33413" xr:uid="{00000000-0005-0000-0000-000083C10000}"/>
    <cellStyle name="Migliaia 5 4 4 3" xfId="48374" xr:uid="{00000000-0005-0000-0000-000084C10000}"/>
    <cellStyle name="Migliaia 5 4 4 4" xfId="54926" xr:uid="{00000000-0005-0000-0000-000085C10000}"/>
    <cellStyle name="Migliaia 5 4 5" xfId="51119" xr:uid="{00000000-0005-0000-0000-000086C10000}"/>
    <cellStyle name="Migliaia 5 4 5 2" xfId="55820" xr:uid="{00000000-0005-0000-0000-000087C10000}"/>
    <cellStyle name="Migliaia 5 4 6" xfId="52538" xr:uid="{00000000-0005-0000-0000-000088C10000}"/>
    <cellStyle name="Migliaia 5 5" xfId="9321" xr:uid="{00000000-0005-0000-0000-000089C10000}"/>
    <cellStyle name="Migliaia 5 5 2" xfId="17299" xr:uid="{00000000-0005-0000-0000-00008AC10000}"/>
    <cellStyle name="Migliaia 5 5 2 2" xfId="33415" xr:uid="{00000000-0005-0000-0000-00008BC10000}"/>
    <cellStyle name="Migliaia 5 5 2 3" xfId="48376" xr:uid="{00000000-0005-0000-0000-00008CC10000}"/>
    <cellStyle name="Migliaia 5 5 2 4" xfId="54928" xr:uid="{00000000-0005-0000-0000-00008DC10000}"/>
    <cellStyle name="Migliaia 5 5 3" xfId="50952" xr:uid="{00000000-0005-0000-0000-00008EC10000}"/>
    <cellStyle name="Migliaia 5 5 3 2" xfId="55822" xr:uid="{00000000-0005-0000-0000-00008FC10000}"/>
    <cellStyle name="Migliaia 5 5 4" xfId="52540" xr:uid="{00000000-0005-0000-0000-000090C10000}"/>
    <cellStyle name="Migliaia 5 6" xfId="9316" xr:uid="{00000000-0005-0000-0000-000091C10000}"/>
    <cellStyle name="Migliaia 5 6 2" xfId="50904" xr:uid="{00000000-0005-0000-0000-000092C10000}"/>
    <cellStyle name="Migliaia 5 6 3" xfId="54571" xr:uid="{00000000-0005-0000-0000-000093C10000}"/>
    <cellStyle name="Migliaia 5 7" xfId="9911" xr:uid="{00000000-0005-0000-0000-000094C10000}"/>
    <cellStyle name="Migliaia 5 7 2" xfId="26237" xr:uid="{00000000-0005-0000-0000-000095C10000}"/>
    <cellStyle name="Migliaia 5 7 3" xfId="41215" xr:uid="{00000000-0005-0000-0000-000096C10000}"/>
    <cellStyle name="Migliaia 5 7 4" xfId="55815" xr:uid="{00000000-0005-0000-0000-000097C10000}"/>
    <cellStyle name="Migliaia 5 8" xfId="17292" xr:uid="{00000000-0005-0000-0000-000098C10000}"/>
    <cellStyle name="Migliaia 5 8 2" xfId="33408" xr:uid="{00000000-0005-0000-0000-000099C10000}"/>
    <cellStyle name="Migliaia 5 8 3" xfId="48369" xr:uid="{00000000-0005-0000-0000-00009AC10000}"/>
    <cellStyle name="Migliaia 5 9" xfId="19218" xr:uid="{00000000-0005-0000-0000-00009BC10000}"/>
    <cellStyle name="Migliaia 50" xfId="465" xr:uid="{00000000-0005-0000-0000-00009CC10000}"/>
    <cellStyle name="Migliaia 50 10" xfId="34217" xr:uid="{00000000-0005-0000-0000-00009DC10000}"/>
    <cellStyle name="Migliaia 50 11" xfId="49157" xr:uid="{00000000-0005-0000-0000-00009EC10000}"/>
    <cellStyle name="Migliaia 50 12" xfId="49562" xr:uid="{00000000-0005-0000-0000-00009FC10000}"/>
    <cellStyle name="Migliaia 50 13" xfId="49968" xr:uid="{00000000-0005-0000-0000-0000A0C10000}"/>
    <cellStyle name="Migliaia 50 14" xfId="50376" xr:uid="{00000000-0005-0000-0000-0000A1C10000}"/>
    <cellStyle name="Migliaia 50 15" xfId="50818" xr:uid="{00000000-0005-0000-0000-0000A2C10000}"/>
    <cellStyle name="Migliaia 50 16" xfId="51537" xr:uid="{00000000-0005-0000-0000-0000A3C10000}"/>
    <cellStyle name="Migliaia 50 17" xfId="51950" xr:uid="{00000000-0005-0000-0000-0000A4C10000}"/>
    <cellStyle name="Migliaia 50 18" xfId="52541" xr:uid="{00000000-0005-0000-0000-0000A5C10000}"/>
    <cellStyle name="Migliaia 50 2" xfId="466" xr:uid="{00000000-0005-0000-0000-0000A6C10000}"/>
    <cellStyle name="Migliaia 50 2 10" xfId="49969" xr:uid="{00000000-0005-0000-0000-0000A7C10000}"/>
    <cellStyle name="Migliaia 50 2 11" xfId="50377" xr:uid="{00000000-0005-0000-0000-0000A8C10000}"/>
    <cellStyle name="Migliaia 50 2 12" xfId="50819" xr:uid="{00000000-0005-0000-0000-0000A9C10000}"/>
    <cellStyle name="Migliaia 50 2 13" xfId="51538" xr:uid="{00000000-0005-0000-0000-0000AAC10000}"/>
    <cellStyle name="Migliaia 50 2 14" xfId="51951" xr:uid="{00000000-0005-0000-0000-0000ABC10000}"/>
    <cellStyle name="Migliaia 50 2 15" xfId="52542" xr:uid="{00000000-0005-0000-0000-0000ACC10000}"/>
    <cellStyle name="Migliaia 50 2 2" xfId="1288" xr:uid="{00000000-0005-0000-0000-0000ADC10000}"/>
    <cellStyle name="Migliaia 50 2 2 10" xfId="51082" xr:uid="{00000000-0005-0000-0000-0000AEC10000}"/>
    <cellStyle name="Migliaia 50 2 2 11" xfId="51678" xr:uid="{00000000-0005-0000-0000-0000AFC10000}"/>
    <cellStyle name="Migliaia 50 2 2 12" xfId="52099" xr:uid="{00000000-0005-0000-0000-0000B0C10000}"/>
    <cellStyle name="Migliaia 50 2 2 13" xfId="52963" xr:uid="{00000000-0005-0000-0000-0000B1C10000}"/>
    <cellStyle name="Migliaia 50 2 2 2" xfId="10056" xr:uid="{00000000-0005-0000-0000-0000B2C10000}"/>
    <cellStyle name="Migliaia 50 2 2 2 2" xfId="26377" xr:uid="{00000000-0005-0000-0000-0000B3C10000}"/>
    <cellStyle name="Migliaia 50 2 2 2 3" xfId="41345" xr:uid="{00000000-0005-0000-0000-0000B4C10000}"/>
    <cellStyle name="Migliaia 50 2 2 2 4" xfId="55318" xr:uid="{00000000-0005-0000-0000-0000B5C10000}"/>
    <cellStyle name="Migliaia 50 2 2 3" xfId="18366" xr:uid="{00000000-0005-0000-0000-0000B6C10000}"/>
    <cellStyle name="Migliaia 50 2 2 3 2" xfId="33833" xr:uid="{00000000-0005-0000-0000-0000B7C10000}"/>
    <cellStyle name="Migliaia 50 2 2 3 3" xfId="48794" xr:uid="{00000000-0005-0000-0000-0000B8C10000}"/>
    <cellStyle name="Migliaia 50 2 2 3 4" xfId="56240" xr:uid="{00000000-0005-0000-0000-0000B9C10000}"/>
    <cellStyle name="Migliaia 50 2 2 4" xfId="19356" xr:uid="{00000000-0005-0000-0000-0000BAC10000}"/>
    <cellStyle name="Migliaia 50 2 2 5" xfId="34346" xr:uid="{00000000-0005-0000-0000-0000BBC10000}"/>
    <cellStyle name="Migliaia 50 2 2 6" xfId="49298" xr:uid="{00000000-0005-0000-0000-0000BCC10000}"/>
    <cellStyle name="Migliaia 50 2 2 7" xfId="49703" xr:uid="{00000000-0005-0000-0000-0000BDC10000}"/>
    <cellStyle name="Migliaia 50 2 2 8" xfId="50112" xr:uid="{00000000-0005-0000-0000-0000BEC10000}"/>
    <cellStyle name="Migliaia 50 2 2 9" xfId="50517" xr:uid="{00000000-0005-0000-0000-0000BFC10000}"/>
    <cellStyle name="Migliaia 50 2 3" xfId="9323" xr:uid="{00000000-0005-0000-0000-0000C0C10000}"/>
    <cellStyle name="Migliaia 50 2 3 2" xfId="54636" xr:uid="{00000000-0005-0000-0000-0000C1C10000}"/>
    <cellStyle name="Migliaia 50 2 4" xfId="9916" xr:uid="{00000000-0005-0000-0000-0000C2C10000}"/>
    <cellStyle name="Migliaia 50 2 4 2" xfId="26242" xr:uid="{00000000-0005-0000-0000-0000C3C10000}"/>
    <cellStyle name="Migliaia 50 2 4 3" xfId="41220" xr:uid="{00000000-0005-0000-0000-0000C4C10000}"/>
    <cellStyle name="Migliaia 50 2 4 4" xfId="55824" xr:uid="{00000000-0005-0000-0000-0000C5C10000}"/>
    <cellStyle name="Migliaia 50 2 5" xfId="17301" xr:uid="{00000000-0005-0000-0000-0000C6C10000}"/>
    <cellStyle name="Migliaia 50 2 5 2" xfId="33417" xr:uid="{00000000-0005-0000-0000-0000C7C10000}"/>
    <cellStyle name="Migliaia 50 2 5 3" xfId="48378" xr:uid="{00000000-0005-0000-0000-0000C8C10000}"/>
    <cellStyle name="Migliaia 50 2 6" xfId="19223" xr:uid="{00000000-0005-0000-0000-0000C9C10000}"/>
    <cellStyle name="Migliaia 50 2 7" xfId="34218" xr:uid="{00000000-0005-0000-0000-0000CAC10000}"/>
    <cellStyle name="Migliaia 50 2 8" xfId="49158" xr:uid="{00000000-0005-0000-0000-0000CBC10000}"/>
    <cellStyle name="Migliaia 50 2 9" xfId="49563" xr:uid="{00000000-0005-0000-0000-0000CCC10000}"/>
    <cellStyle name="Migliaia 50 3" xfId="467" xr:uid="{00000000-0005-0000-0000-0000CDC10000}"/>
    <cellStyle name="Migliaia 50 3 10" xfId="49970" xr:uid="{00000000-0005-0000-0000-0000CEC10000}"/>
    <cellStyle name="Migliaia 50 3 11" xfId="50378" xr:uid="{00000000-0005-0000-0000-0000CFC10000}"/>
    <cellStyle name="Migliaia 50 3 12" xfId="50820" xr:uid="{00000000-0005-0000-0000-0000D0C10000}"/>
    <cellStyle name="Migliaia 50 3 13" xfId="51539" xr:uid="{00000000-0005-0000-0000-0000D1C10000}"/>
    <cellStyle name="Migliaia 50 3 14" xfId="51952" xr:uid="{00000000-0005-0000-0000-0000D2C10000}"/>
    <cellStyle name="Migliaia 50 3 15" xfId="52543" xr:uid="{00000000-0005-0000-0000-0000D3C10000}"/>
    <cellStyle name="Migliaia 50 3 2" xfId="468" xr:uid="{00000000-0005-0000-0000-0000D4C10000}"/>
    <cellStyle name="Migliaia 50 3 2 10" xfId="50379" xr:uid="{00000000-0005-0000-0000-0000D5C10000}"/>
    <cellStyle name="Migliaia 50 3 2 11" xfId="50821" xr:uid="{00000000-0005-0000-0000-0000D6C10000}"/>
    <cellStyle name="Migliaia 50 3 2 12" xfId="51540" xr:uid="{00000000-0005-0000-0000-0000D7C10000}"/>
    <cellStyle name="Migliaia 50 3 2 13" xfId="51953" xr:uid="{00000000-0005-0000-0000-0000D8C10000}"/>
    <cellStyle name="Migliaia 50 3 2 14" xfId="52544" xr:uid="{00000000-0005-0000-0000-0000D9C10000}"/>
    <cellStyle name="Migliaia 50 3 2 2" xfId="9325" xr:uid="{00000000-0005-0000-0000-0000DAC10000}"/>
    <cellStyle name="Migliaia 50 3 2 2 2" xfId="54930" xr:uid="{00000000-0005-0000-0000-0000DBC10000}"/>
    <cellStyle name="Migliaia 50 3 2 3" xfId="9918" xr:uid="{00000000-0005-0000-0000-0000DCC10000}"/>
    <cellStyle name="Migliaia 50 3 2 3 2" xfId="26244" xr:uid="{00000000-0005-0000-0000-0000DDC10000}"/>
    <cellStyle name="Migliaia 50 3 2 3 3" xfId="41222" xr:uid="{00000000-0005-0000-0000-0000DEC10000}"/>
    <cellStyle name="Migliaia 50 3 2 3 4" xfId="55826" xr:uid="{00000000-0005-0000-0000-0000DFC10000}"/>
    <cellStyle name="Migliaia 50 3 2 4" xfId="17303" xr:uid="{00000000-0005-0000-0000-0000E0C10000}"/>
    <cellStyle name="Migliaia 50 3 2 4 2" xfId="33419" xr:uid="{00000000-0005-0000-0000-0000E1C10000}"/>
    <cellStyle name="Migliaia 50 3 2 4 3" xfId="48380" xr:uid="{00000000-0005-0000-0000-0000E2C10000}"/>
    <cellStyle name="Migliaia 50 3 2 5" xfId="19225" xr:uid="{00000000-0005-0000-0000-0000E3C10000}"/>
    <cellStyle name="Migliaia 50 3 2 6" xfId="34220" xr:uid="{00000000-0005-0000-0000-0000E4C10000}"/>
    <cellStyle name="Migliaia 50 3 2 7" xfId="49160" xr:uid="{00000000-0005-0000-0000-0000E5C10000}"/>
    <cellStyle name="Migliaia 50 3 2 8" xfId="49565" xr:uid="{00000000-0005-0000-0000-0000E6C10000}"/>
    <cellStyle name="Migliaia 50 3 2 9" xfId="49971" xr:uid="{00000000-0005-0000-0000-0000E7C10000}"/>
    <cellStyle name="Migliaia 50 3 3" xfId="9324" xr:uid="{00000000-0005-0000-0000-0000E8C10000}"/>
    <cellStyle name="Migliaia 50 3 3 2" xfId="18368" xr:uid="{00000000-0005-0000-0000-0000E9C10000}"/>
    <cellStyle name="Migliaia 50 3 3 2 2" xfId="33835" xr:uid="{00000000-0005-0000-0000-0000EAC10000}"/>
    <cellStyle name="Migliaia 50 3 3 2 2 2" xfId="55320" xr:uid="{00000000-0005-0000-0000-0000EBC10000}"/>
    <cellStyle name="Migliaia 50 3 3 2 3" xfId="48796" xr:uid="{00000000-0005-0000-0000-0000ECC10000}"/>
    <cellStyle name="Migliaia 50 3 3 2 3 2" xfId="56242" xr:uid="{00000000-0005-0000-0000-0000EDC10000}"/>
    <cellStyle name="Migliaia 50 3 3 2 4" xfId="52965" xr:uid="{00000000-0005-0000-0000-0000EEC10000}"/>
    <cellStyle name="Migliaia 50 3 3 3" xfId="17304" xr:uid="{00000000-0005-0000-0000-0000EFC10000}"/>
    <cellStyle name="Migliaia 50 3 3 3 2" xfId="33420" xr:uid="{00000000-0005-0000-0000-0000F0C10000}"/>
    <cellStyle name="Migliaia 50 3 3 3 3" xfId="48381" xr:uid="{00000000-0005-0000-0000-0000F1C10000}"/>
    <cellStyle name="Migliaia 50 3 3 3 4" xfId="54931" xr:uid="{00000000-0005-0000-0000-0000F2C10000}"/>
    <cellStyle name="Migliaia 50 3 3 4" xfId="55827" xr:uid="{00000000-0005-0000-0000-0000F3C10000}"/>
    <cellStyle name="Migliaia 50 3 3 5" xfId="52545" xr:uid="{00000000-0005-0000-0000-0000F4C10000}"/>
    <cellStyle name="Migliaia 50 3 4" xfId="9917" xr:uid="{00000000-0005-0000-0000-0000F5C10000}"/>
    <cellStyle name="Migliaia 50 3 4 2" xfId="18367" xr:uid="{00000000-0005-0000-0000-0000F6C10000}"/>
    <cellStyle name="Migliaia 50 3 4 2 2" xfId="33834" xr:uid="{00000000-0005-0000-0000-0000F7C10000}"/>
    <cellStyle name="Migliaia 50 3 4 2 3" xfId="48795" xr:uid="{00000000-0005-0000-0000-0000F8C10000}"/>
    <cellStyle name="Migliaia 50 3 4 2 4" xfId="55319" xr:uid="{00000000-0005-0000-0000-0000F9C10000}"/>
    <cellStyle name="Migliaia 50 3 4 3" xfId="26243" xr:uid="{00000000-0005-0000-0000-0000FAC10000}"/>
    <cellStyle name="Migliaia 50 3 4 3 2" xfId="56241" xr:uid="{00000000-0005-0000-0000-0000FBC10000}"/>
    <cellStyle name="Migliaia 50 3 4 4" xfId="41221" xr:uid="{00000000-0005-0000-0000-0000FCC10000}"/>
    <cellStyle name="Migliaia 50 3 4 5" xfId="52964" xr:uid="{00000000-0005-0000-0000-0000FDC10000}"/>
    <cellStyle name="Migliaia 50 3 5" xfId="17302" xr:uid="{00000000-0005-0000-0000-0000FEC10000}"/>
    <cellStyle name="Migliaia 50 3 5 2" xfId="33418" xr:uid="{00000000-0005-0000-0000-0000FFC10000}"/>
    <cellStyle name="Migliaia 50 3 5 3" xfId="48379" xr:uid="{00000000-0005-0000-0000-000000C20000}"/>
    <cellStyle name="Migliaia 50 3 5 4" xfId="54929" xr:uid="{00000000-0005-0000-0000-000001C20000}"/>
    <cellStyle name="Migliaia 50 3 6" xfId="19224" xr:uid="{00000000-0005-0000-0000-000002C20000}"/>
    <cellStyle name="Migliaia 50 3 6 2" xfId="55825" xr:uid="{00000000-0005-0000-0000-000003C20000}"/>
    <cellStyle name="Migliaia 50 3 7" xfId="34219" xr:uid="{00000000-0005-0000-0000-000004C20000}"/>
    <cellStyle name="Migliaia 50 3 8" xfId="49159" xr:uid="{00000000-0005-0000-0000-000005C20000}"/>
    <cellStyle name="Migliaia 50 3 9" xfId="49564" xr:uid="{00000000-0005-0000-0000-000006C20000}"/>
    <cellStyle name="Migliaia 50 4" xfId="9326" xr:uid="{00000000-0005-0000-0000-000007C20000}"/>
    <cellStyle name="Migliaia 50 4 2" xfId="17306" xr:uid="{00000000-0005-0000-0000-000008C20000}"/>
    <cellStyle name="Migliaia 50 4 2 2" xfId="18370" xr:uid="{00000000-0005-0000-0000-000009C20000}"/>
    <cellStyle name="Migliaia 50 4 2 2 2" xfId="33837" xr:uid="{00000000-0005-0000-0000-00000AC20000}"/>
    <cellStyle name="Migliaia 50 4 2 2 2 2" xfId="55322" xr:uid="{00000000-0005-0000-0000-00000BC20000}"/>
    <cellStyle name="Migliaia 50 4 2 2 3" xfId="48798" xr:uid="{00000000-0005-0000-0000-00000CC20000}"/>
    <cellStyle name="Migliaia 50 4 2 2 3 2" xfId="56244" xr:uid="{00000000-0005-0000-0000-00000DC20000}"/>
    <cellStyle name="Migliaia 50 4 2 2 4" xfId="52967" xr:uid="{00000000-0005-0000-0000-00000EC20000}"/>
    <cellStyle name="Migliaia 50 4 2 3" xfId="33422" xr:uid="{00000000-0005-0000-0000-00000FC20000}"/>
    <cellStyle name="Migliaia 50 4 2 3 2" xfId="54933" xr:uid="{00000000-0005-0000-0000-000010C20000}"/>
    <cellStyle name="Migliaia 50 4 2 4" xfId="48383" xr:uid="{00000000-0005-0000-0000-000011C20000}"/>
    <cellStyle name="Migliaia 50 4 2 4 2" xfId="55829" xr:uid="{00000000-0005-0000-0000-000012C20000}"/>
    <cellStyle name="Migliaia 50 4 2 5" xfId="52547" xr:uid="{00000000-0005-0000-0000-000013C20000}"/>
    <cellStyle name="Migliaia 50 4 3" xfId="18369" xr:uid="{00000000-0005-0000-0000-000014C20000}"/>
    <cellStyle name="Migliaia 50 4 3 2" xfId="33836" xr:uid="{00000000-0005-0000-0000-000015C20000}"/>
    <cellStyle name="Migliaia 50 4 3 2 2" xfId="55321" xr:uid="{00000000-0005-0000-0000-000016C20000}"/>
    <cellStyle name="Migliaia 50 4 3 3" xfId="48797" xr:uid="{00000000-0005-0000-0000-000017C20000}"/>
    <cellStyle name="Migliaia 50 4 3 3 2" xfId="56243" xr:uid="{00000000-0005-0000-0000-000018C20000}"/>
    <cellStyle name="Migliaia 50 4 3 4" xfId="52966" xr:uid="{00000000-0005-0000-0000-000019C20000}"/>
    <cellStyle name="Migliaia 50 4 4" xfId="17305" xr:uid="{00000000-0005-0000-0000-00001AC20000}"/>
    <cellStyle name="Migliaia 50 4 4 2" xfId="33421" xr:uid="{00000000-0005-0000-0000-00001BC20000}"/>
    <cellStyle name="Migliaia 50 4 4 3" xfId="48382" xr:uid="{00000000-0005-0000-0000-00001CC20000}"/>
    <cellStyle name="Migliaia 50 4 4 4" xfId="54932" xr:uid="{00000000-0005-0000-0000-00001DC20000}"/>
    <cellStyle name="Migliaia 50 4 5" xfId="51118" xr:uid="{00000000-0005-0000-0000-00001EC20000}"/>
    <cellStyle name="Migliaia 50 4 5 2" xfId="55828" xr:uid="{00000000-0005-0000-0000-00001FC20000}"/>
    <cellStyle name="Migliaia 50 4 6" xfId="52546" xr:uid="{00000000-0005-0000-0000-000020C20000}"/>
    <cellStyle name="Migliaia 50 5" xfId="9327" xr:uid="{00000000-0005-0000-0000-000021C20000}"/>
    <cellStyle name="Migliaia 50 5 2" xfId="17307" xr:uid="{00000000-0005-0000-0000-000022C20000}"/>
    <cellStyle name="Migliaia 50 5 2 2" xfId="33423" xr:uid="{00000000-0005-0000-0000-000023C20000}"/>
    <cellStyle name="Migliaia 50 5 2 3" xfId="48384" xr:uid="{00000000-0005-0000-0000-000024C20000}"/>
    <cellStyle name="Migliaia 50 5 2 4" xfId="54934" xr:uid="{00000000-0005-0000-0000-000025C20000}"/>
    <cellStyle name="Migliaia 50 5 3" xfId="50903" xr:uid="{00000000-0005-0000-0000-000026C20000}"/>
    <cellStyle name="Migliaia 50 5 3 2" xfId="55830" xr:uid="{00000000-0005-0000-0000-000027C20000}"/>
    <cellStyle name="Migliaia 50 5 4" xfId="52548" xr:uid="{00000000-0005-0000-0000-000028C20000}"/>
    <cellStyle name="Migliaia 50 6" xfId="9322" xr:uid="{00000000-0005-0000-0000-000029C20000}"/>
    <cellStyle name="Migliaia 50 6 2" xfId="50971" xr:uid="{00000000-0005-0000-0000-00002AC20000}"/>
    <cellStyle name="Migliaia 50 6 3" xfId="54572" xr:uid="{00000000-0005-0000-0000-00002BC20000}"/>
    <cellStyle name="Migliaia 50 7" xfId="9915" xr:uid="{00000000-0005-0000-0000-00002CC20000}"/>
    <cellStyle name="Migliaia 50 7 2" xfId="26241" xr:uid="{00000000-0005-0000-0000-00002DC20000}"/>
    <cellStyle name="Migliaia 50 7 3" xfId="41219" xr:uid="{00000000-0005-0000-0000-00002EC20000}"/>
    <cellStyle name="Migliaia 50 7 4" xfId="55823" xr:uid="{00000000-0005-0000-0000-00002FC20000}"/>
    <cellStyle name="Migliaia 50 8" xfId="17300" xr:uid="{00000000-0005-0000-0000-000030C20000}"/>
    <cellStyle name="Migliaia 50 8 2" xfId="33416" xr:uid="{00000000-0005-0000-0000-000031C20000}"/>
    <cellStyle name="Migliaia 50 8 3" xfId="48377" xr:uid="{00000000-0005-0000-0000-000032C20000}"/>
    <cellStyle name="Migliaia 50 9" xfId="19222" xr:uid="{00000000-0005-0000-0000-000033C20000}"/>
    <cellStyle name="Migliaia 51" xfId="469" xr:uid="{00000000-0005-0000-0000-000034C20000}"/>
    <cellStyle name="Migliaia 51 10" xfId="34221" xr:uid="{00000000-0005-0000-0000-000035C20000}"/>
    <cellStyle name="Migliaia 51 11" xfId="49161" xr:uid="{00000000-0005-0000-0000-000036C20000}"/>
    <cellStyle name="Migliaia 51 12" xfId="49566" xr:uid="{00000000-0005-0000-0000-000037C20000}"/>
    <cellStyle name="Migliaia 51 13" xfId="49972" xr:uid="{00000000-0005-0000-0000-000038C20000}"/>
    <cellStyle name="Migliaia 51 14" xfId="50380" xr:uid="{00000000-0005-0000-0000-000039C20000}"/>
    <cellStyle name="Migliaia 51 15" xfId="50822" xr:uid="{00000000-0005-0000-0000-00003AC20000}"/>
    <cellStyle name="Migliaia 51 16" xfId="51541" xr:uid="{00000000-0005-0000-0000-00003BC20000}"/>
    <cellStyle name="Migliaia 51 17" xfId="51954" xr:uid="{00000000-0005-0000-0000-00003CC20000}"/>
    <cellStyle name="Migliaia 51 18" xfId="52549" xr:uid="{00000000-0005-0000-0000-00003DC20000}"/>
    <cellStyle name="Migliaia 51 2" xfId="470" xr:uid="{00000000-0005-0000-0000-00003EC20000}"/>
    <cellStyle name="Migliaia 51 2 10" xfId="49973" xr:uid="{00000000-0005-0000-0000-00003FC20000}"/>
    <cellStyle name="Migliaia 51 2 11" xfId="50381" xr:uid="{00000000-0005-0000-0000-000040C20000}"/>
    <cellStyle name="Migliaia 51 2 12" xfId="50823" xr:uid="{00000000-0005-0000-0000-000041C20000}"/>
    <cellStyle name="Migliaia 51 2 13" xfId="51542" xr:uid="{00000000-0005-0000-0000-000042C20000}"/>
    <cellStyle name="Migliaia 51 2 14" xfId="51955" xr:uid="{00000000-0005-0000-0000-000043C20000}"/>
    <cellStyle name="Migliaia 51 2 15" xfId="52550" xr:uid="{00000000-0005-0000-0000-000044C20000}"/>
    <cellStyle name="Migliaia 51 2 2" xfId="1289" xr:uid="{00000000-0005-0000-0000-000045C20000}"/>
    <cellStyle name="Migliaia 51 2 2 10" xfId="51083" xr:uid="{00000000-0005-0000-0000-000046C20000}"/>
    <cellStyle name="Migliaia 51 2 2 11" xfId="51679" xr:uid="{00000000-0005-0000-0000-000047C20000}"/>
    <cellStyle name="Migliaia 51 2 2 12" xfId="52100" xr:uid="{00000000-0005-0000-0000-000048C20000}"/>
    <cellStyle name="Migliaia 51 2 2 13" xfId="52968" xr:uid="{00000000-0005-0000-0000-000049C20000}"/>
    <cellStyle name="Migliaia 51 2 2 2" xfId="10057" xr:uid="{00000000-0005-0000-0000-00004AC20000}"/>
    <cellStyle name="Migliaia 51 2 2 2 2" xfId="26378" xr:uid="{00000000-0005-0000-0000-00004BC20000}"/>
    <cellStyle name="Migliaia 51 2 2 2 3" xfId="41346" xr:uid="{00000000-0005-0000-0000-00004CC20000}"/>
    <cellStyle name="Migliaia 51 2 2 2 4" xfId="55323" xr:uid="{00000000-0005-0000-0000-00004DC20000}"/>
    <cellStyle name="Migliaia 51 2 2 3" xfId="18371" xr:uid="{00000000-0005-0000-0000-00004EC20000}"/>
    <cellStyle name="Migliaia 51 2 2 3 2" xfId="33838" xr:uid="{00000000-0005-0000-0000-00004FC20000}"/>
    <cellStyle name="Migliaia 51 2 2 3 3" xfId="48799" xr:uid="{00000000-0005-0000-0000-000050C20000}"/>
    <cellStyle name="Migliaia 51 2 2 3 4" xfId="56245" xr:uid="{00000000-0005-0000-0000-000051C20000}"/>
    <cellStyle name="Migliaia 51 2 2 4" xfId="19357" xr:uid="{00000000-0005-0000-0000-000052C20000}"/>
    <cellStyle name="Migliaia 51 2 2 5" xfId="34347" xr:uid="{00000000-0005-0000-0000-000053C20000}"/>
    <cellStyle name="Migliaia 51 2 2 6" xfId="49299" xr:uid="{00000000-0005-0000-0000-000054C20000}"/>
    <cellStyle name="Migliaia 51 2 2 7" xfId="49704" xr:uid="{00000000-0005-0000-0000-000055C20000}"/>
    <cellStyle name="Migliaia 51 2 2 8" xfId="50113" xr:uid="{00000000-0005-0000-0000-000056C20000}"/>
    <cellStyle name="Migliaia 51 2 2 9" xfId="50518" xr:uid="{00000000-0005-0000-0000-000057C20000}"/>
    <cellStyle name="Migliaia 51 2 3" xfId="9329" xr:uid="{00000000-0005-0000-0000-000058C20000}"/>
    <cellStyle name="Migliaia 51 2 3 2" xfId="54637" xr:uid="{00000000-0005-0000-0000-000059C20000}"/>
    <cellStyle name="Migliaia 51 2 4" xfId="9920" xr:uid="{00000000-0005-0000-0000-00005AC20000}"/>
    <cellStyle name="Migliaia 51 2 4 2" xfId="26246" xr:uid="{00000000-0005-0000-0000-00005BC20000}"/>
    <cellStyle name="Migliaia 51 2 4 3" xfId="41224" xr:uid="{00000000-0005-0000-0000-00005CC20000}"/>
    <cellStyle name="Migliaia 51 2 4 4" xfId="55832" xr:uid="{00000000-0005-0000-0000-00005DC20000}"/>
    <cellStyle name="Migliaia 51 2 5" xfId="17309" xr:uid="{00000000-0005-0000-0000-00005EC20000}"/>
    <cellStyle name="Migliaia 51 2 5 2" xfId="33425" xr:uid="{00000000-0005-0000-0000-00005FC20000}"/>
    <cellStyle name="Migliaia 51 2 5 3" xfId="48386" xr:uid="{00000000-0005-0000-0000-000060C20000}"/>
    <cellStyle name="Migliaia 51 2 6" xfId="19227" xr:uid="{00000000-0005-0000-0000-000061C20000}"/>
    <cellStyle name="Migliaia 51 2 7" xfId="34222" xr:uid="{00000000-0005-0000-0000-000062C20000}"/>
    <cellStyle name="Migliaia 51 2 8" xfId="49162" xr:uid="{00000000-0005-0000-0000-000063C20000}"/>
    <cellStyle name="Migliaia 51 2 9" xfId="49567" xr:uid="{00000000-0005-0000-0000-000064C20000}"/>
    <cellStyle name="Migliaia 51 3" xfId="471" xr:uid="{00000000-0005-0000-0000-000065C20000}"/>
    <cellStyle name="Migliaia 51 3 10" xfId="49974" xr:uid="{00000000-0005-0000-0000-000066C20000}"/>
    <cellStyle name="Migliaia 51 3 11" xfId="50382" xr:uid="{00000000-0005-0000-0000-000067C20000}"/>
    <cellStyle name="Migliaia 51 3 12" xfId="50824" xr:uid="{00000000-0005-0000-0000-000068C20000}"/>
    <cellStyle name="Migliaia 51 3 13" xfId="51543" xr:uid="{00000000-0005-0000-0000-000069C20000}"/>
    <cellStyle name="Migliaia 51 3 14" xfId="51956" xr:uid="{00000000-0005-0000-0000-00006AC20000}"/>
    <cellStyle name="Migliaia 51 3 15" xfId="52551" xr:uid="{00000000-0005-0000-0000-00006BC20000}"/>
    <cellStyle name="Migliaia 51 3 2" xfId="472" xr:uid="{00000000-0005-0000-0000-00006CC20000}"/>
    <cellStyle name="Migliaia 51 3 2 10" xfId="50383" xr:uid="{00000000-0005-0000-0000-00006DC20000}"/>
    <cellStyle name="Migliaia 51 3 2 11" xfId="50825" xr:uid="{00000000-0005-0000-0000-00006EC20000}"/>
    <cellStyle name="Migliaia 51 3 2 12" xfId="51544" xr:uid="{00000000-0005-0000-0000-00006FC20000}"/>
    <cellStyle name="Migliaia 51 3 2 13" xfId="51957" xr:uid="{00000000-0005-0000-0000-000070C20000}"/>
    <cellStyle name="Migliaia 51 3 2 14" xfId="52552" xr:uid="{00000000-0005-0000-0000-000071C20000}"/>
    <cellStyle name="Migliaia 51 3 2 2" xfId="9331" xr:uid="{00000000-0005-0000-0000-000072C20000}"/>
    <cellStyle name="Migliaia 51 3 2 2 2" xfId="54936" xr:uid="{00000000-0005-0000-0000-000073C20000}"/>
    <cellStyle name="Migliaia 51 3 2 3" xfId="9922" xr:uid="{00000000-0005-0000-0000-000074C20000}"/>
    <cellStyle name="Migliaia 51 3 2 3 2" xfId="26248" xr:uid="{00000000-0005-0000-0000-000075C20000}"/>
    <cellStyle name="Migliaia 51 3 2 3 3" xfId="41226" xr:uid="{00000000-0005-0000-0000-000076C20000}"/>
    <cellStyle name="Migliaia 51 3 2 3 4" xfId="55834" xr:uid="{00000000-0005-0000-0000-000077C20000}"/>
    <cellStyle name="Migliaia 51 3 2 4" xfId="17311" xr:uid="{00000000-0005-0000-0000-000078C20000}"/>
    <cellStyle name="Migliaia 51 3 2 4 2" xfId="33427" xr:uid="{00000000-0005-0000-0000-000079C20000}"/>
    <cellStyle name="Migliaia 51 3 2 4 3" xfId="48388" xr:uid="{00000000-0005-0000-0000-00007AC20000}"/>
    <cellStyle name="Migliaia 51 3 2 5" xfId="19229" xr:uid="{00000000-0005-0000-0000-00007BC20000}"/>
    <cellStyle name="Migliaia 51 3 2 6" xfId="34224" xr:uid="{00000000-0005-0000-0000-00007CC20000}"/>
    <cellStyle name="Migliaia 51 3 2 7" xfId="49164" xr:uid="{00000000-0005-0000-0000-00007DC20000}"/>
    <cellStyle name="Migliaia 51 3 2 8" xfId="49569" xr:uid="{00000000-0005-0000-0000-00007EC20000}"/>
    <cellStyle name="Migliaia 51 3 2 9" xfId="49975" xr:uid="{00000000-0005-0000-0000-00007FC20000}"/>
    <cellStyle name="Migliaia 51 3 3" xfId="9330" xr:uid="{00000000-0005-0000-0000-000080C20000}"/>
    <cellStyle name="Migliaia 51 3 3 2" xfId="18373" xr:uid="{00000000-0005-0000-0000-000081C20000}"/>
    <cellStyle name="Migliaia 51 3 3 2 2" xfId="33840" xr:uid="{00000000-0005-0000-0000-000082C20000}"/>
    <cellStyle name="Migliaia 51 3 3 2 2 2" xfId="55325" xr:uid="{00000000-0005-0000-0000-000083C20000}"/>
    <cellStyle name="Migliaia 51 3 3 2 3" xfId="48801" xr:uid="{00000000-0005-0000-0000-000084C20000}"/>
    <cellStyle name="Migliaia 51 3 3 2 3 2" xfId="56247" xr:uid="{00000000-0005-0000-0000-000085C20000}"/>
    <cellStyle name="Migliaia 51 3 3 2 4" xfId="52970" xr:uid="{00000000-0005-0000-0000-000086C20000}"/>
    <cellStyle name="Migliaia 51 3 3 3" xfId="17312" xr:uid="{00000000-0005-0000-0000-000087C20000}"/>
    <cellStyle name="Migliaia 51 3 3 3 2" xfId="33428" xr:uid="{00000000-0005-0000-0000-000088C20000}"/>
    <cellStyle name="Migliaia 51 3 3 3 3" xfId="48389" xr:uid="{00000000-0005-0000-0000-000089C20000}"/>
    <cellStyle name="Migliaia 51 3 3 3 4" xfId="54937" xr:uid="{00000000-0005-0000-0000-00008AC20000}"/>
    <cellStyle name="Migliaia 51 3 3 4" xfId="55835" xr:uid="{00000000-0005-0000-0000-00008BC20000}"/>
    <cellStyle name="Migliaia 51 3 3 5" xfId="52553" xr:uid="{00000000-0005-0000-0000-00008CC20000}"/>
    <cellStyle name="Migliaia 51 3 4" xfId="9921" xr:uid="{00000000-0005-0000-0000-00008DC20000}"/>
    <cellStyle name="Migliaia 51 3 4 2" xfId="18372" xr:uid="{00000000-0005-0000-0000-00008EC20000}"/>
    <cellStyle name="Migliaia 51 3 4 2 2" xfId="33839" xr:uid="{00000000-0005-0000-0000-00008FC20000}"/>
    <cellStyle name="Migliaia 51 3 4 2 3" xfId="48800" xr:uid="{00000000-0005-0000-0000-000090C20000}"/>
    <cellStyle name="Migliaia 51 3 4 2 4" xfId="55324" xr:uid="{00000000-0005-0000-0000-000091C20000}"/>
    <cellStyle name="Migliaia 51 3 4 3" xfId="26247" xr:uid="{00000000-0005-0000-0000-000092C20000}"/>
    <cellStyle name="Migliaia 51 3 4 3 2" xfId="56246" xr:uid="{00000000-0005-0000-0000-000093C20000}"/>
    <cellStyle name="Migliaia 51 3 4 4" xfId="41225" xr:uid="{00000000-0005-0000-0000-000094C20000}"/>
    <cellStyle name="Migliaia 51 3 4 5" xfId="52969" xr:uid="{00000000-0005-0000-0000-000095C20000}"/>
    <cellStyle name="Migliaia 51 3 5" xfId="17310" xr:uid="{00000000-0005-0000-0000-000096C20000}"/>
    <cellStyle name="Migliaia 51 3 5 2" xfId="33426" xr:uid="{00000000-0005-0000-0000-000097C20000}"/>
    <cellStyle name="Migliaia 51 3 5 3" xfId="48387" xr:uid="{00000000-0005-0000-0000-000098C20000}"/>
    <cellStyle name="Migliaia 51 3 5 4" xfId="54935" xr:uid="{00000000-0005-0000-0000-000099C20000}"/>
    <cellStyle name="Migliaia 51 3 6" xfId="19228" xr:uid="{00000000-0005-0000-0000-00009AC20000}"/>
    <cellStyle name="Migliaia 51 3 6 2" xfId="55833" xr:uid="{00000000-0005-0000-0000-00009BC20000}"/>
    <cellStyle name="Migliaia 51 3 7" xfId="34223" xr:uid="{00000000-0005-0000-0000-00009CC20000}"/>
    <cellStyle name="Migliaia 51 3 8" xfId="49163" xr:uid="{00000000-0005-0000-0000-00009DC20000}"/>
    <cellStyle name="Migliaia 51 3 9" xfId="49568" xr:uid="{00000000-0005-0000-0000-00009EC20000}"/>
    <cellStyle name="Migliaia 51 4" xfId="9332" xr:uid="{00000000-0005-0000-0000-00009FC20000}"/>
    <cellStyle name="Migliaia 51 4 2" xfId="17314" xr:uid="{00000000-0005-0000-0000-0000A0C20000}"/>
    <cellStyle name="Migliaia 51 4 2 2" xfId="18375" xr:uid="{00000000-0005-0000-0000-0000A1C20000}"/>
    <cellStyle name="Migliaia 51 4 2 2 2" xfId="33842" xr:uid="{00000000-0005-0000-0000-0000A2C20000}"/>
    <cellStyle name="Migliaia 51 4 2 2 2 2" xfId="55327" xr:uid="{00000000-0005-0000-0000-0000A3C20000}"/>
    <cellStyle name="Migliaia 51 4 2 2 3" xfId="48803" xr:uid="{00000000-0005-0000-0000-0000A4C20000}"/>
    <cellStyle name="Migliaia 51 4 2 2 3 2" xfId="56249" xr:uid="{00000000-0005-0000-0000-0000A5C20000}"/>
    <cellStyle name="Migliaia 51 4 2 2 4" xfId="52972" xr:uid="{00000000-0005-0000-0000-0000A6C20000}"/>
    <cellStyle name="Migliaia 51 4 2 3" xfId="33430" xr:uid="{00000000-0005-0000-0000-0000A7C20000}"/>
    <cellStyle name="Migliaia 51 4 2 3 2" xfId="54939" xr:uid="{00000000-0005-0000-0000-0000A8C20000}"/>
    <cellStyle name="Migliaia 51 4 2 4" xfId="48391" xr:uid="{00000000-0005-0000-0000-0000A9C20000}"/>
    <cellStyle name="Migliaia 51 4 2 4 2" xfId="55837" xr:uid="{00000000-0005-0000-0000-0000AAC20000}"/>
    <cellStyle name="Migliaia 51 4 2 5" xfId="52555" xr:uid="{00000000-0005-0000-0000-0000ABC20000}"/>
    <cellStyle name="Migliaia 51 4 3" xfId="18374" xr:uid="{00000000-0005-0000-0000-0000ACC20000}"/>
    <cellStyle name="Migliaia 51 4 3 2" xfId="33841" xr:uid="{00000000-0005-0000-0000-0000ADC20000}"/>
    <cellStyle name="Migliaia 51 4 3 2 2" xfId="55326" xr:uid="{00000000-0005-0000-0000-0000AEC20000}"/>
    <cellStyle name="Migliaia 51 4 3 3" xfId="48802" xr:uid="{00000000-0005-0000-0000-0000AFC20000}"/>
    <cellStyle name="Migliaia 51 4 3 3 2" xfId="56248" xr:uid="{00000000-0005-0000-0000-0000B0C20000}"/>
    <cellStyle name="Migliaia 51 4 3 4" xfId="52971" xr:uid="{00000000-0005-0000-0000-0000B1C20000}"/>
    <cellStyle name="Migliaia 51 4 4" xfId="17313" xr:uid="{00000000-0005-0000-0000-0000B2C20000}"/>
    <cellStyle name="Migliaia 51 4 4 2" xfId="33429" xr:uid="{00000000-0005-0000-0000-0000B3C20000}"/>
    <cellStyle name="Migliaia 51 4 4 3" xfId="48390" xr:uid="{00000000-0005-0000-0000-0000B4C20000}"/>
    <cellStyle name="Migliaia 51 4 4 4" xfId="54938" xr:uid="{00000000-0005-0000-0000-0000B5C20000}"/>
    <cellStyle name="Migliaia 51 4 5" xfId="50970" xr:uid="{00000000-0005-0000-0000-0000B6C20000}"/>
    <cellStyle name="Migliaia 51 4 5 2" xfId="55836" xr:uid="{00000000-0005-0000-0000-0000B7C20000}"/>
    <cellStyle name="Migliaia 51 4 6" xfId="52554" xr:uid="{00000000-0005-0000-0000-0000B8C20000}"/>
    <cellStyle name="Migliaia 51 5" xfId="9333" xr:uid="{00000000-0005-0000-0000-0000B9C20000}"/>
    <cellStyle name="Migliaia 51 5 2" xfId="17315" xr:uid="{00000000-0005-0000-0000-0000BAC20000}"/>
    <cellStyle name="Migliaia 51 5 2 2" xfId="33431" xr:uid="{00000000-0005-0000-0000-0000BBC20000}"/>
    <cellStyle name="Migliaia 51 5 2 3" xfId="48392" xr:uid="{00000000-0005-0000-0000-0000BCC20000}"/>
    <cellStyle name="Migliaia 51 5 2 4" xfId="54940" xr:uid="{00000000-0005-0000-0000-0000BDC20000}"/>
    <cellStyle name="Migliaia 51 5 3" xfId="51117" xr:uid="{00000000-0005-0000-0000-0000BEC20000}"/>
    <cellStyle name="Migliaia 51 5 3 2" xfId="55838" xr:uid="{00000000-0005-0000-0000-0000BFC20000}"/>
    <cellStyle name="Migliaia 51 5 4" xfId="52556" xr:uid="{00000000-0005-0000-0000-0000C0C20000}"/>
    <cellStyle name="Migliaia 51 6" xfId="9328" xr:uid="{00000000-0005-0000-0000-0000C1C20000}"/>
    <cellStyle name="Migliaia 51 6 2" xfId="51230" xr:uid="{00000000-0005-0000-0000-0000C2C20000}"/>
    <cellStyle name="Migliaia 51 6 3" xfId="54573" xr:uid="{00000000-0005-0000-0000-0000C3C20000}"/>
    <cellStyle name="Migliaia 51 7" xfId="9919" xr:uid="{00000000-0005-0000-0000-0000C4C20000}"/>
    <cellStyle name="Migliaia 51 7 2" xfId="26245" xr:uid="{00000000-0005-0000-0000-0000C5C20000}"/>
    <cellStyle name="Migliaia 51 7 3" xfId="41223" xr:uid="{00000000-0005-0000-0000-0000C6C20000}"/>
    <cellStyle name="Migliaia 51 7 4" xfId="55831" xr:uid="{00000000-0005-0000-0000-0000C7C20000}"/>
    <cellStyle name="Migliaia 51 8" xfId="17308" xr:uid="{00000000-0005-0000-0000-0000C8C20000}"/>
    <cellStyle name="Migliaia 51 8 2" xfId="33424" xr:uid="{00000000-0005-0000-0000-0000C9C20000}"/>
    <cellStyle name="Migliaia 51 8 3" xfId="48385" xr:uid="{00000000-0005-0000-0000-0000CAC20000}"/>
    <cellStyle name="Migliaia 51 9" xfId="19226" xr:uid="{00000000-0005-0000-0000-0000CBC20000}"/>
    <cellStyle name="Migliaia 52" xfId="473" xr:uid="{00000000-0005-0000-0000-0000CCC20000}"/>
    <cellStyle name="Migliaia 52 10" xfId="34225" xr:uid="{00000000-0005-0000-0000-0000CDC20000}"/>
    <cellStyle name="Migliaia 52 11" xfId="49165" xr:uid="{00000000-0005-0000-0000-0000CEC20000}"/>
    <cellStyle name="Migliaia 52 12" xfId="49570" xr:uid="{00000000-0005-0000-0000-0000CFC20000}"/>
    <cellStyle name="Migliaia 52 13" xfId="49976" xr:uid="{00000000-0005-0000-0000-0000D0C20000}"/>
    <cellStyle name="Migliaia 52 14" xfId="50384" xr:uid="{00000000-0005-0000-0000-0000D1C20000}"/>
    <cellStyle name="Migliaia 52 15" xfId="50826" xr:uid="{00000000-0005-0000-0000-0000D2C20000}"/>
    <cellStyle name="Migliaia 52 16" xfId="51545" xr:uid="{00000000-0005-0000-0000-0000D3C20000}"/>
    <cellStyle name="Migliaia 52 17" xfId="51958" xr:uid="{00000000-0005-0000-0000-0000D4C20000}"/>
    <cellStyle name="Migliaia 52 18" xfId="52557" xr:uid="{00000000-0005-0000-0000-0000D5C20000}"/>
    <cellStyle name="Migliaia 52 2" xfId="474" xr:uid="{00000000-0005-0000-0000-0000D6C20000}"/>
    <cellStyle name="Migliaia 52 2 10" xfId="49977" xr:uid="{00000000-0005-0000-0000-0000D7C20000}"/>
    <cellStyle name="Migliaia 52 2 11" xfId="50385" xr:uid="{00000000-0005-0000-0000-0000D8C20000}"/>
    <cellStyle name="Migliaia 52 2 12" xfId="50827" xr:uid="{00000000-0005-0000-0000-0000D9C20000}"/>
    <cellStyle name="Migliaia 52 2 13" xfId="51546" xr:uid="{00000000-0005-0000-0000-0000DAC20000}"/>
    <cellStyle name="Migliaia 52 2 14" xfId="51959" xr:uid="{00000000-0005-0000-0000-0000DBC20000}"/>
    <cellStyle name="Migliaia 52 2 15" xfId="52558" xr:uid="{00000000-0005-0000-0000-0000DCC20000}"/>
    <cellStyle name="Migliaia 52 2 2" xfId="1290" xr:uid="{00000000-0005-0000-0000-0000DDC20000}"/>
    <cellStyle name="Migliaia 52 2 2 10" xfId="51084" xr:uid="{00000000-0005-0000-0000-0000DEC20000}"/>
    <cellStyle name="Migliaia 52 2 2 11" xfId="51680" xr:uid="{00000000-0005-0000-0000-0000DFC20000}"/>
    <cellStyle name="Migliaia 52 2 2 12" xfId="52101" xr:uid="{00000000-0005-0000-0000-0000E0C20000}"/>
    <cellStyle name="Migliaia 52 2 2 13" xfId="52973" xr:uid="{00000000-0005-0000-0000-0000E1C20000}"/>
    <cellStyle name="Migliaia 52 2 2 2" xfId="10058" xr:uid="{00000000-0005-0000-0000-0000E2C20000}"/>
    <cellStyle name="Migliaia 52 2 2 2 2" xfId="26379" xr:uid="{00000000-0005-0000-0000-0000E3C20000}"/>
    <cellStyle name="Migliaia 52 2 2 2 3" xfId="41347" xr:uid="{00000000-0005-0000-0000-0000E4C20000}"/>
    <cellStyle name="Migliaia 52 2 2 2 4" xfId="55328" xr:uid="{00000000-0005-0000-0000-0000E5C20000}"/>
    <cellStyle name="Migliaia 52 2 2 3" xfId="18376" xr:uid="{00000000-0005-0000-0000-0000E6C20000}"/>
    <cellStyle name="Migliaia 52 2 2 3 2" xfId="33843" xr:uid="{00000000-0005-0000-0000-0000E7C20000}"/>
    <cellStyle name="Migliaia 52 2 2 3 3" xfId="48804" xr:uid="{00000000-0005-0000-0000-0000E8C20000}"/>
    <cellStyle name="Migliaia 52 2 2 3 4" xfId="56250" xr:uid="{00000000-0005-0000-0000-0000E9C20000}"/>
    <cellStyle name="Migliaia 52 2 2 4" xfId="19358" xr:uid="{00000000-0005-0000-0000-0000EAC20000}"/>
    <cellStyle name="Migliaia 52 2 2 5" xfId="34348" xr:uid="{00000000-0005-0000-0000-0000EBC20000}"/>
    <cellStyle name="Migliaia 52 2 2 6" xfId="49300" xr:uid="{00000000-0005-0000-0000-0000ECC20000}"/>
    <cellStyle name="Migliaia 52 2 2 7" xfId="49705" xr:uid="{00000000-0005-0000-0000-0000EDC20000}"/>
    <cellStyle name="Migliaia 52 2 2 8" xfId="50114" xr:uid="{00000000-0005-0000-0000-0000EEC20000}"/>
    <cellStyle name="Migliaia 52 2 2 9" xfId="50519" xr:uid="{00000000-0005-0000-0000-0000EFC20000}"/>
    <cellStyle name="Migliaia 52 2 3" xfId="9335" xr:uid="{00000000-0005-0000-0000-0000F0C20000}"/>
    <cellStyle name="Migliaia 52 2 3 2" xfId="54638" xr:uid="{00000000-0005-0000-0000-0000F1C20000}"/>
    <cellStyle name="Migliaia 52 2 4" xfId="9924" xr:uid="{00000000-0005-0000-0000-0000F2C20000}"/>
    <cellStyle name="Migliaia 52 2 4 2" xfId="26250" xr:uid="{00000000-0005-0000-0000-0000F3C20000}"/>
    <cellStyle name="Migliaia 52 2 4 3" xfId="41228" xr:uid="{00000000-0005-0000-0000-0000F4C20000}"/>
    <cellStyle name="Migliaia 52 2 4 4" xfId="55840" xr:uid="{00000000-0005-0000-0000-0000F5C20000}"/>
    <cellStyle name="Migliaia 52 2 5" xfId="17317" xr:uid="{00000000-0005-0000-0000-0000F6C20000}"/>
    <cellStyle name="Migliaia 52 2 5 2" xfId="33433" xr:uid="{00000000-0005-0000-0000-0000F7C20000}"/>
    <cellStyle name="Migliaia 52 2 5 3" xfId="48394" xr:uid="{00000000-0005-0000-0000-0000F8C20000}"/>
    <cellStyle name="Migliaia 52 2 6" xfId="19231" xr:uid="{00000000-0005-0000-0000-0000F9C20000}"/>
    <cellStyle name="Migliaia 52 2 7" xfId="34226" xr:uid="{00000000-0005-0000-0000-0000FAC20000}"/>
    <cellStyle name="Migliaia 52 2 8" xfId="49166" xr:uid="{00000000-0005-0000-0000-0000FBC20000}"/>
    <cellStyle name="Migliaia 52 2 9" xfId="49571" xr:uid="{00000000-0005-0000-0000-0000FCC20000}"/>
    <cellStyle name="Migliaia 52 3" xfId="475" xr:uid="{00000000-0005-0000-0000-0000FDC20000}"/>
    <cellStyle name="Migliaia 52 3 10" xfId="49978" xr:uid="{00000000-0005-0000-0000-0000FEC20000}"/>
    <cellStyle name="Migliaia 52 3 11" xfId="50386" xr:uid="{00000000-0005-0000-0000-0000FFC20000}"/>
    <cellStyle name="Migliaia 52 3 12" xfId="50828" xr:uid="{00000000-0005-0000-0000-000000C30000}"/>
    <cellStyle name="Migliaia 52 3 13" xfId="51547" xr:uid="{00000000-0005-0000-0000-000001C30000}"/>
    <cellStyle name="Migliaia 52 3 14" xfId="51960" xr:uid="{00000000-0005-0000-0000-000002C30000}"/>
    <cellStyle name="Migliaia 52 3 15" xfId="52559" xr:uid="{00000000-0005-0000-0000-000003C30000}"/>
    <cellStyle name="Migliaia 52 3 2" xfId="476" xr:uid="{00000000-0005-0000-0000-000004C30000}"/>
    <cellStyle name="Migliaia 52 3 2 10" xfId="50387" xr:uid="{00000000-0005-0000-0000-000005C30000}"/>
    <cellStyle name="Migliaia 52 3 2 11" xfId="50829" xr:uid="{00000000-0005-0000-0000-000006C30000}"/>
    <cellStyle name="Migliaia 52 3 2 12" xfId="51548" xr:uid="{00000000-0005-0000-0000-000007C30000}"/>
    <cellStyle name="Migliaia 52 3 2 13" xfId="51961" xr:uid="{00000000-0005-0000-0000-000008C30000}"/>
    <cellStyle name="Migliaia 52 3 2 14" xfId="52560" xr:uid="{00000000-0005-0000-0000-000009C30000}"/>
    <cellStyle name="Migliaia 52 3 2 2" xfId="9337" xr:uid="{00000000-0005-0000-0000-00000AC30000}"/>
    <cellStyle name="Migliaia 52 3 2 2 2" xfId="54942" xr:uid="{00000000-0005-0000-0000-00000BC30000}"/>
    <cellStyle name="Migliaia 52 3 2 3" xfId="9926" xr:uid="{00000000-0005-0000-0000-00000CC30000}"/>
    <cellStyle name="Migliaia 52 3 2 3 2" xfId="26252" xr:uid="{00000000-0005-0000-0000-00000DC30000}"/>
    <cellStyle name="Migliaia 52 3 2 3 3" xfId="41230" xr:uid="{00000000-0005-0000-0000-00000EC30000}"/>
    <cellStyle name="Migliaia 52 3 2 3 4" xfId="55842" xr:uid="{00000000-0005-0000-0000-00000FC30000}"/>
    <cellStyle name="Migliaia 52 3 2 4" xfId="17319" xr:uid="{00000000-0005-0000-0000-000010C30000}"/>
    <cellStyle name="Migliaia 52 3 2 4 2" xfId="33435" xr:uid="{00000000-0005-0000-0000-000011C30000}"/>
    <cellStyle name="Migliaia 52 3 2 4 3" xfId="48396" xr:uid="{00000000-0005-0000-0000-000012C30000}"/>
    <cellStyle name="Migliaia 52 3 2 5" xfId="19233" xr:uid="{00000000-0005-0000-0000-000013C30000}"/>
    <cellStyle name="Migliaia 52 3 2 6" xfId="34228" xr:uid="{00000000-0005-0000-0000-000014C30000}"/>
    <cellStyle name="Migliaia 52 3 2 7" xfId="49168" xr:uid="{00000000-0005-0000-0000-000015C30000}"/>
    <cellStyle name="Migliaia 52 3 2 8" xfId="49573" xr:uid="{00000000-0005-0000-0000-000016C30000}"/>
    <cellStyle name="Migliaia 52 3 2 9" xfId="49979" xr:uid="{00000000-0005-0000-0000-000017C30000}"/>
    <cellStyle name="Migliaia 52 3 3" xfId="9336" xr:uid="{00000000-0005-0000-0000-000018C30000}"/>
    <cellStyle name="Migliaia 52 3 3 2" xfId="18378" xr:uid="{00000000-0005-0000-0000-000019C30000}"/>
    <cellStyle name="Migliaia 52 3 3 2 2" xfId="33845" xr:uid="{00000000-0005-0000-0000-00001AC30000}"/>
    <cellStyle name="Migliaia 52 3 3 2 2 2" xfId="55330" xr:uid="{00000000-0005-0000-0000-00001BC30000}"/>
    <cellStyle name="Migliaia 52 3 3 2 3" xfId="48806" xr:uid="{00000000-0005-0000-0000-00001CC30000}"/>
    <cellStyle name="Migliaia 52 3 3 2 3 2" xfId="56252" xr:uid="{00000000-0005-0000-0000-00001DC30000}"/>
    <cellStyle name="Migliaia 52 3 3 2 4" xfId="52975" xr:uid="{00000000-0005-0000-0000-00001EC30000}"/>
    <cellStyle name="Migliaia 52 3 3 3" xfId="17320" xr:uid="{00000000-0005-0000-0000-00001FC30000}"/>
    <cellStyle name="Migliaia 52 3 3 3 2" xfId="33436" xr:uid="{00000000-0005-0000-0000-000020C30000}"/>
    <cellStyle name="Migliaia 52 3 3 3 3" xfId="48397" xr:uid="{00000000-0005-0000-0000-000021C30000}"/>
    <cellStyle name="Migliaia 52 3 3 3 4" xfId="54943" xr:uid="{00000000-0005-0000-0000-000022C30000}"/>
    <cellStyle name="Migliaia 52 3 3 4" xfId="55843" xr:uid="{00000000-0005-0000-0000-000023C30000}"/>
    <cellStyle name="Migliaia 52 3 3 5" xfId="52561" xr:uid="{00000000-0005-0000-0000-000024C30000}"/>
    <cellStyle name="Migliaia 52 3 4" xfId="9925" xr:uid="{00000000-0005-0000-0000-000025C30000}"/>
    <cellStyle name="Migliaia 52 3 4 2" xfId="18377" xr:uid="{00000000-0005-0000-0000-000026C30000}"/>
    <cellStyle name="Migliaia 52 3 4 2 2" xfId="33844" xr:uid="{00000000-0005-0000-0000-000027C30000}"/>
    <cellStyle name="Migliaia 52 3 4 2 3" xfId="48805" xr:uid="{00000000-0005-0000-0000-000028C30000}"/>
    <cellStyle name="Migliaia 52 3 4 2 4" xfId="55329" xr:uid="{00000000-0005-0000-0000-000029C30000}"/>
    <cellStyle name="Migliaia 52 3 4 3" xfId="26251" xr:uid="{00000000-0005-0000-0000-00002AC30000}"/>
    <cellStyle name="Migliaia 52 3 4 3 2" xfId="56251" xr:uid="{00000000-0005-0000-0000-00002BC30000}"/>
    <cellStyle name="Migliaia 52 3 4 4" xfId="41229" xr:uid="{00000000-0005-0000-0000-00002CC30000}"/>
    <cellStyle name="Migliaia 52 3 4 5" xfId="52974" xr:uid="{00000000-0005-0000-0000-00002DC30000}"/>
    <cellStyle name="Migliaia 52 3 5" xfId="17318" xr:uid="{00000000-0005-0000-0000-00002EC30000}"/>
    <cellStyle name="Migliaia 52 3 5 2" xfId="33434" xr:uid="{00000000-0005-0000-0000-00002FC30000}"/>
    <cellStyle name="Migliaia 52 3 5 3" xfId="48395" xr:uid="{00000000-0005-0000-0000-000030C30000}"/>
    <cellStyle name="Migliaia 52 3 5 4" xfId="54941" xr:uid="{00000000-0005-0000-0000-000031C30000}"/>
    <cellStyle name="Migliaia 52 3 6" xfId="19232" xr:uid="{00000000-0005-0000-0000-000032C30000}"/>
    <cellStyle name="Migliaia 52 3 6 2" xfId="55841" xr:uid="{00000000-0005-0000-0000-000033C30000}"/>
    <cellStyle name="Migliaia 52 3 7" xfId="34227" xr:uid="{00000000-0005-0000-0000-000034C30000}"/>
    <cellStyle name="Migliaia 52 3 8" xfId="49167" xr:uid="{00000000-0005-0000-0000-000035C30000}"/>
    <cellStyle name="Migliaia 52 3 9" xfId="49572" xr:uid="{00000000-0005-0000-0000-000036C30000}"/>
    <cellStyle name="Migliaia 52 4" xfId="9338" xr:uid="{00000000-0005-0000-0000-000037C30000}"/>
    <cellStyle name="Migliaia 52 4 2" xfId="17322" xr:uid="{00000000-0005-0000-0000-000038C30000}"/>
    <cellStyle name="Migliaia 52 4 2 2" xfId="18380" xr:uid="{00000000-0005-0000-0000-000039C30000}"/>
    <cellStyle name="Migliaia 52 4 2 2 2" xfId="33847" xr:uid="{00000000-0005-0000-0000-00003AC30000}"/>
    <cellStyle name="Migliaia 52 4 2 2 2 2" xfId="55332" xr:uid="{00000000-0005-0000-0000-00003BC30000}"/>
    <cellStyle name="Migliaia 52 4 2 2 3" xfId="48808" xr:uid="{00000000-0005-0000-0000-00003CC30000}"/>
    <cellStyle name="Migliaia 52 4 2 2 3 2" xfId="56254" xr:uid="{00000000-0005-0000-0000-00003DC30000}"/>
    <cellStyle name="Migliaia 52 4 2 2 4" xfId="52977" xr:uid="{00000000-0005-0000-0000-00003EC30000}"/>
    <cellStyle name="Migliaia 52 4 2 3" xfId="33438" xr:uid="{00000000-0005-0000-0000-00003FC30000}"/>
    <cellStyle name="Migliaia 52 4 2 3 2" xfId="54945" xr:uid="{00000000-0005-0000-0000-000040C30000}"/>
    <cellStyle name="Migliaia 52 4 2 4" xfId="48399" xr:uid="{00000000-0005-0000-0000-000041C30000}"/>
    <cellStyle name="Migliaia 52 4 2 4 2" xfId="55845" xr:uid="{00000000-0005-0000-0000-000042C30000}"/>
    <cellStyle name="Migliaia 52 4 2 5" xfId="52563" xr:uid="{00000000-0005-0000-0000-000043C30000}"/>
    <cellStyle name="Migliaia 52 4 3" xfId="18379" xr:uid="{00000000-0005-0000-0000-000044C30000}"/>
    <cellStyle name="Migliaia 52 4 3 2" xfId="33846" xr:uid="{00000000-0005-0000-0000-000045C30000}"/>
    <cellStyle name="Migliaia 52 4 3 2 2" xfId="55331" xr:uid="{00000000-0005-0000-0000-000046C30000}"/>
    <cellStyle name="Migliaia 52 4 3 3" xfId="48807" xr:uid="{00000000-0005-0000-0000-000047C30000}"/>
    <cellStyle name="Migliaia 52 4 3 3 2" xfId="56253" xr:uid="{00000000-0005-0000-0000-000048C30000}"/>
    <cellStyle name="Migliaia 52 4 3 4" xfId="52976" xr:uid="{00000000-0005-0000-0000-000049C30000}"/>
    <cellStyle name="Migliaia 52 4 4" xfId="17321" xr:uid="{00000000-0005-0000-0000-00004AC30000}"/>
    <cellStyle name="Migliaia 52 4 4 2" xfId="33437" xr:uid="{00000000-0005-0000-0000-00004BC30000}"/>
    <cellStyle name="Migliaia 52 4 4 3" xfId="48398" xr:uid="{00000000-0005-0000-0000-00004CC30000}"/>
    <cellStyle name="Migliaia 52 4 4 4" xfId="54944" xr:uid="{00000000-0005-0000-0000-00004DC30000}"/>
    <cellStyle name="Migliaia 52 4 5" xfId="51116" xr:uid="{00000000-0005-0000-0000-00004EC30000}"/>
    <cellStyle name="Migliaia 52 4 5 2" xfId="55844" xr:uid="{00000000-0005-0000-0000-00004FC30000}"/>
    <cellStyle name="Migliaia 52 4 6" xfId="52562" xr:uid="{00000000-0005-0000-0000-000050C30000}"/>
    <cellStyle name="Migliaia 52 5" xfId="9339" xr:uid="{00000000-0005-0000-0000-000051C30000}"/>
    <cellStyle name="Migliaia 52 5 2" xfId="17323" xr:uid="{00000000-0005-0000-0000-000052C30000}"/>
    <cellStyle name="Migliaia 52 5 2 2" xfId="33439" xr:uid="{00000000-0005-0000-0000-000053C30000}"/>
    <cellStyle name="Migliaia 52 5 2 3" xfId="48400" xr:uid="{00000000-0005-0000-0000-000054C30000}"/>
    <cellStyle name="Migliaia 52 5 2 4" xfId="54946" xr:uid="{00000000-0005-0000-0000-000055C30000}"/>
    <cellStyle name="Migliaia 52 5 3" xfId="51231" xr:uid="{00000000-0005-0000-0000-000056C30000}"/>
    <cellStyle name="Migliaia 52 5 3 2" xfId="55846" xr:uid="{00000000-0005-0000-0000-000057C30000}"/>
    <cellStyle name="Migliaia 52 5 4" xfId="52564" xr:uid="{00000000-0005-0000-0000-000058C30000}"/>
    <cellStyle name="Migliaia 52 6" xfId="9334" xr:uid="{00000000-0005-0000-0000-000059C30000}"/>
    <cellStyle name="Migliaia 52 6 2" xfId="50902" xr:uid="{00000000-0005-0000-0000-00005AC30000}"/>
    <cellStyle name="Migliaia 52 6 3" xfId="54574" xr:uid="{00000000-0005-0000-0000-00005BC30000}"/>
    <cellStyle name="Migliaia 52 7" xfId="9923" xr:uid="{00000000-0005-0000-0000-00005CC30000}"/>
    <cellStyle name="Migliaia 52 7 2" xfId="26249" xr:uid="{00000000-0005-0000-0000-00005DC30000}"/>
    <cellStyle name="Migliaia 52 7 3" xfId="41227" xr:uid="{00000000-0005-0000-0000-00005EC30000}"/>
    <cellStyle name="Migliaia 52 7 4" xfId="55839" xr:uid="{00000000-0005-0000-0000-00005FC30000}"/>
    <cellStyle name="Migliaia 52 8" xfId="17316" xr:uid="{00000000-0005-0000-0000-000060C30000}"/>
    <cellStyle name="Migliaia 52 8 2" xfId="33432" xr:uid="{00000000-0005-0000-0000-000061C30000}"/>
    <cellStyle name="Migliaia 52 8 3" xfId="48393" xr:uid="{00000000-0005-0000-0000-000062C30000}"/>
    <cellStyle name="Migliaia 52 9" xfId="19230" xr:uid="{00000000-0005-0000-0000-000063C30000}"/>
    <cellStyle name="Migliaia 53" xfId="477" xr:uid="{00000000-0005-0000-0000-000064C30000}"/>
    <cellStyle name="Migliaia 53 10" xfId="34229" xr:uid="{00000000-0005-0000-0000-000065C30000}"/>
    <cellStyle name="Migliaia 53 11" xfId="49169" xr:uid="{00000000-0005-0000-0000-000066C30000}"/>
    <cellStyle name="Migliaia 53 12" xfId="49574" xr:uid="{00000000-0005-0000-0000-000067C30000}"/>
    <cellStyle name="Migliaia 53 13" xfId="49980" xr:uid="{00000000-0005-0000-0000-000068C30000}"/>
    <cellStyle name="Migliaia 53 14" xfId="50388" xr:uid="{00000000-0005-0000-0000-000069C30000}"/>
    <cellStyle name="Migliaia 53 15" xfId="50830" xr:uid="{00000000-0005-0000-0000-00006AC30000}"/>
    <cellStyle name="Migliaia 53 16" xfId="51549" xr:uid="{00000000-0005-0000-0000-00006BC30000}"/>
    <cellStyle name="Migliaia 53 17" xfId="51962" xr:uid="{00000000-0005-0000-0000-00006CC30000}"/>
    <cellStyle name="Migliaia 53 18" xfId="52565" xr:uid="{00000000-0005-0000-0000-00006DC30000}"/>
    <cellStyle name="Migliaia 53 2" xfId="478" xr:uid="{00000000-0005-0000-0000-00006EC30000}"/>
    <cellStyle name="Migliaia 53 2 10" xfId="49981" xr:uid="{00000000-0005-0000-0000-00006FC30000}"/>
    <cellStyle name="Migliaia 53 2 11" xfId="50389" xr:uid="{00000000-0005-0000-0000-000070C30000}"/>
    <cellStyle name="Migliaia 53 2 12" xfId="50831" xr:uid="{00000000-0005-0000-0000-000071C30000}"/>
    <cellStyle name="Migliaia 53 2 13" xfId="51550" xr:uid="{00000000-0005-0000-0000-000072C30000}"/>
    <cellStyle name="Migliaia 53 2 14" xfId="51963" xr:uid="{00000000-0005-0000-0000-000073C30000}"/>
    <cellStyle name="Migliaia 53 2 15" xfId="52566" xr:uid="{00000000-0005-0000-0000-000074C30000}"/>
    <cellStyle name="Migliaia 53 2 2" xfId="1291" xr:uid="{00000000-0005-0000-0000-000075C30000}"/>
    <cellStyle name="Migliaia 53 2 2 10" xfId="51085" xr:uid="{00000000-0005-0000-0000-000076C30000}"/>
    <cellStyle name="Migliaia 53 2 2 11" xfId="51681" xr:uid="{00000000-0005-0000-0000-000077C30000}"/>
    <cellStyle name="Migliaia 53 2 2 12" xfId="52102" xr:uid="{00000000-0005-0000-0000-000078C30000}"/>
    <cellStyle name="Migliaia 53 2 2 13" xfId="52978" xr:uid="{00000000-0005-0000-0000-000079C30000}"/>
    <cellStyle name="Migliaia 53 2 2 2" xfId="10059" xr:uid="{00000000-0005-0000-0000-00007AC30000}"/>
    <cellStyle name="Migliaia 53 2 2 2 2" xfId="26380" xr:uid="{00000000-0005-0000-0000-00007BC30000}"/>
    <cellStyle name="Migliaia 53 2 2 2 3" xfId="41348" xr:uid="{00000000-0005-0000-0000-00007CC30000}"/>
    <cellStyle name="Migliaia 53 2 2 2 4" xfId="55333" xr:uid="{00000000-0005-0000-0000-00007DC30000}"/>
    <cellStyle name="Migliaia 53 2 2 3" xfId="18381" xr:uid="{00000000-0005-0000-0000-00007EC30000}"/>
    <cellStyle name="Migliaia 53 2 2 3 2" xfId="33848" xr:uid="{00000000-0005-0000-0000-00007FC30000}"/>
    <cellStyle name="Migliaia 53 2 2 3 3" xfId="48809" xr:uid="{00000000-0005-0000-0000-000080C30000}"/>
    <cellStyle name="Migliaia 53 2 2 3 4" xfId="56255" xr:uid="{00000000-0005-0000-0000-000081C30000}"/>
    <cellStyle name="Migliaia 53 2 2 4" xfId="19359" xr:uid="{00000000-0005-0000-0000-000082C30000}"/>
    <cellStyle name="Migliaia 53 2 2 5" xfId="34349" xr:uid="{00000000-0005-0000-0000-000083C30000}"/>
    <cellStyle name="Migliaia 53 2 2 6" xfId="49301" xr:uid="{00000000-0005-0000-0000-000084C30000}"/>
    <cellStyle name="Migliaia 53 2 2 7" xfId="49706" xr:uid="{00000000-0005-0000-0000-000085C30000}"/>
    <cellStyle name="Migliaia 53 2 2 8" xfId="50115" xr:uid="{00000000-0005-0000-0000-000086C30000}"/>
    <cellStyle name="Migliaia 53 2 2 9" xfId="50520" xr:uid="{00000000-0005-0000-0000-000087C30000}"/>
    <cellStyle name="Migliaia 53 2 3" xfId="9341" xr:uid="{00000000-0005-0000-0000-000088C30000}"/>
    <cellStyle name="Migliaia 53 2 3 2" xfId="54639" xr:uid="{00000000-0005-0000-0000-000089C30000}"/>
    <cellStyle name="Migliaia 53 2 4" xfId="9928" xr:uid="{00000000-0005-0000-0000-00008AC30000}"/>
    <cellStyle name="Migliaia 53 2 4 2" xfId="26254" xr:uid="{00000000-0005-0000-0000-00008BC30000}"/>
    <cellStyle name="Migliaia 53 2 4 3" xfId="41232" xr:uid="{00000000-0005-0000-0000-00008CC30000}"/>
    <cellStyle name="Migliaia 53 2 4 4" xfId="55848" xr:uid="{00000000-0005-0000-0000-00008DC30000}"/>
    <cellStyle name="Migliaia 53 2 5" xfId="17325" xr:uid="{00000000-0005-0000-0000-00008EC30000}"/>
    <cellStyle name="Migliaia 53 2 5 2" xfId="33441" xr:uid="{00000000-0005-0000-0000-00008FC30000}"/>
    <cellStyle name="Migliaia 53 2 5 3" xfId="48402" xr:uid="{00000000-0005-0000-0000-000090C30000}"/>
    <cellStyle name="Migliaia 53 2 6" xfId="19235" xr:uid="{00000000-0005-0000-0000-000091C30000}"/>
    <cellStyle name="Migliaia 53 2 7" xfId="34230" xr:uid="{00000000-0005-0000-0000-000092C30000}"/>
    <cellStyle name="Migliaia 53 2 8" xfId="49170" xr:uid="{00000000-0005-0000-0000-000093C30000}"/>
    <cellStyle name="Migliaia 53 2 9" xfId="49575" xr:uid="{00000000-0005-0000-0000-000094C30000}"/>
    <cellStyle name="Migliaia 53 3" xfId="479" xr:uid="{00000000-0005-0000-0000-000095C30000}"/>
    <cellStyle name="Migliaia 53 3 10" xfId="49982" xr:uid="{00000000-0005-0000-0000-000096C30000}"/>
    <cellStyle name="Migliaia 53 3 11" xfId="50390" xr:uid="{00000000-0005-0000-0000-000097C30000}"/>
    <cellStyle name="Migliaia 53 3 12" xfId="50832" xr:uid="{00000000-0005-0000-0000-000098C30000}"/>
    <cellStyle name="Migliaia 53 3 13" xfId="51551" xr:uid="{00000000-0005-0000-0000-000099C30000}"/>
    <cellStyle name="Migliaia 53 3 14" xfId="51964" xr:uid="{00000000-0005-0000-0000-00009AC30000}"/>
    <cellStyle name="Migliaia 53 3 15" xfId="52567" xr:uid="{00000000-0005-0000-0000-00009BC30000}"/>
    <cellStyle name="Migliaia 53 3 2" xfId="480" xr:uid="{00000000-0005-0000-0000-00009CC30000}"/>
    <cellStyle name="Migliaia 53 3 2 10" xfId="50391" xr:uid="{00000000-0005-0000-0000-00009DC30000}"/>
    <cellStyle name="Migliaia 53 3 2 11" xfId="50833" xr:uid="{00000000-0005-0000-0000-00009EC30000}"/>
    <cellStyle name="Migliaia 53 3 2 12" xfId="51552" xr:uid="{00000000-0005-0000-0000-00009FC30000}"/>
    <cellStyle name="Migliaia 53 3 2 13" xfId="51965" xr:uid="{00000000-0005-0000-0000-0000A0C30000}"/>
    <cellStyle name="Migliaia 53 3 2 14" xfId="52568" xr:uid="{00000000-0005-0000-0000-0000A1C30000}"/>
    <cellStyle name="Migliaia 53 3 2 2" xfId="9343" xr:uid="{00000000-0005-0000-0000-0000A2C30000}"/>
    <cellStyle name="Migliaia 53 3 2 2 2" xfId="54948" xr:uid="{00000000-0005-0000-0000-0000A3C30000}"/>
    <cellStyle name="Migliaia 53 3 2 3" xfId="9930" xr:uid="{00000000-0005-0000-0000-0000A4C30000}"/>
    <cellStyle name="Migliaia 53 3 2 3 2" xfId="26256" xr:uid="{00000000-0005-0000-0000-0000A5C30000}"/>
    <cellStyle name="Migliaia 53 3 2 3 3" xfId="41234" xr:uid="{00000000-0005-0000-0000-0000A6C30000}"/>
    <cellStyle name="Migliaia 53 3 2 3 4" xfId="55850" xr:uid="{00000000-0005-0000-0000-0000A7C30000}"/>
    <cellStyle name="Migliaia 53 3 2 4" xfId="17327" xr:uid="{00000000-0005-0000-0000-0000A8C30000}"/>
    <cellStyle name="Migliaia 53 3 2 4 2" xfId="33443" xr:uid="{00000000-0005-0000-0000-0000A9C30000}"/>
    <cellStyle name="Migliaia 53 3 2 4 3" xfId="48404" xr:uid="{00000000-0005-0000-0000-0000AAC30000}"/>
    <cellStyle name="Migliaia 53 3 2 5" xfId="19237" xr:uid="{00000000-0005-0000-0000-0000ABC30000}"/>
    <cellStyle name="Migliaia 53 3 2 6" xfId="34232" xr:uid="{00000000-0005-0000-0000-0000ACC30000}"/>
    <cellStyle name="Migliaia 53 3 2 7" xfId="49172" xr:uid="{00000000-0005-0000-0000-0000ADC30000}"/>
    <cellStyle name="Migliaia 53 3 2 8" xfId="49577" xr:uid="{00000000-0005-0000-0000-0000AEC30000}"/>
    <cellStyle name="Migliaia 53 3 2 9" xfId="49983" xr:uid="{00000000-0005-0000-0000-0000AFC30000}"/>
    <cellStyle name="Migliaia 53 3 3" xfId="9342" xr:uid="{00000000-0005-0000-0000-0000B0C30000}"/>
    <cellStyle name="Migliaia 53 3 3 2" xfId="18383" xr:uid="{00000000-0005-0000-0000-0000B1C30000}"/>
    <cellStyle name="Migliaia 53 3 3 2 2" xfId="33850" xr:uid="{00000000-0005-0000-0000-0000B2C30000}"/>
    <cellStyle name="Migliaia 53 3 3 2 2 2" xfId="55335" xr:uid="{00000000-0005-0000-0000-0000B3C30000}"/>
    <cellStyle name="Migliaia 53 3 3 2 3" xfId="48811" xr:uid="{00000000-0005-0000-0000-0000B4C30000}"/>
    <cellStyle name="Migliaia 53 3 3 2 3 2" xfId="56257" xr:uid="{00000000-0005-0000-0000-0000B5C30000}"/>
    <cellStyle name="Migliaia 53 3 3 2 4" xfId="52980" xr:uid="{00000000-0005-0000-0000-0000B6C30000}"/>
    <cellStyle name="Migliaia 53 3 3 3" xfId="17328" xr:uid="{00000000-0005-0000-0000-0000B7C30000}"/>
    <cellStyle name="Migliaia 53 3 3 3 2" xfId="33444" xr:uid="{00000000-0005-0000-0000-0000B8C30000}"/>
    <cellStyle name="Migliaia 53 3 3 3 3" xfId="48405" xr:uid="{00000000-0005-0000-0000-0000B9C30000}"/>
    <cellStyle name="Migliaia 53 3 3 3 4" xfId="54949" xr:uid="{00000000-0005-0000-0000-0000BAC30000}"/>
    <cellStyle name="Migliaia 53 3 3 4" xfId="55851" xr:uid="{00000000-0005-0000-0000-0000BBC30000}"/>
    <cellStyle name="Migliaia 53 3 3 5" xfId="52569" xr:uid="{00000000-0005-0000-0000-0000BCC30000}"/>
    <cellStyle name="Migliaia 53 3 4" xfId="9929" xr:uid="{00000000-0005-0000-0000-0000BDC30000}"/>
    <cellStyle name="Migliaia 53 3 4 2" xfId="18382" xr:uid="{00000000-0005-0000-0000-0000BEC30000}"/>
    <cellStyle name="Migliaia 53 3 4 2 2" xfId="33849" xr:uid="{00000000-0005-0000-0000-0000BFC30000}"/>
    <cellStyle name="Migliaia 53 3 4 2 3" xfId="48810" xr:uid="{00000000-0005-0000-0000-0000C0C30000}"/>
    <cellStyle name="Migliaia 53 3 4 2 4" xfId="55334" xr:uid="{00000000-0005-0000-0000-0000C1C30000}"/>
    <cellStyle name="Migliaia 53 3 4 3" xfId="26255" xr:uid="{00000000-0005-0000-0000-0000C2C30000}"/>
    <cellStyle name="Migliaia 53 3 4 3 2" xfId="56256" xr:uid="{00000000-0005-0000-0000-0000C3C30000}"/>
    <cellStyle name="Migliaia 53 3 4 4" xfId="41233" xr:uid="{00000000-0005-0000-0000-0000C4C30000}"/>
    <cellStyle name="Migliaia 53 3 4 5" xfId="52979" xr:uid="{00000000-0005-0000-0000-0000C5C30000}"/>
    <cellStyle name="Migliaia 53 3 5" xfId="17326" xr:uid="{00000000-0005-0000-0000-0000C6C30000}"/>
    <cellStyle name="Migliaia 53 3 5 2" xfId="33442" xr:uid="{00000000-0005-0000-0000-0000C7C30000}"/>
    <cellStyle name="Migliaia 53 3 5 3" xfId="48403" xr:uid="{00000000-0005-0000-0000-0000C8C30000}"/>
    <cellStyle name="Migliaia 53 3 5 4" xfId="54947" xr:uid="{00000000-0005-0000-0000-0000C9C30000}"/>
    <cellStyle name="Migliaia 53 3 6" xfId="19236" xr:uid="{00000000-0005-0000-0000-0000CAC30000}"/>
    <cellStyle name="Migliaia 53 3 6 2" xfId="55849" xr:uid="{00000000-0005-0000-0000-0000CBC30000}"/>
    <cellStyle name="Migliaia 53 3 7" xfId="34231" xr:uid="{00000000-0005-0000-0000-0000CCC30000}"/>
    <cellStyle name="Migliaia 53 3 8" xfId="49171" xr:uid="{00000000-0005-0000-0000-0000CDC30000}"/>
    <cellStyle name="Migliaia 53 3 9" xfId="49576" xr:uid="{00000000-0005-0000-0000-0000CEC30000}"/>
    <cellStyle name="Migliaia 53 4" xfId="9344" xr:uid="{00000000-0005-0000-0000-0000CFC30000}"/>
    <cellStyle name="Migliaia 53 4 2" xfId="17330" xr:uid="{00000000-0005-0000-0000-0000D0C30000}"/>
    <cellStyle name="Migliaia 53 4 2 2" xfId="18385" xr:uid="{00000000-0005-0000-0000-0000D1C30000}"/>
    <cellStyle name="Migliaia 53 4 2 2 2" xfId="33852" xr:uid="{00000000-0005-0000-0000-0000D2C30000}"/>
    <cellStyle name="Migliaia 53 4 2 2 2 2" xfId="55337" xr:uid="{00000000-0005-0000-0000-0000D3C30000}"/>
    <cellStyle name="Migliaia 53 4 2 2 3" xfId="48813" xr:uid="{00000000-0005-0000-0000-0000D4C30000}"/>
    <cellStyle name="Migliaia 53 4 2 2 3 2" xfId="56259" xr:uid="{00000000-0005-0000-0000-0000D5C30000}"/>
    <cellStyle name="Migliaia 53 4 2 2 4" xfId="52982" xr:uid="{00000000-0005-0000-0000-0000D6C30000}"/>
    <cellStyle name="Migliaia 53 4 2 3" xfId="33446" xr:uid="{00000000-0005-0000-0000-0000D7C30000}"/>
    <cellStyle name="Migliaia 53 4 2 3 2" xfId="54951" xr:uid="{00000000-0005-0000-0000-0000D8C30000}"/>
    <cellStyle name="Migliaia 53 4 2 4" xfId="48407" xr:uid="{00000000-0005-0000-0000-0000D9C30000}"/>
    <cellStyle name="Migliaia 53 4 2 4 2" xfId="55853" xr:uid="{00000000-0005-0000-0000-0000DAC30000}"/>
    <cellStyle name="Migliaia 53 4 2 5" xfId="52571" xr:uid="{00000000-0005-0000-0000-0000DBC30000}"/>
    <cellStyle name="Migliaia 53 4 3" xfId="18384" xr:uid="{00000000-0005-0000-0000-0000DCC30000}"/>
    <cellStyle name="Migliaia 53 4 3 2" xfId="33851" xr:uid="{00000000-0005-0000-0000-0000DDC30000}"/>
    <cellStyle name="Migliaia 53 4 3 2 2" xfId="55336" xr:uid="{00000000-0005-0000-0000-0000DEC30000}"/>
    <cellStyle name="Migliaia 53 4 3 3" xfId="48812" xr:uid="{00000000-0005-0000-0000-0000DFC30000}"/>
    <cellStyle name="Migliaia 53 4 3 3 2" xfId="56258" xr:uid="{00000000-0005-0000-0000-0000E0C30000}"/>
    <cellStyle name="Migliaia 53 4 3 4" xfId="52981" xr:uid="{00000000-0005-0000-0000-0000E1C30000}"/>
    <cellStyle name="Migliaia 53 4 4" xfId="17329" xr:uid="{00000000-0005-0000-0000-0000E2C30000}"/>
    <cellStyle name="Migliaia 53 4 4 2" xfId="33445" xr:uid="{00000000-0005-0000-0000-0000E3C30000}"/>
    <cellStyle name="Migliaia 53 4 4 3" xfId="48406" xr:uid="{00000000-0005-0000-0000-0000E4C30000}"/>
    <cellStyle name="Migliaia 53 4 4 4" xfId="54950" xr:uid="{00000000-0005-0000-0000-0000E5C30000}"/>
    <cellStyle name="Migliaia 53 4 5" xfId="51232" xr:uid="{00000000-0005-0000-0000-0000E6C30000}"/>
    <cellStyle name="Migliaia 53 4 5 2" xfId="55852" xr:uid="{00000000-0005-0000-0000-0000E7C30000}"/>
    <cellStyle name="Migliaia 53 4 6" xfId="52570" xr:uid="{00000000-0005-0000-0000-0000E8C30000}"/>
    <cellStyle name="Migliaia 53 5" xfId="9345" xr:uid="{00000000-0005-0000-0000-0000E9C30000}"/>
    <cellStyle name="Migliaia 53 5 2" xfId="17331" xr:uid="{00000000-0005-0000-0000-0000EAC30000}"/>
    <cellStyle name="Migliaia 53 5 2 2" xfId="33447" xr:uid="{00000000-0005-0000-0000-0000EBC30000}"/>
    <cellStyle name="Migliaia 53 5 2 3" xfId="48408" xr:uid="{00000000-0005-0000-0000-0000ECC30000}"/>
    <cellStyle name="Migliaia 53 5 2 4" xfId="54952" xr:uid="{00000000-0005-0000-0000-0000EDC30000}"/>
    <cellStyle name="Migliaia 53 5 3" xfId="51158" xr:uid="{00000000-0005-0000-0000-0000EEC30000}"/>
    <cellStyle name="Migliaia 53 5 3 2" xfId="55854" xr:uid="{00000000-0005-0000-0000-0000EFC30000}"/>
    <cellStyle name="Migliaia 53 5 4" xfId="52572" xr:uid="{00000000-0005-0000-0000-0000F0C30000}"/>
    <cellStyle name="Migliaia 53 6" xfId="9340" xr:uid="{00000000-0005-0000-0000-0000F1C30000}"/>
    <cellStyle name="Migliaia 53 6 2" xfId="50901" xr:uid="{00000000-0005-0000-0000-0000F2C30000}"/>
    <cellStyle name="Migliaia 53 6 3" xfId="54575" xr:uid="{00000000-0005-0000-0000-0000F3C30000}"/>
    <cellStyle name="Migliaia 53 7" xfId="9927" xr:uid="{00000000-0005-0000-0000-0000F4C30000}"/>
    <cellStyle name="Migliaia 53 7 2" xfId="26253" xr:uid="{00000000-0005-0000-0000-0000F5C30000}"/>
    <cellStyle name="Migliaia 53 7 3" xfId="41231" xr:uid="{00000000-0005-0000-0000-0000F6C30000}"/>
    <cellStyle name="Migliaia 53 7 4" xfId="55847" xr:uid="{00000000-0005-0000-0000-0000F7C30000}"/>
    <cellStyle name="Migliaia 53 8" xfId="17324" xr:uid="{00000000-0005-0000-0000-0000F8C30000}"/>
    <cellStyle name="Migliaia 53 8 2" xfId="33440" xr:uid="{00000000-0005-0000-0000-0000F9C30000}"/>
    <cellStyle name="Migliaia 53 8 3" xfId="48401" xr:uid="{00000000-0005-0000-0000-0000FAC30000}"/>
    <cellStyle name="Migliaia 53 9" xfId="19234" xr:uid="{00000000-0005-0000-0000-0000FBC30000}"/>
    <cellStyle name="Migliaia 54" xfId="481" xr:uid="{00000000-0005-0000-0000-0000FCC30000}"/>
    <cellStyle name="Migliaia 54 10" xfId="34233" xr:uid="{00000000-0005-0000-0000-0000FDC30000}"/>
    <cellStyle name="Migliaia 54 11" xfId="49173" xr:uid="{00000000-0005-0000-0000-0000FEC30000}"/>
    <cellStyle name="Migliaia 54 12" xfId="49578" xr:uid="{00000000-0005-0000-0000-0000FFC30000}"/>
    <cellStyle name="Migliaia 54 13" xfId="49984" xr:uid="{00000000-0005-0000-0000-000000C40000}"/>
    <cellStyle name="Migliaia 54 14" xfId="50392" xr:uid="{00000000-0005-0000-0000-000001C40000}"/>
    <cellStyle name="Migliaia 54 15" xfId="50834" xr:uid="{00000000-0005-0000-0000-000002C40000}"/>
    <cellStyle name="Migliaia 54 16" xfId="51553" xr:uid="{00000000-0005-0000-0000-000003C40000}"/>
    <cellStyle name="Migliaia 54 17" xfId="51966" xr:uid="{00000000-0005-0000-0000-000004C40000}"/>
    <cellStyle name="Migliaia 54 18" xfId="52573" xr:uid="{00000000-0005-0000-0000-000005C40000}"/>
    <cellStyle name="Migliaia 54 2" xfId="482" xr:uid="{00000000-0005-0000-0000-000006C40000}"/>
    <cellStyle name="Migliaia 54 2 10" xfId="49985" xr:uid="{00000000-0005-0000-0000-000007C40000}"/>
    <cellStyle name="Migliaia 54 2 11" xfId="50393" xr:uid="{00000000-0005-0000-0000-000008C40000}"/>
    <cellStyle name="Migliaia 54 2 12" xfId="50835" xr:uid="{00000000-0005-0000-0000-000009C40000}"/>
    <cellStyle name="Migliaia 54 2 13" xfId="51554" xr:uid="{00000000-0005-0000-0000-00000AC40000}"/>
    <cellStyle name="Migliaia 54 2 14" xfId="51967" xr:uid="{00000000-0005-0000-0000-00000BC40000}"/>
    <cellStyle name="Migliaia 54 2 15" xfId="52574" xr:uid="{00000000-0005-0000-0000-00000CC40000}"/>
    <cellStyle name="Migliaia 54 2 2" xfId="1292" xr:uid="{00000000-0005-0000-0000-00000DC40000}"/>
    <cellStyle name="Migliaia 54 2 2 10" xfId="51086" xr:uid="{00000000-0005-0000-0000-00000EC40000}"/>
    <cellStyle name="Migliaia 54 2 2 11" xfId="51682" xr:uid="{00000000-0005-0000-0000-00000FC40000}"/>
    <cellStyle name="Migliaia 54 2 2 12" xfId="52103" xr:uid="{00000000-0005-0000-0000-000010C40000}"/>
    <cellStyle name="Migliaia 54 2 2 13" xfId="52983" xr:uid="{00000000-0005-0000-0000-000011C40000}"/>
    <cellStyle name="Migliaia 54 2 2 2" xfId="10060" xr:uid="{00000000-0005-0000-0000-000012C40000}"/>
    <cellStyle name="Migliaia 54 2 2 2 2" xfId="26381" xr:uid="{00000000-0005-0000-0000-000013C40000}"/>
    <cellStyle name="Migliaia 54 2 2 2 3" xfId="41349" xr:uid="{00000000-0005-0000-0000-000014C40000}"/>
    <cellStyle name="Migliaia 54 2 2 2 4" xfId="55338" xr:uid="{00000000-0005-0000-0000-000015C40000}"/>
    <cellStyle name="Migliaia 54 2 2 3" xfId="18386" xr:uid="{00000000-0005-0000-0000-000016C40000}"/>
    <cellStyle name="Migliaia 54 2 2 3 2" xfId="33853" xr:uid="{00000000-0005-0000-0000-000017C40000}"/>
    <cellStyle name="Migliaia 54 2 2 3 3" xfId="48814" xr:uid="{00000000-0005-0000-0000-000018C40000}"/>
    <cellStyle name="Migliaia 54 2 2 3 4" xfId="56260" xr:uid="{00000000-0005-0000-0000-000019C40000}"/>
    <cellStyle name="Migliaia 54 2 2 4" xfId="19360" xr:uid="{00000000-0005-0000-0000-00001AC40000}"/>
    <cellStyle name="Migliaia 54 2 2 5" xfId="34350" xr:uid="{00000000-0005-0000-0000-00001BC40000}"/>
    <cellStyle name="Migliaia 54 2 2 6" xfId="49302" xr:uid="{00000000-0005-0000-0000-00001CC40000}"/>
    <cellStyle name="Migliaia 54 2 2 7" xfId="49707" xr:uid="{00000000-0005-0000-0000-00001DC40000}"/>
    <cellStyle name="Migliaia 54 2 2 8" xfId="50116" xr:uid="{00000000-0005-0000-0000-00001EC40000}"/>
    <cellStyle name="Migliaia 54 2 2 9" xfId="50521" xr:uid="{00000000-0005-0000-0000-00001FC40000}"/>
    <cellStyle name="Migliaia 54 2 3" xfId="9347" xr:uid="{00000000-0005-0000-0000-000020C40000}"/>
    <cellStyle name="Migliaia 54 2 3 2" xfId="54640" xr:uid="{00000000-0005-0000-0000-000021C40000}"/>
    <cellStyle name="Migliaia 54 2 4" xfId="9932" xr:uid="{00000000-0005-0000-0000-000022C40000}"/>
    <cellStyle name="Migliaia 54 2 4 2" xfId="26258" xr:uid="{00000000-0005-0000-0000-000023C40000}"/>
    <cellStyle name="Migliaia 54 2 4 3" xfId="41236" xr:uid="{00000000-0005-0000-0000-000024C40000}"/>
    <cellStyle name="Migliaia 54 2 4 4" xfId="55856" xr:uid="{00000000-0005-0000-0000-000025C40000}"/>
    <cellStyle name="Migliaia 54 2 5" xfId="17333" xr:uid="{00000000-0005-0000-0000-000026C40000}"/>
    <cellStyle name="Migliaia 54 2 5 2" xfId="33449" xr:uid="{00000000-0005-0000-0000-000027C40000}"/>
    <cellStyle name="Migliaia 54 2 5 3" xfId="48410" xr:uid="{00000000-0005-0000-0000-000028C40000}"/>
    <cellStyle name="Migliaia 54 2 6" xfId="19239" xr:uid="{00000000-0005-0000-0000-000029C40000}"/>
    <cellStyle name="Migliaia 54 2 7" xfId="34234" xr:uid="{00000000-0005-0000-0000-00002AC40000}"/>
    <cellStyle name="Migliaia 54 2 8" xfId="49174" xr:uid="{00000000-0005-0000-0000-00002BC40000}"/>
    <cellStyle name="Migliaia 54 2 9" xfId="49579" xr:uid="{00000000-0005-0000-0000-00002CC40000}"/>
    <cellStyle name="Migliaia 54 3" xfId="483" xr:uid="{00000000-0005-0000-0000-00002DC40000}"/>
    <cellStyle name="Migliaia 54 3 10" xfId="49986" xr:uid="{00000000-0005-0000-0000-00002EC40000}"/>
    <cellStyle name="Migliaia 54 3 11" xfId="50394" xr:uid="{00000000-0005-0000-0000-00002FC40000}"/>
    <cellStyle name="Migliaia 54 3 12" xfId="50836" xr:uid="{00000000-0005-0000-0000-000030C40000}"/>
    <cellStyle name="Migliaia 54 3 13" xfId="51555" xr:uid="{00000000-0005-0000-0000-000031C40000}"/>
    <cellStyle name="Migliaia 54 3 14" xfId="51968" xr:uid="{00000000-0005-0000-0000-000032C40000}"/>
    <cellStyle name="Migliaia 54 3 15" xfId="52575" xr:uid="{00000000-0005-0000-0000-000033C40000}"/>
    <cellStyle name="Migliaia 54 3 2" xfId="484" xr:uid="{00000000-0005-0000-0000-000034C40000}"/>
    <cellStyle name="Migliaia 54 3 2 10" xfId="50395" xr:uid="{00000000-0005-0000-0000-000035C40000}"/>
    <cellStyle name="Migliaia 54 3 2 11" xfId="50837" xr:uid="{00000000-0005-0000-0000-000036C40000}"/>
    <cellStyle name="Migliaia 54 3 2 12" xfId="51556" xr:uid="{00000000-0005-0000-0000-000037C40000}"/>
    <cellStyle name="Migliaia 54 3 2 13" xfId="51969" xr:uid="{00000000-0005-0000-0000-000038C40000}"/>
    <cellStyle name="Migliaia 54 3 2 14" xfId="52576" xr:uid="{00000000-0005-0000-0000-000039C40000}"/>
    <cellStyle name="Migliaia 54 3 2 2" xfId="9349" xr:uid="{00000000-0005-0000-0000-00003AC40000}"/>
    <cellStyle name="Migliaia 54 3 2 2 2" xfId="54954" xr:uid="{00000000-0005-0000-0000-00003BC40000}"/>
    <cellStyle name="Migliaia 54 3 2 3" xfId="9934" xr:uid="{00000000-0005-0000-0000-00003CC40000}"/>
    <cellStyle name="Migliaia 54 3 2 3 2" xfId="26260" xr:uid="{00000000-0005-0000-0000-00003DC40000}"/>
    <cellStyle name="Migliaia 54 3 2 3 3" xfId="41238" xr:uid="{00000000-0005-0000-0000-00003EC40000}"/>
    <cellStyle name="Migliaia 54 3 2 3 4" xfId="55858" xr:uid="{00000000-0005-0000-0000-00003FC40000}"/>
    <cellStyle name="Migliaia 54 3 2 4" xfId="17335" xr:uid="{00000000-0005-0000-0000-000040C40000}"/>
    <cellStyle name="Migliaia 54 3 2 4 2" xfId="33451" xr:uid="{00000000-0005-0000-0000-000041C40000}"/>
    <cellStyle name="Migliaia 54 3 2 4 3" xfId="48412" xr:uid="{00000000-0005-0000-0000-000042C40000}"/>
    <cellStyle name="Migliaia 54 3 2 5" xfId="19241" xr:uid="{00000000-0005-0000-0000-000043C40000}"/>
    <cellStyle name="Migliaia 54 3 2 6" xfId="34236" xr:uid="{00000000-0005-0000-0000-000044C40000}"/>
    <cellStyle name="Migliaia 54 3 2 7" xfId="49176" xr:uid="{00000000-0005-0000-0000-000045C40000}"/>
    <cellStyle name="Migliaia 54 3 2 8" xfId="49581" xr:uid="{00000000-0005-0000-0000-000046C40000}"/>
    <cellStyle name="Migliaia 54 3 2 9" xfId="49987" xr:uid="{00000000-0005-0000-0000-000047C40000}"/>
    <cellStyle name="Migliaia 54 3 3" xfId="9348" xr:uid="{00000000-0005-0000-0000-000048C40000}"/>
    <cellStyle name="Migliaia 54 3 3 2" xfId="18388" xr:uid="{00000000-0005-0000-0000-000049C40000}"/>
    <cellStyle name="Migliaia 54 3 3 2 2" xfId="33855" xr:uid="{00000000-0005-0000-0000-00004AC40000}"/>
    <cellStyle name="Migliaia 54 3 3 2 2 2" xfId="55340" xr:uid="{00000000-0005-0000-0000-00004BC40000}"/>
    <cellStyle name="Migliaia 54 3 3 2 3" xfId="48816" xr:uid="{00000000-0005-0000-0000-00004CC40000}"/>
    <cellStyle name="Migliaia 54 3 3 2 3 2" xfId="56262" xr:uid="{00000000-0005-0000-0000-00004DC40000}"/>
    <cellStyle name="Migliaia 54 3 3 2 4" xfId="52985" xr:uid="{00000000-0005-0000-0000-00004EC40000}"/>
    <cellStyle name="Migliaia 54 3 3 3" xfId="17336" xr:uid="{00000000-0005-0000-0000-00004FC40000}"/>
    <cellStyle name="Migliaia 54 3 3 3 2" xfId="33452" xr:uid="{00000000-0005-0000-0000-000050C40000}"/>
    <cellStyle name="Migliaia 54 3 3 3 3" xfId="48413" xr:uid="{00000000-0005-0000-0000-000051C40000}"/>
    <cellStyle name="Migliaia 54 3 3 3 4" xfId="54955" xr:uid="{00000000-0005-0000-0000-000052C40000}"/>
    <cellStyle name="Migliaia 54 3 3 4" xfId="55859" xr:uid="{00000000-0005-0000-0000-000053C40000}"/>
    <cellStyle name="Migliaia 54 3 3 5" xfId="52577" xr:uid="{00000000-0005-0000-0000-000054C40000}"/>
    <cellStyle name="Migliaia 54 3 4" xfId="9933" xr:uid="{00000000-0005-0000-0000-000055C40000}"/>
    <cellStyle name="Migliaia 54 3 4 2" xfId="18387" xr:uid="{00000000-0005-0000-0000-000056C40000}"/>
    <cellStyle name="Migliaia 54 3 4 2 2" xfId="33854" xr:uid="{00000000-0005-0000-0000-000057C40000}"/>
    <cellStyle name="Migliaia 54 3 4 2 3" xfId="48815" xr:uid="{00000000-0005-0000-0000-000058C40000}"/>
    <cellStyle name="Migliaia 54 3 4 2 4" xfId="55339" xr:uid="{00000000-0005-0000-0000-000059C40000}"/>
    <cellStyle name="Migliaia 54 3 4 3" xfId="26259" xr:uid="{00000000-0005-0000-0000-00005AC40000}"/>
    <cellStyle name="Migliaia 54 3 4 3 2" xfId="56261" xr:uid="{00000000-0005-0000-0000-00005BC40000}"/>
    <cellStyle name="Migliaia 54 3 4 4" xfId="41237" xr:uid="{00000000-0005-0000-0000-00005CC40000}"/>
    <cellStyle name="Migliaia 54 3 4 5" xfId="52984" xr:uid="{00000000-0005-0000-0000-00005DC40000}"/>
    <cellStyle name="Migliaia 54 3 5" xfId="17334" xr:uid="{00000000-0005-0000-0000-00005EC40000}"/>
    <cellStyle name="Migliaia 54 3 5 2" xfId="33450" xr:uid="{00000000-0005-0000-0000-00005FC40000}"/>
    <cellStyle name="Migliaia 54 3 5 3" xfId="48411" xr:uid="{00000000-0005-0000-0000-000060C40000}"/>
    <cellStyle name="Migliaia 54 3 5 4" xfId="54953" xr:uid="{00000000-0005-0000-0000-000061C40000}"/>
    <cellStyle name="Migliaia 54 3 6" xfId="19240" xr:uid="{00000000-0005-0000-0000-000062C40000}"/>
    <cellStyle name="Migliaia 54 3 6 2" xfId="55857" xr:uid="{00000000-0005-0000-0000-000063C40000}"/>
    <cellStyle name="Migliaia 54 3 7" xfId="34235" xr:uid="{00000000-0005-0000-0000-000064C40000}"/>
    <cellStyle name="Migliaia 54 3 8" xfId="49175" xr:uid="{00000000-0005-0000-0000-000065C40000}"/>
    <cellStyle name="Migliaia 54 3 9" xfId="49580" xr:uid="{00000000-0005-0000-0000-000066C40000}"/>
    <cellStyle name="Migliaia 54 4" xfId="9350" xr:uid="{00000000-0005-0000-0000-000067C40000}"/>
    <cellStyle name="Migliaia 54 4 2" xfId="17338" xr:uid="{00000000-0005-0000-0000-000068C40000}"/>
    <cellStyle name="Migliaia 54 4 2 2" xfId="18390" xr:uid="{00000000-0005-0000-0000-000069C40000}"/>
    <cellStyle name="Migliaia 54 4 2 2 2" xfId="33857" xr:uid="{00000000-0005-0000-0000-00006AC40000}"/>
    <cellStyle name="Migliaia 54 4 2 2 2 2" xfId="55342" xr:uid="{00000000-0005-0000-0000-00006BC40000}"/>
    <cellStyle name="Migliaia 54 4 2 2 3" xfId="48818" xr:uid="{00000000-0005-0000-0000-00006CC40000}"/>
    <cellStyle name="Migliaia 54 4 2 2 3 2" xfId="56264" xr:uid="{00000000-0005-0000-0000-00006DC40000}"/>
    <cellStyle name="Migliaia 54 4 2 2 4" xfId="52987" xr:uid="{00000000-0005-0000-0000-00006EC40000}"/>
    <cellStyle name="Migliaia 54 4 2 3" xfId="33454" xr:uid="{00000000-0005-0000-0000-00006FC40000}"/>
    <cellStyle name="Migliaia 54 4 2 3 2" xfId="54957" xr:uid="{00000000-0005-0000-0000-000070C40000}"/>
    <cellStyle name="Migliaia 54 4 2 4" xfId="48415" xr:uid="{00000000-0005-0000-0000-000071C40000}"/>
    <cellStyle name="Migliaia 54 4 2 4 2" xfId="55861" xr:uid="{00000000-0005-0000-0000-000072C40000}"/>
    <cellStyle name="Migliaia 54 4 2 5" xfId="52579" xr:uid="{00000000-0005-0000-0000-000073C40000}"/>
    <cellStyle name="Migliaia 54 4 3" xfId="18389" xr:uid="{00000000-0005-0000-0000-000074C40000}"/>
    <cellStyle name="Migliaia 54 4 3 2" xfId="33856" xr:uid="{00000000-0005-0000-0000-000075C40000}"/>
    <cellStyle name="Migliaia 54 4 3 2 2" xfId="55341" xr:uid="{00000000-0005-0000-0000-000076C40000}"/>
    <cellStyle name="Migliaia 54 4 3 3" xfId="48817" xr:uid="{00000000-0005-0000-0000-000077C40000}"/>
    <cellStyle name="Migliaia 54 4 3 3 2" xfId="56263" xr:uid="{00000000-0005-0000-0000-000078C40000}"/>
    <cellStyle name="Migliaia 54 4 3 4" xfId="52986" xr:uid="{00000000-0005-0000-0000-000079C40000}"/>
    <cellStyle name="Migliaia 54 4 4" xfId="17337" xr:uid="{00000000-0005-0000-0000-00007AC40000}"/>
    <cellStyle name="Migliaia 54 4 4 2" xfId="33453" xr:uid="{00000000-0005-0000-0000-00007BC40000}"/>
    <cellStyle name="Migliaia 54 4 4 3" xfId="48414" xr:uid="{00000000-0005-0000-0000-00007CC40000}"/>
    <cellStyle name="Migliaia 54 4 4 4" xfId="54956" xr:uid="{00000000-0005-0000-0000-00007DC40000}"/>
    <cellStyle name="Migliaia 54 4 5" xfId="51233" xr:uid="{00000000-0005-0000-0000-00007EC40000}"/>
    <cellStyle name="Migliaia 54 4 5 2" xfId="55860" xr:uid="{00000000-0005-0000-0000-00007FC40000}"/>
    <cellStyle name="Migliaia 54 4 6" xfId="52578" xr:uid="{00000000-0005-0000-0000-000080C40000}"/>
    <cellStyle name="Migliaia 54 5" xfId="9351" xr:uid="{00000000-0005-0000-0000-000081C40000}"/>
    <cellStyle name="Migliaia 54 5 2" xfId="17339" xr:uid="{00000000-0005-0000-0000-000082C40000}"/>
    <cellStyle name="Migliaia 54 5 2 2" xfId="33455" xr:uid="{00000000-0005-0000-0000-000083C40000}"/>
    <cellStyle name="Migliaia 54 5 2 3" xfId="48416" xr:uid="{00000000-0005-0000-0000-000084C40000}"/>
    <cellStyle name="Migliaia 54 5 2 4" xfId="54958" xr:uid="{00000000-0005-0000-0000-000085C40000}"/>
    <cellStyle name="Migliaia 54 5 3" xfId="50900" xr:uid="{00000000-0005-0000-0000-000086C40000}"/>
    <cellStyle name="Migliaia 54 5 3 2" xfId="55862" xr:uid="{00000000-0005-0000-0000-000087C40000}"/>
    <cellStyle name="Migliaia 54 5 4" xfId="52580" xr:uid="{00000000-0005-0000-0000-000088C40000}"/>
    <cellStyle name="Migliaia 54 6" xfId="9346" xr:uid="{00000000-0005-0000-0000-000089C40000}"/>
    <cellStyle name="Migliaia 54 6 2" xfId="51115" xr:uid="{00000000-0005-0000-0000-00008AC40000}"/>
    <cellStyle name="Migliaia 54 6 3" xfId="54576" xr:uid="{00000000-0005-0000-0000-00008BC40000}"/>
    <cellStyle name="Migliaia 54 7" xfId="9931" xr:uid="{00000000-0005-0000-0000-00008CC40000}"/>
    <cellStyle name="Migliaia 54 7 2" xfId="26257" xr:uid="{00000000-0005-0000-0000-00008DC40000}"/>
    <cellStyle name="Migliaia 54 7 3" xfId="41235" xr:uid="{00000000-0005-0000-0000-00008EC40000}"/>
    <cellStyle name="Migliaia 54 7 4" xfId="55855" xr:uid="{00000000-0005-0000-0000-00008FC40000}"/>
    <cellStyle name="Migliaia 54 8" xfId="17332" xr:uid="{00000000-0005-0000-0000-000090C40000}"/>
    <cellStyle name="Migliaia 54 8 2" xfId="33448" xr:uid="{00000000-0005-0000-0000-000091C40000}"/>
    <cellStyle name="Migliaia 54 8 3" xfId="48409" xr:uid="{00000000-0005-0000-0000-000092C40000}"/>
    <cellStyle name="Migliaia 54 9" xfId="19238" xr:uid="{00000000-0005-0000-0000-000093C40000}"/>
    <cellStyle name="Migliaia 55" xfId="485" xr:uid="{00000000-0005-0000-0000-000094C40000}"/>
    <cellStyle name="Migliaia 55 10" xfId="34237" xr:uid="{00000000-0005-0000-0000-000095C40000}"/>
    <cellStyle name="Migliaia 55 11" xfId="49177" xr:uid="{00000000-0005-0000-0000-000096C40000}"/>
    <cellStyle name="Migliaia 55 12" xfId="49582" xr:uid="{00000000-0005-0000-0000-000097C40000}"/>
    <cellStyle name="Migliaia 55 13" xfId="49988" xr:uid="{00000000-0005-0000-0000-000098C40000}"/>
    <cellStyle name="Migliaia 55 14" xfId="50396" xr:uid="{00000000-0005-0000-0000-000099C40000}"/>
    <cellStyle name="Migliaia 55 15" xfId="50838" xr:uid="{00000000-0005-0000-0000-00009AC40000}"/>
    <cellStyle name="Migliaia 55 16" xfId="51557" xr:uid="{00000000-0005-0000-0000-00009BC40000}"/>
    <cellStyle name="Migliaia 55 17" xfId="51970" xr:uid="{00000000-0005-0000-0000-00009CC40000}"/>
    <cellStyle name="Migliaia 55 18" xfId="52581" xr:uid="{00000000-0005-0000-0000-00009DC40000}"/>
    <cellStyle name="Migliaia 55 2" xfId="486" xr:uid="{00000000-0005-0000-0000-00009EC40000}"/>
    <cellStyle name="Migliaia 55 2 10" xfId="49989" xr:uid="{00000000-0005-0000-0000-00009FC40000}"/>
    <cellStyle name="Migliaia 55 2 11" xfId="50397" xr:uid="{00000000-0005-0000-0000-0000A0C40000}"/>
    <cellStyle name="Migliaia 55 2 12" xfId="50839" xr:uid="{00000000-0005-0000-0000-0000A1C40000}"/>
    <cellStyle name="Migliaia 55 2 13" xfId="51558" xr:uid="{00000000-0005-0000-0000-0000A2C40000}"/>
    <cellStyle name="Migliaia 55 2 14" xfId="51971" xr:uid="{00000000-0005-0000-0000-0000A3C40000}"/>
    <cellStyle name="Migliaia 55 2 15" xfId="52582" xr:uid="{00000000-0005-0000-0000-0000A4C40000}"/>
    <cellStyle name="Migliaia 55 2 2" xfId="1293" xr:uid="{00000000-0005-0000-0000-0000A5C40000}"/>
    <cellStyle name="Migliaia 55 2 2 10" xfId="51087" xr:uid="{00000000-0005-0000-0000-0000A6C40000}"/>
    <cellStyle name="Migliaia 55 2 2 11" xfId="51683" xr:uid="{00000000-0005-0000-0000-0000A7C40000}"/>
    <cellStyle name="Migliaia 55 2 2 12" xfId="52104" xr:uid="{00000000-0005-0000-0000-0000A8C40000}"/>
    <cellStyle name="Migliaia 55 2 2 13" xfId="52988" xr:uid="{00000000-0005-0000-0000-0000A9C40000}"/>
    <cellStyle name="Migliaia 55 2 2 2" xfId="10061" xr:uid="{00000000-0005-0000-0000-0000AAC40000}"/>
    <cellStyle name="Migliaia 55 2 2 2 2" xfId="26382" xr:uid="{00000000-0005-0000-0000-0000ABC40000}"/>
    <cellStyle name="Migliaia 55 2 2 2 3" xfId="41350" xr:uid="{00000000-0005-0000-0000-0000ACC40000}"/>
    <cellStyle name="Migliaia 55 2 2 2 4" xfId="55343" xr:uid="{00000000-0005-0000-0000-0000ADC40000}"/>
    <cellStyle name="Migliaia 55 2 2 3" xfId="18391" xr:uid="{00000000-0005-0000-0000-0000AEC40000}"/>
    <cellStyle name="Migliaia 55 2 2 3 2" xfId="33858" xr:uid="{00000000-0005-0000-0000-0000AFC40000}"/>
    <cellStyle name="Migliaia 55 2 2 3 3" xfId="48819" xr:uid="{00000000-0005-0000-0000-0000B0C40000}"/>
    <cellStyle name="Migliaia 55 2 2 3 4" xfId="56265" xr:uid="{00000000-0005-0000-0000-0000B1C40000}"/>
    <cellStyle name="Migliaia 55 2 2 4" xfId="19361" xr:uid="{00000000-0005-0000-0000-0000B2C40000}"/>
    <cellStyle name="Migliaia 55 2 2 5" xfId="34351" xr:uid="{00000000-0005-0000-0000-0000B3C40000}"/>
    <cellStyle name="Migliaia 55 2 2 6" xfId="49303" xr:uid="{00000000-0005-0000-0000-0000B4C40000}"/>
    <cellStyle name="Migliaia 55 2 2 7" xfId="49708" xr:uid="{00000000-0005-0000-0000-0000B5C40000}"/>
    <cellStyle name="Migliaia 55 2 2 8" xfId="50117" xr:uid="{00000000-0005-0000-0000-0000B6C40000}"/>
    <cellStyle name="Migliaia 55 2 2 9" xfId="50522" xr:uid="{00000000-0005-0000-0000-0000B7C40000}"/>
    <cellStyle name="Migliaia 55 2 3" xfId="9353" xr:uid="{00000000-0005-0000-0000-0000B8C40000}"/>
    <cellStyle name="Migliaia 55 2 3 2" xfId="54641" xr:uid="{00000000-0005-0000-0000-0000B9C40000}"/>
    <cellStyle name="Migliaia 55 2 4" xfId="9936" xr:uid="{00000000-0005-0000-0000-0000BAC40000}"/>
    <cellStyle name="Migliaia 55 2 4 2" xfId="26262" xr:uid="{00000000-0005-0000-0000-0000BBC40000}"/>
    <cellStyle name="Migliaia 55 2 4 3" xfId="41240" xr:uid="{00000000-0005-0000-0000-0000BCC40000}"/>
    <cellStyle name="Migliaia 55 2 4 4" xfId="55864" xr:uid="{00000000-0005-0000-0000-0000BDC40000}"/>
    <cellStyle name="Migliaia 55 2 5" xfId="17341" xr:uid="{00000000-0005-0000-0000-0000BEC40000}"/>
    <cellStyle name="Migliaia 55 2 5 2" xfId="33457" xr:uid="{00000000-0005-0000-0000-0000BFC40000}"/>
    <cellStyle name="Migliaia 55 2 5 3" xfId="48418" xr:uid="{00000000-0005-0000-0000-0000C0C40000}"/>
    <cellStyle name="Migliaia 55 2 6" xfId="19243" xr:uid="{00000000-0005-0000-0000-0000C1C40000}"/>
    <cellStyle name="Migliaia 55 2 7" xfId="34238" xr:uid="{00000000-0005-0000-0000-0000C2C40000}"/>
    <cellStyle name="Migliaia 55 2 8" xfId="49178" xr:uid="{00000000-0005-0000-0000-0000C3C40000}"/>
    <cellStyle name="Migliaia 55 2 9" xfId="49583" xr:uid="{00000000-0005-0000-0000-0000C4C40000}"/>
    <cellStyle name="Migliaia 55 3" xfId="487" xr:uid="{00000000-0005-0000-0000-0000C5C40000}"/>
    <cellStyle name="Migliaia 55 3 10" xfId="49990" xr:uid="{00000000-0005-0000-0000-0000C6C40000}"/>
    <cellStyle name="Migliaia 55 3 11" xfId="50398" xr:uid="{00000000-0005-0000-0000-0000C7C40000}"/>
    <cellStyle name="Migliaia 55 3 12" xfId="50840" xr:uid="{00000000-0005-0000-0000-0000C8C40000}"/>
    <cellStyle name="Migliaia 55 3 13" xfId="51559" xr:uid="{00000000-0005-0000-0000-0000C9C40000}"/>
    <cellStyle name="Migliaia 55 3 14" xfId="51972" xr:uid="{00000000-0005-0000-0000-0000CAC40000}"/>
    <cellStyle name="Migliaia 55 3 15" xfId="52583" xr:uid="{00000000-0005-0000-0000-0000CBC40000}"/>
    <cellStyle name="Migliaia 55 3 2" xfId="488" xr:uid="{00000000-0005-0000-0000-0000CCC40000}"/>
    <cellStyle name="Migliaia 55 3 2 10" xfId="50399" xr:uid="{00000000-0005-0000-0000-0000CDC40000}"/>
    <cellStyle name="Migliaia 55 3 2 11" xfId="50841" xr:uid="{00000000-0005-0000-0000-0000CEC40000}"/>
    <cellStyle name="Migliaia 55 3 2 12" xfId="51560" xr:uid="{00000000-0005-0000-0000-0000CFC40000}"/>
    <cellStyle name="Migliaia 55 3 2 13" xfId="51973" xr:uid="{00000000-0005-0000-0000-0000D0C40000}"/>
    <cellStyle name="Migliaia 55 3 2 14" xfId="52584" xr:uid="{00000000-0005-0000-0000-0000D1C40000}"/>
    <cellStyle name="Migliaia 55 3 2 2" xfId="9355" xr:uid="{00000000-0005-0000-0000-0000D2C40000}"/>
    <cellStyle name="Migliaia 55 3 2 2 2" xfId="54960" xr:uid="{00000000-0005-0000-0000-0000D3C40000}"/>
    <cellStyle name="Migliaia 55 3 2 3" xfId="9938" xr:uid="{00000000-0005-0000-0000-0000D4C40000}"/>
    <cellStyle name="Migliaia 55 3 2 3 2" xfId="26264" xr:uid="{00000000-0005-0000-0000-0000D5C40000}"/>
    <cellStyle name="Migliaia 55 3 2 3 3" xfId="41242" xr:uid="{00000000-0005-0000-0000-0000D6C40000}"/>
    <cellStyle name="Migliaia 55 3 2 3 4" xfId="55866" xr:uid="{00000000-0005-0000-0000-0000D7C40000}"/>
    <cellStyle name="Migliaia 55 3 2 4" xfId="17343" xr:uid="{00000000-0005-0000-0000-0000D8C40000}"/>
    <cellStyle name="Migliaia 55 3 2 4 2" xfId="33459" xr:uid="{00000000-0005-0000-0000-0000D9C40000}"/>
    <cellStyle name="Migliaia 55 3 2 4 3" xfId="48420" xr:uid="{00000000-0005-0000-0000-0000DAC40000}"/>
    <cellStyle name="Migliaia 55 3 2 5" xfId="19245" xr:uid="{00000000-0005-0000-0000-0000DBC40000}"/>
    <cellStyle name="Migliaia 55 3 2 6" xfId="34240" xr:uid="{00000000-0005-0000-0000-0000DCC40000}"/>
    <cellStyle name="Migliaia 55 3 2 7" xfId="49180" xr:uid="{00000000-0005-0000-0000-0000DDC40000}"/>
    <cellStyle name="Migliaia 55 3 2 8" xfId="49585" xr:uid="{00000000-0005-0000-0000-0000DEC40000}"/>
    <cellStyle name="Migliaia 55 3 2 9" xfId="49991" xr:uid="{00000000-0005-0000-0000-0000DFC40000}"/>
    <cellStyle name="Migliaia 55 3 3" xfId="9354" xr:uid="{00000000-0005-0000-0000-0000E0C40000}"/>
    <cellStyle name="Migliaia 55 3 3 2" xfId="18393" xr:uid="{00000000-0005-0000-0000-0000E1C40000}"/>
    <cellStyle name="Migliaia 55 3 3 2 2" xfId="33860" xr:uid="{00000000-0005-0000-0000-0000E2C40000}"/>
    <cellStyle name="Migliaia 55 3 3 2 2 2" xfId="55345" xr:uid="{00000000-0005-0000-0000-0000E3C40000}"/>
    <cellStyle name="Migliaia 55 3 3 2 3" xfId="48821" xr:uid="{00000000-0005-0000-0000-0000E4C40000}"/>
    <cellStyle name="Migliaia 55 3 3 2 3 2" xfId="56267" xr:uid="{00000000-0005-0000-0000-0000E5C40000}"/>
    <cellStyle name="Migliaia 55 3 3 2 4" xfId="52990" xr:uid="{00000000-0005-0000-0000-0000E6C40000}"/>
    <cellStyle name="Migliaia 55 3 3 3" xfId="17344" xr:uid="{00000000-0005-0000-0000-0000E7C40000}"/>
    <cellStyle name="Migliaia 55 3 3 3 2" xfId="33460" xr:uid="{00000000-0005-0000-0000-0000E8C40000}"/>
    <cellStyle name="Migliaia 55 3 3 3 3" xfId="48421" xr:uid="{00000000-0005-0000-0000-0000E9C40000}"/>
    <cellStyle name="Migliaia 55 3 3 3 4" xfId="54961" xr:uid="{00000000-0005-0000-0000-0000EAC40000}"/>
    <cellStyle name="Migliaia 55 3 3 4" xfId="55867" xr:uid="{00000000-0005-0000-0000-0000EBC40000}"/>
    <cellStyle name="Migliaia 55 3 3 5" xfId="52585" xr:uid="{00000000-0005-0000-0000-0000ECC40000}"/>
    <cellStyle name="Migliaia 55 3 4" xfId="9937" xr:uid="{00000000-0005-0000-0000-0000EDC40000}"/>
    <cellStyle name="Migliaia 55 3 4 2" xfId="18392" xr:uid="{00000000-0005-0000-0000-0000EEC40000}"/>
    <cellStyle name="Migliaia 55 3 4 2 2" xfId="33859" xr:uid="{00000000-0005-0000-0000-0000EFC40000}"/>
    <cellStyle name="Migliaia 55 3 4 2 3" xfId="48820" xr:uid="{00000000-0005-0000-0000-0000F0C40000}"/>
    <cellStyle name="Migliaia 55 3 4 2 4" xfId="55344" xr:uid="{00000000-0005-0000-0000-0000F1C40000}"/>
    <cellStyle name="Migliaia 55 3 4 3" xfId="26263" xr:uid="{00000000-0005-0000-0000-0000F2C40000}"/>
    <cellStyle name="Migliaia 55 3 4 3 2" xfId="56266" xr:uid="{00000000-0005-0000-0000-0000F3C40000}"/>
    <cellStyle name="Migliaia 55 3 4 4" xfId="41241" xr:uid="{00000000-0005-0000-0000-0000F4C40000}"/>
    <cellStyle name="Migliaia 55 3 4 5" xfId="52989" xr:uid="{00000000-0005-0000-0000-0000F5C40000}"/>
    <cellStyle name="Migliaia 55 3 5" xfId="17342" xr:uid="{00000000-0005-0000-0000-0000F6C40000}"/>
    <cellStyle name="Migliaia 55 3 5 2" xfId="33458" xr:uid="{00000000-0005-0000-0000-0000F7C40000}"/>
    <cellStyle name="Migliaia 55 3 5 3" xfId="48419" xr:uid="{00000000-0005-0000-0000-0000F8C40000}"/>
    <cellStyle name="Migliaia 55 3 5 4" xfId="54959" xr:uid="{00000000-0005-0000-0000-0000F9C40000}"/>
    <cellStyle name="Migliaia 55 3 6" xfId="19244" xr:uid="{00000000-0005-0000-0000-0000FAC40000}"/>
    <cellStyle name="Migliaia 55 3 6 2" xfId="55865" xr:uid="{00000000-0005-0000-0000-0000FBC40000}"/>
    <cellStyle name="Migliaia 55 3 7" xfId="34239" xr:uid="{00000000-0005-0000-0000-0000FCC40000}"/>
    <cellStyle name="Migliaia 55 3 8" xfId="49179" xr:uid="{00000000-0005-0000-0000-0000FDC40000}"/>
    <cellStyle name="Migliaia 55 3 9" xfId="49584" xr:uid="{00000000-0005-0000-0000-0000FEC40000}"/>
    <cellStyle name="Migliaia 55 4" xfId="9356" xr:uid="{00000000-0005-0000-0000-0000FFC40000}"/>
    <cellStyle name="Migliaia 55 4 2" xfId="17346" xr:uid="{00000000-0005-0000-0000-000000C50000}"/>
    <cellStyle name="Migliaia 55 4 2 2" xfId="18395" xr:uid="{00000000-0005-0000-0000-000001C50000}"/>
    <cellStyle name="Migliaia 55 4 2 2 2" xfId="33862" xr:uid="{00000000-0005-0000-0000-000002C50000}"/>
    <cellStyle name="Migliaia 55 4 2 2 2 2" xfId="55347" xr:uid="{00000000-0005-0000-0000-000003C50000}"/>
    <cellStyle name="Migliaia 55 4 2 2 3" xfId="48823" xr:uid="{00000000-0005-0000-0000-000004C50000}"/>
    <cellStyle name="Migliaia 55 4 2 2 3 2" xfId="56269" xr:uid="{00000000-0005-0000-0000-000005C50000}"/>
    <cellStyle name="Migliaia 55 4 2 2 4" xfId="52992" xr:uid="{00000000-0005-0000-0000-000006C50000}"/>
    <cellStyle name="Migliaia 55 4 2 3" xfId="33462" xr:uid="{00000000-0005-0000-0000-000007C50000}"/>
    <cellStyle name="Migliaia 55 4 2 3 2" xfId="54963" xr:uid="{00000000-0005-0000-0000-000008C50000}"/>
    <cellStyle name="Migliaia 55 4 2 4" xfId="48423" xr:uid="{00000000-0005-0000-0000-000009C50000}"/>
    <cellStyle name="Migliaia 55 4 2 4 2" xfId="55869" xr:uid="{00000000-0005-0000-0000-00000AC50000}"/>
    <cellStyle name="Migliaia 55 4 2 5" xfId="52587" xr:uid="{00000000-0005-0000-0000-00000BC50000}"/>
    <cellStyle name="Migliaia 55 4 3" xfId="18394" xr:uid="{00000000-0005-0000-0000-00000CC50000}"/>
    <cellStyle name="Migliaia 55 4 3 2" xfId="33861" xr:uid="{00000000-0005-0000-0000-00000DC50000}"/>
    <cellStyle name="Migliaia 55 4 3 2 2" xfId="55346" xr:uid="{00000000-0005-0000-0000-00000EC50000}"/>
    <cellStyle name="Migliaia 55 4 3 3" xfId="48822" xr:uid="{00000000-0005-0000-0000-00000FC50000}"/>
    <cellStyle name="Migliaia 55 4 3 3 2" xfId="56268" xr:uid="{00000000-0005-0000-0000-000010C50000}"/>
    <cellStyle name="Migliaia 55 4 3 4" xfId="52991" xr:uid="{00000000-0005-0000-0000-000011C50000}"/>
    <cellStyle name="Migliaia 55 4 4" xfId="17345" xr:uid="{00000000-0005-0000-0000-000012C50000}"/>
    <cellStyle name="Migliaia 55 4 4 2" xfId="33461" xr:uid="{00000000-0005-0000-0000-000013C50000}"/>
    <cellStyle name="Migliaia 55 4 4 3" xfId="48422" xr:uid="{00000000-0005-0000-0000-000014C50000}"/>
    <cellStyle name="Migliaia 55 4 4 4" xfId="54962" xr:uid="{00000000-0005-0000-0000-000015C50000}"/>
    <cellStyle name="Migliaia 55 4 5" xfId="50899" xr:uid="{00000000-0005-0000-0000-000016C50000}"/>
    <cellStyle name="Migliaia 55 4 5 2" xfId="55868" xr:uid="{00000000-0005-0000-0000-000017C50000}"/>
    <cellStyle name="Migliaia 55 4 6" xfId="52586" xr:uid="{00000000-0005-0000-0000-000018C50000}"/>
    <cellStyle name="Migliaia 55 5" xfId="9357" xr:uid="{00000000-0005-0000-0000-000019C50000}"/>
    <cellStyle name="Migliaia 55 5 2" xfId="17347" xr:uid="{00000000-0005-0000-0000-00001AC50000}"/>
    <cellStyle name="Migliaia 55 5 2 2" xfId="33463" xr:uid="{00000000-0005-0000-0000-00001BC50000}"/>
    <cellStyle name="Migliaia 55 5 2 3" xfId="48424" xr:uid="{00000000-0005-0000-0000-00001CC50000}"/>
    <cellStyle name="Migliaia 55 5 2 4" xfId="54964" xr:uid="{00000000-0005-0000-0000-00001DC50000}"/>
    <cellStyle name="Migliaia 55 5 3" xfId="51114" xr:uid="{00000000-0005-0000-0000-00001EC50000}"/>
    <cellStyle name="Migliaia 55 5 3 2" xfId="55870" xr:uid="{00000000-0005-0000-0000-00001FC50000}"/>
    <cellStyle name="Migliaia 55 5 4" xfId="52588" xr:uid="{00000000-0005-0000-0000-000020C50000}"/>
    <cellStyle name="Migliaia 55 6" xfId="9352" xr:uid="{00000000-0005-0000-0000-000021C50000}"/>
    <cellStyle name="Migliaia 55 6 2" xfId="50969" xr:uid="{00000000-0005-0000-0000-000022C50000}"/>
    <cellStyle name="Migliaia 55 6 3" xfId="54577" xr:uid="{00000000-0005-0000-0000-000023C50000}"/>
    <cellStyle name="Migliaia 55 7" xfId="9935" xr:uid="{00000000-0005-0000-0000-000024C50000}"/>
    <cellStyle name="Migliaia 55 7 2" xfId="26261" xr:uid="{00000000-0005-0000-0000-000025C50000}"/>
    <cellStyle name="Migliaia 55 7 3" xfId="41239" xr:uid="{00000000-0005-0000-0000-000026C50000}"/>
    <cellStyle name="Migliaia 55 7 4" xfId="55863" xr:uid="{00000000-0005-0000-0000-000027C50000}"/>
    <cellStyle name="Migliaia 55 8" xfId="17340" xr:uid="{00000000-0005-0000-0000-000028C50000}"/>
    <cellStyle name="Migliaia 55 8 2" xfId="33456" xr:uid="{00000000-0005-0000-0000-000029C50000}"/>
    <cellStyle name="Migliaia 55 8 3" xfId="48417" xr:uid="{00000000-0005-0000-0000-00002AC50000}"/>
    <cellStyle name="Migliaia 55 9" xfId="19242" xr:uid="{00000000-0005-0000-0000-00002BC50000}"/>
    <cellStyle name="Migliaia 56" xfId="489" xr:uid="{00000000-0005-0000-0000-00002CC50000}"/>
    <cellStyle name="Migliaia 56 10" xfId="34241" xr:uid="{00000000-0005-0000-0000-00002DC50000}"/>
    <cellStyle name="Migliaia 56 11" xfId="49181" xr:uid="{00000000-0005-0000-0000-00002EC50000}"/>
    <cellStyle name="Migliaia 56 12" xfId="49586" xr:uid="{00000000-0005-0000-0000-00002FC50000}"/>
    <cellStyle name="Migliaia 56 13" xfId="49992" xr:uid="{00000000-0005-0000-0000-000030C50000}"/>
    <cellStyle name="Migliaia 56 14" xfId="50400" xr:uid="{00000000-0005-0000-0000-000031C50000}"/>
    <cellStyle name="Migliaia 56 15" xfId="50842" xr:uid="{00000000-0005-0000-0000-000032C50000}"/>
    <cellStyle name="Migliaia 56 16" xfId="51561" xr:uid="{00000000-0005-0000-0000-000033C50000}"/>
    <cellStyle name="Migliaia 56 17" xfId="51974" xr:uid="{00000000-0005-0000-0000-000034C50000}"/>
    <cellStyle name="Migliaia 56 18" xfId="52589" xr:uid="{00000000-0005-0000-0000-000035C50000}"/>
    <cellStyle name="Migliaia 56 2" xfId="490" xr:uid="{00000000-0005-0000-0000-000036C50000}"/>
    <cellStyle name="Migliaia 56 2 10" xfId="49993" xr:uid="{00000000-0005-0000-0000-000037C50000}"/>
    <cellStyle name="Migliaia 56 2 11" xfId="50401" xr:uid="{00000000-0005-0000-0000-000038C50000}"/>
    <cellStyle name="Migliaia 56 2 12" xfId="50843" xr:uid="{00000000-0005-0000-0000-000039C50000}"/>
    <cellStyle name="Migliaia 56 2 13" xfId="51562" xr:uid="{00000000-0005-0000-0000-00003AC50000}"/>
    <cellStyle name="Migliaia 56 2 14" xfId="51975" xr:uid="{00000000-0005-0000-0000-00003BC50000}"/>
    <cellStyle name="Migliaia 56 2 15" xfId="52590" xr:uid="{00000000-0005-0000-0000-00003CC50000}"/>
    <cellStyle name="Migliaia 56 2 2" xfId="1294" xr:uid="{00000000-0005-0000-0000-00003DC50000}"/>
    <cellStyle name="Migliaia 56 2 2 10" xfId="51088" xr:uid="{00000000-0005-0000-0000-00003EC50000}"/>
    <cellStyle name="Migliaia 56 2 2 11" xfId="51684" xr:uid="{00000000-0005-0000-0000-00003FC50000}"/>
    <cellStyle name="Migliaia 56 2 2 12" xfId="52105" xr:uid="{00000000-0005-0000-0000-000040C50000}"/>
    <cellStyle name="Migliaia 56 2 2 13" xfId="52993" xr:uid="{00000000-0005-0000-0000-000041C50000}"/>
    <cellStyle name="Migliaia 56 2 2 2" xfId="10062" xr:uid="{00000000-0005-0000-0000-000042C50000}"/>
    <cellStyle name="Migliaia 56 2 2 2 2" xfId="26383" xr:uid="{00000000-0005-0000-0000-000043C50000}"/>
    <cellStyle name="Migliaia 56 2 2 2 3" xfId="41351" xr:uid="{00000000-0005-0000-0000-000044C50000}"/>
    <cellStyle name="Migliaia 56 2 2 2 4" xfId="55348" xr:uid="{00000000-0005-0000-0000-000045C50000}"/>
    <cellStyle name="Migliaia 56 2 2 3" xfId="18396" xr:uid="{00000000-0005-0000-0000-000046C50000}"/>
    <cellStyle name="Migliaia 56 2 2 3 2" xfId="33863" xr:uid="{00000000-0005-0000-0000-000047C50000}"/>
    <cellStyle name="Migliaia 56 2 2 3 3" xfId="48824" xr:uid="{00000000-0005-0000-0000-000048C50000}"/>
    <cellStyle name="Migliaia 56 2 2 3 4" xfId="56270" xr:uid="{00000000-0005-0000-0000-000049C50000}"/>
    <cellStyle name="Migliaia 56 2 2 4" xfId="19362" xr:uid="{00000000-0005-0000-0000-00004AC50000}"/>
    <cellStyle name="Migliaia 56 2 2 5" xfId="34352" xr:uid="{00000000-0005-0000-0000-00004BC50000}"/>
    <cellStyle name="Migliaia 56 2 2 6" xfId="49304" xr:uid="{00000000-0005-0000-0000-00004CC50000}"/>
    <cellStyle name="Migliaia 56 2 2 7" xfId="49709" xr:uid="{00000000-0005-0000-0000-00004DC50000}"/>
    <cellStyle name="Migliaia 56 2 2 8" xfId="50118" xr:uid="{00000000-0005-0000-0000-00004EC50000}"/>
    <cellStyle name="Migliaia 56 2 2 9" xfId="50523" xr:uid="{00000000-0005-0000-0000-00004FC50000}"/>
    <cellStyle name="Migliaia 56 2 3" xfId="9359" xr:uid="{00000000-0005-0000-0000-000050C50000}"/>
    <cellStyle name="Migliaia 56 2 3 2" xfId="54642" xr:uid="{00000000-0005-0000-0000-000051C50000}"/>
    <cellStyle name="Migliaia 56 2 4" xfId="9940" xr:uid="{00000000-0005-0000-0000-000052C50000}"/>
    <cellStyle name="Migliaia 56 2 4 2" xfId="26266" xr:uid="{00000000-0005-0000-0000-000053C50000}"/>
    <cellStyle name="Migliaia 56 2 4 3" xfId="41244" xr:uid="{00000000-0005-0000-0000-000054C50000}"/>
    <cellStyle name="Migliaia 56 2 4 4" xfId="55872" xr:uid="{00000000-0005-0000-0000-000055C50000}"/>
    <cellStyle name="Migliaia 56 2 5" xfId="17349" xr:uid="{00000000-0005-0000-0000-000056C50000}"/>
    <cellStyle name="Migliaia 56 2 5 2" xfId="33465" xr:uid="{00000000-0005-0000-0000-000057C50000}"/>
    <cellStyle name="Migliaia 56 2 5 3" xfId="48426" xr:uid="{00000000-0005-0000-0000-000058C50000}"/>
    <cellStyle name="Migliaia 56 2 6" xfId="19247" xr:uid="{00000000-0005-0000-0000-000059C50000}"/>
    <cellStyle name="Migliaia 56 2 7" xfId="34242" xr:uid="{00000000-0005-0000-0000-00005AC50000}"/>
    <cellStyle name="Migliaia 56 2 8" xfId="49182" xr:uid="{00000000-0005-0000-0000-00005BC50000}"/>
    <cellStyle name="Migliaia 56 2 9" xfId="49587" xr:uid="{00000000-0005-0000-0000-00005CC50000}"/>
    <cellStyle name="Migliaia 56 3" xfId="491" xr:uid="{00000000-0005-0000-0000-00005DC50000}"/>
    <cellStyle name="Migliaia 56 3 10" xfId="49994" xr:uid="{00000000-0005-0000-0000-00005EC50000}"/>
    <cellStyle name="Migliaia 56 3 11" xfId="50402" xr:uid="{00000000-0005-0000-0000-00005FC50000}"/>
    <cellStyle name="Migliaia 56 3 12" xfId="50844" xr:uid="{00000000-0005-0000-0000-000060C50000}"/>
    <cellStyle name="Migliaia 56 3 13" xfId="51563" xr:uid="{00000000-0005-0000-0000-000061C50000}"/>
    <cellStyle name="Migliaia 56 3 14" xfId="51976" xr:uid="{00000000-0005-0000-0000-000062C50000}"/>
    <cellStyle name="Migliaia 56 3 15" xfId="52591" xr:uid="{00000000-0005-0000-0000-000063C50000}"/>
    <cellStyle name="Migliaia 56 3 2" xfId="492" xr:uid="{00000000-0005-0000-0000-000064C50000}"/>
    <cellStyle name="Migliaia 56 3 2 10" xfId="50403" xr:uid="{00000000-0005-0000-0000-000065C50000}"/>
    <cellStyle name="Migliaia 56 3 2 11" xfId="50845" xr:uid="{00000000-0005-0000-0000-000066C50000}"/>
    <cellStyle name="Migliaia 56 3 2 12" xfId="51564" xr:uid="{00000000-0005-0000-0000-000067C50000}"/>
    <cellStyle name="Migliaia 56 3 2 13" xfId="51977" xr:uid="{00000000-0005-0000-0000-000068C50000}"/>
    <cellStyle name="Migliaia 56 3 2 14" xfId="52592" xr:uid="{00000000-0005-0000-0000-000069C50000}"/>
    <cellStyle name="Migliaia 56 3 2 2" xfId="9361" xr:uid="{00000000-0005-0000-0000-00006AC50000}"/>
    <cellStyle name="Migliaia 56 3 2 2 2" xfId="54966" xr:uid="{00000000-0005-0000-0000-00006BC50000}"/>
    <cellStyle name="Migliaia 56 3 2 3" xfId="9942" xr:uid="{00000000-0005-0000-0000-00006CC50000}"/>
    <cellStyle name="Migliaia 56 3 2 3 2" xfId="26268" xr:uid="{00000000-0005-0000-0000-00006DC50000}"/>
    <cellStyle name="Migliaia 56 3 2 3 3" xfId="41246" xr:uid="{00000000-0005-0000-0000-00006EC50000}"/>
    <cellStyle name="Migliaia 56 3 2 3 4" xfId="55874" xr:uid="{00000000-0005-0000-0000-00006FC50000}"/>
    <cellStyle name="Migliaia 56 3 2 4" xfId="17351" xr:uid="{00000000-0005-0000-0000-000070C50000}"/>
    <cellStyle name="Migliaia 56 3 2 4 2" xfId="33467" xr:uid="{00000000-0005-0000-0000-000071C50000}"/>
    <cellStyle name="Migliaia 56 3 2 4 3" xfId="48428" xr:uid="{00000000-0005-0000-0000-000072C50000}"/>
    <cellStyle name="Migliaia 56 3 2 5" xfId="19249" xr:uid="{00000000-0005-0000-0000-000073C50000}"/>
    <cellStyle name="Migliaia 56 3 2 6" xfId="34244" xr:uid="{00000000-0005-0000-0000-000074C50000}"/>
    <cellStyle name="Migliaia 56 3 2 7" xfId="49184" xr:uid="{00000000-0005-0000-0000-000075C50000}"/>
    <cellStyle name="Migliaia 56 3 2 8" xfId="49589" xr:uid="{00000000-0005-0000-0000-000076C50000}"/>
    <cellStyle name="Migliaia 56 3 2 9" xfId="49995" xr:uid="{00000000-0005-0000-0000-000077C50000}"/>
    <cellStyle name="Migliaia 56 3 3" xfId="9360" xr:uid="{00000000-0005-0000-0000-000078C50000}"/>
    <cellStyle name="Migliaia 56 3 3 2" xfId="18398" xr:uid="{00000000-0005-0000-0000-000079C50000}"/>
    <cellStyle name="Migliaia 56 3 3 2 2" xfId="33865" xr:uid="{00000000-0005-0000-0000-00007AC50000}"/>
    <cellStyle name="Migliaia 56 3 3 2 2 2" xfId="55350" xr:uid="{00000000-0005-0000-0000-00007BC50000}"/>
    <cellStyle name="Migliaia 56 3 3 2 3" xfId="48826" xr:uid="{00000000-0005-0000-0000-00007CC50000}"/>
    <cellStyle name="Migliaia 56 3 3 2 3 2" xfId="56272" xr:uid="{00000000-0005-0000-0000-00007DC50000}"/>
    <cellStyle name="Migliaia 56 3 3 2 4" xfId="52995" xr:uid="{00000000-0005-0000-0000-00007EC50000}"/>
    <cellStyle name="Migliaia 56 3 3 3" xfId="17352" xr:uid="{00000000-0005-0000-0000-00007FC50000}"/>
    <cellStyle name="Migliaia 56 3 3 3 2" xfId="33468" xr:uid="{00000000-0005-0000-0000-000080C50000}"/>
    <cellStyle name="Migliaia 56 3 3 3 3" xfId="48429" xr:uid="{00000000-0005-0000-0000-000081C50000}"/>
    <cellStyle name="Migliaia 56 3 3 3 4" xfId="54967" xr:uid="{00000000-0005-0000-0000-000082C50000}"/>
    <cellStyle name="Migliaia 56 3 3 4" xfId="55875" xr:uid="{00000000-0005-0000-0000-000083C50000}"/>
    <cellStyle name="Migliaia 56 3 3 5" xfId="52593" xr:uid="{00000000-0005-0000-0000-000084C50000}"/>
    <cellStyle name="Migliaia 56 3 4" xfId="9941" xr:uid="{00000000-0005-0000-0000-000085C50000}"/>
    <cellStyle name="Migliaia 56 3 4 2" xfId="18397" xr:uid="{00000000-0005-0000-0000-000086C50000}"/>
    <cellStyle name="Migliaia 56 3 4 2 2" xfId="33864" xr:uid="{00000000-0005-0000-0000-000087C50000}"/>
    <cellStyle name="Migliaia 56 3 4 2 3" xfId="48825" xr:uid="{00000000-0005-0000-0000-000088C50000}"/>
    <cellStyle name="Migliaia 56 3 4 2 4" xfId="55349" xr:uid="{00000000-0005-0000-0000-000089C50000}"/>
    <cellStyle name="Migliaia 56 3 4 3" xfId="26267" xr:uid="{00000000-0005-0000-0000-00008AC50000}"/>
    <cellStyle name="Migliaia 56 3 4 3 2" xfId="56271" xr:uid="{00000000-0005-0000-0000-00008BC50000}"/>
    <cellStyle name="Migliaia 56 3 4 4" xfId="41245" xr:uid="{00000000-0005-0000-0000-00008CC50000}"/>
    <cellStyle name="Migliaia 56 3 4 5" xfId="52994" xr:uid="{00000000-0005-0000-0000-00008DC50000}"/>
    <cellStyle name="Migliaia 56 3 5" xfId="17350" xr:uid="{00000000-0005-0000-0000-00008EC50000}"/>
    <cellStyle name="Migliaia 56 3 5 2" xfId="33466" xr:uid="{00000000-0005-0000-0000-00008FC50000}"/>
    <cellStyle name="Migliaia 56 3 5 3" xfId="48427" xr:uid="{00000000-0005-0000-0000-000090C50000}"/>
    <cellStyle name="Migliaia 56 3 5 4" xfId="54965" xr:uid="{00000000-0005-0000-0000-000091C50000}"/>
    <cellStyle name="Migliaia 56 3 6" xfId="19248" xr:uid="{00000000-0005-0000-0000-000092C50000}"/>
    <cellStyle name="Migliaia 56 3 6 2" xfId="55873" xr:uid="{00000000-0005-0000-0000-000093C50000}"/>
    <cellStyle name="Migliaia 56 3 7" xfId="34243" xr:uid="{00000000-0005-0000-0000-000094C50000}"/>
    <cellStyle name="Migliaia 56 3 8" xfId="49183" xr:uid="{00000000-0005-0000-0000-000095C50000}"/>
    <cellStyle name="Migliaia 56 3 9" xfId="49588" xr:uid="{00000000-0005-0000-0000-000096C50000}"/>
    <cellStyle name="Migliaia 56 4" xfId="9362" xr:uid="{00000000-0005-0000-0000-000097C50000}"/>
    <cellStyle name="Migliaia 56 4 2" xfId="17354" xr:uid="{00000000-0005-0000-0000-000098C50000}"/>
    <cellStyle name="Migliaia 56 4 2 2" xfId="18400" xr:uid="{00000000-0005-0000-0000-000099C50000}"/>
    <cellStyle name="Migliaia 56 4 2 2 2" xfId="33867" xr:uid="{00000000-0005-0000-0000-00009AC50000}"/>
    <cellStyle name="Migliaia 56 4 2 2 2 2" xfId="55352" xr:uid="{00000000-0005-0000-0000-00009BC50000}"/>
    <cellStyle name="Migliaia 56 4 2 2 3" xfId="48828" xr:uid="{00000000-0005-0000-0000-00009CC50000}"/>
    <cellStyle name="Migliaia 56 4 2 2 3 2" xfId="56274" xr:uid="{00000000-0005-0000-0000-00009DC50000}"/>
    <cellStyle name="Migliaia 56 4 2 2 4" xfId="52997" xr:uid="{00000000-0005-0000-0000-00009EC50000}"/>
    <cellStyle name="Migliaia 56 4 2 3" xfId="33470" xr:uid="{00000000-0005-0000-0000-00009FC50000}"/>
    <cellStyle name="Migliaia 56 4 2 3 2" xfId="54969" xr:uid="{00000000-0005-0000-0000-0000A0C50000}"/>
    <cellStyle name="Migliaia 56 4 2 4" xfId="48431" xr:uid="{00000000-0005-0000-0000-0000A1C50000}"/>
    <cellStyle name="Migliaia 56 4 2 4 2" xfId="55877" xr:uid="{00000000-0005-0000-0000-0000A2C50000}"/>
    <cellStyle name="Migliaia 56 4 2 5" xfId="52595" xr:uid="{00000000-0005-0000-0000-0000A3C50000}"/>
    <cellStyle name="Migliaia 56 4 3" xfId="18399" xr:uid="{00000000-0005-0000-0000-0000A4C50000}"/>
    <cellStyle name="Migliaia 56 4 3 2" xfId="33866" xr:uid="{00000000-0005-0000-0000-0000A5C50000}"/>
    <cellStyle name="Migliaia 56 4 3 2 2" xfId="55351" xr:uid="{00000000-0005-0000-0000-0000A6C50000}"/>
    <cellStyle name="Migliaia 56 4 3 3" xfId="48827" xr:uid="{00000000-0005-0000-0000-0000A7C50000}"/>
    <cellStyle name="Migliaia 56 4 3 3 2" xfId="56273" xr:uid="{00000000-0005-0000-0000-0000A8C50000}"/>
    <cellStyle name="Migliaia 56 4 3 4" xfId="52996" xr:uid="{00000000-0005-0000-0000-0000A9C50000}"/>
    <cellStyle name="Migliaia 56 4 4" xfId="17353" xr:uid="{00000000-0005-0000-0000-0000AAC50000}"/>
    <cellStyle name="Migliaia 56 4 4 2" xfId="33469" xr:uid="{00000000-0005-0000-0000-0000ABC50000}"/>
    <cellStyle name="Migliaia 56 4 4 3" xfId="48430" xr:uid="{00000000-0005-0000-0000-0000ACC50000}"/>
    <cellStyle name="Migliaia 56 4 4 4" xfId="54968" xr:uid="{00000000-0005-0000-0000-0000ADC50000}"/>
    <cellStyle name="Migliaia 56 4 5" xfId="51186" xr:uid="{00000000-0005-0000-0000-0000AEC50000}"/>
    <cellStyle name="Migliaia 56 4 5 2" xfId="55876" xr:uid="{00000000-0005-0000-0000-0000AFC50000}"/>
    <cellStyle name="Migliaia 56 4 6" xfId="52594" xr:uid="{00000000-0005-0000-0000-0000B0C50000}"/>
    <cellStyle name="Migliaia 56 5" xfId="9363" xr:uid="{00000000-0005-0000-0000-0000B1C50000}"/>
    <cellStyle name="Migliaia 56 5 2" xfId="17355" xr:uid="{00000000-0005-0000-0000-0000B2C50000}"/>
    <cellStyle name="Migliaia 56 5 2 2" xfId="33471" xr:uid="{00000000-0005-0000-0000-0000B3C50000}"/>
    <cellStyle name="Migliaia 56 5 2 3" xfId="48432" xr:uid="{00000000-0005-0000-0000-0000B4C50000}"/>
    <cellStyle name="Migliaia 56 5 2 4" xfId="54970" xr:uid="{00000000-0005-0000-0000-0000B5C50000}"/>
    <cellStyle name="Migliaia 56 5 3" xfId="51113" xr:uid="{00000000-0005-0000-0000-0000B6C50000}"/>
    <cellStyle name="Migliaia 56 5 3 2" xfId="55878" xr:uid="{00000000-0005-0000-0000-0000B7C50000}"/>
    <cellStyle name="Migliaia 56 5 4" xfId="52596" xr:uid="{00000000-0005-0000-0000-0000B8C50000}"/>
    <cellStyle name="Migliaia 56 6" xfId="9358" xr:uid="{00000000-0005-0000-0000-0000B9C50000}"/>
    <cellStyle name="Migliaia 56 6 2" xfId="50898" xr:uid="{00000000-0005-0000-0000-0000BAC50000}"/>
    <cellStyle name="Migliaia 56 6 3" xfId="54578" xr:uid="{00000000-0005-0000-0000-0000BBC50000}"/>
    <cellStyle name="Migliaia 56 7" xfId="9939" xr:uid="{00000000-0005-0000-0000-0000BCC50000}"/>
    <cellStyle name="Migliaia 56 7 2" xfId="26265" xr:uid="{00000000-0005-0000-0000-0000BDC50000}"/>
    <cellStyle name="Migliaia 56 7 3" xfId="41243" xr:uid="{00000000-0005-0000-0000-0000BEC50000}"/>
    <cellStyle name="Migliaia 56 7 4" xfId="55871" xr:uid="{00000000-0005-0000-0000-0000BFC50000}"/>
    <cellStyle name="Migliaia 56 8" xfId="17348" xr:uid="{00000000-0005-0000-0000-0000C0C50000}"/>
    <cellStyle name="Migliaia 56 8 2" xfId="33464" xr:uid="{00000000-0005-0000-0000-0000C1C50000}"/>
    <cellStyle name="Migliaia 56 8 3" xfId="48425" xr:uid="{00000000-0005-0000-0000-0000C2C50000}"/>
    <cellStyle name="Migliaia 56 9" xfId="19246" xr:uid="{00000000-0005-0000-0000-0000C3C50000}"/>
    <cellStyle name="Migliaia 57" xfId="493" xr:uid="{00000000-0005-0000-0000-0000C4C50000}"/>
    <cellStyle name="Migliaia 57 10" xfId="34245" xr:uid="{00000000-0005-0000-0000-0000C5C50000}"/>
    <cellStyle name="Migliaia 57 11" xfId="49185" xr:uid="{00000000-0005-0000-0000-0000C6C50000}"/>
    <cellStyle name="Migliaia 57 12" xfId="49590" xr:uid="{00000000-0005-0000-0000-0000C7C50000}"/>
    <cellStyle name="Migliaia 57 13" xfId="49996" xr:uid="{00000000-0005-0000-0000-0000C8C50000}"/>
    <cellStyle name="Migliaia 57 14" xfId="50404" xr:uid="{00000000-0005-0000-0000-0000C9C50000}"/>
    <cellStyle name="Migliaia 57 15" xfId="50846" xr:uid="{00000000-0005-0000-0000-0000CAC50000}"/>
    <cellStyle name="Migliaia 57 16" xfId="51565" xr:uid="{00000000-0005-0000-0000-0000CBC50000}"/>
    <cellStyle name="Migliaia 57 17" xfId="51978" xr:uid="{00000000-0005-0000-0000-0000CCC50000}"/>
    <cellStyle name="Migliaia 57 18" xfId="52597" xr:uid="{00000000-0005-0000-0000-0000CDC50000}"/>
    <cellStyle name="Migliaia 57 2" xfId="494" xr:uid="{00000000-0005-0000-0000-0000CEC50000}"/>
    <cellStyle name="Migliaia 57 2 10" xfId="49997" xr:uid="{00000000-0005-0000-0000-0000CFC50000}"/>
    <cellStyle name="Migliaia 57 2 11" xfId="50405" xr:uid="{00000000-0005-0000-0000-0000D0C50000}"/>
    <cellStyle name="Migliaia 57 2 12" xfId="50847" xr:uid="{00000000-0005-0000-0000-0000D1C50000}"/>
    <cellStyle name="Migliaia 57 2 13" xfId="51566" xr:uid="{00000000-0005-0000-0000-0000D2C50000}"/>
    <cellStyle name="Migliaia 57 2 14" xfId="51979" xr:uid="{00000000-0005-0000-0000-0000D3C50000}"/>
    <cellStyle name="Migliaia 57 2 15" xfId="52598" xr:uid="{00000000-0005-0000-0000-0000D4C50000}"/>
    <cellStyle name="Migliaia 57 2 2" xfId="1295" xr:uid="{00000000-0005-0000-0000-0000D5C50000}"/>
    <cellStyle name="Migliaia 57 2 2 10" xfId="51089" xr:uid="{00000000-0005-0000-0000-0000D6C50000}"/>
    <cellStyle name="Migliaia 57 2 2 11" xfId="51685" xr:uid="{00000000-0005-0000-0000-0000D7C50000}"/>
    <cellStyle name="Migliaia 57 2 2 12" xfId="52106" xr:uid="{00000000-0005-0000-0000-0000D8C50000}"/>
    <cellStyle name="Migliaia 57 2 2 13" xfId="52998" xr:uid="{00000000-0005-0000-0000-0000D9C50000}"/>
    <cellStyle name="Migliaia 57 2 2 2" xfId="10063" xr:uid="{00000000-0005-0000-0000-0000DAC50000}"/>
    <cellStyle name="Migliaia 57 2 2 2 2" xfId="26384" xr:uid="{00000000-0005-0000-0000-0000DBC50000}"/>
    <cellStyle name="Migliaia 57 2 2 2 3" xfId="41352" xr:uid="{00000000-0005-0000-0000-0000DCC50000}"/>
    <cellStyle name="Migliaia 57 2 2 2 4" xfId="55353" xr:uid="{00000000-0005-0000-0000-0000DDC50000}"/>
    <cellStyle name="Migliaia 57 2 2 3" xfId="18401" xr:uid="{00000000-0005-0000-0000-0000DEC50000}"/>
    <cellStyle name="Migliaia 57 2 2 3 2" xfId="33868" xr:uid="{00000000-0005-0000-0000-0000DFC50000}"/>
    <cellStyle name="Migliaia 57 2 2 3 3" xfId="48829" xr:uid="{00000000-0005-0000-0000-0000E0C50000}"/>
    <cellStyle name="Migliaia 57 2 2 3 4" xfId="56275" xr:uid="{00000000-0005-0000-0000-0000E1C50000}"/>
    <cellStyle name="Migliaia 57 2 2 4" xfId="19363" xr:uid="{00000000-0005-0000-0000-0000E2C50000}"/>
    <cellStyle name="Migliaia 57 2 2 5" xfId="34353" xr:uid="{00000000-0005-0000-0000-0000E3C50000}"/>
    <cellStyle name="Migliaia 57 2 2 6" xfId="49305" xr:uid="{00000000-0005-0000-0000-0000E4C50000}"/>
    <cellStyle name="Migliaia 57 2 2 7" xfId="49710" xr:uid="{00000000-0005-0000-0000-0000E5C50000}"/>
    <cellStyle name="Migliaia 57 2 2 8" xfId="50119" xr:uid="{00000000-0005-0000-0000-0000E6C50000}"/>
    <cellStyle name="Migliaia 57 2 2 9" xfId="50524" xr:uid="{00000000-0005-0000-0000-0000E7C50000}"/>
    <cellStyle name="Migliaia 57 2 3" xfId="9365" xr:uid="{00000000-0005-0000-0000-0000E8C50000}"/>
    <cellStyle name="Migliaia 57 2 3 2" xfId="54643" xr:uid="{00000000-0005-0000-0000-0000E9C50000}"/>
    <cellStyle name="Migliaia 57 2 4" xfId="9944" xr:uid="{00000000-0005-0000-0000-0000EAC50000}"/>
    <cellStyle name="Migliaia 57 2 4 2" xfId="26270" xr:uid="{00000000-0005-0000-0000-0000EBC50000}"/>
    <cellStyle name="Migliaia 57 2 4 3" xfId="41248" xr:uid="{00000000-0005-0000-0000-0000ECC50000}"/>
    <cellStyle name="Migliaia 57 2 4 4" xfId="55880" xr:uid="{00000000-0005-0000-0000-0000EDC50000}"/>
    <cellStyle name="Migliaia 57 2 5" xfId="17357" xr:uid="{00000000-0005-0000-0000-0000EEC50000}"/>
    <cellStyle name="Migliaia 57 2 5 2" xfId="33473" xr:uid="{00000000-0005-0000-0000-0000EFC50000}"/>
    <cellStyle name="Migliaia 57 2 5 3" xfId="48434" xr:uid="{00000000-0005-0000-0000-0000F0C50000}"/>
    <cellStyle name="Migliaia 57 2 6" xfId="19251" xr:uid="{00000000-0005-0000-0000-0000F1C50000}"/>
    <cellStyle name="Migliaia 57 2 7" xfId="34246" xr:uid="{00000000-0005-0000-0000-0000F2C50000}"/>
    <cellStyle name="Migliaia 57 2 8" xfId="49186" xr:uid="{00000000-0005-0000-0000-0000F3C50000}"/>
    <cellStyle name="Migliaia 57 2 9" xfId="49591" xr:uid="{00000000-0005-0000-0000-0000F4C50000}"/>
    <cellStyle name="Migliaia 57 3" xfId="495" xr:uid="{00000000-0005-0000-0000-0000F5C50000}"/>
    <cellStyle name="Migliaia 57 3 10" xfId="49998" xr:uid="{00000000-0005-0000-0000-0000F6C50000}"/>
    <cellStyle name="Migliaia 57 3 11" xfId="50406" xr:uid="{00000000-0005-0000-0000-0000F7C50000}"/>
    <cellStyle name="Migliaia 57 3 12" xfId="50848" xr:uid="{00000000-0005-0000-0000-0000F8C50000}"/>
    <cellStyle name="Migliaia 57 3 13" xfId="51567" xr:uid="{00000000-0005-0000-0000-0000F9C50000}"/>
    <cellStyle name="Migliaia 57 3 14" xfId="51980" xr:uid="{00000000-0005-0000-0000-0000FAC50000}"/>
    <cellStyle name="Migliaia 57 3 15" xfId="52599" xr:uid="{00000000-0005-0000-0000-0000FBC50000}"/>
    <cellStyle name="Migliaia 57 3 2" xfId="496" xr:uid="{00000000-0005-0000-0000-0000FCC50000}"/>
    <cellStyle name="Migliaia 57 3 2 10" xfId="50407" xr:uid="{00000000-0005-0000-0000-0000FDC50000}"/>
    <cellStyle name="Migliaia 57 3 2 11" xfId="50849" xr:uid="{00000000-0005-0000-0000-0000FEC50000}"/>
    <cellStyle name="Migliaia 57 3 2 12" xfId="51568" xr:uid="{00000000-0005-0000-0000-0000FFC50000}"/>
    <cellStyle name="Migliaia 57 3 2 13" xfId="51981" xr:uid="{00000000-0005-0000-0000-000000C60000}"/>
    <cellStyle name="Migliaia 57 3 2 14" xfId="52600" xr:uid="{00000000-0005-0000-0000-000001C60000}"/>
    <cellStyle name="Migliaia 57 3 2 2" xfId="9367" xr:uid="{00000000-0005-0000-0000-000002C60000}"/>
    <cellStyle name="Migliaia 57 3 2 2 2" xfId="54972" xr:uid="{00000000-0005-0000-0000-000003C60000}"/>
    <cellStyle name="Migliaia 57 3 2 3" xfId="9946" xr:uid="{00000000-0005-0000-0000-000004C60000}"/>
    <cellStyle name="Migliaia 57 3 2 3 2" xfId="26272" xr:uid="{00000000-0005-0000-0000-000005C60000}"/>
    <cellStyle name="Migliaia 57 3 2 3 3" xfId="41250" xr:uid="{00000000-0005-0000-0000-000006C60000}"/>
    <cellStyle name="Migliaia 57 3 2 3 4" xfId="55882" xr:uid="{00000000-0005-0000-0000-000007C60000}"/>
    <cellStyle name="Migliaia 57 3 2 4" xfId="17359" xr:uid="{00000000-0005-0000-0000-000008C60000}"/>
    <cellStyle name="Migliaia 57 3 2 4 2" xfId="33475" xr:uid="{00000000-0005-0000-0000-000009C60000}"/>
    <cellStyle name="Migliaia 57 3 2 4 3" xfId="48436" xr:uid="{00000000-0005-0000-0000-00000AC60000}"/>
    <cellStyle name="Migliaia 57 3 2 5" xfId="19253" xr:uid="{00000000-0005-0000-0000-00000BC60000}"/>
    <cellStyle name="Migliaia 57 3 2 6" xfId="34248" xr:uid="{00000000-0005-0000-0000-00000CC60000}"/>
    <cellStyle name="Migliaia 57 3 2 7" xfId="49188" xr:uid="{00000000-0005-0000-0000-00000DC60000}"/>
    <cellStyle name="Migliaia 57 3 2 8" xfId="49593" xr:uid="{00000000-0005-0000-0000-00000EC60000}"/>
    <cellStyle name="Migliaia 57 3 2 9" xfId="49999" xr:uid="{00000000-0005-0000-0000-00000FC60000}"/>
    <cellStyle name="Migliaia 57 3 3" xfId="9366" xr:uid="{00000000-0005-0000-0000-000010C60000}"/>
    <cellStyle name="Migliaia 57 3 3 2" xfId="18403" xr:uid="{00000000-0005-0000-0000-000011C60000}"/>
    <cellStyle name="Migliaia 57 3 3 2 2" xfId="33870" xr:uid="{00000000-0005-0000-0000-000012C60000}"/>
    <cellStyle name="Migliaia 57 3 3 2 2 2" xfId="55355" xr:uid="{00000000-0005-0000-0000-000013C60000}"/>
    <cellStyle name="Migliaia 57 3 3 2 3" xfId="48831" xr:uid="{00000000-0005-0000-0000-000014C60000}"/>
    <cellStyle name="Migliaia 57 3 3 2 3 2" xfId="56277" xr:uid="{00000000-0005-0000-0000-000015C60000}"/>
    <cellStyle name="Migliaia 57 3 3 2 4" xfId="53000" xr:uid="{00000000-0005-0000-0000-000016C60000}"/>
    <cellStyle name="Migliaia 57 3 3 3" xfId="17360" xr:uid="{00000000-0005-0000-0000-000017C60000}"/>
    <cellStyle name="Migliaia 57 3 3 3 2" xfId="33476" xr:uid="{00000000-0005-0000-0000-000018C60000}"/>
    <cellStyle name="Migliaia 57 3 3 3 3" xfId="48437" xr:uid="{00000000-0005-0000-0000-000019C60000}"/>
    <cellStyle name="Migliaia 57 3 3 3 4" xfId="54973" xr:uid="{00000000-0005-0000-0000-00001AC60000}"/>
    <cellStyle name="Migliaia 57 3 3 4" xfId="55883" xr:uid="{00000000-0005-0000-0000-00001BC60000}"/>
    <cellStyle name="Migliaia 57 3 3 5" xfId="52601" xr:uid="{00000000-0005-0000-0000-00001CC60000}"/>
    <cellStyle name="Migliaia 57 3 4" xfId="9945" xr:uid="{00000000-0005-0000-0000-00001DC60000}"/>
    <cellStyle name="Migliaia 57 3 4 2" xfId="18402" xr:uid="{00000000-0005-0000-0000-00001EC60000}"/>
    <cellStyle name="Migliaia 57 3 4 2 2" xfId="33869" xr:uid="{00000000-0005-0000-0000-00001FC60000}"/>
    <cellStyle name="Migliaia 57 3 4 2 3" xfId="48830" xr:uid="{00000000-0005-0000-0000-000020C60000}"/>
    <cellStyle name="Migliaia 57 3 4 2 4" xfId="55354" xr:uid="{00000000-0005-0000-0000-000021C60000}"/>
    <cellStyle name="Migliaia 57 3 4 3" xfId="26271" xr:uid="{00000000-0005-0000-0000-000022C60000}"/>
    <cellStyle name="Migliaia 57 3 4 3 2" xfId="56276" xr:uid="{00000000-0005-0000-0000-000023C60000}"/>
    <cellStyle name="Migliaia 57 3 4 4" xfId="41249" xr:uid="{00000000-0005-0000-0000-000024C60000}"/>
    <cellStyle name="Migliaia 57 3 4 5" xfId="52999" xr:uid="{00000000-0005-0000-0000-000025C60000}"/>
    <cellStyle name="Migliaia 57 3 5" xfId="17358" xr:uid="{00000000-0005-0000-0000-000026C60000}"/>
    <cellStyle name="Migliaia 57 3 5 2" xfId="33474" xr:uid="{00000000-0005-0000-0000-000027C60000}"/>
    <cellStyle name="Migliaia 57 3 5 3" xfId="48435" xr:uid="{00000000-0005-0000-0000-000028C60000}"/>
    <cellStyle name="Migliaia 57 3 5 4" xfId="54971" xr:uid="{00000000-0005-0000-0000-000029C60000}"/>
    <cellStyle name="Migliaia 57 3 6" xfId="19252" xr:uid="{00000000-0005-0000-0000-00002AC60000}"/>
    <cellStyle name="Migliaia 57 3 6 2" xfId="55881" xr:uid="{00000000-0005-0000-0000-00002BC60000}"/>
    <cellStyle name="Migliaia 57 3 7" xfId="34247" xr:uid="{00000000-0005-0000-0000-00002CC60000}"/>
    <cellStyle name="Migliaia 57 3 8" xfId="49187" xr:uid="{00000000-0005-0000-0000-00002DC60000}"/>
    <cellStyle name="Migliaia 57 3 9" xfId="49592" xr:uid="{00000000-0005-0000-0000-00002EC60000}"/>
    <cellStyle name="Migliaia 57 4" xfId="9368" xr:uid="{00000000-0005-0000-0000-00002FC60000}"/>
    <cellStyle name="Migliaia 57 4 2" xfId="17362" xr:uid="{00000000-0005-0000-0000-000030C60000}"/>
    <cellStyle name="Migliaia 57 4 2 2" xfId="18405" xr:uid="{00000000-0005-0000-0000-000031C60000}"/>
    <cellStyle name="Migliaia 57 4 2 2 2" xfId="33872" xr:uid="{00000000-0005-0000-0000-000032C60000}"/>
    <cellStyle name="Migliaia 57 4 2 2 2 2" xfId="55357" xr:uid="{00000000-0005-0000-0000-000033C60000}"/>
    <cellStyle name="Migliaia 57 4 2 2 3" xfId="48833" xr:uid="{00000000-0005-0000-0000-000034C60000}"/>
    <cellStyle name="Migliaia 57 4 2 2 3 2" xfId="56279" xr:uid="{00000000-0005-0000-0000-000035C60000}"/>
    <cellStyle name="Migliaia 57 4 2 2 4" xfId="53002" xr:uid="{00000000-0005-0000-0000-000036C60000}"/>
    <cellStyle name="Migliaia 57 4 2 3" xfId="33478" xr:uid="{00000000-0005-0000-0000-000037C60000}"/>
    <cellStyle name="Migliaia 57 4 2 3 2" xfId="54975" xr:uid="{00000000-0005-0000-0000-000038C60000}"/>
    <cellStyle name="Migliaia 57 4 2 4" xfId="48439" xr:uid="{00000000-0005-0000-0000-000039C60000}"/>
    <cellStyle name="Migliaia 57 4 2 4 2" xfId="55885" xr:uid="{00000000-0005-0000-0000-00003AC60000}"/>
    <cellStyle name="Migliaia 57 4 2 5" xfId="52603" xr:uid="{00000000-0005-0000-0000-00003BC60000}"/>
    <cellStyle name="Migliaia 57 4 3" xfId="18404" xr:uid="{00000000-0005-0000-0000-00003CC60000}"/>
    <cellStyle name="Migliaia 57 4 3 2" xfId="33871" xr:uid="{00000000-0005-0000-0000-00003DC60000}"/>
    <cellStyle name="Migliaia 57 4 3 2 2" xfId="55356" xr:uid="{00000000-0005-0000-0000-00003EC60000}"/>
    <cellStyle name="Migliaia 57 4 3 3" xfId="48832" xr:uid="{00000000-0005-0000-0000-00003FC60000}"/>
    <cellStyle name="Migliaia 57 4 3 3 2" xfId="56278" xr:uid="{00000000-0005-0000-0000-000040C60000}"/>
    <cellStyle name="Migliaia 57 4 3 4" xfId="53001" xr:uid="{00000000-0005-0000-0000-000041C60000}"/>
    <cellStyle name="Migliaia 57 4 4" xfId="17361" xr:uid="{00000000-0005-0000-0000-000042C60000}"/>
    <cellStyle name="Migliaia 57 4 4 2" xfId="33477" xr:uid="{00000000-0005-0000-0000-000043C60000}"/>
    <cellStyle name="Migliaia 57 4 4 3" xfId="48438" xr:uid="{00000000-0005-0000-0000-000044C60000}"/>
    <cellStyle name="Migliaia 57 4 4 4" xfId="54974" xr:uid="{00000000-0005-0000-0000-000045C60000}"/>
    <cellStyle name="Migliaia 57 4 5" xfId="50897" xr:uid="{00000000-0005-0000-0000-000046C60000}"/>
    <cellStyle name="Migliaia 57 4 5 2" xfId="55884" xr:uid="{00000000-0005-0000-0000-000047C60000}"/>
    <cellStyle name="Migliaia 57 4 6" xfId="52602" xr:uid="{00000000-0005-0000-0000-000048C60000}"/>
    <cellStyle name="Migliaia 57 5" xfId="9369" xr:uid="{00000000-0005-0000-0000-000049C60000}"/>
    <cellStyle name="Migliaia 57 5 2" xfId="17363" xr:uid="{00000000-0005-0000-0000-00004AC60000}"/>
    <cellStyle name="Migliaia 57 5 2 2" xfId="33479" xr:uid="{00000000-0005-0000-0000-00004BC60000}"/>
    <cellStyle name="Migliaia 57 5 2 3" xfId="48440" xr:uid="{00000000-0005-0000-0000-00004CC60000}"/>
    <cellStyle name="Migliaia 57 5 2 4" xfId="54976" xr:uid="{00000000-0005-0000-0000-00004DC60000}"/>
    <cellStyle name="Migliaia 57 5 3" xfId="51112" xr:uid="{00000000-0005-0000-0000-00004EC60000}"/>
    <cellStyle name="Migliaia 57 5 3 2" xfId="55886" xr:uid="{00000000-0005-0000-0000-00004FC60000}"/>
    <cellStyle name="Migliaia 57 5 4" xfId="52604" xr:uid="{00000000-0005-0000-0000-000050C60000}"/>
    <cellStyle name="Migliaia 57 6" xfId="9364" xr:uid="{00000000-0005-0000-0000-000051C60000}"/>
    <cellStyle name="Migliaia 57 6 2" xfId="50896" xr:uid="{00000000-0005-0000-0000-000052C60000}"/>
    <cellStyle name="Migliaia 57 6 3" xfId="54579" xr:uid="{00000000-0005-0000-0000-000053C60000}"/>
    <cellStyle name="Migliaia 57 7" xfId="9943" xr:uid="{00000000-0005-0000-0000-000054C60000}"/>
    <cellStyle name="Migliaia 57 7 2" xfId="26269" xr:uid="{00000000-0005-0000-0000-000055C60000}"/>
    <cellStyle name="Migliaia 57 7 3" xfId="41247" xr:uid="{00000000-0005-0000-0000-000056C60000}"/>
    <cellStyle name="Migliaia 57 7 4" xfId="55879" xr:uid="{00000000-0005-0000-0000-000057C60000}"/>
    <cellStyle name="Migliaia 57 8" xfId="17356" xr:uid="{00000000-0005-0000-0000-000058C60000}"/>
    <cellStyle name="Migliaia 57 8 2" xfId="33472" xr:uid="{00000000-0005-0000-0000-000059C60000}"/>
    <cellStyle name="Migliaia 57 8 3" xfId="48433" xr:uid="{00000000-0005-0000-0000-00005AC60000}"/>
    <cellStyle name="Migliaia 57 9" xfId="19250" xr:uid="{00000000-0005-0000-0000-00005BC60000}"/>
    <cellStyle name="Migliaia 58" xfId="497" xr:uid="{00000000-0005-0000-0000-00005CC60000}"/>
    <cellStyle name="Migliaia 58 10" xfId="34249" xr:uid="{00000000-0005-0000-0000-00005DC60000}"/>
    <cellStyle name="Migliaia 58 11" xfId="49189" xr:uid="{00000000-0005-0000-0000-00005EC60000}"/>
    <cellStyle name="Migliaia 58 12" xfId="49594" xr:uid="{00000000-0005-0000-0000-00005FC60000}"/>
    <cellStyle name="Migliaia 58 13" xfId="50000" xr:uid="{00000000-0005-0000-0000-000060C60000}"/>
    <cellStyle name="Migliaia 58 14" xfId="50408" xr:uid="{00000000-0005-0000-0000-000061C60000}"/>
    <cellStyle name="Migliaia 58 15" xfId="50850" xr:uid="{00000000-0005-0000-0000-000062C60000}"/>
    <cellStyle name="Migliaia 58 16" xfId="51569" xr:uid="{00000000-0005-0000-0000-000063C60000}"/>
    <cellStyle name="Migliaia 58 17" xfId="51982" xr:uid="{00000000-0005-0000-0000-000064C60000}"/>
    <cellStyle name="Migliaia 58 18" xfId="52605" xr:uid="{00000000-0005-0000-0000-000065C60000}"/>
    <cellStyle name="Migliaia 58 2" xfId="498" xr:uid="{00000000-0005-0000-0000-000066C60000}"/>
    <cellStyle name="Migliaia 58 2 10" xfId="50001" xr:uid="{00000000-0005-0000-0000-000067C60000}"/>
    <cellStyle name="Migliaia 58 2 11" xfId="50409" xr:uid="{00000000-0005-0000-0000-000068C60000}"/>
    <cellStyle name="Migliaia 58 2 12" xfId="50851" xr:uid="{00000000-0005-0000-0000-000069C60000}"/>
    <cellStyle name="Migliaia 58 2 13" xfId="51570" xr:uid="{00000000-0005-0000-0000-00006AC60000}"/>
    <cellStyle name="Migliaia 58 2 14" xfId="51983" xr:uid="{00000000-0005-0000-0000-00006BC60000}"/>
    <cellStyle name="Migliaia 58 2 15" xfId="52606" xr:uid="{00000000-0005-0000-0000-00006CC60000}"/>
    <cellStyle name="Migliaia 58 2 2" xfId="1296" xr:uid="{00000000-0005-0000-0000-00006DC60000}"/>
    <cellStyle name="Migliaia 58 2 2 10" xfId="51090" xr:uid="{00000000-0005-0000-0000-00006EC60000}"/>
    <cellStyle name="Migliaia 58 2 2 11" xfId="51686" xr:uid="{00000000-0005-0000-0000-00006FC60000}"/>
    <cellStyle name="Migliaia 58 2 2 12" xfId="52107" xr:uid="{00000000-0005-0000-0000-000070C60000}"/>
    <cellStyle name="Migliaia 58 2 2 13" xfId="53003" xr:uid="{00000000-0005-0000-0000-000071C60000}"/>
    <cellStyle name="Migliaia 58 2 2 2" xfId="10064" xr:uid="{00000000-0005-0000-0000-000072C60000}"/>
    <cellStyle name="Migliaia 58 2 2 2 2" xfId="26385" xr:uid="{00000000-0005-0000-0000-000073C60000}"/>
    <cellStyle name="Migliaia 58 2 2 2 3" xfId="41353" xr:uid="{00000000-0005-0000-0000-000074C60000}"/>
    <cellStyle name="Migliaia 58 2 2 2 4" xfId="55358" xr:uid="{00000000-0005-0000-0000-000075C60000}"/>
    <cellStyle name="Migliaia 58 2 2 3" xfId="18406" xr:uid="{00000000-0005-0000-0000-000076C60000}"/>
    <cellStyle name="Migliaia 58 2 2 3 2" xfId="33873" xr:uid="{00000000-0005-0000-0000-000077C60000}"/>
    <cellStyle name="Migliaia 58 2 2 3 3" xfId="48834" xr:uid="{00000000-0005-0000-0000-000078C60000}"/>
    <cellStyle name="Migliaia 58 2 2 3 4" xfId="56280" xr:uid="{00000000-0005-0000-0000-000079C60000}"/>
    <cellStyle name="Migliaia 58 2 2 4" xfId="19364" xr:uid="{00000000-0005-0000-0000-00007AC60000}"/>
    <cellStyle name="Migliaia 58 2 2 5" xfId="34354" xr:uid="{00000000-0005-0000-0000-00007BC60000}"/>
    <cellStyle name="Migliaia 58 2 2 6" xfId="49306" xr:uid="{00000000-0005-0000-0000-00007CC60000}"/>
    <cellStyle name="Migliaia 58 2 2 7" xfId="49711" xr:uid="{00000000-0005-0000-0000-00007DC60000}"/>
    <cellStyle name="Migliaia 58 2 2 8" xfId="50120" xr:uid="{00000000-0005-0000-0000-00007EC60000}"/>
    <cellStyle name="Migliaia 58 2 2 9" xfId="50525" xr:uid="{00000000-0005-0000-0000-00007FC60000}"/>
    <cellStyle name="Migliaia 58 2 3" xfId="9371" xr:uid="{00000000-0005-0000-0000-000080C60000}"/>
    <cellStyle name="Migliaia 58 2 3 2" xfId="54644" xr:uid="{00000000-0005-0000-0000-000081C60000}"/>
    <cellStyle name="Migliaia 58 2 4" xfId="9948" xr:uid="{00000000-0005-0000-0000-000082C60000}"/>
    <cellStyle name="Migliaia 58 2 4 2" xfId="26274" xr:uid="{00000000-0005-0000-0000-000083C60000}"/>
    <cellStyle name="Migliaia 58 2 4 3" xfId="41252" xr:uid="{00000000-0005-0000-0000-000084C60000}"/>
    <cellStyle name="Migliaia 58 2 4 4" xfId="55888" xr:uid="{00000000-0005-0000-0000-000085C60000}"/>
    <cellStyle name="Migliaia 58 2 5" xfId="17365" xr:uid="{00000000-0005-0000-0000-000086C60000}"/>
    <cellStyle name="Migliaia 58 2 5 2" xfId="33481" xr:uid="{00000000-0005-0000-0000-000087C60000}"/>
    <cellStyle name="Migliaia 58 2 5 3" xfId="48442" xr:uid="{00000000-0005-0000-0000-000088C60000}"/>
    <cellStyle name="Migliaia 58 2 6" xfId="19255" xr:uid="{00000000-0005-0000-0000-000089C60000}"/>
    <cellStyle name="Migliaia 58 2 7" xfId="34250" xr:uid="{00000000-0005-0000-0000-00008AC60000}"/>
    <cellStyle name="Migliaia 58 2 8" xfId="49190" xr:uid="{00000000-0005-0000-0000-00008BC60000}"/>
    <cellStyle name="Migliaia 58 2 9" xfId="49595" xr:uid="{00000000-0005-0000-0000-00008CC60000}"/>
    <cellStyle name="Migliaia 58 3" xfId="499" xr:uid="{00000000-0005-0000-0000-00008DC60000}"/>
    <cellStyle name="Migliaia 58 3 10" xfId="50002" xr:uid="{00000000-0005-0000-0000-00008EC60000}"/>
    <cellStyle name="Migliaia 58 3 11" xfId="50410" xr:uid="{00000000-0005-0000-0000-00008FC60000}"/>
    <cellStyle name="Migliaia 58 3 12" xfId="50852" xr:uid="{00000000-0005-0000-0000-000090C60000}"/>
    <cellStyle name="Migliaia 58 3 13" xfId="51571" xr:uid="{00000000-0005-0000-0000-000091C60000}"/>
    <cellStyle name="Migliaia 58 3 14" xfId="51984" xr:uid="{00000000-0005-0000-0000-000092C60000}"/>
    <cellStyle name="Migliaia 58 3 15" xfId="52607" xr:uid="{00000000-0005-0000-0000-000093C60000}"/>
    <cellStyle name="Migliaia 58 3 2" xfId="500" xr:uid="{00000000-0005-0000-0000-000094C60000}"/>
    <cellStyle name="Migliaia 58 3 2 10" xfId="50411" xr:uid="{00000000-0005-0000-0000-000095C60000}"/>
    <cellStyle name="Migliaia 58 3 2 11" xfId="50853" xr:uid="{00000000-0005-0000-0000-000096C60000}"/>
    <cellStyle name="Migliaia 58 3 2 12" xfId="51572" xr:uid="{00000000-0005-0000-0000-000097C60000}"/>
    <cellStyle name="Migliaia 58 3 2 13" xfId="51985" xr:uid="{00000000-0005-0000-0000-000098C60000}"/>
    <cellStyle name="Migliaia 58 3 2 14" xfId="52608" xr:uid="{00000000-0005-0000-0000-000099C60000}"/>
    <cellStyle name="Migliaia 58 3 2 2" xfId="9373" xr:uid="{00000000-0005-0000-0000-00009AC60000}"/>
    <cellStyle name="Migliaia 58 3 2 2 2" xfId="54978" xr:uid="{00000000-0005-0000-0000-00009BC60000}"/>
    <cellStyle name="Migliaia 58 3 2 3" xfId="9950" xr:uid="{00000000-0005-0000-0000-00009CC60000}"/>
    <cellStyle name="Migliaia 58 3 2 3 2" xfId="26276" xr:uid="{00000000-0005-0000-0000-00009DC60000}"/>
    <cellStyle name="Migliaia 58 3 2 3 3" xfId="41254" xr:uid="{00000000-0005-0000-0000-00009EC60000}"/>
    <cellStyle name="Migliaia 58 3 2 3 4" xfId="55890" xr:uid="{00000000-0005-0000-0000-00009FC60000}"/>
    <cellStyle name="Migliaia 58 3 2 4" xfId="17367" xr:uid="{00000000-0005-0000-0000-0000A0C60000}"/>
    <cellStyle name="Migliaia 58 3 2 4 2" xfId="33483" xr:uid="{00000000-0005-0000-0000-0000A1C60000}"/>
    <cellStyle name="Migliaia 58 3 2 4 3" xfId="48444" xr:uid="{00000000-0005-0000-0000-0000A2C60000}"/>
    <cellStyle name="Migliaia 58 3 2 5" xfId="19257" xr:uid="{00000000-0005-0000-0000-0000A3C60000}"/>
    <cellStyle name="Migliaia 58 3 2 6" xfId="34252" xr:uid="{00000000-0005-0000-0000-0000A4C60000}"/>
    <cellStyle name="Migliaia 58 3 2 7" xfId="49192" xr:uid="{00000000-0005-0000-0000-0000A5C60000}"/>
    <cellStyle name="Migliaia 58 3 2 8" xfId="49597" xr:uid="{00000000-0005-0000-0000-0000A6C60000}"/>
    <cellStyle name="Migliaia 58 3 2 9" xfId="50003" xr:uid="{00000000-0005-0000-0000-0000A7C60000}"/>
    <cellStyle name="Migliaia 58 3 3" xfId="9372" xr:uid="{00000000-0005-0000-0000-0000A8C60000}"/>
    <cellStyle name="Migliaia 58 3 3 2" xfId="18408" xr:uid="{00000000-0005-0000-0000-0000A9C60000}"/>
    <cellStyle name="Migliaia 58 3 3 2 2" xfId="33875" xr:uid="{00000000-0005-0000-0000-0000AAC60000}"/>
    <cellStyle name="Migliaia 58 3 3 2 2 2" xfId="55360" xr:uid="{00000000-0005-0000-0000-0000ABC60000}"/>
    <cellStyle name="Migliaia 58 3 3 2 3" xfId="48836" xr:uid="{00000000-0005-0000-0000-0000ACC60000}"/>
    <cellStyle name="Migliaia 58 3 3 2 3 2" xfId="56282" xr:uid="{00000000-0005-0000-0000-0000ADC60000}"/>
    <cellStyle name="Migliaia 58 3 3 2 4" xfId="53005" xr:uid="{00000000-0005-0000-0000-0000AEC60000}"/>
    <cellStyle name="Migliaia 58 3 3 3" xfId="17368" xr:uid="{00000000-0005-0000-0000-0000AFC60000}"/>
    <cellStyle name="Migliaia 58 3 3 3 2" xfId="33484" xr:uid="{00000000-0005-0000-0000-0000B0C60000}"/>
    <cellStyle name="Migliaia 58 3 3 3 3" xfId="48445" xr:uid="{00000000-0005-0000-0000-0000B1C60000}"/>
    <cellStyle name="Migliaia 58 3 3 3 4" xfId="54979" xr:uid="{00000000-0005-0000-0000-0000B2C60000}"/>
    <cellStyle name="Migliaia 58 3 3 4" xfId="55891" xr:uid="{00000000-0005-0000-0000-0000B3C60000}"/>
    <cellStyle name="Migliaia 58 3 3 5" xfId="52609" xr:uid="{00000000-0005-0000-0000-0000B4C60000}"/>
    <cellStyle name="Migliaia 58 3 4" xfId="9949" xr:uid="{00000000-0005-0000-0000-0000B5C60000}"/>
    <cellStyle name="Migliaia 58 3 4 2" xfId="18407" xr:uid="{00000000-0005-0000-0000-0000B6C60000}"/>
    <cellStyle name="Migliaia 58 3 4 2 2" xfId="33874" xr:uid="{00000000-0005-0000-0000-0000B7C60000}"/>
    <cellStyle name="Migliaia 58 3 4 2 3" xfId="48835" xr:uid="{00000000-0005-0000-0000-0000B8C60000}"/>
    <cellStyle name="Migliaia 58 3 4 2 4" xfId="55359" xr:uid="{00000000-0005-0000-0000-0000B9C60000}"/>
    <cellStyle name="Migliaia 58 3 4 3" xfId="26275" xr:uid="{00000000-0005-0000-0000-0000BAC60000}"/>
    <cellStyle name="Migliaia 58 3 4 3 2" xfId="56281" xr:uid="{00000000-0005-0000-0000-0000BBC60000}"/>
    <cellStyle name="Migliaia 58 3 4 4" xfId="41253" xr:uid="{00000000-0005-0000-0000-0000BCC60000}"/>
    <cellStyle name="Migliaia 58 3 4 5" xfId="53004" xr:uid="{00000000-0005-0000-0000-0000BDC60000}"/>
    <cellStyle name="Migliaia 58 3 5" xfId="17366" xr:uid="{00000000-0005-0000-0000-0000BEC60000}"/>
    <cellStyle name="Migliaia 58 3 5 2" xfId="33482" xr:uid="{00000000-0005-0000-0000-0000BFC60000}"/>
    <cellStyle name="Migliaia 58 3 5 3" xfId="48443" xr:uid="{00000000-0005-0000-0000-0000C0C60000}"/>
    <cellStyle name="Migliaia 58 3 5 4" xfId="54977" xr:uid="{00000000-0005-0000-0000-0000C1C60000}"/>
    <cellStyle name="Migliaia 58 3 6" xfId="19256" xr:uid="{00000000-0005-0000-0000-0000C2C60000}"/>
    <cellStyle name="Migliaia 58 3 6 2" xfId="55889" xr:uid="{00000000-0005-0000-0000-0000C3C60000}"/>
    <cellStyle name="Migliaia 58 3 7" xfId="34251" xr:uid="{00000000-0005-0000-0000-0000C4C60000}"/>
    <cellStyle name="Migliaia 58 3 8" xfId="49191" xr:uid="{00000000-0005-0000-0000-0000C5C60000}"/>
    <cellStyle name="Migliaia 58 3 9" xfId="49596" xr:uid="{00000000-0005-0000-0000-0000C6C60000}"/>
    <cellStyle name="Migliaia 58 4" xfId="9374" xr:uid="{00000000-0005-0000-0000-0000C7C60000}"/>
    <cellStyle name="Migliaia 58 4 2" xfId="17370" xr:uid="{00000000-0005-0000-0000-0000C8C60000}"/>
    <cellStyle name="Migliaia 58 4 2 2" xfId="18410" xr:uid="{00000000-0005-0000-0000-0000C9C60000}"/>
    <cellStyle name="Migliaia 58 4 2 2 2" xfId="33877" xr:uid="{00000000-0005-0000-0000-0000CAC60000}"/>
    <cellStyle name="Migliaia 58 4 2 2 2 2" xfId="55362" xr:uid="{00000000-0005-0000-0000-0000CBC60000}"/>
    <cellStyle name="Migliaia 58 4 2 2 3" xfId="48838" xr:uid="{00000000-0005-0000-0000-0000CCC60000}"/>
    <cellStyle name="Migliaia 58 4 2 2 3 2" xfId="56284" xr:uid="{00000000-0005-0000-0000-0000CDC60000}"/>
    <cellStyle name="Migliaia 58 4 2 2 4" xfId="53007" xr:uid="{00000000-0005-0000-0000-0000CEC60000}"/>
    <cellStyle name="Migliaia 58 4 2 3" xfId="33486" xr:uid="{00000000-0005-0000-0000-0000CFC60000}"/>
    <cellStyle name="Migliaia 58 4 2 3 2" xfId="54981" xr:uid="{00000000-0005-0000-0000-0000D0C60000}"/>
    <cellStyle name="Migliaia 58 4 2 4" xfId="48447" xr:uid="{00000000-0005-0000-0000-0000D1C60000}"/>
    <cellStyle name="Migliaia 58 4 2 4 2" xfId="55893" xr:uid="{00000000-0005-0000-0000-0000D2C60000}"/>
    <cellStyle name="Migliaia 58 4 2 5" xfId="52611" xr:uid="{00000000-0005-0000-0000-0000D3C60000}"/>
    <cellStyle name="Migliaia 58 4 3" xfId="18409" xr:uid="{00000000-0005-0000-0000-0000D4C60000}"/>
    <cellStyle name="Migliaia 58 4 3 2" xfId="33876" xr:uid="{00000000-0005-0000-0000-0000D5C60000}"/>
    <cellStyle name="Migliaia 58 4 3 2 2" xfId="55361" xr:uid="{00000000-0005-0000-0000-0000D6C60000}"/>
    <cellStyle name="Migliaia 58 4 3 3" xfId="48837" xr:uid="{00000000-0005-0000-0000-0000D7C60000}"/>
    <cellStyle name="Migliaia 58 4 3 3 2" xfId="56283" xr:uid="{00000000-0005-0000-0000-0000D8C60000}"/>
    <cellStyle name="Migliaia 58 4 3 4" xfId="53006" xr:uid="{00000000-0005-0000-0000-0000D9C60000}"/>
    <cellStyle name="Migliaia 58 4 4" xfId="17369" xr:uid="{00000000-0005-0000-0000-0000DAC60000}"/>
    <cellStyle name="Migliaia 58 4 4 2" xfId="33485" xr:uid="{00000000-0005-0000-0000-0000DBC60000}"/>
    <cellStyle name="Migliaia 58 4 4 3" xfId="48446" xr:uid="{00000000-0005-0000-0000-0000DCC60000}"/>
    <cellStyle name="Migliaia 58 4 4 4" xfId="54980" xr:uid="{00000000-0005-0000-0000-0000DDC60000}"/>
    <cellStyle name="Migliaia 58 4 5" xfId="50895" xr:uid="{00000000-0005-0000-0000-0000DEC60000}"/>
    <cellStyle name="Migliaia 58 4 5 2" xfId="55892" xr:uid="{00000000-0005-0000-0000-0000DFC60000}"/>
    <cellStyle name="Migliaia 58 4 6" xfId="52610" xr:uid="{00000000-0005-0000-0000-0000E0C60000}"/>
    <cellStyle name="Migliaia 58 5" xfId="9375" xr:uid="{00000000-0005-0000-0000-0000E1C60000}"/>
    <cellStyle name="Migliaia 58 5 2" xfId="17371" xr:uid="{00000000-0005-0000-0000-0000E2C60000}"/>
    <cellStyle name="Migliaia 58 5 2 2" xfId="33487" xr:uid="{00000000-0005-0000-0000-0000E3C60000}"/>
    <cellStyle name="Migliaia 58 5 2 3" xfId="48448" xr:uid="{00000000-0005-0000-0000-0000E4C60000}"/>
    <cellStyle name="Migliaia 58 5 2 4" xfId="54982" xr:uid="{00000000-0005-0000-0000-0000E5C60000}"/>
    <cellStyle name="Migliaia 58 5 3" xfId="50968" xr:uid="{00000000-0005-0000-0000-0000E6C60000}"/>
    <cellStyle name="Migliaia 58 5 3 2" xfId="55894" xr:uid="{00000000-0005-0000-0000-0000E7C60000}"/>
    <cellStyle name="Migliaia 58 5 4" xfId="52612" xr:uid="{00000000-0005-0000-0000-0000E8C60000}"/>
    <cellStyle name="Migliaia 58 6" xfId="9370" xr:uid="{00000000-0005-0000-0000-0000E9C60000}"/>
    <cellStyle name="Migliaia 58 6 2" xfId="51110" xr:uid="{00000000-0005-0000-0000-0000EAC60000}"/>
    <cellStyle name="Migliaia 58 6 3" xfId="54580" xr:uid="{00000000-0005-0000-0000-0000EBC60000}"/>
    <cellStyle name="Migliaia 58 7" xfId="9947" xr:uid="{00000000-0005-0000-0000-0000ECC60000}"/>
    <cellStyle name="Migliaia 58 7 2" xfId="26273" xr:uid="{00000000-0005-0000-0000-0000EDC60000}"/>
    <cellStyle name="Migliaia 58 7 3" xfId="41251" xr:uid="{00000000-0005-0000-0000-0000EEC60000}"/>
    <cellStyle name="Migliaia 58 7 4" xfId="55887" xr:uid="{00000000-0005-0000-0000-0000EFC60000}"/>
    <cellStyle name="Migliaia 58 8" xfId="17364" xr:uid="{00000000-0005-0000-0000-0000F0C60000}"/>
    <cellStyle name="Migliaia 58 8 2" xfId="33480" xr:uid="{00000000-0005-0000-0000-0000F1C60000}"/>
    <cellStyle name="Migliaia 58 8 3" xfId="48441" xr:uid="{00000000-0005-0000-0000-0000F2C60000}"/>
    <cellStyle name="Migliaia 58 9" xfId="19254" xr:uid="{00000000-0005-0000-0000-0000F3C60000}"/>
    <cellStyle name="Migliaia 59" xfId="501" xr:uid="{00000000-0005-0000-0000-0000F4C60000}"/>
    <cellStyle name="Migliaia 59 10" xfId="34253" xr:uid="{00000000-0005-0000-0000-0000F5C60000}"/>
    <cellStyle name="Migliaia 59 11" xfId="49193" xr:uid="{00000000-0005-0000-0000-0000F6C60000}"/>
    <cellStyle name="Migliaia 59 12" xfId="49598" xr:uid="{00000000-0005-0000-0000-0000F7C60000}"/>
    <cellStyle name="Migliaia 59 13" xfId="50004" xr:uid="{00000000-0005-0000-0000-0000F8C60000}"/>
    <cellStyle name="Migliaia 59 14" xfId="50412" xr:uid="{00000000-0005-0000-0000-0000F9C60000}"/>
    <cellStyle name="Migliaia 59 15" xfId="50854" xr:uid="{00000000-0005-0000-0000-0000FAC60000}"/>
    <cellStyle name="Migliaia 59 16" xfId="51573" xr:uid="{00000000-0005-0000-0000-0000FBC60000}"/>
    <cellStyle name="Migliaia 59 17" xfId="51986" xr:uid="{00000000-0005-0000-0000-0000FCC60000}"/>
    <cellStyle name="Migliaia 59 18" xfId="52613" xr:uid="{00000000-0005-0000-0000-0000FDC60000}"/>
    <cellStyle name="Migliaia 59 2" xfId="502" xr:uid="{00000000-0005-0000-0000-0000FEC60000}"/>
    <cellStyle name="Migliaia 59 2 10" xfId="50005" xr:uid="{00000000-0005-0000-0000-0000FFC60000}"/>
    <cellStyle name="Migliaia 59 2 11" xfId="50413" xr:uid="{00000000-0005-0000-0000-000000C70000}"/>
    <cellStyle name="Migliaia 59 2 12" xfId="50855" xr:uid="{00000000-0005-0000-0000-000001C70000}"/>
    <cellStyle name="Migliaia 59 2 13" xfId="51574" xr:uid="{00000000-0005-0000-0000-000002C70000}"/>
    <cellStyle name="Migliaia 59 2 14" xfId="51987" xr:uid="{00000000-0005-0000-0000-000003C70000}"/>
    <cellStyle name="Migliaia 59 2 15" xfId="52614" xr:uid="{00000000-0005-0000-0000-000004C70000}"/>
    <cellStyle name="Migliaia 59 2 2" xfId="1297" xr:uid="{00000000-0005-0000-0000-000005C70000}"/>
    <cellStyle name="Migliaia 59 2 2 10" xfId="51091" xr:uid="{00000000-0005-0000-0000-000006C70000}"/>
    <cellStyle name="Migliaia 59 2 2 11" xfId="51687" xr:uid="{00000000-0005-0000-0000-000007C70000}"/>
    <cellStyle name="Migliaia 59 2 2 12" xfId="52108" xr:uid="{00000000-0005-0000-0000-000008C70000}"/>
    <cellStyle name="Migliaia 59 2 2 13" xfId="53008" xr:uid="{00000000-0005-0000-0000-000009C70000}"/>
    <cellStyle name="Migliaia 59 2 2 2" xfId="10065" xr:uid="{00000000-0005-0000-0000-00000AC70000}"/>
    <cellStyle name="Migliaia 59 2 2 2 2" xfId="26386" xr:uid="{00000000-0005-0000-0000-00000BC70000}"/>
    <cellStyle name="Migliaia 59 2 2 2 3" xfId="41354" xr:uid="{00000000-0005-0000-0000-00000CC70000}"/>
    <cellStyle name="Migliaia 59 2 2 2 4" xfId="55363" xr:uid="{00000000-0005-0000-0000-00000DC70000}"/>
    <cellStyle name="Migliaia 59 2 2 3" xfId="18411" xr:uid="{00000000-0005-0000-0000-00000EC70000}"/>
    <cellStyle name="Migliaia 59 2 2 3 2" xfId="33878" xr:uid="{00000000-0005-0000-0000-00000FC70000}"/>
    <cellStyle name="Migliaia 59 2 2 3 3" xfId="48839" xr:uid="{00000000-0005-0000-0000-000010C70000}"/>
    <cellStyle name="Migliaia 59 2 2 3 4" xfId="56285" xr:uid="{00000000-0005-0000-0000-000011C70000}"/>
    <cellStyle name="Migliaia 59 2 2 4" xfId="19365" xr:uid="{00000000-0005-0000-0000-000012C70000}"/>
    <cellStyle name="Migliaia 59 2 2 5" xfId="34355" xr:uid="{00000000-0005-0000-0000-000013C70000}"/>
    <cellStyle name="Migliaia 59 2 2 6" xfId="49307" xr:uid="{00000000-0005-0000-0000-000014C70000}"/>
    <cellStyle name="Migliaia 59 2 2 7" xfId="49712" xr:uid="{00000000-0005-0000-0000-000015C70000}"/>
    <cellStyle name="Migliaia 59 2 2 8" xfId="50121" xr:uid="{00000000-0005-0000-0000-000016C70000}"/>
    <cellStyle name="Migliaia 59 2 2 9" xfId="50526" xr:uid="{00000000-0005-0000-0000-000017C70000}"/>
    <cellStyle name="Migliaia 59 2 3" xfId="9377" xr:uid="{00000000-0005-0000-0000-000018C70000}"/>
    <cellStyle name="Migliaia 59 2 3 2" xfId="54645" xr:uid="{00000000-0005-0000-0000-000019C70000}"/>
    <cellStyle name="Migliaia 59 2 4" xfId="9952" xr:uid="{00000000-0005-0000-0000-00001AC70000}"/>
    <cellStyle name="Migliaia 59 2 4 2" xfId="26278" xr:uid="{00000000-0005-0000-0000-00001BC70000}"/>
    <cellStyle name="Migliaia 59 2 4 3" xfId="41256" xr:uid="{00000000-0005-0000-0000-00001CC70000}"/>
    <cellStyle name="Migliaia 59 2 4 4" xfId="55896" xr:uid="{00000000-0005-0000-0000-00001DC70000}"/>
    <cellStyle name="Migliaia 59 2 5" xfId="17373" xr:uid="{00000000-0005-0000-0000-00001EC70000}"/>
    <cellStyle name="Migliaia 59 2 5 2" xfId="33489" xr:uid="{00000000-0005-0000-0000-00001FC70000}"/>
    <cellStyle name="Migliaia 59 2 5 3" xfId="48450" xr:uid="{00000000-0005-0000-0000-000020C70000}"/>
    <cellStyle name="Migliaia 59 2 6" xfId="19259" xr:uid="{00000000-0005-0000-0000-000021C70000}"/>
    <cellStyle name="Migliaia 59 2 7" xfId="34254" xr:uid="{00000000-0005-0000-0000-000022C70000}"/>
    <cellStyle name="Migliaia 59 2 8" xfId="49194" xr:uid="{00000000-0005-0000-0000-000023C70000}"/>
    <cellStyle name="Migliaia 59 2 9" xfId="49599" xr:uid="{00000000-0005-0000-0000-000024C70000}"/>
    <cellStyle name="Migliaia 59 3" xfId="503" xr:uid="{00000000-0005-0000-0000-000025C70000}"/>
    <cellStyle name="Migliaia 59 3 10" xfId="50006" xr:uid="{00000000-0005-0000-0000-000026C70000}"/>
    <cellStyle name="Migliaia 59 3 11" xfId="50414" xr:uid="{00000000-0005-0000-0000-000027C70000}"/>
    <cellStyle name="Migliaia 59 3 12" xfId="50856" xr:uid="{00000000-0005-0000-0000-000028C70000}"/>
    <cellStyle name="Migliaia 59 3 13" xfId="51575" xr:uid="{00000000-0005-0000-0000-000029C70000}"/>
    <cellStyle name="Migliaia 59 3 14" xfId="51988" xr:uid="{00000000-0005-0000-0000-00002AC70000}"/>
    <cellStyle name="Migliaia 59 3 15" xfId="52615" xr:uid="{00000000-0005-0000-0000-00002BC70000}"/>
    <cellStyle name="Migliaia 59 3 2" xfId="504" xr:uid="{00000000-0005-0000-0000-00002CC70000}"/>
    <cellStyle name="Migliaia 59 3 2 10" xfId="50415" xr:uid="{00000000-0005-0000-0000-00002DC70000}"/>
    <cellStyle name="Migliaia 59 3 2 11" xfId="50857" xr:uid="{00000000-0005-0000-0000-00002EC70000}"/>
    <cellStyle name="Migliaia 59 3 2 12" xfId="51576" xr:uid="{00000000-0005-0000-0000-00002FC70000}"/>
    <cellStyle name="Migliaia 59 3 2 13" xfId="51989" xr:uid="{00000000-0005-0000-0000-000030C70000}"/>
    <cellStyle name="Migliaia 59 3 2 14" xfId="52616" xr:uid="{00000000-0005-0000-0000-000031C70000}"/>
    <cellStyle name="Migliaia 59 3 2 2" xfId="9379" xr:uid="{00000000-0005-0000-0000-000032C70000}"/>
    <cellStyle name="Migliaia 59 3 2 2 2" xfId="54984" xr:uid="{00000000-0005-0000-0000-000033C70000}"/>
    <cellStyle name="Migliaia 59 3 2 3" xfId="9954" xr:uid="{00000000-0005-0000-0000-000034C70000}"/>
    <cellStyle name="Migliaia 59 3 2 3 2" xfId="26280" xr:uid="{00000000-0005-0000-0000-000035C70000}"/>
    <cellStyle name="Migliaia 59 3 2 3 3" xfId="41258" xr:uid="{00000000-0005-0000-0000-000036C70000}"/>
    <cellStyle name="Migliaia 59 3 2 3 4" xfId="55898" xr:uid="{00000000-0005-0000-0000-000037C70000}"/>
    <cellStyle name="Migliaia 59 3 2 4" xfId="17375" xr:uid="{00000000-0005-0000-0000-000038C70000}"/>
    <cellStyle name="Migliaia 59 3 2 4 2" xfId="33491" xr:uid="{00000000-0005-0000-0000-000039C70000}"/>
    <cellStyle name="Migliaia 59 3 2 4 3" xfId="48452" xr:uid="{00000000-0005-0000-0000-00003AC70000}"/>
    <cellStyle name="Migliaia 59 3 2 5" xfId="19261" xr:uid="{00000000-0005-0000-0000-00003BC70000}"/>
    <cellStyle name="Migliaia 59 3 2 6" xfId="34256" xr:uid="{00000000-0005-0000-0000-00003CC70000}"/>
    <cellStyle name="Migliaia 59 3 2 7" xfId="49196" xr:uid="{00000000-0005-0000-0000-00003DC70000}"/>
    <cellStyle name="Migliaia 59 3 2 8" xfId="49601" xr:uid="{00000000-0005-0000-0000-00003EC70000}"/>
    <cellStyle name="Migliaia 59 3 2 9" xfId="50007" xr:uid="{00000000-0005-0000-0000-00003FC70000}"/>
    <cellStyle name="Migliaia 59 3 3" xfId="9378" xr:uid="{00000000-0005-0000-0000-000040C70000}"/>
    <cellStyle name="Migliaia 59 3 3 2" xfId="18413" xr:uid="{00000000-0005-0000-0000-000041C70000}"/>
    <cellStyle name="Migliaia 59 3 3 2 2" xfId="33880" xr:uid="{00000000-0005-0000-0000-000042C70000}"/>
    <cellStyle name="Migliaia 59 3 3 2 2 2" xfId="55365" xr:uid="{00000000-0005-0000-0000-000043C70000}"/>
    <cellStyle name="Migliaia 59 3 3 2 3" xfId="48841" xr:uid="{00000000-0005-0000-0000-000044C70000}"/>
    <cellStyle name="Migliaia 59 3 3 2 3 2" xfId="56287" xr:uid="{00000000-0005-0000-0000-000045C70000}"/>
    <cellStyle name="Migliaia 59 3 3 2 4" xfId="53010" xr:uid="{00000000-0005-0000-0000-000046C70000}"/>
    <cellStyle name="Migliaia 59 3 3 3" xfId="17376" xr:uid="{00000000-0005-0000-0000-000047C70000}"/>
    <cellStyle name="Migliaia 59 3 3 3 2" xfId="33492" xr:uid="{00000000-0005-0000-0000-000048C70000}"/>
    <cellStyle name="Migliaia 59 3 3 3 3" xfId="48453" xr:uid="{00000000-0005-0000-0000-000049C70000}"/>
    <cellStyle name="Migliaia 59 3 3 3 4" xfId="54985" xr:uid="{00000000-0005-0000-0000-00004AC70000}"/>
    <cellStyle name="Migliaia 59 3 3 4" xfId="55899" xr:uid="{00000000-0005-0000-0000-00004BC70000}"/>
    <cellStyle name="Migliaia 59 3 3 5" xfId="52617" xr:uid="{00000000-0005-0000-0000-00004CC70000}"/>
    <cellStyle name="Migliaia 59 3 4" xfId="9953" xr:uid="{00000000-0005-0000-0000-00004DC70000}"/>
    <cellStyle name="Migliaia 59 3 4 2" xfId="18412" xr:uid="{00000000-0005-0000-0000-00004EC70000}"/>
    <cellStyle name="Migliaia 59 3 4 2 2" xfId="33879" xr:uid="{00000000-0005-0000-0000-00004FC70000}"/>
    <cellStyle name="Migliaia 59 3 4 2 3" xfId="48840" xr:uid="{00000000-0005-0000-0000-000050C70000}"/>
    <cellStyle name="Migliaia 59 3 4 2 4" xfId="55364" xr:uid="{00000000-0005-0000-0000-000051C70000}"/>
    <cellStyle name="Migliaia 59 3 4 3" xfId="26279" xr:uid="{00000000-0005-0000-0000-000052C70000}"/>
    <cellStyle name="Migliaia 59 3 4 3 2" xfId="56286" xr:uid="{00000000-0005-0000-0000-000053C70000}"/>
    <cellStyle name="Migliaia 59 3 4 4" xfId="41257" xr:uid="{00000000-0005-0000-0000-000054C70000}"/>
    <cellStyle name="Migliaia 59 3 4 5" xfId="53009" xr:uid="{00000000-0005-0000-0000-000055C70000}"/>
    <cellStyle name="Migliaia 59 3 5" xfId="17374" xr:uid="{00000000-0005-0000-0000-000056C70000}"/>
    <cellStyle name="Migliaia 59 3 5 2" xfId="33490" xr:uid="{00000000-0005-0000-0000-000057C70000}"/>
    <cellStyle name="Migliaia 59 3 5 3" xfId="48451" xr:uid="{00000000-0005-0000-0000-000058C70000}"/>
    <cellStyle name="Migliaia 59 3 5 4" xfId="54983" xr:uid="{00000000-0005-0000-0000-000059C70000}"/>
    <cellStyle name="Migliaia 59 3 6" xfId="19260" xr:uid="{00000000-0005-0000-0000-00005AC70000}"/>
    <cellStyle name="Migliaia 59 3 6 2" xfId="55897" xr:uid="{00000000-0005-0000-0000-00005BC70000}"/>
    <cellStyle name="Migliaia 59 3 7" xfId="34255" xr:uid="{00000000-0005-0000-0000-00005CC70000}"/>
    <cellStyle name="Migliaia 59 3 8" xfId="49195" xr:uid="{00000000-0005-0000-0000-00005DC70000}"/>
    <cellStyle name="Migliaia 59 3 9" xfId="49600" xr:uid="{00000000-0005-0000-0000-00005EC70000}"/>
    <cellStyle name="Migliaia 59 4" xfId="9380" xr:uid="{00000000-0005-0000-0000-00005FC70000}"/>
    <cellStyle name="Migliaia 59 4 2" xfId="17378" xr:uid="{00000000-0005-0000-0000-000060C70000}"/>
    <cellStyle name="Migliaia 59 4 2 2" xfId="18415" xr:uid="{00000000-0005-0000-0000-000061C70000}"/>
    <cellStyle name="Migliaia 59 4 2 2 2" xfId="33882" xr:uid="{00000000-0005-0000-0000-000062C70000}"/>
    <cellStyle name="Migliaia 59 4 2 2 2 2" xfId="55367" xr:uid="{00000000-0005-0000-0000-000063C70000}"/>
    <cellStyle name="Migliaia 59 4 2 2 3" xfId="48843" xr:uid="{00000000-0005-0000-0000-000064C70000}"/>
    <cellStyle name="Migliaia 59 4 2 2 3 2" xfId="56289" xr:uid="{00000000-0005-0000-0000-000065C70000}"/>
    <cellStyle name="Migliaia 59 4 2 2 4" xfId="53012" xr:uid="{00000000-0005-0000-0000-000066C70000}"/>
    <cellStyle name="Migliaia 59 4 2 3" xfId="33494" xr:uid="{00000000-0005-0000-0000-000067C70000}"/>
    <cellStyle name="Migliaia 59 4 2 3 2" xfId="54987" xr:uid="{00000000-0005-0000-0000-000068C70000}"/>
    <cellStyle name="Migliaia 59 4 2 4" xfId="48455" xr:uid="{00000000-0005-0000-0000-000069C70000}"/>
    <cellStyle name="Migliaia 59 4 2 4 2" xfId="55901" xr:uid="{00000000-0005-0000-0000-00006AC70000}"/>
    <cellStyle name="Migliaia 59 4 2 5" xfId="52619" xr:uid="{00000000-0005-0000-0000-00006BC70000}"/>
    <cellStyle name="Migliaia 59 4 3" xfId="18414" xr:uid="{00000000-0005-0000-0000-00006CC70000}"/>
    <cellStyle name="Migliaia 59 4 3 2" xfId="33881" xr:uid="{00000000-0005-0000-0000-00006DC70000}"/>
    <cellStyle name="Migliaia 59 4 3 2 2" xfId="55366" xr:uid="{00000000-0005-0000-0000-00006EC70000}"/>
    <cellStyle name="Migliaia 59 4 3 3" xfId="48842" xr:uid="{00000000-0005-0000-0000-00006FC70000}"/>
    <cellStyle name="Migliaia 59 4 3 3 2" xfId="56288" xr:uid="{00000000-0005-0000-0000-000070C70000}"/>
    <cellStyle name="Migliaia 59 4 3 4" xfId="53011" xr:uid="{00000000-0005-0000-0000-000071C70000}"/>
    <cellStyle name="Migliaia 59 4 4" xfId="17377" xr:uid="{00000000-0005-0000-0000-000072C70000}"/>
    <cellStyle name="Migliaia 59 4 4 2" xfId="33493" xr:uid="{00000000-0005-0000-0000-000073C70000}"/>
    <cellStyle name="Migliaia 59 4 4 3" xfId="48454" xr:uid="{00000000-0005-0000-0000-000074C70000}"/>
    <cellStyle name="Migliaia 59 4 4 4" xfId="54986" xr:uid="{00000000-0005-0000-0000-000075C70000}"/>
    <cellStyle name="Migliaia 59 4 5" xfId="51111" xr:uid="{00000000-0005-0000-0000-000076C70000}"/>
    <cellStyle name="Migliaia 59 4 5 2" xfId="55900" xr:uid="{00000000-0005-0000-0000-000077C70000}"/>
    <cellStyle name="Migliaia 59 4 6" xfId="52618" xr:uid="{00000000-0005-0000-0000-000078C70000}"/>
    <cellStyle name="Migliaia 59 5" xfId="9381" xr:uid="{00000000-0005-0000-0000-000079C70000}"/>
    <cellStyle name="Migliaia 59 5 2" xfId="17379" xr:uid="{00000000-0005-0000-0000-00007AC70000}"/>
    <cellStyle name="Migliaia 59 5 2 2" xfId="33495" xr:uid="{00000000-0005-0000-0000-00007BC70000}"/>
    <cellStyle name="Migliaia 59 5 2 3" xfId="48456" xr:uid="{00000000-0005-0000-0000-00007CC70000}"/>
    <cellStyle name="Migliaia 59 5 2 4" xfId="54988" xr:uid="{00000000-0005-0000-0000-00007DC70000}"/>
    <cellStyle name="Migliaia 59 5 3" xfId="50894" xr:uid="{00000000-0005-0000-0000-00007EC70000}"/>
    <cellStyle name="Migliaia 59 5 3 2" xfId="55902" xr:uid="{00000000-0005-0000-0000-00007FC70000}"/>
    <cellStyle name="Migliaia 59 5 4" xfId="52620" xr:uid="{00000000-0005-0000-0000-000080C70000}"/>
    <cellStyle name="Migliaia 59 6" xfId="9376" xr:uid="{00000000-0005-0000-0000-000081C70000}"/>
    <cellStyle name="Migliaia 59 6 2" xfId="51234" xr:uid="{00000000-0005-0000-0000-000082C70000}"/>
    <cellStyle name="Migliaia 59 6 3" xfId="54581" xr:uid="{00000000-0005-0000-0000-000083C70000}"/>
    <cellStyle name="Migliaia 59 7" xfId="9951" xr:uid="{00000000-0005-0000-0000-000084C70000}"/>
    <cellStyle name="Migliaia 59 7 2" xfId="26277" xr:uid="{00000000-0005-0000-0000-000085C70000}"/>
    <cellStyle name="Migliaia 59 7 3" xfId="41255" xr:uid="{00000000-0005-0000-0000-000086C70000}"/>
    <cellStyle name="Migliaia 59 7 4" xfId="55895" xr:uid="{00000000-0005-0000-0000-000087C70000}"/>
    <cellStyle name="Migliaia 59 8" xfId="17372" xr:uid="{00000000-0005-0000-0000-000088C70000}"/>
    <cellStyle name="Migliaia 59 8 2" xfId="33488" xr:uid="{00000000-0005-0000-0000-000089C70000}"/>
    <cellStyle name="Migliaia 59 8 3" xfId="48449" xr:uid="{00000000-0005-0000-0000-00008AC70000}"/>
    <cellStyle name="Migliaia 59 9" xfId="19258" xr:uid="{00000000-0005-0000-0000-00008BC70000}"/>
    <cellStyle name="Migliaia 6" xfId="505" xr:uid="{00000000-0005-0000-0000-00008CC70000}"/>
    <cellStyle name="Migliaia 6 10" xfId="34257" xr:uid="{00000000-0005-0000-0000-00008DC70000}"/>
    <cellStyle name="Migliaia 6 11" xfId="49197" xr:uid="{00000000-0005-0000-0000-00008EC70000}"/>
    <cellStyle name="Migliaia 6 12" xfId="49602" xr:uid="{00000000-0005-0000-0000-00008FC70000}"/>
    <cellStyle name="Migliaia 6 13" xfId="50008" xr:uid="{00000000-0005-0000-0000-000090C70000}"/>
    <cellStyle name="Migliaia 6 14" xfId="50416" xr:uid="{00000000-0005-0000-0000-000091C70000}"/>
    <cellStyle name="Migliaia 6 15" xfId="50858" xr:uid="{00000000-0005-0000-0000-000092C70000}"/>
    <cellStyle name="Migliaia 6 16" xfId="51577" xr:uid="{00000000-0005-0000-0000-000093C70000}"/>
    <cellStyle name="Migliaia 6 17" xfId="51990" xr:uid="{00000000-0005-0000-0000-000094C70000}"/>
    <cellStyle name="Migliaia 6 18" xfId="52621" xr:uid="{00000000-0005-0000-0000-000095C70000}"/>
    <cellStyle name="Migliaia 6 2" xfId="506" xr:uid="{00000000-0005-0000-0000-000096C70000}"/>
    <cellStyle name="Migliaia 6 2 10" xfId="50009" xr:uid="{00000000-0005-0000-0000-000097C70000}"/>
    <cellStyle name="Migliaia 6 2 11" xfId="50417" xr:uid="{00000000-0005-0000-0000-000098C70000}"/>
    <cellStyle name="Migliaia 6 2 12" xfId="50859" xr:uid="{00000000-0005-0000-0000-000099C70000}"/>
    <cellStyle name="Migliaia 6 2 13" xfId="51578" xr:uid="{00000000-0005-0000-0000-00009AC70000}"/>
    <cellStyle name="Migliaia 6 2 14" xfId="51991" xr:uid="{00000000-0005-0000-0000-00009BC70000}"/>
    <cellStyle name="Migliaia 6 2 15" xfId="52622" xr:uid="{00000000-0005-0000-0000-00009CC70000}"/>
    <cellStyle name="Migliaia 6 2 2" xfId="1298" xr:uid="{00000000-0005-0000-0000-00009DC70000}"/>
    <cellStyle name="Migliaia 6 2 2 10" xfId="51092" xr:uid="{00000000-0005-0000-0000-00009EC70000}"/>
    <cellStyle name="Migliaia 6 2 2 11" xfId="51688" xr:uid="{00000000-0005-0000-0000-00009FC70000}"/>
    <cellStyle name="Migliaia 6 2 2 12" xfId="52109" xr:uid="{00000000-0005-0000-0000-0000A0C70000}"/>
    <cellStyle name="Migliaia 6 2 2 13" xfId="53013" xr:uid="{00000000-0005-0000-0000-0000A1C70000}"/>
    <cellStyle name="Migliaia 6 2 2 2" xfId="10066" xr:uid="{00000000-0005-0000-0000-0000A2C70000}"/>
    <cellStyle name="Migliaia 6 2 2 2 2" xfId="26387" xr:uid="{00000000-0005-0000-0000-0000A3C70000}"/>
    <cellStyle name="Migliaia 6 2 2 2 3" xfId="41355" xr:uid="{00000000-0005-0000-0000-0000A4C70000}"/>
    <cellStyle name="Migliaia 6 2 2 2 4" xfId="55368" xr:uid="{00000000-0005-0000-0000-0000A5C70000}"/>
    <cellStyle name="Migliaia 6 2 2 3" xfId="18416" xr:uid="{00000000-0005-0000-0000-0000A6C70000}"/>
    <cellStyle name="Migliaia 6 2 2 3 2" xfId="33883" xr:uid="{00000000-0005-0000-0000-0000A7C70000}"/>
    <cellStyle name="Migliaia 6 2 2 3 3" xfId="48844" xr:uid="{00000000-0005-0000-0000-0000A8C70000}"/>
    <cellStyle name="Migliaia 6 2 2 3 4" xfId="56290" xr:uid="{00000000-0005-0000-0000-0000A9C70000}"/>
    <cellStyle name="Migliaia 6 2 2 4" xfId="19366" xr:uid="{00000000-0005-0000-0000-0000AAC70000}"/>
    <cellStyle name="Migliaia 6 2 2 5" xfId="34356" xr:uid="{00000000-0005-0000-0000-0000ABC70000}"/>
    <cellStyle name="Migliaia 6 2 2 6" xfId="49308" xr:uid="{00000000-0005-0000-0000-0000ACC70000}"/>
    <cellStyle name="Migliaia 6 2 2 7" xfId="49713" xr:uid="{00000000-0005-0000-0000-0000ADC70000}"/>
    <cellStyle name="Migliaia 6 2 2 8" xfId="50122" xr:uid="{00000000-0005-0000-0000-0000AEC70000}"/>
    <cellStyle name="Migliaia 6 2 2 9" xfId="50527" xr:uid="{00000000-0005-0000-0000-0000AFC70000}"/>
    <cellStyle name="Migliaia 6 2 3" xfId="9383" xr:uid="{00000000-0005-0000-0000-0000B0C70000}"/>
    <cellStyle name="Migliaia 6 2 3 2" xfId="54646" xr:uid="{00000000-0005-0000-0000-0000B1C70000}"/>
    <cellStyle name="Migliaia 6 2 4" xfId="9956" xr:uid="{00000000-0005-0000-0000-0000B2C70000}"/>
    <cellStyle name="Migliaia 6 2 4 2" xfId="26282" xr:uid="{00000000-0005-0000-0000-0000B3C70000}"/>
    <cellStyle name="Migliaia 6 2 4 3" xfId="41260" xr:uid="{00000000-0005-0000-0000-0000B4C70000}"/>
    <cellStyle name="Migliaia 6 2 4 4" xfId="55904" xr:uid="{00000000-0005-0000-0000-0000B5C70000}"/>
    <cellStyle name="Migliaia 6 2 5" xfId="17381" xr:uid="{00000000-0005-0000-0000-0000B6C70000}"/>
    <cellStyle name="Migliaia 6 2 5 2" xfId="33497" xr:uid="{00000000-0005-0000-0000-0000B7C70000}"/>
    <cellStyle name="Migliaia 6 2 5 3" xfId="48458" xr:uid="{00000000-0005-0000-0000-0000B8C70000}"/>
    <cellStyle name="Migliaia 6 2 6" xfId="19263" xr:uid="{00000000-0005-0000-0000-0000B9C70000}"/>
    <cellStyle name="Migliaia 6 2 7" xfId="34258" xr:uid="{00000000-0005-0000-0000-0000BAC70000}"/>
    <cellStyle name="Migliaia 6 2 8" xfId="49198" xr:uid="{00000000-0005-0000-0000-0000BBC70000}"/>
    <cellStyle name="Migliaia 6 2 9" xfId="49603" xr:uid="{00000000-0005-0000-0000-0000BCC70000}"/>
    <cellStyle name="Migliaia 6 3" xfId="507" xr:uid="{00000000-0005-0000-0000-0000BDC70000}"/>
    <cellStyle name="Migliaia 6 3 10" xfId="50010" xr:uid="{00000000-0005-0000-0000-0000BEC70000}"/>
    <cellStyle name="Migliaia 6 3 11" xfId="50418" xr:uid="{00000000-0005-0000-0000-0000BFC70000}"/>
    <cellStyle name="Migliaia 6 3 12" xfId="50860" xr:uid="{00000000-0005-0000-0000-0000C0C70000}"/>
    <cellStyle name="Migliaia 6 3 13" xfId="51579" xr:uid="{00000000-0005-0000-0000-0000C1C70000}"/>
    <cellStyle name="Migliaia 6 3 14" xfId="51992" xr:uid="{00000000-0005-0000-0000-0000C2C70000}"/>
    <cellStyle name="Migliaia 6 3 15" xfId="52623" xr:uid="{00000000-0005-0000-0000-0000C3C70000}"/>
    <cellStyle name="Migliaia 6 3 2" xfId="508" xr:uid="{00000000-0005-0000-0000-0000C4C70000}"/>
    <cellStyle name="Migliaia 6 3 2 10" xfId="50419" xr:uid="{00000000-0005-0000-0000-0000C5C70000}"/>
    <cellStyle name="Migliaia 6 3 2 11" xfId="50861" xr:uid="{00000000-0005-0000-0000-0000C6C70000}"/>
    <cellStyle name="Migliaia 6 3 2 12" xfId="51580" xr:uid="{00000000-0005-0000-0000-0000C7C70000}"/>
    <cellStyle name="Migliaia 6 3 2 13" xfId="51993" xr:uid="{00000000-0005-0000-0000-0000C8C70000}"/>
    <cellStyle name="Migliaia 6 3 2 14" xfId="52624" xr:uid="{00000000-0005-0000-0000-0000C9C70000}"/>
    <cellStyle name="Migliaia 6 3 2 2" xfId="9385" xr:uid="{00000000-0005-0000-0000-0000CAC70000}"/>
    <cellStyle name="Migliaia 6 3 2 2 2" xfId="54990" xr:uid="{00000000-0005-0000-0000-0000CBC70000}"/>
    <cellStyle name="Migliaia 6 3 2 3" xfId="9958" xr:uid="{00000000-0005-0000-0000-0000CCC70000}"/>
    <cellStyle name="Migliaia 6 3 2 3 2" xfId="26284" xr:uid="{00000000-0005-0000-0000-0000CDC70000}"/>
    <cellStyle name="Migliaia 6 3 2 3 3" xfId="41262" xr:uid="{00000000-0005-0000-0000-0000CEC70000}"/>
    <cellStyle name="Migliaia 6 3 2 3 4" xfId="55906" xr:uid="{00000000-0005-0000-0000-0000CFC70000}"/>
    <cellStyle name="Migliaia 6 3 2 4" xfId="17383" xr:uid="{00000000-0005-0000-0000-0000D0C70000}"/>
    <cellStyle name="Migliaia 6 3 2 4 2" xfId="33499" xr:uid="{00000000-0005-0000-0000-0000D1C70000}"/>
    <cellStyle name="Migliaia 6 3 2 4 3" xfId="48460" xr:uid="{00000000-0005-0000-0000-0000D2C70000}"/>
    <cellStyle name="Migliaia 6 3 2 5" xfId="19265" xr:uid="{00000000-0005-0000-0000-0000D3C70000}"/>
    <cellStyle name="Migliaia 6 3 2 6" xfId="34260" xr:uid="{00000000-0005-0000-0000-0000D4C70000}"/>
    <cellStyle name="Migliaia 6 3 2 7" xfId="49200" xr:uid="{00000000-0005-0000-0000-0000D5C70000}"/>
    <cellStyle name="Migliaia 6 3 2 8" xfId="49605" xr:uid="{00000000-0005-0000-0000-0000D6C70000}"/>
    <cellStyle name="Migliaia 6 3 2 9" xfId="50011" xr:uid="{00000000-0005-0000-0000-0000D7C70000}"/>
    <cellStyle name="Migliaia 6 3 3" xfId="9384" xr:uid="{00000000-0005-0000-0000-0000D8C70000}"/>
    <cellStyle name="Migliaia 6 3 3 2" xfId="18418" xr:uid="{00000000-0005-0000-0000-0000D9C70000}"/>
    <cellStyle name="Migliaia 6 3 3 2 2" xfId="33885" xr:uid="{00000000-0005-0000-0000-0000DAC70000}"/>
    <cellStyle name="Migliaia 6 3 3 2 2 2" xfId="55370" xr:uid="{00000000-0005-0000-0000-0000DBC70000}"/>
    <cellStyle name="Migliaia 6 3 3 2 3" xfId="48846" xr:uid="{00000000-0005-0000-0000-0000DCC70000}"/>
    <cellStyle name="Migliaia 6 3 3 2 3 2" xfId="56292" xr:uid="{00000000-0005-0000-0000-0000DDC70000}"/>
    <cellStyle name="Migliaia 6 3 3 2 4" xfId="53015" xr:uid="{00000000-0005-0000-0000-0000DEC70000}"/>
    <cellStyle name="Migliaia 6 3 3 3" xfId="17384" xr:uid="{00000000-0005-0000-0000-0000DFC70000}"/>
    <cellStyle name="Migliaia 6 3 3 3 2" xfId="33500" xr:uid="{00000000-0005-0000-0000-0000E0C70000}"/>
    <cellStyle name="Migliaia 6 3 3 3 3" xfId="48461" xr:uid="{00000000-0005-0000-0000-0000E1C70000}"/>
    <cellStyle name="Migliaia 6 3 3 3 4" xfId="54991" xr:uid="{00000000-0005-0000-0000-0000E2C70000}"/>
    <cellStyle name="Migliaia 6 3 3 4" xfId="55907" xr:uid="{00000000-0005-0000-0000-0000E3C70000}"/>
    <cellStyle name="Migliaia 6 3 3 5" xfId="52625" xr:uid="{00000000-0005-0000-0000-0000E4C70000}"/>
    <cellStyle name="Migliaia 6 3 4" xfId="9957" xr:uid="{00000000-0005-0000-0000-0000E5C70000}"/>
    <cellStyle name="Migliaia 6 3 4 2" xfId="18417" xr:uid="{00000000-0005-0000-0000-0000E6C70000}"/>
    <cellStyle name="Migliaia 6 3 4 2 2" xfId="33884" xr:uid="{00000000-0005-0000-0000-0000E7C70000}"/>
    <cellStyle name="Migliaia 6 3 4 2 3" xfId="48845" xr:uid="{00000000-0005-0000-0000-0000E8C70000}"/>
    <cellStyle name="Migliaia 6 3 4 2 4" xfId="55369" xr:uid="{00000000-0005-0000-0000-0000E9C70000}"/>
    <cellStyle name="Migliaia 6 3 4 3" xfId="26283" xr:uid="{00000000-0005-0000-0000-0000EAC70000}"/>
    <cellStyle name="Migliaia 6 3 4 3 2" xfId="56291" xr:uid="{00000000-0005-0000-0000-0000EBC70000}"/>
    <cellStyle name="Migliaia 6 3 4 4" xfId="41261" xr:uid="{00000000-0005-0000-0000-0000ECC70000}"/>
    <cellStyle name="Migliaia 6 3 4 5" xfId="53014" xr:uid="{00000000-0005-0000-0000-0000EDC70000}"/>
    <cellStyle name="Migliaia 6 3 5" xfId="17382" xr:uid="{00000000-0005-0000-0000-0000EEC70000}"/>
    <cellStyle name="Migliaia 6 3 5 2" xfId="33498" xr:uid="{00000000-0005-0000-0000-0000EFC70000}"/>
    <cellStyle name="Migliaia 6 3 5 3" xfId="48459" xr:uid="{00000000-0005-0000-0000-0000F0C70000}"/>
    <cellStyle name="Migliaia 6 3 5 4" xfId="54989" xr:uid="{00000000-0005-0000-0000-0000F1C70000}"/>
    <cellStyle name="Migliaia 6 3 6" xfId="19264" xr:uid="{00000000-0005-0000-0000-0000F2C70000}"/>
    <cellStyle name="Migliaia 6 3 6 2" xfId="55905" xr:uid="{00000000-0005-0000-0000-0000F3C70000}"/>
    <cellStyle name="Migliaia 6 3 7" xfId="34259" xr:uid="{00000000-0005-0000-0000-0000F4C70000}"/>
    <cellStyle name="Migliaia 6 3 8" xfId="49199" xr:uid="{00000000-0005-0000-0000-0000F5C70000}"/>
    <cellStyle name="Migliaia 6 3 9" xfId="49604" xr:uid="{00000000-0005-0000-0000-0000F6C70000}"/>
    <cellStyle name="Migliaia 6 4" xfId="9386" xr:uid="{00000000-0005-0000-0000-0000F7C70000}"/>
    <cellStyle name="Migliaia 6 4 2" xfId="17386" xr:uid="{00000000-0005-0000-0000-0000F8C70000}"/>
    <cellStyle name="Migliaia 6 4 2 2" xfId="18420" xr:uid="{00000000-0005-0000-0000-0000F9C70000}"/>
    <cellStyle name="Migliaia 6 4 2 2 2" xfId="33887" xr:uid="{00000000-0005-0000-0000-0000FAC70000}"/>
    <cellStyle name="Migliaia 6 4 2 2 2 2" xfId="55372" xr:uid="{00000000-0005-0000-0000-0000FBC70000}"/>
    <cellStyle name="Migliaia 6 4 2 2 3" xfId="48848" xr:uid="{00000000-0005-0000-0000-0000FCC70000}"/>
    <cellStyle name="Migliaia 6 4 2 2 3 2" xfId="56294" xr:uid="{00000000-0005-0000-0000-0000FDC70000}"/>
    <cellStyle name="Migliaia 6 4 2 2 4" xfId="53017" xr:uid="{00000000-0005-0000-0000-0000FEC70000}"/>
    <cellStyle name="Migliaia 6 4 2 3" xfId="33502" xr:uid="{00000000-0005-0000-0000-0000FFC70000}"/>
    <cellStyle name="Migliaia 6 4 2 3 2" xfId="54993" xr:uid="{00000000-0005-0000-0000-000000C80000}"/>
    <cellStyle name="Migliaia 6 4 2 4" xfId="48463" xr:uid="{00000000-0005-0000-0000-000001C80000}"/>
    <cellStyle name="Migliaia 6 4 2 4 2" xfId="55909" xr:uid="{00000000-0005-0000-0000-000002C80000}"/>
    <cellStyle name="Migliaia 6 4 2 5" xfId="52627" xr:uid="{00000000-0005-0000-0000-000003C80000}"/>
    <cellStyle name="Migliaia 6 4 3" xfId="18419" xr:uid="{00000000-0005-0000-0000-000004C80000}"/>
    <cellStyle name="Migliaia 6 4 3 2" xfId="33886" xr:uid="{00000000-0005-0000-0000-000005C80000}"/>
    <cellStyle name="Migliaia 6 4 3 2 2" xfId="55371" xr:uid="{00000000-0005-0000-0000-000006C80000}"/>
    <cellStyle name="Migliaia 6 4 3 3" xfId="48847" xr:uid="{00000000-0005-0000-0000-000007C80000}"/>
    <cellStyle name="Migliaia 6 4 3 3 2" xfId="56293" xr:uid="{00000000-0005-0000-0000-000008C80000}"/>
    <cellStyle name="Migliaia 6 4 3 4" xfId="53016" xr:uid="{00000000-0005-0000-0000-000009C80000}"/>
    <cellStyle name="Migliaia 6 4 4" xfId="17385" xr:uid="{00000000-0005-0000-0000-00000AC80000}"/>
    <cellStyle name="Migliaia 6 4 4 2" xfId="33501" xr:uid="{00000000-0005-0000-0000-00000BC80000}"/>
    <cellStyle name="Migliaia 6 4 4 3" xfId="48462" xr:uid="{00000000-0005-0000-0000-00000CC80000}"/>
    <cellStyle name="Migliaia 6 4 4 4" xfId="54992" xr:uid="{00000000-0005-0000-0000-00000DC80000}"/>
    <cellStyle name="Migliaia 6 4 5" xfId="51109" xr:uid="{00000000-0005-0000-0000-00000EC80000}"/>
    <cellStyle name="Migliaia 6 4 5 2" xfId="55908" xr:uid="{00000000-0005-0000-0000-00000FC80000}"/>
    <cellStyle name="Migliaia 6 4 6" xfId="52626" xr:uid="{00000000-0005-0000-0000-000010C80000}"/>
    <cellStyle name="Migliaia 6 5" xfId="9387" xr:uid="{00000000-0005-0000-0000-000011C80000}"/>
    <cellStyle name="Migliaia 6 5 2" xfId="17387" xr:uid="{00000000-0005-0000-0000-000012C80000}"/>
    <cellStyle name="Migliaia 6 5 2 2" xfId="33503" xr:uid="{00000000-0005-0000-0000-000013C80000}"/>
    <cellStyle name="Migliaia 6 5 2 3" xfId="48464" xr:uid="{00000000-0005-0000-0000-000014C80000}"/>
    <cellStyle name="Migliaia 6 5 2 4" xfId="54994" xr:uid="{00000000-0005-0000-0000-000015C80000}"/>
    <cellStyle name="Migliaia 6 5 3" xfId="51235" xr:uid="{00000000-0005-0000-0000-000016C80000}"/>
    <cellStyle name="Migliaia 6 5 3 2" xfId="55910" xr:uid="{00000000-0005-0000-0000-000017C80000}"/>
    <cellStyle name="Migliaia 6 5 4" xfId="52628" xr:uid="{00000000-0005-0000-0000-000018C80000}"/>
    <cellStyle name="Migliaia 6 6" xfId="9382" xr:uid="{00000000-0005-0000-0000-000019C80000}"/>
    <cellStyle name="Migliaia 6 6 2" xfId="50967" xr:uid="{00000000-0005-0000-0000-00001AC80000}"/>
    <cellStyle name="Migliaia 6 6 3" xfId="54582" xr:uid="{00000000-0005-0000-0000-00001BC80000}"/>
    <cellStyle name="Migliaia 6 7" xfId="9955" xr:uid="{00000000-0005-0000-0000-00001CC80000}"/>
    <cellStyle name="Migliaia 6 7 2" xfId="26281" xr:uid="{00000000-0005-0000-0000-00001DC80000}"/>
    <cellStyle name="Migliaia 6 7 3" xfId="41259" xr:uid="{00000000-0005-0000-0000-00001EC80000}"/>
    <cellStyle name="Migliaia 6 7 4" xfId="55903" xr:uid="{00000000-0005-0000-0000-00001FC80000}"/>
    <cellStyle name="Migliaia 6 8" xfId="17380" xr:uid="{00000000-0005-0000-0000-000020C80000}"/>
    <cellStyle name="Migliaia 6 8 2" xfId="33496" xr:uid="{00000000-0005-0000-0000-000021C80000}"/>
    <cellStyle name="Migliaia 6 8 3" xfId="48457" xr:uid="{00000000-0005-0000-0000-000022C80000}"/>
    <cellStyle name="Migliaia 6 9" xfId="19262" xr:uid="{00000000-0005-0000-0000-000023C80000}"/>
    <cellStyle name="Migliaia 60" xfId="509" xr:uid="{00000000-0005-0000-0000-000024C80000}"/>
    <cellStyle name="Migliaia 60 10" xfId="34261" xr:uid="{00000000-0005-0000-0000-000025C80000}"/>
    <cellStyle name="Migliaia 60 11" xfId="49201" xr:uid="{00000000-0005-0000-0000-000026C80000}"/>
    <cellStyle name="Migliaia 60 12" xfId="49606" xr:uid="{00000000-0005-0000-0000-000027C80000}"/>
    <cellStyle name="Migliaia 60 13" xfId="50012" xr:uid="{00000000-0005-0000-0000-000028C80000}"/>
    <cellStyle name="Migliaia 60 14" xfId="50420" xr:uid="{00000000-0005-0000-0000-000029C80000}"/>
    <cellStyle name="Migliaia 60 15" xfId="50862" xr:uid="{00000000-0005-0000-0000-00002AC80000}"/>
    <cellStyle name="Migliaia 60 16" xfId="51581" xr:uid="{00000000-0005-0000-0000-00002BC80000}"/>
    <cellStyle name="Migliaia 60 17" xfId="51994" xr:uid="{00000000-0005-0000-0000-00002CC80000}"/>
    <cellStyle name="Migliaia 60 18" xfId="52629" xr:uid="{00000000-0005-0000-0000-00002DC80000}"/>
    <cellStyle name="Migliaia 60 2" xfId="510" xr:uid="{00000000-0005-0000-0000-00002EC80000}"/>
    <cellStyle name="Migliaia 60 2 10" xfId="50013" xr:uid="{00000000-0005-0000-0000-00002FC80000}"/>
    <cellStyle name="Migliaia 60 2 11" xfId="50421" xr:uid="{00000000-0005-0000-0000-000030C80000}"/>
    <cellStyle name="Migliaia 60 2 12" xfId="50863" xr:uid="{00000000-0005-0000-0000-000031C80000}"/>
    <cellStyle name="Migliaia 60 2 13" xfId="51582" xr:uid="{00000000-0005-0000-0000-000032C80000}"/>
    <cellStyle name="Migliaia 60 2 14" xfId="51995" xr:uid="{00000000-0005-0000-0000-000033C80000}"/>
    <cellStyle name="Migliaia 60 2 15" xfId="52630" xr:uid="{00000000-0005-0000-0000-000034C80000}"/>
    <cellStyle name="Migliaia 60 2 2" xfId="1299" xr:uid="{00000000-0005-0000-0000-000035C80000}"/>
    <cellStyle name="Migliaia 60 2 2 10" xfId="51093" xr:uid="{00000000-0005-0000-0000-000036C80000}"/>
    <cellStyle name="Migliaia 60 2 2 11" xfId="51689" xr:uid="{00000000-0005-0000-0000-000037C80000}"/>
    <cellStyle name="Migliaia 60 2 2 12" xfId="52110" xr:uid="{00000000-0005-0000-0000-000038C80000}"/>
    <cellStyle name="Migliaia 60 2 2 13" xfId="53018" xr:uid="{00000000-0005-0000-0000-000039C80000}"/>
    <cellStyle name="Migliaia 60 2 2 2" xfId="10067" xr:uid="{00000000-0005-0000-0000-00003AC80000}"/>
    <cellStyle name="Migliaia 60 2 2 2 2" xfId="26388" xr:uid="{00000000-0005-0000-0000-00003BC80000}"/>
    <cellStyle name="Migliaia 60 2 2 2 3" xfId="41356" xr:uid="{00000000-0005-0000-0000-00003CC80000}"/>
    <cellStyle name="Migliaia 60 2 2 2 4" xfId="55373" xr:uid="{00000000-0005-0000-0000-00003DC80000}"/>
    <cellStyle name="Migliaia 60 2 2 3" xfId="18421" xr:uid="{00000000-0005-0000-0000-00003EC80000}"/>
    <cellStyle name="Migliaia 60 2 2 3 2" xfId="33888" xr:uid="{00000000-0005-0000-0000-00003FC80000}"/>
    <cellStyle name="Migliaia 60 2 2 3 3" xfId="48849" xr:uid="{00000000-0005-0000-0000-000040C80000}"/>
    <cellStyle name="Migliaia 60 2 2 3 4" xfId="56295" xr:uid="{00000000-0005-0000-0000-000041C80000}"/>
    <cellStyle name="Migliaia 60 2 2 4" xfId="19367" xr:uid="{00000000-0005-0000-0000-000042C80000}"/>
    <cellStyle name="Migliaia 60 2 2 5" xfId="34357" xr:uid="{00000000-0005-0000-0000-000043C80000}"/>
    <cellStyle name="Migliaia 60 2 2 6" xfId="49309" xr:uid="{00000000-0005-0000-0000-000044C80000}"/>
    <cellStyle name="Migliaia 60 2 2 7" xfId="49714" xr:uid="{00000000-0005-0000-0000-000045C80000}"/>
    <cellStyle name="Migliaia 60 2 2 8" xfId="50123" xr:uid="{00000000-0005-0000-0000-000046C80000}"/>
    <cellStyle name="Migliaia 60 2 2 9" xfId="50528" xr:uid="{00000000-0005-0000-0000-000047C80000}"/>
    <cellStyle name="Migliaia 60 2 3" xfId="9389" xr:uid="{00000000-0005-0000-0000-000048C80000}"/>
    <cellStyle name="Migliaia 60 2 3 2" xfId="54647" xr:uid="{00000000-0005-0000-0000-000049C80000}"/>
    <cellStyle name="Migliaia 60 2 4" xfId="9960" xr:uid="{00000000-0005-0000-0000-00004AC80000}"/>
    <cellStyle name="Migliaia 60 2 4 2" xfId="26286" xr:uid="{00000000-0005-0000-0000-00004BC80000}"/>
    <cellStyle name="Migliaia 60 2 4 3" xfId="41264" xr:uid="{00000000-0005-0000-0000-00004CC80000}"/>
    <cellStyle name="Migliaia 60 2 4 4" xfId="55912" xr:uid="{00000000-0005-0000-0000-00004DC80000}"/>
    <cellStyle name="Migliaia 60 2 5" xfId="17389" xr:uid="{00000000-0005-0000-0000-00004EC80000}"/>
    <cellStyle name="Migliaia 60 2 5 2" xfId="33505" xr:uid="{00000000-0005-0000-0000-00004FC80000}"/>
    <cellStyle name="Migliaia 60 2 5 3" xfId="48466" xr:uid="{00000000-0005-0000-0000-000050C80000}"/>
    <cellStyle name="Migliaia 60 2 6" xfId="19267" xr:uid="{00000000-0005-0000-0000-000051C80000}"/>
    <cellStyle name="Migliaia 60 2 7" xfId="34262" xr:uid="{00000000-0005-0000-0000-000052C80000}"/>
    <cellStyle name="Migliaia 60 2 8" xfId="49202" xr:uid="{00000000-0005-0000-0000-000053C80000}"/>
    <cellStyle name="Migliaia 60 2 9" xfId="49607" xr:uid="{00000000-0005-0000-0000-000054C80000}"/>
    <cellStyle name="Migliaia 60 3" xfId="511" xr:uid="{00000000-0005-0000-0000-000055C80000}"/>
    <cellStyle name="Migliaia 60 3 10" xfId="50014" xr:uid="{00000000-0005-0000-0000-000056C80000}"/>
    <cellStyle name="Migliaia 60 3 11" xfId="50422" xr:uid="{00000000-0005-0000-0000-000057C80000}"/>
    <cellStyle name="Migliaia 60 3 12" xfId="50864" xr:uid="{00000000-0005-0000-0000-000058C80000}"/>
    <cellStyle name="Migliaia 60 3 13" xfId="51583" xr:uid="{00000000-0005-0000-0000-000059C80000}"/>
    <cellStyle name="Migliaia 60 3 14" xfId="51996" xr:uid="{00000000-0005-0000-0000-00005AC80000}"/>
    <cellStyle name="Migliaia 60 3 15" xfId="52631" xr:uid="{00000000-0005-0000-0000-00005BC80000}"/>
    <cellStyle name="Migliaia 60 3 2" xfId="512" xr:uid="{00000000-0005-0000-0000-00005CC80000}"/>
    <cellStyle name="Migliaia 60 3 2 10" xfId="50423" xr:uid="{00000000-0005-0000-0000-00005DC80000}"/>
    <cellStyle name="Migliaia 60 3 2 11" xfId="50865" xr:uid="{00000000-0005-0000-0000-00005EC80000}"/>
    <cellStyle name="Migliaia 60 3 2 12" xfId="51584" xr:uid="{00000000-0005-0000-0000-00005FC80000}"/>
    <cellStyle name="Migliaia 60 3 2 13" xfId="51997" xr:uid="{00000000-0005-0000-0000-000060C80000}"/>
    <cellStyle name="Migliaia 60 3 2 14" xfId="52632" xr:uid="{00000000-0005-0000-0000-000061C80000}"/>
    <cellStyle name="Migliaia 60 3 2 2" xfId="9391" xr:uid="{00000000-0005-0000-0000-000062C80000}"/>
    <cellStyle name="Migliaia 60 3 2 2 2" xfId="54996" xr:uid="{00000000-0005-0000-0000-000063C80000}"/>
    <cellStyle name="Migliaia 60 3 2 3" xfId="9962" xr:uid="{00000000-0005-0000-0000-000064C80000}"/>
    <cellStyle name="Migliaia 60 3 2 3 2" xfId="26288" xr:uid="{00000000-0005-0000-0000-000065C80000}"/>
    <cellStyle name="Migliaia 60 3 2 3 3" xfId="41266" xr:uid="{00000000-0005-0000-0000-000066C80000}"/>
    <cellStyle name="Migliaia 60 3 2 3 4" xfId="55914" xr:uid="{00000000-0005-0000-0000-000067C80000}"/>
    <cellStyle name="Migliaia 60 3 2 4" xfId="17391" xr:uid="{00000000-0005-0000-0000-000068C80000}"/>
    <cellStyle name="Migliaia 60 3 2 4 2" xfId="33507" xr:uid="{00000000-0005-0000-0000-000069C80000}"/>
    <cellStyle name="Migliaia 60 3 2 4 3" xfId="48468" xr:uid="{00000000-0005-0000-0000-00006AC80000}"/>
    <cellStyle name="Migliaia 60 3 2 5" xfId="19269" xr:uid="{00000000-0005-0000-0000-00006BC80000}"/>
    <cellStyle name="Migliaia 60 3 2 6" xfId="34264" xr:uid="{00000000-0005-0000-0000-00006CC80000}"/>
    <cellStyle name="Migliaia 60 3 2 7" xfId="49204" xr:uid="{00000000-0005-0000-0000-00006DC80000}"/>
    <cellStyle name="Migliaia 60 3 2 8" xfId="49609" xr:uid="{00000000-0005-0000-0000-00006EC80000}"/>
    <cellStyle name="Migliaia 60 3 2 9" xfId="50015" xr:uid="{00000000-0005-0000-0000-00006FC80000}"/>
    <cellStyle name="Migliaia 60 3 3" xfId="9390" xr:uid="{00000000-0005-0000-0000-000070C80000}"/>
    <cellStyle name="Migliaia 60 3 3 2" xfId="18423" xr:uid="{00000000-0005-0000-0000-000071C80000}"/>
    <cellStyle name="Migliaia 60 3 3 2 2" xfId="33890" xr:uid="{00000000-0005-0000-0000-000072C80000}"/>
    <cellStyle name="Migliaia 60 3 3 2 2 2" xfId="55375" xr:uid="{00000000-0005-0000-0000-000073C80000}"/>
    <cellStyle name="Migliaia 60 3 3 2 3" xfId="48851" xr:uid="{00000000-0005-0000-0000-000074C80000}"/>
    <cellStyle name="Migliaia 60 3 3 2 3 2" xfId="56297" xr:uid="{00000000-0005-0000-0000-000075C80000}"/>
    <cellStyle name="Migliaia 60 3 3 2 4" xfId="53020" xr:uid="{00000000-0005-0000-0000-000076C80000}"/>
    <cellStyle name="Migliaia 60 3 3 3" xfId="17392" xr:uid="{00000000-0005-0000-0000-000077C80000}"/>
    <cellStyle name="Migliaia 60 3 3 3 2" xfId="33508" xr:uid="{00000000-0005-0000-0000-000078C80000}"/>
    <cellStyle name="Migliaia 60 3 3 3 3" xfId="48469" xr:uid="{00000000-0005-0000-0000-000079C80000}"/>
    <cellStyle name="Migliaia 60 3 3 3 4" xfId="54997" xr:uid="{00000000-0005-0000-0000-00007AC80000}"/>
    <cellStyle name="Migliaia 60 3 3 4" xfId="55915" xr:uid="{00000000-0005-0000-0000-00007BC80000}"/>
    <cellStyle name="Migliaia 60 3 3 5" xfId="52633" xr:uid="{00000000-0005-0000-0000-00007CC80000}"/>
    <cellStyle name="Migliaia 60 3 4" xfId="9961" xr:uid="{00000000-0005-0000-0000-00007DC80000}"/>
    <cellStyle name="Migliaia 60 3 4 2" xfId="18422" xr:uid="{00000000-0005-0000-0000-00007EC80000}"/>
    <cellStyle name="Migliaia 60 3 4 2 2" xfId="33889" xr:uid="{00000000-0005-0000-0000-00007FC80000}"/>
    <cellStyle name="Migliaia 60 3 4 2 3" xfId="48850" xr:uid="{00000000-0005-0000-0000-000080C80000}"/>
    <cellStyle name="Migliaia 60 3 4 2 4" xfId="55374" xr:uid="{00000000-0005-0000-0000-000081C80000}"/>
    <cellStyle name="Migliaia 60 3 4 3" xfId="26287" xr:uid="{00000000-0005-0000-0000-000082C80000}"/>
    <cellStyle name="Migliaia 60 3 4 3 2" xfId="56296" xr:uid="{00000000-0005-0000-0000-000083C80000}"/>
    <cellStyle name="Migliaia 60 3 4 4" xfId="41265" xr:uid="{00000000-0005-0000-0000-000084C80000}"/>
    <cellStyle name="Migliaia 60 3 4 5" xfId="53019" xr:uid="{00000000-0005-0000-0000-000085C80000}"/>
    <cellStyle name="Migliaia 60 3 5" xfId="17390" xr:uid="{00000000-0005-0000-0000-000086C80000}"/>
    <cellStyle name="Migliaia 60 3 5 2" xfId="33506" xr:uid="{00000000-0005-0000-0000-000087C80000}"/>
    <cellStyle name="Migliaia 60 3 5 3" xfId="48467" xr:uid="{00000000-0005-0000-0000-000088C80000}"/>
    <cellStyle name="Migliaia 60 3 5 4" xfId="54995" xr:uid="{00000000-0005-0000-0000-000089C80000}"/>
    <cellStyle name="Migliaia 60 3 6" xfId="19268" xr:uid="{00000000-0005-0000-0000-00008AC80000}"/>
    <cellStyle name="Migliaia 60 3 6 2" xfId="55913" xr:uid="{00000000-0005-0000-0000-00008BC80000}"/>
    <cellStyle name="Migliaia 60 3 7" xfId="34263" xr:uid="{00000000-0005-0000-0000-00008CC80000}"/>
    <cellStyle name="Migliaia 60 3 8" xfId="49203" xr:uid="{00000000-0005-0000-0000-00008DC80000}"/>
    <cellStyle name="Migliaia 60 3 9" xfId="49608" xr:uid="{00000000-0005-0000-0000-00008EC80000}"/>
    <cellStyle name="Migliaia 60 4" xfId="9392" xr:uid="{00000000-0005-0000-0000-00008FC80000}"/>
    <cellStyle name="Migliaia 60 4 2" xfId="17394" xr:uid="{00000000-0005-0000-0000-000090C80000}"/>
    <cellStyle name="Migliaia 60 4 2 2" xfId="18425" xr:uid="{00000000-0005-0000-0000-000091C80000}"/>
    <cellStyle name="Migliaia 60 4 2 2 2" xfId="33892" xr:uid="{00000000-0005-0000-0000-000092C80000}"/>
    <cellStyle name="Migliaia 60 4 2 2 2 2" xfId="55377" xr:uid="{00000000-0005-0000-0000-000093C80000}"/>
    <cellStyle name="Migliaia 60 4 2 2 3" xfId="48853" xr:uid="{00000000-0005-0000-0000-000094C80000}"/>
    <cellStyle name="Migliaia 60 4 2 2 3 2" xfId="56299" xr:uid="{00000000-0005-0000-0000-000095C80000}"/>
    <cellStyle name="Migliaia 60 4 2 2 4" xfId="53022" xr:uid="{00000000-0005-0000-0000-000096C80000}"/>
    <cellStyle name="Migliaia 60 4 2 3" xfId="33510" xr:uid="{00000000-0005-0000-0000-000097C80000}"/>
    <cellStyle name="Migliaia 60 4 2 3 2" xfId="54999" xr:uid="{00000000-0005-0000-0000-000098C80000}"/>
    <cellStyle name="Migliaia 60 4 2 4" xfId="48471" xr:uid="{00000000-0005-0000-0000-000099C80000}"/>
    <cellStyle name="Migliaia 60 4 2 4 2" xfId="55917" xr:uid="{00000000-0005-0000-0000-00009AC80000}"/>
    <cellStyle name="Migliaia 60 4 2 5" xfId="52635" xr:uid="{00000000-0005-0000-0000-00009BC80000}"/>
    <cellStyle name="Migliaia 60 4 3" xfId="18424" xr:uid="{00000000-0005-0000-0000-00009CC80000}"/>
    <cellStyle name="Migliaia 60 4 3 2" xfId="33891" xr:uid="{00000000-0005-0000-0000-00009DC80000}"/>
    <cellStyle name="Migliaia 60 4 3 2 2" xfId="55376" xr:uid="{00000000-0005-0000-0000-00009EC80000}"/>
    <cellStyle name="Migliaia 60 4 3 3" xfId="48852" xr:uid="{00000000-0005-0000-0000-00009FC80000}"/>
    <cellStyle name="Migliaia 60 4 3 3 2" xfId="56298" xr:uid="{00000000-0005-0000-0000-0000A0C80000}"/>
    <cellStyle name="Migliaia 60 4 3 4" xfId="53021" xr:uid="{00000000-0005-0000-0000-0000A1C80000}"/>
    <cellStyle name="Migliaia 60 4 4" xfId="17393" xr:uid="{00000000-0005-0000-0000-0000A2C80000}"/>
    <cellStyle name="Migliaia 60 4 4 2" xfId="33509" xr:uid="{00000000-0005-0000-0000-0000A3C80000}"/>
    <cellStyle name="Migliaia 60 4 4 3" xfId="48470" xr:uid="{00000000-0005-0000-0000-0000A4C80000}"/>
    <cellStyle name="Migliaia 60 4 4 4" xfId="54998" xr:uid="{00000000-0005-0000-0000-0000A5C80000}"/>
    <cellStyle name="Migliaia 60 4 5" xfId="50966" xr:uid="{00000000-0005-0000-0000-0000A6C80000}"/>
    <cellStyle name="Migliaia 60 4 5 2" xfId="55916" xr:uid="{00000000-0005-0000-0000-0000A7C80000}"/>
    <cellStyle name="Migliaia 60 4 6" xfId="52634" xr:uid="{00000000-0005-0000-0000-0000A8C80000}"/>
    <cellStyle name="Migliaia 60 5" xfId="9393" xr:uid="{00000000-0005-0000-0000-0000A9C80000}"/>
    <cellStyle name="Migliaia 60 5 2" xfId="17395" xr:uid="{00000000-0005-0000-0000-0000AAC80000}"/>
    <cellStyle name="Migliaia 60 5 2 2" xfId="33511" xr:uid="{00000000-0005-0000-0000-0000ABC80000}"/>
    <cellStyle name="Migliaia 60 5 2 3" xfId="48472" xr:uid="{00000000-0005-0000-0000-0000ACC80000}"/>
    <cellStyle name="Migliaia 60 5 2 4" xfId="55000" xr:uid="{00000000-0005-0000-0000-0000ADC80000}"/>
    <cellStyle name="Migliaia 60 5 3" xfId="51236" xr:uid="{00000000-0005-0000-0000-0000AEC80000}"/>
    <cellStyle name="Migliaia 60 5 3 2" xfId="55918" xr:uid="{00000000-0005-0000-0000-0000AFC80000}"/>
    <cellStyle name="Migliaia 60 5 4" xfId="52636" xr:uid="{00000000-0005-0000-0000-0000B0C80000}"/>
    <cellStyle name="Migliaia 60 6" xfId="9388" xr:uid="{00000000-0005-0000-0000-0000B1C80000}"/>
    <cellStyle name="Migliaia 60 6 2" xfId="50893" xr:uid="{00000000-0005-0000-0000-0000B2C80000}"/>
    <cellStyle name="Migliaia 60 6 3" xfId="54583" xr:uid="{00000000-0005-0000-0000-0000B3C80000}"/>
    <cellStyle name="Migliaia 60 7" xfId="9959" xr:uid="{00000000-0005-0000-0000-0000B4C80000}"/>
    <cellStyle name="Migliaia 60 7 2" xfId="26285" xr:uid="{00000000-0005-0000-0000-0000B5C80000}"/>
    <cellStyle name="Migliaia 60 7 3" xfId="41263" xr:uid="{00000000-0005-0000-0000-0000B6C80000}"/>
    <cellStyle name="Migliaia 60 7 4" xfId="55911" xr:uid="{00000000-0005-0000-0000-0000B7C80000}"/>
    <cellStyle name="Migliaia 60 8" xfId="17388" xr:uid="{00000000-0005-0000-0000-0000B8C80000}"/>
    <cellStyle name="Migliaia 60 8 2" xfId="33504" xr:uid="{00000000-0005-0000-0000-0000B9C80000}"/>
    <cellStyle name="Migliaia 60 8 3" xfId="48465" xr:uid="{00000000-0005-0000-0000-0000BAC80000}"/>
    <cellStyle name="Migliaia 60 9" xfId="19266" xr:uid="{00000000-0005-0000-0000-0000BBC80000}"/>
    <cellStyle name="Migliaia 61" xfId="513" xr:uid="{00000000-0005-0000-0000-0000BCC80000}"/>
    <cellStyle name="Migliaia 61 10" xfId="34265" xr:uid="{00000000-0005-0000-0000-0000BDC80000}"/>
    <cellStyle name="Migliaia 61 11" xfId="49205" xr:uid="{00000000-0005-0000-0000-0000BEC80000}"/>
    <cellStyle name="Migliaia 61 12" xfId="49610" xr:uid="{00000000-0005-0000-0000-0000BFC80000}"/>
    <cellStyle name="Migliaia 61 13" xfId="50016" xr:uid="{00000000-0005-0000-0000-0000C0C80000}"/>
    <cellStyle name="Migliaia 61 14" xfId="50424" xr:uid="{00000000-0005-0000-0000-0000C1C80000}"/>
    <cellStyle name="Migliaia 61 15" xfId="50866" xr:uid="{00000000-0005-0000-0000-0000C2C80000}"/>
    <cellStyle name="Migliaia 61 16" xfId="51585" xr:uid="{00000000-0005-0000-0000-0000C3C80000}"/>
    <cellStyle name="Migliaia 61 17" xfId="51998" xr:uid="{00000000-0005-0000-0000-0000C4C80000}"/>
    <cellStyle name="Migliaia 61 18" xfId="52637" xr:uid="{00000000-0005-0000-0000-0000C5C80000}"/>
    <cellStyle name="Migliaia 61 2" xfId="514" xr:uid="{00000000-0005-0000-0000-0000C6C80000}"/>
    <cellStyle name="Migliaia 61 2 10" xfId="50017" xr:uid="{00000000-0005-0000-0000-0000C7C80000}"/>
    <cellStyle name="Migliaia 61 2 11" xfId="50425" xr:uid="{00000000-0005-0000-0000-0000C8C80000}"/>
    <cellStyle name="Migliaia 61 2 12" xfId="50867" xr:uid="{00000000-0005-0000-0000-0000C9C80000}"/>
    <cellStyle name="Migliaia 61 2 13" xfId="51586" xr:uid="{00000000-0005-0000-0000-0000CAC80000}"/>
    <cellStyle name="Migliaia 61 2 14" xfId="51999" xr:uid="{00000000-0005-0000-0000-0000CBC80000}"/>
    <cellStyle name="Migliaia 61 2 15" xfId="52638" xr:uid="{00000000-0005-0000-0000-0000CCC80000}"/>
    <cellStyle name="Migliaia 61 2 2" xfId="1300" xr:uid="{00000000-0005-0000-0000-0000CDC80000}"/>
    <cellStyle name="Migliaia 61 2 2 10" xfId="51094" xr:uid="{00000000-0005-0000-0000-0000CEC80000}"/>
    <cellStyle name="Migliaia 61 2 2 11" xfId="51690" xr:uid="{00000000-0005-0000-0000-0000CFC80000}"/>
    <cellStyle name="Migliaia 61 2 2 12" xfId="52111" xr:uid="{00000000-0005-0000-0000-0000D0C80000}"/>
    <cellStyle name="Migliaia 61 2 2 13" xfId="53023" xr:uid="{00000000-0005-0000-0000-0000D1C80000}"/>
    <cellStyle name="Migliaia 61 2 2 2" xfId="10068" xr:uid="{00000000-0005-0000-0000-0000D2C80000}"/>
    <cellStyle name="Migliaia 61 2 2 2 2" xfId="26389" xr:uid="{00000000-0005-0000-0000-0000D3C80000}"/>
    <cellStyle name="Migliaia 61 2 2 2 3" xfId="41357" xr:uid="{00000000-0005-0000-0000-0000D4C80000}"/>
    <cellStyle name="Migliaia 61 2 2 2 4" xfId="55378" xr:uid="{00000000-0005-0000-0000-0000D5C80000}"/>
    <cellStyle name="Migliaia 61 2 2 3" xfId="18426" xr:uid="{00000000-0005-0000-0000-0000D6C80000}"/>
    <cellStyle name="Migliaia 61 2 2 3 2" xfId="33893" xr:uid="{00000000-0005-0000-0000-0000D7C80000}"/>
    <cellStyle name="Migliaia 61 2 2 3 3" xfId="48854" xr:uid="{00000000-0005-0000-0000-0000D8C80000}"/>
    <cellStyle name="Migliaia 61 2 2 3 4" xfId="56300" xr:uid="{00000000-0005-0000-0000-0000D9C80000}"/>
    <cellStyle name="Migliaia 61 2 2 4" xfId="19368" xr:uid="{00000000-0005-0000-0000-0000DAC80000}"/>
    <cellStyle name="Migliaia 61 2 2 5" xfId="34358" xr:uid="{00000000-0005-0000-0000-0000DBC80000}"/>
    <cellStyle name="Migliaia 61 2 2 6" xfId="49310" xr:uid="{00000000-0005-0000-0000-0000DCC80000}"/>
    <cellStyle name="Migliaia 61 2 2 7" xfId="49715" xr:uid="{00000000-0005-0000-0000-0000DDC80000}"/>
    <cellStyle name="Migliaia 61 2 2 8" xfId="50124" xr:uid="{00000000-0005-0000-0000-0000DEC80000}"/>
    <cellStyle name="Migliaia 61 2 2 9" xfId="50529" xr:uid="{00000000-0005-0000-0000-0000DFC80000}"/>
    <cellStyle name="Migliaia 61 2 3" xfId="9395" xr:uid="{00000000-0005-0000-0000-0000E0C80000}"/>
    <cellStyle name="Migliaia 61 2 3 2" xfId="54648" xr:uid="{00000000-0005-0000-0000-0000E1C80000}"/>
    <cellStyle name="Migliaia 61 2 4" xfId="9964" xr:uid="{00000000-0005-0000-0000-0000E2C80000}"/>
    <cellStyle name="Migliaia 61 2 4 2" xfId="26290" xr:uid="{00000000-0005-0000-0000-0000E3C80000}"/>
    <cellStyle name="Migliaia 61 2 4 3" xfId="41268" xr:uid="{00000000-0005-0000-0000-0000E4C80000}"/>
    <cellStyle name="Migliaia 61 2 4 4" xfId="55920" xr:uid="{00000000-0005-0000-0000-0000E5C80000}"/>
    <cellStyle name="Migliaia 61 2 5" xfId="17397" xr:uid="{00000000-0005-0000-0000-0000E6C80000}"/>
    <cellStyle name="Migliaia 61 2 5 2" xfId="33513" xr:uid="{00000000-0005-0000-0000-0000E7C80000}"/>
    <cellStyle name="Migliaia 61 2 5 3" xfId="48474" xr:uid="{00000000-0005-0000-0000-0000E8C80000}"/>
    <cellStyle name="Migliaia 61 2 6" xfId="19271" xr:uid="{00000000-0005-0000-0000-0000E9C80000}"/>
    <cellStyle name="Migliaia 61 2 7" xfId="34266" xr:uid="{00000000-0005-0000-0000-0000EAC80000}"/>
    <cellStyle name="Migliaia 61 2 8" xfId="49206" xr:uid="{00000000-0005-0000-0000-0000EBC80000}"/>
    <cellStyle name="Migliaia 61 2 9" xfId="49611" xr:uid="{00000000-0005-0000-0000-0000ECC80000}"/>
    <cellStyle name="Migliaia 61 3" xfId="515" xr:uid="{00000000-0005-0000-0000-0000EDC80000}"/>
    <cellStyle name="Migliaia 61 3 10" xfId="50018" xr:uid="{00000000-0005-0000-0000-0000EEC80000}"/>
    <cellStyle name="Migliaia 61 3 11" xfId="50426" xr:uid="{00000000-0005-0000-0000-0000EFC80000}"/>
    <cellStyle name="Migliaia 61 3 12" xfId="50868" xr:uid="{00000000-0005-0000-0000-0000F0C80000}"/>
    <cellStyle name="Migliaia 61 3 13" xfId="51587" xr:uid="{00000000-0005-0000-0000-0000F1C80000}"/>
    <cellStyle name="Migliaia 61 3 14" xfId="52000" xr:uid="{00000000-0005-0000-0000-0000F2C80000}"/>
    <cellStyle name="Migliaia 61 3 15" xfId="52639" xr:uid="{00000000-0005-0000-0000-0000F3C80000}"/>
    <cellStyle name="Migliaia 61 3 2" xfId="516" xr:uid="{00000000-0005-0000-0000-0000F4C80000}"/>
    <cellStyle name="Migliaia 61 3 2 10" xfId="50427" xr:uid="{00000000-0005-0000-0000-0000F5C80000}"/>
    <cellStyle name="Migliaia 61 3 2 11" xfId="50869" xr:uid="{00000000-0005-0000-0000-0000F6C80000}"/>
    <cellStyle name="Migliaia 61 3 2 12" xfId="51588" xr:uid="{00000000-0005-0000-0000-0000F7C80000}"/>
    <cellStyle name="Migliaia 61 3 2 13" xfId="52001" xr:uid="{00000000-0005-0000-0000-0000F8C80000}"/>
    <cellStyle name="Migliaia 61 3 2 14" xfId="52640" xr:uid="{00000000-0005-0000-0000-0000F9C80000}"/>
    <cellStyle name="Migliaia 61 3 2 2" xfId="9397" xr:uid="{00000000-0005-0000-0000-0000FAC80000}"/>
    <cellStyle name="Migliaia 61 3 2 2 2" xfId="55002" xr:uid="{00000000-0005-0000-0000-0000FBC80000}"/>
    <cellStyle name="Migliaia 61 3 2 3" xfId="9966" xr:uid="{00000000-0005-0000-0000-0000FCC80000}"/>
    <cellStyle name="Migliaia 61 3 2 3 2" xfId="26292" xr:uid="{00000000-0005-0000-0000-0000FDC80000}"/>
    <cellStyle name="Migliaia 61 3 2 3 3" xfId="41270" xr:uid="{00000000-0005-0000-0000-0000FEC80000}"/>
    <cellStyle name="Migliaia 61 3 2 3 4" xfId="55922" xr:uid="{00000000-0005-0000-0000-0000FFC80000}"/>
    <cellStyle name="Migliaia 61 3 2 4" xfId="17399" xr:uid="{00000000-0005-0000-0000-000000C90000}"/>
    <cellStyle name="Migliaia 61 3 2 4 2" xfId="33515" xr:uid="{00000000-0005-0000-0000-000001C90000}"/>
    <cellStyle name="Migliaia 61 3 2 4 3" xfId="48476" xr:uid="{00000000-0005-0000-0000-000002C90000}"/>
    <cellStyle name="Migliaia 61 3 2 5" xfId="19273" xr:uid="{00000000-0005-0000-0000-000003C90000}"/>
    <cellStyle name="Migliaia 61 3 2 6" xfId="34268" xr:uid="{00000000-0005-0000-0000-000004C90000}"/>
    <cellStyle name="Migliaia 61 3 2 7" xfId="49208" xr:uid="{00000000-0005-0000-0000-000005C90000}"/>
    <cellStyle name="Migliaia 61 3 2 8" xfId="49613" xr:uid="{00000000-0005-0000-0000-000006C90000}"/>
    <cellStyle name="Migliaia 61 3 2 9" xfId="50019" xr:uid="{00000000-0005-0000-0000-000007C90000}"/>
    <cellStyle name="Migliaia 61 3 3" xfId="9396" xr:uid="{00000000-0005-0000-0000-000008C90000}"/>
    <cellStyle name="Migliaia 61 3 3 2" xfId="18428" xr:uid="{00000000-0005-0000-0000-000009C90000}"/>
    <cellStyle name="Migliaia 61 3 3 2 2" xfId="33895" xr:uid="{00000000-0005-0000-0000-00000AC90000}"/>
    <cellStyle name="Migliaia 61 3 3 2 2 2" xfId="55380" xr:uid="{00000000-0005-0000-0000-00000BC90000}"/>
    <cellStyle name="Migliaia 61 3 3 2 3" xfId="48856" xr:uid="{00000000-0005-0000-0000-00000CC90000}"/>
    <cellStyle name="Migliaia 61 3 3 2 3 2" xfId="56302" xr:uid="{00000000-0005-0000-0000-00000DC90000}"/>
    <cellStyle name="Migliaia 61 3 3 2 4" xfId="53025" xr:uid="{00000000-0005-0000-0000-00000EC90000}"/>
    <cellStyle name="Migliaia 61 3 3 3" xfId="17400" xr:uid="{00000000-0005-0000-0000-00000FC90000}"/>
    <cellStyle name="Migliaia 61 3 3 3 2" xfId="33516" xr:uid="{00000000-0005-0000-0000-000010C90000}"/>
    <cellStyle name="Migliaia 61 3 3 3 3" xfId="48477" xr:uid="{00000000-0005-0000-0000-000011C90000}"/>
    <cellStyle name="Migliaia 61 3 3 3 4" xfId="55003" xr:uid="{00000000-0005-0000-0000-000012C90000}"/>
    <cellStyle name="Migliaia 61 3 3 4" xfId="55923" xr:uid="{00000000-0005-0000-0000-000013C90000}"/>
    <cellStyle name="Migliaia 61 3 3 5" xfId="52641" xr:uid="{00000000-0005-0000-0000-000014C90000}"/>
    <cellStyle name="Migliaia 61 3 4" xfId="9965" xr:uid="{00000000-0005-0000-0000-000015C90000}"/>
    <cellStyle name="Migliaia 61 3 4 2" xfId="18427" xr:uid="{00000000-0005-0000-0000-000016C90000}"/>
    <cellStyle name="Migliaia 61 3 4 2 2" xfId="33894" xr:uid="{00000000-0005-0000-0000-000017C90000}"/>
    <cellStyle name="Migliaia 61 3 4 2 3" xfId="48855" xr:uid="{00000000-0005-0000-0000-000018C90000}"/>
    <cellStyle name="Migliaia 61 3 4 2 4" xfId="55379" xr:uid="{00000000-0005-0000-0000-000019C90000}"/>
    <cellStyle name="Migliaia 61 3 4 3" xfId="26291" xr:uid="{00000000-0005-0000-0000-00001AC90000}"/>
    <cellStyle name="Migliaia 61 3 4 3 2" xfId="56301" xr:uid="{00000000-0005-0000-0000-00001BC90000}"/>
    <cellStyle name="Migliaia 61 3 4 4" xfId="41269" xr:uid="{00000000-0005-0000-0000-00001CC90000}"/>
    <cellStyle name="Migliaia 61 3 4 5" xfId="53024" xr:uid="{00000000-0005-0000-0000-00001DC90000}"/>
    <cellStyle name="Migliaia 61 3 5" xfId="17398" xr:uid="{00000000-0005-0000-0000-00001EC90000}"/>
    <cellStyle name="Migliaia 61 3 5 2" xfId="33514" xr:uid="{00000000-0005-0000-0000-00001FC90000}"/>
    <cellStyle name="Migliaia 61 3 5 3" xfId="48475" xr:uid="{00000000-0005-0000-0000-000020C90000}"/>
    <cellStyle name="Migliaia 61 3 5 4" xfId="55001" xr:uid="{00000000-0005-0000-0000-000021C90000}"/>
    <cellStyle name="Migliaia 61 3 6" xfId="19272" xr:uid="{00000000-0005-0000-0000-000022C90000}"/>
    <cellStyle name="Migliaia 61 3 6 2" xfId="55921" xr:uid="{00000000-0005-0000-0000-000023C90000}"/>
    <cellStyle name="Migliaia 61 3 7" xfId="34267" xr:uid="{00000000-0005-0000-0000-000024C90000}"/>
    <cellStyle name="Migliaia 61 3 8" xfId="49207" xr:uid="{00000000-0005-0000-0000-000025C90000}"/>
    <cellStyle name="Migliaia 61 3 9" xfId="49612" xr:uid="{00000000-0005-0000-0000-000026C90000}"/>
    <cellStyle name="Migliaia 61 4" xfId="9398" xr:uid="{00000000-0005-0000-0000-000027C90000}"/>
    <cellStyle name="Migliaia 61 4 2" xfId="17402" xr:uid="{00000000-0005-0000-0000-000028C90000}"/>
    <cellStyle name="Migliaia 61 4 2 2" xfId="18430" xr:uid="{00000000-0005-0000-0000-000029C90000}"/>
    <cellStyle name="Migliaia 61 4 2 2 2" xfId="33897" xr:uid="{00000000-0005-0000-0000-00002AC90000}"/>
    <cellStyle name="Migliaia 61 4 2 2 2 2" xfId="55382" xr:uid="{00000000-0005-0000-0000-00002BC90000}"/>
    <cellStyle name="Migliaia 61 4 2 2 3" xfId="48858" xr:uid="{00000000-0005-0000-0000-00002CC90000}"/>
    <cellStyle name="Migliaia 61 4 2 2 3 2" xfId="56304" xr:uid="{00000000-0005-0000-0000-00002DC90000}"/>
    <cellStyle name="Migliaia 61 4 2 2 4" xfId="53027" xr:uid="{00000000-0005-0000-0000-00002EC90000}"/>
    <cellStyle name="Migliaia 61 4 2 3" xfId="33518" xr:uid="{00000000-0005-0000-0000-00002FC90000}"/>
    <cellStyle name="Migliaia 61 4 2 3 2" xfId="55005" xr:uid="{00000000-0005-0000-0000-000030C90000}"/>
    <cellStyle name="Migliaia 61 4 2 4" xfId="48479" xr:uid="{00000000-0005-0000-0000-000031C90000}"/>
    <cellStyle name="Migliaia 61 4 2 4 2" xfId="55925" xr:uid="{00000000-0005-0000-0000-000032C90000}"/>
    <cellStyle name="Migliaia 61 4 2 5" xfId="52643" xr:uid="{00000000-0005-0000-0000-000033C90000}"/>
    <cellStyle name="Migliaia 61 4 3" xfId="18429" xr:uid="{00000000-0005-0000-0000-000034C90000}"/>
    <cellStyle name="Migliaia 61 4 3 2" xfId="33896" xr:uid="{00000000-0005-0000-0000-000035C90000}"/>
    <cellStyle name="Migliaia 61 4 3 2 2" xfId="55381" xr:uid="{00000000-0005-0000-0000-000036C90000}"/>
    <cellStyle name="Migliaia 61 4 3 3" xfId="48857" xr:uid="{00000000-0005-0000-0000-000037C90000}"/>
    <cellStyle name="Migliaia 61 4 3 3 2" xfId="56303" xr:uid="{00000000-0005-0000-0000-000038C90000}"/>
    <cellStyle name="Migliaia 61 4 3 4" xfId="53026" xr:uid="{00000000-0005-0000-0000-000039C90000}"/>
    <cellStyle name="Migliaia 61 4 4" xfId="17401" xr:uid="{00000000-0005-0000-0000-00003AC90000}"/>
    <cellStyle name="Migliaia 61 4 4 2" xfId="33517" xr:uid="{00000000-0005-0000-0000-00003BC90000}"/>
    <cellStyle name="Migliaia 61 4 4 3" xfId="48478" xr:uid="{00000000-0005-0000-0000-00003CC90000}"/>
    <cellStyle name="Migliaia 61 4 4 4" xfId="55004" xr:uid="{00000000-0005-0000-0000-00003DC90000}"/>
    <cellStyle name="Migliaia 61 4 5" xfId="51237" xr:uid="{00000000-0005-0000-0000-00003EC90000}"/>
    <cellStyle name="Migliaia 61 4 5 2" xfId="55924" xr:uid="{00000000-0005-0000-0000-00003FC90000}"/>
    <cellStyle name="Migliaia 61 4 6" xfId="52642" xr:uid="{00000000-0005-0000-0000-000040C90000}"/>
    <cellStyle name="Migliaia 61 5" xfId="9399" xr:uid="{00000000-0005-0000-0000-000041C90000}"/>
    <cellStyle name="Migliaia 61 5 2" xfId="17403" xr:uid="{00000000-0005-0000-0000-000042C90000}"/>
    <cellStyle name="Migliaia 61 5 2 2" xfId="33519" xr:uid="{00000000-0005-0000-0000-000043C90000}"/>
    <cellStyle name="Migliaia 61 5 2 3" xfId="48480" xr:uid="{00000000-0005-0000-0000-000044C90000}"/>
    <cellStyle name="Migliaia 61 5 2 4" xfId="55006" xr:uid="{00000000-0005-0000-0000-000045C90000}"/>
    <cellStyle name="Migliaia 61 5 3" xfId="51108" xr:uid="{00000000-0005-0000-0000-000046C90000}"/>
    <cellStyle name="Migliaia 61 5 3 2" xfId="55926" xr:uid="{00000000-0005-0000-0000-000047C90000}"/>
    <cellStyle name="Migliaia 61 5 4" xfId="52644" xr:uid="{00000000-0005-0000-0000-000048C90000}"/>
    <cellStyle name="Migliaia 61 6" xfId="9394" xr:uid="{00000000-0005-0000-0000-000049C90000}"/>
    <cellStyle name="Migliaia 61 6 2" xfId="50892" xr:uid="{00000000-0005-0000-0000-00004AC90000}"/>
    <cellStyle name="Migliaia 61 6 3" xfId="54584" xr:uid="{00000000-0005-0000-0000-00004BC90000}"/>
    <cellStyle name="Migliaia 61 7" xfId="9963" xr:uid="{00000000-0005-0000-0000-00004CC90000}"/>
    <cellStyle name="Migliaia 61 7 2" xfId="26289" xr:uid="{00000000-0005-0000-0000-00004DC90000}"/>
    <cellStyle name="Migliaia 61 7 3" xfId="41267" xr:uid="{00000000-0005-0000-0000-00004EC90000}"/>
    <cellStyle name="Migliaia 61 7 4" xfId="55919" xr:uid="{00000000-0005-0000-0000-00004FC90000}"/>
    <cellStyle name="Migliaia 61 8" xfId="17396" xr:uid="{00000000-0005-0000-0000-000050C90000}"/>
    <cellStyle name="Migliaia 61 8 2" xfId="33512" xr:uid="{00000000-0005-0000-0000-000051C90000}"/>
    <cellStyle name="Migliaia 61 8 3" xfId="48473" xr:uid="{00000000-0005-0000-0000-000052C90000}"/>
    <cellStyle name="Migliaia 61 9" xfId="19270" xr:uid="{00000000-0005-0000-0000-000053C90000}"/>
    <cellStyle name="Migliaia 7" xfId="517" xr:uid="{00000000-0005-0000-0000-000054C90000}"/>
    <cellStyle name="Migliaia 7 10" xfId="34269" xr:uid="{00000000-0005-0000-0000-000055C90000}"/>
    <cellStyle name="Migliaia 7 11" xfId="49209" xr:uid="{00000000-0005-0000-0000-000056C90000}"/>
    <cellStyle name="Migliaia 7 12" xfId="49614" xr:uid="{00000000-0005-0000-0000-000057C90000}"/>
    <cellStyle name="Migliaia 7 13" xfId="50020" xr:uid="{00000000-0005-0000-0000-000058C90000}"/>
    <cellStyle name="Migliaia 7 14" xfId="50428" xr:uid="{00000000-0005-0000-0000-000059C90000}"/>
    <cellStyle name="Migliaia 7 15" xfId="50870" xr:uid="{00000000-0005-0000-0000-00005AC90000}"/>
    <cellStyle name="Migliaia 7 16" xfId="51589" xr:uid="{00000000-0005-0000-0000-00005BC90000}"/>
    <cellStyle name="Migliaia 7 17" xfId="52002" xr:uid="{00000000-0005-0000-0000-00005CC90000}"/>
    <cellStyle name="Migliaia 7 18" xfId="52645" xr:uid="{00000000-0005-0000-0000-00005DC90000}"/>
    <cellStyle name="Migliaia 7 2" xfId="518" xr:uid="{00000000-0005-0000-0000-00005EC90000}"/>
    <cellStyle name="Migliaia 7 2 10" xfId="50021" xr:uid="{00000000-0005-0000-0000-00005FC90000}"/>
    <cellStyle name="Migliaia 7 2 11" xfId="50429" xr:uid="{00000000-0005-0000-0000-000060C90000}"/>
    <cellStyle name="Migliaia 7 2 12" xfId="50871" xr:uid="{00000000-0005-0000-0000-000061C90000}"/>
    <cellStyle name="Migliaia 7 2 13" xfId="51590" xr:uid="{00000000-0005-0000-0000-000062C90000}"/>
    <cellStyle name="Migliaia 7 2 14" xfId="52003" xr:uid="{00000000-0005-0000-0000-000063C90000}"/>
    <cellStyle name="Migliaia 7 2 15" xfId="52646" xr:uid="{00000000-0005-0000-0000-000064C90000}"/>
    <cellStyle name="Migliaia 7 2 2" xfId="1301" xr:uid="{00000000-0005-0000-0000-000065C90000}"/>
    <cellStyle name="Migliaia 7 2 2 10" xfId="51095" xr:uid="{00000000-0005-0000-0000-000066C90000}"/>
    <cellStyle name="Migliaia 7 2 2 11" xfId="51691" xr:uid="{00000000-0005-0000-0000-000067C90000}"/>
    <cellStyle name="Migliaia 7 2 2 12" xfId="52112" xr:uid="{00000000-0005-0000-0000-000068C90000}"/>
    <cellStyle name="Migliaia 7 2 2 13" xfId="53028" xr:uid="{00000000-0005-0000-0000-000069C90000}"/>
    <cellStyle name="Migliaia 7 2 2 2" xfId="10069" xr:uid="{00000000-0005-0000-0000-00006AC90000}"/>
    <cellStyle name="Migliaia 7 2 2 2 2" xfId="26390" xr:uid="{00000000-0005-0000-0000-00006BC90000}"/>
    <cellStyle name="Migliaia 7 2 2 2 3" xfId="41358" xr:uid="{00000000-0005-0000-0000-00006CC90000}"/>
    <cellStyle name="Migliaia 7 2 2 2 4" xfId="55383" xr:uid="{00000000-0005-0000-0000-00006DC90000}"/>
    <cellStyle name="Migliaia 7 2 2 3" xfId="18431" xr:uid="{00000000-0005-0000-0000-00006EC90000}"/>
    <cellStyle name="Migliaia 7 2 2 3 2" xfId="33898" xr:uid="{00000000-0005-0000-0000-00006FC90000}"/>
    <cellStyle name="Migliaia 7 2 2 3 3" xfId="48859" xr:uid="{00000000-0005-0000-0000-000070C90000}"/>
    <cellStyle name="Migliaia 7 2 2 3 4" xfId="56305" xr:uid="{00000000-0005-0000-0000-000071C90000}"/>
    <cellStyle name="Migliaia 7 2 2 4" xfId="19369" xr:uid="{00000000-0005-0000-0000-000072C90000}"/>
    <cellStyle name="Migliaia 7 2 2 5" xfId="34359" xr:uid="{00000000-0005-0000-0000-000073C90000}"/>
    <cellStyle name="Migliaia 7 2 2 6" xfId="49311" xr:uid="{00000000-0005-0000-0000-000074C90000}"/>
    <cellStyle name="Migliaia 7 2 2 7" xfId="49716" xr:uid="{00000000-0005-0000-0000-000075C90000}"/>
    <cellStyle name="Migliaia 7 2 2 8" xfId="50125" xr:uid="{00000000-0005-0000-0000-000076C90000}"/>
    <cellStyle name="Migliaia 7 2 2 9" xfId="50530" xr:uid="{00000000-0005-0000-0000-000077C90000}"/>
    <cellStyle name="Migliaia 7 2 3" xfId="9401" xr:uid="{00000000-0005-0000-0000-000078C90000}"/>
    <cellStyle name="Migliaia 7 2 3 2" xfId="54649" xr:uid="{00000000-0005-0000-0000-000079C90000}"/>
    <cellStyle name="Migliaia 7 2 4" xfId="9968" xr:uid="{00000000-0005-0000-0000-00007AC90000}"/>
    <cellStyle name="Migliaia 7 2 4 2" xfId="26294" xr:uid="{00000000-0005-0000-0000-00007BC90000}"/>
    <cellStyle name="Migliaia 7 2 4 3" xfId="41272" xr:uid="{00000000-0005-0000-0000-00007CC90000}"/>
    <cellStyle name="Migliaia 7 2 4 4" xfId="55928" xr:uid="{00000000-0005-0000-0000-00007DC90000}"/>
    <cellStyle name="Migliaia 7 2 5" xfId="17405" xr:uid="{00000000-0005-0000-0000-00007EC90000}"/>
    <cellStyle name="Migliaia 7 2 5 2" xfId="33521" xr:uid="{00000000-0005-0000-0000-00007FC90000}"/>
    <cellStyle name="Migliaia 7 2 5 3" xfId="48482" xr:uid="{00000000-0005-0000-0000-000080C90000}"/>
    <cellStyle name="Migliaia 7 2 6" xfId="19275" xr:uid="{00000000-0005-0000-0000-000081C90000}"/>
    <cellStyle name="Migliaia 7 2 7" xfId="34270" xr:uid="{00000000-0005-0000-0000-000082C90000}"/>
    <cellStyle name="Migliaia 7 2 8" xfId="49210" xr:uid="{00000000-0005-0000-0000-000083C90000}"/>
    <cellStyle name="Migliaia 7 2 9" xfId="49615" xr:uid="{00000000-0005-0000-0000-000084C90000}"/>
    <cellStyle name="Migliaia 7 3" xfId="519" xr:uid="{00000000-0005-0000-0000-000085C90000}"/>
    <cellStyle name="Migliaia 7 3 10" xfId="50022" xr:uid="{00000000-0005-0000-0000-000086C90000}"/>
    <cellStyle name="Migliaia 7 3 11" xfId="50430" xr:uid="{00000000-0005-0000-0000-000087C90000}"/>
    <cellStyle name="Migliaia 7 3 12" xfId="50872" xr:uid="{00000000-0005-0000-0000-000088C90000}"/>
    <cellStyle name="Migliaia 7 3 13" xfId="51591" xr:uid="{00000000-0005-0000-0000-000089C90000}"/>
    <cellStyle name="Migliaia 7 3 14" xfId="52004" xr:uid="{00000000-0005-0000-0000-00008AC90000}"/>
    <cellStyle name="Migliaia 7 3 15" xfId="52647" xr:uid="{00000000-0005-0000-0000-00008BC90000}"/>
    <cellStyle name="Migliaia 7 3 2" xfId="520" xr:uid="{00000000-0005-0000-0000-00008CC90000}"/>
    <cellStyle name="Migliaia 7 3 2 10" xfId="50431" xr:uid="{00000000-0005-0000-0000-00008DC90000}"/>
    <cellStyle name="Migliaia 7 3 2 11" xfId="50873" xr:uid="{00000000-0005-0000-0000-00008EC90000}"/>
    <cellStyle name="Migliaia 7 3 2 12" xfId="51592" xr:uid="{00000000-0005-0000-0000-00008FC90000}"/>
    <cellStyle name="Migliaia 7 3 2 13" xfId="52005" xr:uid="{00000000-0005-0000-0000-000090C90000}"/>
    <cellStyle name="Migliaia 7 3 2 14" xfId="52648" xr:uid="{00000000-0005-0000-0000-000091C90000}"/>
    <cellStyle name="Migliaia 7 3 2 2" xfId="9403" xr:uid="{00000000-0005-0000-0000-000092C90000}"/>
    <cellStyle name="Migliaia 7 3 2 2 2" xfId="55008" xr:uid="{00000000-0005-0000-0000-000093C90000}"/>
    <cellStyle name="Migliaia 7 3 2 3" xfId="9970" xr:uid="{00000000-0005-0000-0000-000094C90000}"/>
    <cellStyle name="Migliaia 7 3 2 3 2" xfId="26296" xr:uid="{00000000-0005-0000-0000-000095C90000}"/>
    <cellStyle name="Migliaia 7 3 2 3 3" xfId="41274" xr:uid="{00000000-0005-0000-0000-000096C90000}"/>
    <cellStyle name="Migliaia 7 3 2 3 4" xfId="55930" xr:uid="{00000000-0005-0000-0000-000097C90000}"/>
    <cellStyle name="Migliaia 7 3 2 4" xfId="17407" xr:uid="{00000000-0005-0000-0000-000098C90000}"/>
    <cellStyle name="Migliaia 7 3 2 4 2" xfId="33523" xr:uid="{00000000-0005-0000-0000-000099C90000}"/>
    <cellStyle name="Migliaia 7 3 2 4 3" xfId="48484" xr:uid="{00000000-0005-0000-0000-00009AC90000}"/>
    <cellStyle name="Migliaia 7 3 2 5" xfId="19277" xr:uid="{00000000-0005-0000-0000-00009BC90000}"/>
    <cellStyle name="Migliaia 7 3 2 6" xfId="34272" xr:uid="{00000000-0005-0000-0000-00009CC90000}"/>
    <cellStyle name="Migliaia 7 3 2 7" xfId="49212" xr:uid="{00000000-0005-0000-0000-00009DC90000}"/>
    <cellStyle name="Migliaia 7 3 2 8" xfId="49617" xr:uid="{00000000-0005-0000-0000-00009EC90000}"/>
    <cellStyle name="Migliaia 7 3 2 9" xfId="50023" xr:uid="{00000000-0005-0000-0000-00009FC90000}"/>
    <cellStyle name="Migliaia 7 3 3" xfId="9402" xr:uid="{00000000-0005-0000-0000-0000A0C90000}"/>
    <cellStyle name="Migliaia 7 3 3 2" xfId="18433" xr:uid="{00000000-0005-0000-0000-0000A1C90000}"/>
    <cellStyle name="Migliaia 7 3 3 2 2" xfId="33900" xr:uid="{00000000-0005-0000-0000-0000A2C90000}"/>
    <cellStyle name="Migliaia 7 3 3 2 2 2" xfId="55385" xr:uid="{00000000-0005-0000-0000-0000A3C90000}"/>
    <cellStyle name="Migliaia 7 3 3 2 3" xfId="48861" xr:uid="{00000000-0005-0000-0000-0000A4C90000}"/>
    <cellStyle name="Migliaia 7 3 3 2 3 2" xfId="56307" xr:uid="{00000000-0005-0000-0000-0000A5C90000}"/>
    <cellStyle name="Migliaia 7 3 3 2 4" xfId="53030" xr:uid="{00000000-0005-0000-0000-0000A6C90000}"/>
    <cellStyle name="Migliaia 7 3 3 3" xfId="17408" xr:uid="{00000000-0005-0000-0000-0000A7C90000}"/>
    <cellStyle name="Migliaia 7 3 3 3 2" xfId="33524" xr:uid="{00000000-0005-0000-0000-0000A8C90000}"/>
    <cellStyle name="Migliaia 7 3 3 3 3" xfId="48485" xr:uid="{00000000-0005-0000-0000-0000A9C90000}"/>
    <cellStyle name="Migliaia 7 3 3 3 4" xfId="55009" xr:uid="{00000000-0005-0000-0000-0000AAC90000}"/>
    <cellStyle name="Migliaia 7 3 3 4" xfId="55931" xr:uid="{00000000-0005-0000-0000-0000ABC90000}"/>
    <cellStyle name="Migliaia 7 3 3 5" xfId="52649" xr:uid="{00000000-0005-0000-0000-0000ACC90000}"/>
    <cellStyle name="Migliaia 7 3 4" xfId="9969" xr:uid="{00000000-0005-0000-0000-0000ADC90000}"/>
    <cellStyle name="Migliaia 7 3 4 2" xfId="18432" xr:uid="{00000000-0005-0000-0000-0000AEC90000}"/>
    <cellStyle name="Migliaia 7 3 4 2 2" xfId="33899" xr:uid="{00000000-0005-0000-0000-0000AFC90000}"/>
    <cellStyle name="Migliaia 7 3 4 2 3" xfId="48860" xr:uid="{00000000-0005-0000-0000-0000B0C90000}"/>
    <cellStyle name="Migliaia 7 3 4 2 4" xfId="55384" xr:uid="{00000000-0005-0000-0000-0000B1C90000}"/>
    <cellStyle name="Migliaia 7 3 4 3" xfId="26295" xr:uid="{00000000-0005-0000-0000-0000B2C90000}"/>
    <cellStyle name="Migliaia 7 3 4 3 2" xfId="56306" xr:uid="{00000000-0005-0000-0000-0000B3C90000}"/>
    <cellStyle name="Migliaia 7 3 4 4" xfId="41273" xr:uid="{00000000-0005-0000-0000-0000B4C90000}"/>
    <cellStyle name="Migliaia 7 3 4 5" xfId="53029" xr:uid="{00000000-0005-0000-0000-0000B5C90000}"/>
    <cellStyle name="Migliaia 7 3 5" xfId="17406" xr:uid="{00000000-0005-0000-0000-0000B6C90000}"/>
    <cellStyle name="Migliaia 7 3 5 2" xfId="33522" xr:uid="{00000000-0005-0000-0000-0000B7C90000}"/>
    <cellStyle name="Migliaia 7 3 5 3" xfId="48483" xr:uid="{00000000-0005-0000-0000-0000B8C90000}"/>
    <cellStyle name="Migliaia 7 3 5 4" xfId="55007" xr:uid="{00000000-0005-0000-0000-0000B9C90000}"/>
    <cellStyle name="Migliaia 7 3 6" xfId="19276" xr:uid="{00000000-0005-0000-0000-0000BAC90000}"/>
    <cellStyle name="Migliaia 7 3 6 2" xfId="55929" xr:uid="{00000000-0005-0000-0000-0000BBC90000}"/>
    <cellStyle name="Migliaia 7 3 7" xfId="34271" xr:uid="{00000000-0005-0000-0000-0000BCC90000}"/>
    <cellStyle name="Migliaia 7 3 8" xfId="49211" xr:uid="{00000000-0005-0000-0000-0000BDC90000}"/>
    <cellStyle name="Migliaia 7 3 9" xfId="49616" xr:uid="{00000000-0005-0000-0000-0000BEC90000}"/>
    <cellStyle name="Migliaia 7 4" xfId="9404" xr:uid="{00000000-0005-0000-0000-0000BFC90000}"/>
    <cellStyle name="Migliaia 7 4 2" xfId="17410" xr:uid="{00000000-0005-0000-0000-0000C0C90000}"/>
    <cellStyle name="Migliaia 7 4 2 2" xfId="18435" xr:uid="{00000000-0005-0000-0000-0000C1C90000}"/>
    <cellStyle name="Migliaia 7 4 2 2 2" xfId="33902" xr:uid="{00000000-0005-0000-0000-0000C2C90000}"/>
    <cellStyle name="Migliaia 7 4 2 2 2 2" xfId="55387" xr:uid="{00000000-0005-0000-0000-0000C3C90000}"/>
    <cellStyle name="Migliaia 7 4 2 2 3" xfId="48863" xr:uid="{00000000-0005-0000-0000-0000C4C90000}"/>
    <cellStyle name="Migliaia 7 4 2 2 3 2" xfId="56309" xr:uid="{00000000-0005-0000-0000-0000C5C90000}"/>
    <cellStyle name="Migliaia 7 4 2 2 4" xfId="53032" xr:uid="{00000000-0005-0000-0000-0000C6C90000}"/>
    <cellStyle name="Migliaia 7 4 2 3" xfId="33526" xr:uid="{00000000-0005-0000-0000-0000C7C90000}"/>
    <cellStyle name="Migliaia 7 4 2 3 2" xfId="55011" xr:uid="{00000000-0005-0000-0000-0000C8C90000}"/>
    <cellStyle name="Migliaia 7 4 2 4" xfId="48487" xr:uid="{00000000-0005-0000-0000-0000C9C90000}"/>
    <cellStyle name="Migliaia 7 4 2 4 2" xfId="55933" xr:uid="{00000000-0005-0000-0000-0000CAC90000}"/>
    <cellStyle name="Migliaia 7 4 2 5" xfId="52651" xr:uid="{00000000-0005-0000-0000-0000CBC90000}"/>
    <cellStyle name="Migliaia 7 4 3" xfId="18434" xr:uid="{00000000-0005-0000-0000-0000CCC90000}"/>
    <cellStyle name="Migliaia 7 4 3 2" xfId="33901" xr:uid="{00000000-0005-0000-0000-0000CDC90000}"/>
    <cellStyle name="Migliaia 7 4 3 2 2" xfId="55386" xr:uid="{00000000-0005-0000-0000-0000CEC90000}"/>
    <cellStyle name="Migliaia 7 4 3 3" xfId="48862" xr:uid="{00000000-0005-0000-0000-0000CFC90000}"/>
    <cellStyle name="Migliaia 7 4 3 3 2" xfId="56308" xr:uid="{00000000-0005-0000-0000-0000D0C90000}"/>
    <cellStyle name="Migliaia 7 4 3 4" xfId="53031" xr:uid="{00000000-0005-0000-0000-0000D1C90000}"/>
    <cellStyle name="Migliaia 7 4 4" xfId="17409" xr:uid="{00000000-0005-0000-0000-0000D2C90000}"/>
    <cellStyle name="Migliaia 7 4 4 2" xfId="33525" xr:uid="{00000000-0005-0000-0000-0000D3C90000}"/>
    <cellStyle name="Migliaia 7 4 4 3" xfId="48486" xr:uid="{00000000-0005-0000-0000-0000D4C90000}"/>
    <cellStyle name="Migliaia 7 4 4 4" xfId="55010" xr:uid="{00000000-0005-0000-0000-0000D5C90000}"/>
    <cellStyle name="Migliaia 7 4 5" xfId="51106" xr:uid="{00000000-0005-0000-0000-0000D6C90000}"/>
    <cellStyle name="Migliaia 7 4 5 2" xfId="55932" xr:uid="{00000000-0005-0000-0000-0000D7C90000}"/>
    <cellStyle name="Migliaia 7 4 6" xfId="52650" xr:uid="{00000000-0005-0000-0000-0000D8C90000}"/>
    <cellStyle name="Migliaia 7 5" xfId="9405" xr:uid="{00000000-0005-0000-0000-0000D9C90000}"/>
    <cellStyle name="Migliaia 7 5 2" xfId="17411" xr:uid="{00000000-0005-0000-0000-0000DAC90000}"/>
    <cellStyle name="Migliaia 7 5 2 2" xfId="33527" xr:uid="{00000000-0005-0000-0000-0000DBC90000}"/>
    <cellStyle name="Migliaia 7 5 2 3" xfId="48488" xr:uid="{00000000-0005-0000-0000-0000DCC90000}"/>
    <cellStyle name="Migliaia 7 5 2 4" xfId="55012" xr:uid="{00000000-0005-0000-0000-0000DDC90000}"/>
    <cellStyle name="Migliaia 7 5 3" xfId="51187" xr:uid="{00000000-0005-0000-0000-0000DEC90000}"/>
    <cellStyle name="Migliaia 7 5 3 2" xfId="55934" xr:uid="{00000000-0005-0000-0000-0000DFC90000}"/>
    <cellStyle name="Migliaia 7 5 4" xfId="52652" xr:uid="{00000000-0005-0000-0000-0000E0C90000}"/>
    <cellStyle name="Migliaia 7 6" xfId="9400" xr:uid="{00000000-0005-0000-0000-0000E1C90000}"/>
    <cellStyle name="Migliaia 7 6 2" xfId="51107" xr:uid="{00000000-0005-0000-0000-0000E2C90000}"/>
    <cellStyle name="Migliaia 7 6 3" xfId="54585" xr:uid="{00000000-0005-0000-0000-0000E3C90000}"/>
    <cellStyle name="Migliaia 7 7" xfId="9967" xr:uid="{00000000-0005-0000-0000-0000E4C90000}"/>
    <cellStyle name="Migliaia 7 7 2" xfId="26293" xr:uid="{00000000-0005-0000-0000-0000E5C90000}"/>
    <cellStyle name="Migliaia 7 7 3" xfId="41271" xr:uid="{00000000-0005-0000-0000-0000E6C90000}"/>
    <cellStyle name="Migliaia 7 7 4" xfId="55927" xr:uid="{00000000-0005-0000-0000-0000E7C90000}"/>
    <cellStyle name="Migliaia 7 8" xfId="17404" xr:uid="{00000000-0005-0000-0000-0000E8C90000}"/>
    <cellStyle name="Migliaia 7 8 2" xfId="33520" xr:uid="{00000000-0005-0000-0000-0000E9C90000}"/>
    <cellStyle name="Migliaia 7 8 3" xfId="48481" xr:uid="{00000000-0005-0000-0000-0000EAC90000}"/>
    <cellStyle name="Migliaia 7 9" xfId="19274" xr:uid="{00000000-0005-0000-0000-0000EBC90000}"/>
    <cellStyle name="Migliaia 8" xfId="521" xr:uid="{00000000-0005-0000-0000-0000ECC90000}"/>
    <cellStyle name="Migliaia 8 10" xfId="34273" xr:uid="{00000000-0005-0000-0000-0000EDC90000}"/>
    <cellStyle name="Migliaia 8 11" xfId="49213" xr:uid="{00000000-0005-0000-0000-0000EEC90000}"/>
    <cellStyle name="Migliaia 8 12" xfId="49618" xr:uid="{00000000-0005-0000-0000-0000EFC90000}"/>
    <cellStyle name="Migliaia 8 13" xfId="50024" xr:uid="{00000000-0005-0000-0000-0000F0C90000}"/>
    <cellStyle name="Migliaia 8 14" xfId="50432" xr:uid="{00000000-0005-0000-0000-0000F1C90000}"/>
    <cellStyle name="Migliaia 8 15" xfId="50874" xr:uid="{00000000-0005-0000-0000-0000F2C90000}"/>
    <cellStyle name="Migliaia 8 16" xfId="51593" xr:uid="{00000000-0005-0000-0000-0000F3C90000}"/>
    <cellStyle name="Migliaia 8 17" xfId="52006" xr:uid="{00000000-0005-0000-0000-0000F4C90000}"/>
    <cellStyle name="Migliaia 8 18" xfId="52653" xr:uid="{00000000-0005-0000-0000-0000F5C90000}"/>
    <cellStyle name="Migliaia 8 2" xfId="522" xr:uid="{00000000-0005-0000-0000-0000F6C90000}"/>
    <cellStyle name="Migliaia 8 2 10" xfId="50025" xr:uid="{00000000-0005-0000-0000-0000F7C90000}"/>
    <cellStyle name="Migliaia 8 2 11" xfId="50433" xr:uid="{00000000-0005-0000-0000-0000F8C90000}"/>
    <cellStyle name="Migliaia 8 2 12" xfId="50875" xr:uid="{00000000-0005-0000-0000-0000F9C90000}"/>
    <cellStyle name="Migliaia 8 2 13" xfId="51594" xr:uid="{00000000-0005-0000-0000-0000FAC90000}"/>
    <cellStyle name="Migliaia 8 2 14" xfId="52007" xr:uid="{00000000-0005-0000-0000-0000FBC90000}"/>
    <cellStyle name="Migliaia 8 2 15" xfId="52654" xr:uid="{00000000-0005-0000-0000-0000FCC90000}"/>
    <cellStyle name="Migliaia 8 2 2" xfId="1302" xr:uid="{00000000-0005-0000-0000-0000FDC90000}"/>
    <cellStyle name="Migliaia 8 2 2 10" xfId="51096" xr:uid="{00000000-0005-0000-0000-0000FEC90000}"/>
    <cellStyle name="Migliaia 8 2 2 11" xfId="51692" xr:uid="{00000000-0005-0000-0000-0000FFC90000}"/>
    <cellStyle name="Migliaia 8 2 2 12" xfId="52113" xr:uid="{00000000-0005-0000-0000-000000CA0000}"/>
    <cellStyle name="Migliaia 8 2 2 13" xfId="53033" xr:uid="{00000000-0005-0000-0000-000001CA0000}"/>
    <cellStyle name="Migliaia 8 2 2 2" xfId="10070" xr:uid="{00000000-0005-0000-0000-000002CA0000}"/>
    <cellStyle name="Migliaia 8 2 2 2 2" xfId="26391" xr:uid="{00000000-0005-0000-0000-000003CA0000}"/>
    <cellStyle name="Migliaia 8 2 2 2 3" xfId="41359" xr:uid="{00000000-0005-0000-0000-000004CA0000}"/>
    <cellStyle name="Migliaia 8 2 2 2 4" xfId="55388" xr:uid="{00000000-0005-0000-0000-000005CA0000}"/>
    <cellStyle name="Migliaia 8 2 2 3" xfId="18436" xr:uid="{00000000-0005-0000-0000-000006CA0000}"/>
    <cellStyle name="Migliaia 8 2 2 3 2" xfId="33903" xr:uid="{00000000-0005-0000-0000-000007CA0000}"/>
    <cellStyle name="Migliaia 8 2 2 3 3" xfId="48864" xr:uid="{00000000-0005-0000-0000-000008CA0000}"/>
    <cellStyle name="Migliaia 8 2 2 3 4" xfId="56310" xr:uid="{00000000-0005-0000-0000-000009CA0000}"/>
    <cellStyle name="Migliaia 8 2 2 4" xfId="19370" xr:uid="{00000000-0005-0000-0000-00000ACA0000}"/>
    <cellStyle name="Migliaia 8 2 2 5" xfId="34360" xr:uid="{00000000-0005-0000-0000-00000BCA0000}"/>
    <cellStyle name="Migliaia 8 2 2 6" xfId="49312" xr:uid="{00000000-0005-0000-0000-00000CCA0000}"/>
    <cellStyle name="Migliaia 8 2 2 7" xfId="49717" xr:uid="{00000000-0005-0000-0000-00000DCA0000}"/>
    <cellStyle name="Migliaia 8 2 2 8" xfId="50126" xr:uid="{00000000-0005-0000-0000-00000ECA0000}"/>
    <cellStyle name="Migliaia 8 2 2 9" xfId="50531" xr:uid="{00000000-0005-0000-0000-00000FCA0000}"/>
    <cellStyle name="Migliaia 8 2 3" xfId="9407" xr:uid="{00000000-0005-0000-0000-000010CA0000}"/>
    <cellStyle name="Migliaia 8 2 3 2" xfId="54650" xr:uid="{00000000-0005-0000-0000-000011CA0000}"/>
    <cellStyle name="Migliaia 8 2 4" xfId="9972" xr:uid="{00000000-0005-0000-0000-000012CA0000}"/>
    <cellStyle name="Migliaia 8 2 4 2" xfId="26298" xr:uid="{00000000-0005-0000-0000-000013CA0000}"/>
    <cellStyle name="Migliaia 8 2 4 3" xfId="41276" xr:uid="{00000000-0005-0000-0000-000014CA0000}"/>
    <cellStyle name="Migliaia 8 2 4 4" xfId="55936" xr:uid="{00000000-0005-0000-0000-000015CA0000}"/>
    <cellStyle name="Migliaia 8 2 5" xfId="17413" xr:uid="{00000000-0005-0000-0000-000016CA0000}"/>
    <cellStyle name="Migliaia 8 2 5 2" xfId="33529" xr:uid="{00000000-0005-0000-0000-000017CA0000}"/>
    <cellStyle name="Migliaia 8 2 5 3" xfId="48490" xr:uid="{00000000-0005-0000-0000-000018CA0000}"/>
    <cellStyle name="Migliaia 8 2 6" xfId="19279" xr:uid="{00000000-0005-0000-0000-000019CA0000}"/>
    <cellStyle name="Migliaia 8 2 7" xfId="34274" xr:uid="{00000000-0005-0000-0000-00001ACA0000}"/>
    <cellStyle name="Migliaia 8 2 8" xfId="49214" xr:uid="{00000000-0005-0000-0000-00001BCA0000}"/>
    <cellStyle name="Migliaia 8 2 9" xfId="49619" xr:uid="{00000000-0005-0000-0000-00001CCA0000}"/>
    <cellStyle name="Migliaia 8 3" xfId="523" xr:uid="{00000000-0005-0000-0000-00001DCA0000}"/>
    <cellStyle name="Migliaia 8 3 10" xfId="50026" xr:uid="{00000000-0005-0000-0000-00001ECA0000}"/>
    <cellStyle name="Migliaia 8 3 11" xfId="50434" xr:uid="{00000000-0005-0000-0000-00001FCA0000}"/>
    <cellStyle name="Migliaia 8 3 12" xfId="50876" xr:uid="{00000000-0005-0000-0000-000020CA0000}"/>
    <cellStyle name="Migliaia 8 3 13" xfId="51595" xr:uid="{00000000-0005-0000-0000-000021CA0000}"/>
    <cellStyle name="Migliaia 8 3 14" xfId="52008" xr:uid="{00000000-0005-0000-0000-000022CA0000}"/>
    <cellStyle name="Migliaia 8 3 15" xfId="52655" xr:uid="{00000000-0005-0000-0000-000023CA0000}"/>
    <cellStyle name="Migliaia 8 3 2" xfId="524" xr:uid="{00000000-0005-0000-0000-000024CA0000}"/>
    <cellStyle name="Migliaia 8 3 2 10" xfId="50435" xr:uid="{00000000-0005-0000-0000-000025CA0000}"/>
    <cellStyle name="Migliaia 8 3 2 11" xfId="50877" xr:uid="{00000000-0005-0000-0000-000026CA0000}"/>
    <cellStyle name="Migliaia 8 3 2 12" xfId="51596" xr:uid="{00000000-0005-0000-0000-000027CA0000}"/>
    <cellStyle name="Migliaia 8 3 2 13" xfId="52009" xr:uid="{00000000-0005-0000-0000-000028CA0000}"/>
    <cellStyle name="Migliaia 8 3 2 14" xfId="52656" xr:uid="{00000000-0005-0000-0000-000029CA0000}"/>
    <cellStyle name="Migliaia 8 3 2 2" xfId="9409" xr:uid="{00000000-0005-0000-0000-00002ACA0000}"/>
    <cellStyle name="Migliaia 8 3 2 2 2" xfId="55014" xr:uid="{00000000-0005-0000-0000-00002BCA0000}"/>
    <cellStyle name="Migliaia 8 3 2 3" xfId="9974" xr:uid="{00000000-0005-0000-0000-00002CCA0000}"/>
    <cellStyle name="Migliaia 8 3 2 3 2" xfId="26300" xr:uid="{00000000-0005-0000-0000-00002DCA0000}"/>
    <cellStyle name="Migliaia 8 3 2 3 3" xfId="41278" xr:uid="{00000000-0005-0000-0000-00002ECA0000}"/>
    <cellStyle name="Migliaia 8 3 2 3 4" xfId="55938" xr:uid="{00000000-0005-0000-0000-00002FCA0000}"/>
    <cellStyle name="Migliaia 8 3 2 4" xfId="17415" xr:uid="{00000000-0005-0000-0000-000030CA0000}"/>
    <cellStyle name="Migliaia 8 3 2 4 2" xfId="33531" xr:uid="{00000000-0005-0000-0000-000031CA0000}"/>
    <cellStyle name="Migliaia 8 3 2 4 3" xfId="48492" xr:uid="{00000000-0005-0000-0000-000032CA0000}"/>
    <cellStyle name="Migliaia 8 3 2 5" xfId="19281" xr:uid="{00000000-0005-0000-0000-000033CA0000}"/>
    <cellStyle name="Migliaia 8 3 2 6" xfId="34276" xr:uid="{00000000-0005-0000-0000-000034CA0000}"/>
    <cellStyle name="Migliaia 8 3 2 7" xfId="49216" xr:uid="{00000000-0005-0000-0000-000035CA0000}"/>
    <cellStyle name="Migliaia 8 3 2 8" xfId="49621" xr:uid="{00000000-0005-0000-0000-000036CA0000}"/>
    <cellStyle name="Migliaia 8 3 2 9" xfId="50027" xr:uid="{00000000-0005-0000-0000-000037CA0000}"/>
    <cellStyle name="Migliaia 8 3 3" xfId="9408" xr:uid="{00000000-0005-0000-0000-000038CA0000}"/>
    <cellStyle name="Migliaia 8 3 3 2" xfId="18438" xr:uid="{00000000-0005-0000-0000-000039CA0000}"/>
    <cellStyle name="Migliaia 8 3 3 2 2" xfId="33905" xr:uid="{00000000-0005-0000-0000-00003ACA0000}"/>
    <cellStyle name="Migliaia 8 3 3 2 2 2" xfId="55390" xr:uid="{00000000-0005-0000-0000-00003BCA0000}"/>
    <cellStyle name="Migliaia 8 3 3 2 3" xfId="48866" xr:uid="{00000000-0005-0000-0000-00003CCA0000}"/>
    <cellStyle name="Migliaia 8 3 3 2 3 2" xfId="56312" xr:uid="{00000000-0005-0000-0000-00003DCA0000}"/>
    <cellStyle name="Migliaia 8 3 3 2 4" xfId="53035" xr:uid="{00000000-0005-0000-0000-00003ECA0000}"/>
    <cellStyle name="Migliaia 8 3 3 3" xfId="17416" xr:uid="{00000000-0005-0000-0000-00003FCA0000}"/>
    <cellStyle name="Migliaia 8 3 3 3 2" xfId="33532" xr:uid="{00000000-0005-0000-0000-000040CA0000}"/>
    <cellStyle name="Migliaia 8 3 3 3 3" xfId="48493" xr:uid="{00000000-0005-0000-0000-000041CA0000}"/>
    <cellStyle name="Migliaia 8 3 3 3 4" xfId="55015" xr:uid="{00000000-0005-0000-0000-000042CA0000}"/>
    <cellStyle name="Migliaia 8 3 3 4" xfId="55939" xr:uid="{00000000-0005-0000-0000-000043CA0000}"/>
    <cellStyle name="Migliaia 8 3 3 5" xfId="52657" xr:uid="{00000000-0005-0000-0000-000044CA0000}"/>
    <cellStyle name="Migliaia 8 3 4" xfId="9973" xr:uid="{00000000-0005-0000-0000-000045CA0000}"/>
    <cellStyle name="Migliaia 8 3 4 2" xfId="18437" xr:uid="{00000000-0005-0000-0000-000046CA0000}"/>
    <cellStyle name="Migliaia 8 3 4 2 2" xfId="33904" xr:uid="{00000000-0005-0000-0000-000047CA0000}"/>
    <cellStyle name="Migliaia 8 3 4 2 3" xfId="48865" xr:uid="{00000000-0005-0000-0000-000048CA0000}"/>
    <cellStyle name="Migliaia 8 3 4 2 4" xfId="55389" xr:uid="{00000000-0005-0000-0000-000049CA0000}"/>
    <cellStyle name="Migliaia 8 3 4 3" xfId="26299" xr:uid="{00000000-0005-0000-0000-00004ACA0000}"/>
    <cellStyle name="Migliaia 8 3 4 3 2" xfId="56311" xr:uid="{00000000-0005-0000-0000-00004BCA0000}"/>
    <cellStyle name="Migliaia 8 3 4 4" xfId="41277" xr:uid="{00000000-0005-0000-0000-00004CCA0000}"/>
    <cellStyle name="Migliaia 8 3 4 5" xfId="53034" xr:uid="{00000000-0005-0000-0000-00004DCA0000}"/>
    <cellStyle name="Migliaia 8 3 5" xfId="17414" xr:uid="{00000000-0005-0000-0000-00004ECA0000}"/>
    <cellStyle name="Migliaia 8 3 5 2" xfId="33530" xr:uid="{00000000-0005-0000-0000-00004FCA0000}"/>
    <cellStyle name="Migliaia 8 3 5 3" xfId="48491" xr:uid="{00000000-0005-0000-0000-000050CA0000}"/>
    <cellStyle name="Migliaia 8 3 5 4" xfId="55013" xr:uid="{00000000-0005-0000-0000-000051CA0000}"/>
    <cellStyle name="Migliaia 8 3 6" xfId="19280" xr:uid="{00000000-0005-0000-0000-000052CA0000}"/>
    <cellStyle name="Migliaia 8 3 6 2" xfId="55937" xr:uid="{00000000-0005-0000-0000-000053CA0000}"/>
    <cellStyle name="Migliaia 8 3 7" xfId="34275" xr:uid="{00000000-0005-0000-0000-000054CA0000}"/>
    <cellStyle name="Migliaia 8 3 8" xfId="49215" xr:uid="{00000000-0005-0000-0000-000055CA0000}"/>
    <cellStyle name="Migliaia 8 3 9" xfId="49620" xr:uid="{00000000-0005-0000-0000-000056CA0000}"/>
    <cellStyle name="Migliaia 8 4" xfId="9410" xr:uid="{00000000-0005-0000-0000-000057CA0000}"/>
    <cellStyle name="Migliaia 8 4 2" xfId="17418" xr:uid="{00000000-0005-0000-0000-000058CA0000}"/>
    <cellStyle name="Migliaia 8 4 2 2" xfId="18440" xr:uid="{00000000-0005-0000-0000-000059CA0000}"/>
    <cellStyle name="Migliaia 8 4 2 2 2" xfId="33907" xr:uid="{00000000-0005-0000-0000-00005ACA0000}"/>
    <cellStyle name="Migliaia 8 4 2 2 2 2" xfId="55392" xr:uid="{00000000-0005-0000-0000-00005BCA0000}"/>
    <cellStyle name="Migliaia 8 4 2 2 3" xfId="48868" xr:uid="{00000000-0005-0000-0000-00005CCA0000}"/>
    <cellStyle name="Migliaia 8 4 2 2 3 2" xfId="56314" xr:uid="{00000000-0005-0000-0000-00005DCA0000}"/>
    <cellStyle name="Migliaia 8 4 2 2 4" xfId="53037" xr:uid="{00000000-0005-0000-0000-00005ECA0000}"/>
    <cellStyle name="Migliaia 8 4 2 3" xfId="33534" xr:uid="{00000000-0005-0000-0000-00005FCA0000}"/>
    <cellStyle name="Migliaia 8 4 2 3 2" xfId="55017" xr:uid="{00000000-0005-0000-0000-000060CA0000}"/>
    <cellStyle name="Migliaia 8 4 2 4" xfId="48495" xr:uid="{00000000-0005-0000-0000-000061CA0000}"/>
    <cellStyle name="Migliaia 8 4 2 4 2" xfId="55941" xr:uid="{00000000-0005-0000-0000-000062CA0000}"/>
    <cellStyle name="Migliaia 8 4 2 5" xfId="52659" xr:uid="{00000000-0005-0000-0000-000063CA0000}"/>
    <cellStyle name="Migliaia 8 4 3" xfId="18439" xr:uid="{00000000-0005-0000-0000-000064CA0000}"/>
    <cellStyle name="Migliaia 8 4 3 2" xfId="33906" xr:uid="{00000000-0005-0000-0000-000065CA0000}"/>
    <cellStyle name="Migliaia 8 4 3 2 2" xfId="55391" xr:uid="{00000000-0005-0000-0000-000066CA0000}"/>
    <cellStyle name="Migliaia 8 4 3 3" xfId="48867" xr:uid="{00000000-0005-0000-0000-000067CA0000}"/>
    <cellStyle name="Migliaia 8 4 3 3 2" xfId="56313" xr:uid="{00000000-0005-0000-0000-000068CA0000}"/>
    <cellStyle name="Migliaia 8 4 3 4" xfId="53036" xr:uid="{00000000-0005-0000-0000-000069CA0000}"/>
    <cellStyle name="Migliaia 8 4 4" xfId="17417" xr:uid="{00000000-0005-0000-0000-00006ACA0000}"/>
    <cellStyle name="Migliaia 8 4 4 2" xfId="33533" xr:uid="{00000000-0005-0000-0000-00006BCA0000}"/>
    <cellStyle name="Migliaia 8 4 4 3" xfId="48494" xr:uid="{00000000-0005-0000-0000-00006CCA0000}"/>
    <cellStyle name="Migliaia 8 4 4 4" xfId="55016" xr:uid="{00000000-0005-0000-0000-00006DCA0000}"/>
    <cellStyle name="Migliaia 8 4 5" xfId="50891" xr:uid="{00000000-0005-0000-0000-00006ECA0000}"/>
    <cellStyle name="Migliaia 8 4 5 2" xfId="55940" xr:uid="{00000000-0005-0000-0000-00006FCA0000}"/>
    <cellStyle name="Migliaia 8 4 6" xfId="52658" xr:uid="{00000000-0005-0000-0000-000070CA0000}"/>
    <cellStyle name="Migliaia 8 5" xfId="9411" xr:uid="{00000000-0005-0000-0000-000071CA0000}"/>
    <cellStyle name="Migliaia 8 5 2" xfId="17419" xr:uid="{00000000-0005-0000-0000-000072CA0000}"/>
    <cellStyle name="Migliaia 8 5 2 2" xfId="33535" xr:uid="{00000000-0005-0000-0000-000073CA0000}"/>
    <cellStyle name="Migliaia 8 5 2 3" xfId="48496" xr:uid="{00000000-0005-0000-0000-000074CA0000}"/>
    <cellStyle name="Migliaia 8 5 2 4" xfId="55018" xr:uid="{00000000-0005-0000-0000-000075CA0000}"/>
    <cellStyle name="Migliaia 8 5 3" xfId="50890" xr:uid="{00000000-0005-0000-0000-000076CA0000}"/>
    <cellStyle name="Migliaia 8 5 3 2" xfId="55942" xr:uid="{00000000-0005-0000-0000-000077CA0000}"/>
    <cellStyle name="Migliaia 8 5 4" xfId="52660" xr:uid="{00000000-0005-0000-0000-000078CA0000}"/>
    <cellStyle name="Migliaia 8 6" xfId="9406" xr:uid="{00000000-0005-0000-0000-000079CA0000}"/>
    <cellStyle name="Migliaia 8 6 2" xfId="50889" xr:uid="{00000000-0005-0000-0000-00007ACA0000}"/>
    <cellStyle name="Migliaia 8 6 3" xfId="54586" xr:uid="{00000000-0005-0000-0000-00007BCA0000}"/>
    <cellStyle name="Migliaia 8 7" xfId="9971" xr:uid="{00000000-0005-0000-0000-00007CCA0000}"/>
    <cellStyle name="Migliaia 8 7 2" xfId="26297" xr:uid="{00000000-0005-0000-0000-00007DCA0000}"/>
    <cellStyle name="Migliaia 8 7 3" xfId="41275" xr:uid="{00000000-0005-0000-0000-00007ECA0000}"/>
    <cellStyle name="Migliaia 8 7 4" xfId="55935" xr:uid="{00000000-0005-0000-0000-00007FCA0000}"/>
    <cellStyle name="Migliaia 8 8" xfId="17412" xr:uid="{00000000-0005-0000-0000-000080CA0000}"/>
    <cellStyle name="Migliaia 8 8 2" xfId="33528" xr:uid="{00000000-0005-0000-0000-000081CA0000}"/>
    <cellStyle name="Migliaia 8 8 3" xfId="48489" xr:uid="{00000000-0005-0000-0000-000082CA0000}"/>
    <cellStyle name="Migliaia 8 9" xfId="19278" xr:uid="{00000000-0005-0000-0000-000083CA0000}"/>
    <cellStyle name="Migliaia 9" xfId="525" xr:uid="{00000000-0005-0000-0000-000084CA0000}"/>
    <cellStyle name="Migliaia 9 10" xfId="34277" xr:uid="{00000000-0005-0000-0000-000085CA0000}"/>
    <cellStyle name="Migliaia 9 11" xfId="49217" xr:uid="{00000000-0005-0000-0000-000086CA0000}"/>
    <cellStyle name="Migliaia 9 12" xfId="49622" xr:uid="{00000000-0005-0000-0000-000087CA0000}"/>
    <cellStyle name="Migliaia 9 13" xfId="50028" xr:uid="{00000000-0005-0000-0000-000088CA0000}"/>
    <cellStyle name="Migliaia 9 14" xfId="50436" xr:uid="{00000000-0005-0000-0000-000089CA0000}"/>
    <cellStyle name="Migliaia 9 15" xfId="50878" xr:uid="{00000000-0005-0000-0000-00008ACA0000}"/>
    <cellStyle name="Migliaia 9 16" xfId="51597" xr:uid="{00000000-0005-0000-0000-00008BCA0000}"/>
    <cellStyle name="Migliaia 9 17" xfId="52010" xr:uid="{00000000-0005-0000-0000-00008CCA0000}"/>
    <cellStyle name="Migliaia 9 18" xfId="52661" xr:uid="{00000000-0005-0000-0000-00008DCA0000}"/>
    <cellStyle name="Migliaia 9 2" xfId="526" xr:uid="{00000000-0005-0000-0000-00008ECA0000}"/>
    <cellStyle name="Migliaia 9 2 10" xfId="50029" xr:uid="{00000000-0005-0000-0000-00008FCA0000}"/>
    <cellStyle name="Migliaia 9 2 11" xfId="50437" xr:uid="{00000000-0005-0000-0000-000090CA0000}"/>
    <cellStyle name="Migliaia 9 2 12" xfId="50879" xr:uid="{00000000-0005-0000-0000-000091CA0000}"/>
    <cellStyle name="Migliaia 9 2 13" xfId="51598" xr:uid="{00000000-0005-0000-0000-000092CA0000}"/>
    <cellStyle name="Migliaia 9 2 14" xfId="52011" xr:uid="{00000000-0005-0000-0000-000093CA0000}"/>
    <cellStyle name="Migliaia 9 2 15" xfId="52662" xr:uid="{00000000-0005-0000-0000-000094CA0000}"/>
    <cellStyle name="Migliaia 9 2 2" xfId="1303" xr:uid="{00000000-0005-0000-0000-000095CA0000}"/>
    <cellStyle name="Migliaia 9 2 2 10" xfId="51097" xr:uid="{00000000-0005-0000-0000-000096CA0000}"/>
    <cellStyle name="Migliaia 9 2 2 11" xfId="51693" xr:uid="{00000000-0005-0000-0000-000097CA0000}"/>
    <cellStyle name="Migliaia 9 2 2 12" xfId="52114" xr:uid="{00000000-0005-0000-0000-000098CA0000}"/>
    <cellStyle name="Migliaia 9 2 2 13" xfId="53038" xr:uid="{00000000-0005-0000-0000-000099CA0000}"/>
    <cellStyle name="Migliaia 9 2 2 2" xfId="10071" xr:uid="{00000000-0005-0000-0000-00009ACA0000}"/>
    <cellStyle name="Migliaia 9 2 2 2 2" xfId="26392" xr:uid="{00000000-0005-0000-0000-00009BCA0000}"/>
    <cellStyle name="Migliaia 9 2 2 2 3" xfId="41360" xr:uid="{00000000-0005-0000-0000-00009CCA0000}"/>
    <cellStyle name="Migliaia 9 2 2 2 4" xfId="55393" xr:uid="{00000000-0005-0000-0000-00009DCA0000}"/>
    <cellStyle name="Migliaia 9 2 2 3" xfId="18441" xr:uid="{00000000-0005-0000-0000-00009ECA0000}"/>
    <cellStyle name="Migliaia 9 2 2 3 2" xfId="33908" xr:uid="{00000000-0005-0000-0000-00009FCA0000}"/>
    <cellStyle name="Migliaia 9 2 2 3 3" xfId="48869" xr:uid="{00000000-0005-0000-0000-0000A0CA0000}"/>
    <cellStyle name="Migliaia 9 2 2 3 4" xfId="56315" xr:uid="{00000000-0005-0000-0000-0000A1CA0000}"/>
    <cellStyle name="Migliaia 9 2 2 4" xfId="19371" xr:uid="{00000000-0005-0000-0000-0000A2CA0000}"/>
    <cellStyle name="Migliaia 9 2 2 5" xfId="34361" xr:uid="{00000000-0005-0000-0000-0000A3CA0000}"/>
    <cellStyle name="Migliaia 9 2 2 6" xfId="49313" xr:uid="{00000000-0005-0000-0000-0000A4CA0000}"/>
    <cellStyle name="Migliaia 9 2 2 7" xfId="49718" xr:uid="{00000000-0005-0000-0000-0000A5CA0000}"/>
    <cellStyle name="Migliaia 9 2 2 8" xfId="50127" xr:uid="{00000000-0005-0000-0000-0000A6CA0000}"/>
    <cellStyle name="Migliaia 9 2 2 9" xfId="50532" xr:uid="{00000000-0005-0000-0000-0000A7CA0000}"/>
    <cellStyle name="Migliaia 9 2 3" xfId="9413" xr:uid="{00000000-0005-0000-0000-0000A8CA0000}"/>
    <cellStyle name="Migliaia 9 2 3 2" xfId="54651" xr:uid="{00000000-0005-0000-0000-0000A9CA0000}"/>
    <cellStyle name="Migliaia 9 2 4" xfId="9976" xr:uid="{00000000-0005-0000-0000-0000AACA0000}"/>
    <cellStyle name="Migliaia 9 2 4 2" xfId="26302" xr:uid="{00000000-0005-0000-0000-0000ABCA0000}"/>
    <cellStyle name="Migliaia 9 2 4 3" xfId="41280" xr:uid="{00000000-0005-0000-0000-0000ACCA0000}"/>
    <cellStyle name="Migliaia 9 2 4 4" xfId="55944" xr:uid="{00000000-0005-0000-0000-0000ADCA0000}"/>
    <cellStyle name="Migliaia 9 2 5" xfId="17421" xr:uid="{00000000-0005-0000-0000-0000AECA0000}"/>
    <cellStyle name="Migliaia 9 2 5 2" xfId="33537" xr:uid="{00000000-0005-0000-0000-0000AFCA0000}"/>
    <cellStyle name="Migliaia 9 2 5 3" xfId="48498" xr:uid="{00000000-0005-0000-0000-0000B0CA0000}"/>
    <cellStyle name="Migliaia 9 2 6" xfId="19283" xr:uid="{00000000-0005-0000-0000-0000B1CA0000}"/>
    <cellStyle name="Migliaia 9 2 7" xfId="34278" xr:uid="{00000000-0005-0000-0000-0000B2CA0000}"/>
    <cellStyle name="Migliaia 9 2 8" xfId="49218" xr:uid="{00000000-0005-0000-0000-0000B3CA0000}"/>
    <cellStyle name="Migliaia 9 2 9" xfId="49623" xr:uid="{00000000-0005-0000-0000-0000B4CA0000}"/>
    <cellStyle name="Migliaia 9 3" xfId="527" xr:uid="{00000000-0005-0000-0000-0000B5CA0000}"/>
    <cellStyle name="Migliaia 9 3 10" xfId="50030" xr:uid="{00000000-0005-0000-0000-0000B6CA0000}"/>
    <cellStyle name="Migliaia 9 3 11" xfId="50438" xr:uid="{00000000-0005-0000-0000-0000B7CA0000}"/>
    <cellStyle name="Migliaia 9 3 12" xfId="50880" xr:uid="{00000000-0005-0000-0000-0000B8CA0000}"/>
    <cellStyle name="Migliaia 9 3 13" xfId="51599" xr:uid="{00000000-0005-0000-0000-0000B9CA0000}"/>
    <cellStyle name="Migliaia 9 3 14" xfId="52012" xr:uid="{00000000-0005-0000-0000-0000BACA0000}"/>
    <cellStyle name="Migliaia 9 3 15" xfId="52663" xr:uid="{00000000-0005-0000-0000-0000BBCA0000}"/>
    <cellStyle name="Migliaia 9 3 2" xfId="528" xr:uid="{00000000-0005-0000-0000-0000BCCA0000}"/>
    <cellStyle name="Migliaia 9 3 2 10" xfId="50439" xr:uid="{00000000-0005-0000-0000-0000BDCA0000}"/>
    <cellStyle name="Migliaia 9 3 2 11" xfId="50881" xr:uid="{00000000-0005-0000-0000-0000BECA0000}"/>
    <cellStyle name="Migliaia 9 3 2 12" xfId="51600" xr:uid="{00000000-0005-0000-0000-0000BFCA0000}"/>
    <cellStyle name="Migliaia 9 3 2 13" xfId="52013" xr:uid="{00000000-0005-0000-0000-0000C0CA0000}"/>
    <cellStyle name="Migliaia 9 3 2 14" xfId="52664" xr:uid="{00000000-0005-0000-0000-0000C1CA0000}"/>
    <cellStyle name="Migliaia 9 3 2 2" xfId="9415" xr:uid="{00000000-0005-0000-0000-0000C2CA0000}"/>
    <cellStyle name="Migliaia 9 3 2 2 2" xfId="55020" xr:uid="{00000000-0005-0000-0000-0000C3CA0000}"/>
    <cellStyle name="Migliaia 9 3 2 3" xfId="9978" xr:uid="{00000000-0005-0000-0000-0000C4CA0000}"/>
    <cellStyle name="Migliaia 9 3 2 3 2" xfId="26304" xr:uid="{00000000-0005-0000-0000-0000C5CA0000}"/>
    <cellStyle name="Migliaia 9 3 2 3 3" xfId="41282" xr:uid="{00000000-0005-0000-0000-0000C6CA0000}"/>
    <cellStyle name="Migliaia 9 3 2 3 4" xfId="55946" xr:uid="{00000000-0005-0000-0000-0000C7CA0000}"/>
    <cellStyle name="Migliaia 9 3 2 4" xfId="17423" xr:uid="{00000000-0005-0000-0000-0000C8CA0000}"/>
    <cellStyle name="Migliaia 9 3 2 4 2" xfId="33539" xr:uid="{00000000-0005-0000-0000-0000C9CA0000}"/>
    <cellStyle name="Migliaia 9 3 2 4 3" xfId="48500" xr:uid="{00000000-0005-0000-0000-0000CACA0000}"/>
    <cellStyle name="Migliaia 9 3 2 5" xfId="19285" xr:uid="{00000000-0005-0000-0000-0000CBCA0000}"/>
    <cellStyle name="Migliaia 9 3 2 6" xfId="34280" xr:uid="{00000000-0005-0000-0000-0000CCCA0000}"/>
    <cellStyle name="Migliaia 9 3 2 7" xfId="49220" xr:uid="{00000000-0005-0000-0000-0000CDCA0000}"/>
    <cellStyle name="Migliaia 9 3 2 8" xfId="49625" xr:uid="{00000000-0005-0000-0000-0000CECA0000}"/>
    <cellStyle name="Migliaia 9 3 2 9" xfId="50031" xr:uid="{00000000-0005-0000-0000-0000CFCA0000}"/>
    <cellStyle name="Migliaia 9 3 3" xfId="9414" xr:uid="{00000000-0005-0000-0000-0000D0CA0000}"/>
    <cellStyle name="Migliaia 9 3 3 2" xfId="18443" xr:uid="{00000000-0005-0000-0000-0000D1CA0000}"/>
    <cellStyle name="Migliaia 9 3 3 2 2" xfId="33910" xr:uid="{00000000-0005-0000-0000-0000D2CA0000}"/>
    <cellStyle name="Migliaia 9 3 3 2 2 2" xfId="55395" xr:uid="{00000000-0005-0000-0000-0000D3CA0000}"/>
    <cellStyle name="Migliaia 9 3 3 2 3" xfId="48871" xr:uid="{00000000-0005-0000-0000-0000D4CA0000}"/>
    <cellStyle name="Migliaia 9 3 3 2 3 2" xfId="56317" xr:uid="{00000000-0005-0000-0000-0000D5CA0000}"/>
    <cellStyle name="Migliaia 9 3 3 2 4" xfId="53040" xr:uid="{00000000-0005-0000-0000-0000D6CA0000}"/>
    <cellStyle name="Migliaia 9 3 3 3" xfId="17424" xr:uid="{00000000-0005-0000-0000-0000D7CA0000}"/>
    <cellStyle name="Migliaia 9 3 3 3 2" xfId="33540" xr:uid="{00000000-0005-0000-0000-0000D8CA0000}"/>
    <cellStyle name="Migliaia 9 3 3 3 3" xfId="48501" xr:uid="{00000000-0005-0000-0000-0000D9CA0000}"/>
    <cellStyle name="Migliaia 9 3 3 3 4" xfId="55021" xr:uid="{00000000-0005-0000-0000-0000DACA0000}"/>
    <cellStyle name="Migliaia 9 3 3 4" xfId="55947" xr:uid="{00000000-0005-0000-0000-0000DBCA0000}"/>
    <cellStyle name="Migliaia 9 3 3 5" xfId="52665" xr:uid="{00000000-0005-0000-0000-0000DCCA0000}"/>
    <cellStyle name="Migliaia 9 3 4" xfId="9977" xr:uid="{00000000-0005-0000-0000-0000DDCA0000}"/>
    <cellStyle name="Migliaia 9 3 4 2" xfId="18442" xr:uid="{00000000-0005-0000-0000-0000DECA0000}"/>
    <cellStyle name="Migliaia 9 3 4 2 2" xfId="33909" xr:uid="{00000000-0005-0000-0000-0000DFCA0000}"/>
    <cellStyle name="Migliaia 9 3 4 2 3" xfId="48870" xr:uid="{00000000-0005-0000-0000-0000E0CA0000}"/>
    <cellStyle name="Migliaia 9 3 4 2 4" xfId="55394" xr:uid="{00000000-0005-0000-0000-0000E1CA0000}"/>
    <cellStyle name="Migliaia 9 3 4 3" xfId="26303" xr:uid="{00000000-0005-0000-0000-0000E2CA0000}"/>
    <cellStyle name="Migliaia 9 3 4 3 2" xfId="56316" xr:uid="{00000000-0005-0000-0000-0000E3CA0000}"/>
    <cellStyle name="Migliaia 9 3 4 4" xfId="41281" xr:uid="{00000000-0005-0000-0000-0000E4CA0000}"/>
    <cellStyle name="Migliaia 9 3 4 5" xfId="53039" xr:uid="{00000000-0005-0000-0000-0000E5CA0000}"/>
    <cellStyle name="Migliaia 9 3 5" xfId="17422" xr:uid="{00000000-0005-0000-0000-0000E6CA0000}"/>
    <cellStyle name="Migliaia 9 3 5 2" xfId="33538" xr:uid="{00000000-0005-0000-0000-0000E7CA0000}"/>
    <cellStyle name="Migliaia 9 3 5 3" xfId="48499" xr:uid="{00000000-0005-0000-0000-0000E8CA0000}"/>
    <cellStyle name="Migliaia 9 3 5 4" xfId="55019" xr:uid="{00000000-0005-0000-0000-0000E9CA0000}"/>
    <cellStyle name="Migliaia 9 3 6" xfId="19284" xr:uid="{00000000-0005-0000-0000-0000EACA0000}"/>
    <cellStyle name="Migliaia 9 3 6 2" xfId="55945" xr:uid="{00000000-0005-0000-0000-0000EBCA0000}"/>
    <cellStyle name="Migliaia 9 3 7" xfId="34279" xr:uid="{00000000-0005-0000-0000-0000ECCA0000}"/>
    <cellStyle name="Migliaia 9 3 8" xfId="49219" xr:uid="{00000000-0005-0000-0000-0000EDCA0000}"/>
    <cellStyle name="Migliaia 9 3 9" xfId="49624" xr:uid="{00000000-0005-0000-0000-0000EECA0000}"/>
    <cellStyle name="Migliaia 9 4" xfId="9416" xr:uid="{00000000-0005-0000-0000-0000EFCA0000}"/>
    <cellStyle name="Migliaia 9 4 2" xfId="17426" xr:uid="{00000000-0005-0000-0000-0000F0CA0000}"/>
    <cellStyle name="Migliaia 9 4 2 2" xfId="18445" xr:uid="{00000000-0005-0000-0000-0000F1CA0000}"/>
    <cellStyle name="Migliaia 9 4 2 2 2" xfId="33912" xr:uid="{00000000-0005-0000-0000-0000F2CA0000}"/>
    <cellStyle name="Migliaia 9 4 2 2 2 2" xfId="55397" xr:uid="{00000000-0005-0000-0000-0000F3CA0000}"/>
    <cellStyle name="Migliaia 9 4 2 2 3" xfId="48873" xr:uid="{00000000-0005-0000-0000-0000F4CA0000}"/>
    <cellStyle name="Migliaia 9 4 2 2 3 2" xfId="56319" xr:uid="{00000000-0005-0000-0000-0000F5CA0000}"/>
    <cellStyle name="Migliaia 9 4 2 2 4" xfId="53042" xr:uid="{00000000-0005-0000-0000-0000F6CA0000}"/>
    <cellStyle name="Migliaia 9 4 2 3" xfId="33542" xr:uid="{00000000-0005-0000-0000-0000F7CA0000}"/>
    <cellStyle name="Migliaia 9 4 2 3 2" xfId="55023" xr:uid="{00000000-0005-0000-0000-0000F8CA0000}"/>
    <cellStyle name="Migliaia 9 4 2 4" xfId="48503" xr:uid="{00000000-0005-0000-0000-0000F9CA0000}"/>
    <cellStyle name="Migliaia 9 4 2 4 2" xfId="55949" xr:uid="{00000000-0005-0000-0000-0000FACA0000}"/>
    <cellStyle name="Migliaia 9 4 2 5" xfId="52667" xr:uid="{00000000-0005-0000-0000-0000FBCA0000}"/>
    <cellStyle name="Migliaia 9 4 3" xfId="18444" xr:uid="{00000000-0005-0000-0000-0000FCCA0000}"/>
    <cellStyle name="Migliaia 9 4 3 2" xfId="33911" xr:uid="{00000000-0005-0000-0000-0000FDCA0000}"/>
    <cellStyle name="Migliaia 9 4 3 2 2" xfId="55396" xr:uid="{00000000-0005-0000-0000-0000FECA0000}"/>
    <cellStyle name="Migliaia 9 4 3 3" xfId="48872" xr:uid="{00000000-0005-0000-0000-0000FFCA0000}"/>
    <cellStyle name="Migliaia 9 4 3 3 2" xfId="56318" xr:uid="{00000000-0005-0000-0000-000000CB0000}"/>
    <cellStyle name="Migliaia 9 4 3 4" xfId="53041" xr:uid="{00000000-0005-0000-0000-000001CB0000}"/>
    <cellStyle name="Migliaia 9 4 4" xfId="17425" xr:uid="{00000000-0005-0000-0000-000002CB0000}"/>
    <cellStyle name="Migliaia 9 4 4 2" xfId="33541" xr:uid="{00000000-0005-0000-0000-000003CB0000}"/>
    <cellStyle name="Migliaia 9 4 4 3" xfId="48502" xr:uid="{00000000-0005-0000-0000-000004CB0000}"/>
    <cellStyle name="Migliaia 9 4 4 4" xfId="55022" xr:uid="{00000000-0005-0000-0000-000005CB0000}"/>
    <cellStyle name="Migliaia 9 4 5" xfId="50888" xr:uid="{00000000-0005-0000-0000-000006CB0000}"/>
    <cellStyle name="Migliaia 9 4 5 2" xfId="55948" xr:uid="{00000000-0005-0000-0000-000007CB0000}"/>
    <cellStyle name="Migliaia 9 4 6" xfId="52666" xr:uid="{00000000-0005-0000-0000-000008CB0000}"/>
    <cellStyle name="Migliaia 9 5" xfId="9417" xr:uid="{00000000-0005-0000-0000-000009CB0000}"/>
    <cellStyle name="Migliaia 9 5 2" xfId="17427" xr:uid="{00000000-0005-0000-0000-00000ACB0000}"/>
    <cellStyle name="Migliaia 9 5 2 2" xfId="33543" xr:uid="{00000000-0005-0000-0000-00000BCB0000}"/>
    <cellStyle name="Migliaia 9 5 2 3" xfId="48504" xr:uid="{00000000-0005-0000-0000-00000CCB0000}"/>
    <cellStyle name="Migliaia 9 5 2 4" xfId="55024" xr:uid="{00000000-0005-0000-0000-00000DCB0000}"/>
    <cellStyle name="Migliaia 9 5 3" xfId="51105" xr:uid="{00000000-0005-0000-0000-00000ECB0000}"/>
    <cellStyle name="Migliaia 9 5 3 2" xfId="55950" xr:uid="{00000000-0005-0000-0000-00000FCB0000}"/>
    <cellStyle name="Migliaia 9 5 4" xfId="52668" xr:uid="{00000000-0005-0000-0000-000010CB0000}"/>
    <cellStyle name="Migliaia 9 6" xfId="9412" xr:uid="{00000000-0005-0000-0000-000011CB0000}"/>
    <cellStyle name="Migliaia 9 6 2" xfId="50965" xr:uid="{00000000-0005-0000-0000-000012CB0000}"/>
    <cellStyle name="Migliaia 9 6 3" xfId="54587" xr:uid="{00000000-0005-0000-0000-000013CB0000}"/>
    <cellStyle name="Migliaia 9 7" xfId="9975" xr:uid="{00000000-0005-0000-0000-000014CB0000}"/>
    <cellStyle name="Migliaia 9 7 2" xfId="26301" xr:uid="{00000000-0005-0000-0000-000015CB0000}"/>
    <cellStyle name="Migliaia 9 7 3" xfId="41279" xr:uid="{00000000-0005-0000-0000-000016CB0000}"/>
    <cellStyle name="Migliaia 9 7 4" xfId="55943" xr:uid="{00000000-0005-0000-0000-000017CB0000}"/>
    <cellStyle name="Migliaia 9 8" xfId="17420" xr:uid="{00000000-0005-0000-0000-000018CB0000}"/>
    <cellStyle name="Migliaia 9 8 2" xfId="33536" xr:uid="{00000000-0005-0000-0000-000019CB0000}"/>
    <cellStyle name="Migliaia 9 8 3" xfId="48497" xr:uid="{00000000-0005-0000-0000-00001ACB0000}"/>
    <cellStyle name="Migliaia 9 9" xfId="19282" xr:uid="{00000000-0005-0000-0000-00001BCB0000}"/>
    <cellStyle name="Neutral" xfId="1125" builtinId="28" customBuiltin="1"/>
    <cellStyle name="Neutral 2" xfId="5082" xr:uid="{00000000-0005-0000-0000-00001DCB0000}"/>
    <cellStyle name="Neutral 2 2" xfId="53181" xr:uid="{00000000-0005-0000-0000-00001ECB0000}"/>
    <cellStyle name="Neutral 3" xfId="5083" xr:uid="{00000000-0005-0000-0000-00001FCB0000}"/>
    <cellStyle name="Neutral 4" xfId="5084" xr:uid="{00000000-0005-0000-0000-000020CB0000}"/>
    <cellStyle name="Neutral 5" xfId="5085" xr:uid="{00000000-0005-0000-0000-000021CB0000}"/>
    <cellStyle name="Neutral 5 2" xfId="7027" xr:uid="{00000000-0005-0000-0000-000022CB0000}"/>
    <cellStyle name="Neutral 6" xfId="5316" xr:uid="{00000000-0005-0000-0000-000023CB0000}"/>
    <cellStyle name="Neutral 7" xfId="5081" xr:uid="{00000000-0005-0000-0000-000024CB0000}"/>
    <cellStyle name="Neutrale" xfId="529" xr:uid="{00000000-0005-0000-0000-000025CB0000}"/>
    <cellStyle name="New prices" xfId="1158" xr:uid="{00000000-0005-0000-0000-000026CB0000}"/>
    <cellStyle name="Normal" xfId="0" builtinId="0"/>
    <cellStyle name="Normal 10" xfId="530" xr:uid="{00000000-0005-0000-0000-000028CB0000}"/>
    <cellStyle name="Normal 10 2" xfId="1175" xr:uid="{00000000-0005-0000-0000-000029CB0000}"/>
    <cellStyle name="Normal 10 2 10" xfId="50062" xr:uid="{00000000-0005-0000-0000-00002ACB0000}"/>
    <cellStyle name="Normal 10 2 11" xfId="50467" xr:uid="{00000000-0005-0000-0000-00002BCB0000}"/>
    <cellStyle name="Normal 10 2 12" xfId="51027" xr:uid="{00000000-0005-0000-0000-00002CCB0000}"/>
    <cellStyle name="Normal 10 2 13" xfId="51628" xr:uid="{00000000-0005-0000-0000-00002DCB0000}"/>
    <cellStyle name="Normal 10 2 14" xfId="52048" xr:uid="{00000000-0005-0000-0000-00002ECB0000}"/>
    <cellStyle name="Normal 10 2 2" xfId="8801" xr:uid="{00000000-0005-0000-0000-00002FCB0000}"/>
    <cellStyle name="Normal 10 2 2 2" xfId="54039" xr:uid="{00000000-0005-0000-0000-000030CB0000}"/>
    <cellStyle name="Normal 10 2 2 2 2" xfId="57206" xr:uid="{00000000-0005-0000-0000-000031CB0000}"/>
    <cellStyle name="Normal 10 2 2 3" xfId="56582" xr:uid="{00000000-0005-0000-0000-000032CB0000}"/>
    <cellStyle name="Normal 10 2 2 4" xfId="53409" xr:uid="{00000000-0005-0000-0000-000033CB0000}"/>
    <cellStyle name="Normal 10 2 3" xfId="5087" xr:uid="{00000000-0005-0000-0000-000034CB0000}"/>
    <cellStyle name="Normal 10 2 3 2" xfId="54040" xr:uid="{00000000-0005-0000-0000-000035CB0000}"/>
    <cellStyle name="Normal 10 2 3 2 2" xfId="57207" xr:uid="{00000000-0005-0000-0000-000036CB0000}"/>
    <cellStyle name="Normal 10 2 3 3" xfId="56583" xr:uid="{00000000-0005-0000-0000-000037CB0000}"/>
    <cellStyle name="Normal 10 2 3 4" xfId="53410" xr:uid="{00000000-0005-0000-0000-000038CB0000}"/>
    <cellStyle name="Normal 10 2 4" xfId="8892" xr:uid="{00000000-0005-0000-0000-000039CB0000}"/>
    <cellStyle name="Normal 10 2 4 2" xfId="16666" xr:uid="{00000000-0005-0000-0000-00003ACB0000}"/>
    <cellStyle name="Normal 10 2 4 2 2" xfId="32980" xr:uid="{00000000-0005-0000-0000-00003BCB0000}"/>
    <cellStyle name="Normal 10 2 4 2 3" xfId="47944" xr:uid="{00000000-0005-0000-0000-00003CCB0000}"/>
    <cellStyle name="Normal 10 2 4 2 4" xfId="57205" xr:uid="{00000000-0005-0000-0000-00003DCB0000}"/>
    <cellStyle name="Normal 10 2 4 3" xfId="25958" xr:uid="{00000000-0005-0000-0000-00003ECB0000}"/>
    <cellStyle name="Normal 10 2 4 4" xfId="40945" xr:uid="{00000000-0005-0000-0000-00003FCB0000}"/>
    <cellStyle name="Normal 10 2 4 5" xfId="54038" xr:uid="{00000000-0005-0000-0000-000040CB0000}"/>
    <cellStyle name="Normal 10 2 5" xfId="10005" xr:uid="{00000000-0005-0000-0000-000041CB0000}"/>
    <cellStyle name="Normal 10 2 5 2" xfId="26327" xr:uid="{00000000-0005-0000-0000-000042CB0000}"/>
    <cellStyle name="Normal 10 2 5 2 2" xfId="56581" xr:uid="{00000000-0005-0000-0000-000043CB0000}"/>
    <cellStyle name="Normal 10 2 5 3" xfId="41295" xr:uid="{00000000-0005-0000-0000-000044CB0000}"/>
    <cellStyle name="Normal 10 2 5 4" xfId="53408" xr:uid="{00000000-0005-0000-0000-000045CB0000}"/>
    <cellStyle name="Normal 10 2 6" xfId="19306" xr:uid="{00000000-0005-0000-0000-000046CB0000}"/>
    <cellStyle name="Normal 10 2 7" xfId="34296" xr:uid="{00000000-0005-0000-0000-000047CB0000}"/>
    <cellStyle name="Normal 10 2 8" xfId="49248" xr:uid="{00000000-0005-0000-0000-000048CB0000}"/>
    <cellStyle name="Normal 10 2 9" xfId="49653" xr:uid="{00000000-0005-0000-0000-000049CB0000}"/>
    <cellStyle name="Normal 10 3" xfId="1304" xr:uid="{00000000-0005-0000-0000-00004ACB0000}"/>
    <cellStyle name="Normal 10 3 2" xfId="8676" xr:uid="{00000000-0005-0000-0000-00004BCB0000}"/>
    <cellStyle name="Normal 10 3 2 2" xfId="16556" xr:uid="{00000000-0005-0000-0000-00004CCB0000}"/>
    <cellStyle name="Normal 10 3 2 2 2" xfId="32871" xr:uid="{00000000-0005-0000-0000-00004DCB0000}"/>
    <cellStyle name="Normal 10 3 2 2 3" xfId="47835" xr:uid="{00000000-0005-0000-0000-00004ECB0000}"/>
    <cellStyle name="Normal 10 3 2 2 4" xfId="57208" xr:uid="{00000000-0005-0000-0000-00004FCB0000}"/>
    <cellStyle name="Normal 10 3 2 3" xfId="25849" xr:uid="{00000000-0005-0000-0000-000050CB0000}"/>
    <cellStyle name="Normal 10 3 2 4" xfId="40836" xr:uid="{00000000-0005-0000-0000-000051CB0000}"/>
    <cellStyle name="Normal 10 3 2 5" xfId="54041" xr:uid="{00000000-0005-0000-0000-000052CB0000}"/>
    <cellStyle name="Normal 10 3 3" xfId="5088" xr:uid="{00000000-0005-0000-0000-000053CB0000}"/>
    <cellStyle name="Normal 10 3 3 2" xfId="13202" xr:uid="{00000000-0005-0000-0000-000054CB0000}"/>
    <cellStyle name="Normal 10 3 3 2 2" xfId="29522" xr:uid="{00000000-0005-0000-0000-000055CB0000}"/>
    <cellStyle name="Normal 10 3 3 2 3" xfId="44487" xr:uid="{00000000-0005-0000-0000-000056CB0000}"/>
    <cellStyle name="Normal 10 3 3 2 4" xfId="56584" xr:uid="{00000000-0005-0000-0000-000057CB0000}"/>
    <cellStyle name="Normal 10 3 3 3" xfId="22500" xr:uid="{00000000-0005-0000-0000-000058CB0000}"/>
    <cellStyle name="Normal 10 3 3 4" xfId="37488" xr:uid="{00000000-0005-0000-0000-000059CB0000}"/>
    <cellStyle name="Normal 10 3 3 5" xfId="53411" xr:uid="{00000000-0005-0000-0000-00005ACB0000}"/>
    <cellStyle name="Normal 10 3 4" xfId="18944" xr:uid="{00000000-0005-0000-0000-00005BCB0000}"/>
    <cellStyle name="Normal 10 4" xfId="6024" xr:uid="{00000000-0005-0000-0000-00005CCB0000}"/>
    <cellStyle name="Normal 10 4 2" xfId="13942" xr:uid="{00000000-0005-0000-0000-00005DCB0000}"/>
    <cellStyle name="Normal 10 4 2 2" xfId="30257" xr:uid="{00000000-0005-0000-0000-00005ECB0000}"/>
    <cellStyle name="Normal 10 4 2 2 2" xfId="57209" xr:uid="{00000000-0005-0000-0000-00005FCB0000}"/>
    <cellStyle name="Normal 10 4 2 3" xfId="45221" xr:uid="{00000000-0005-0000-0000-000060CB0000}"/>
    <cellStyle name="Normal 10 4 2 4" xfId="54042" xr:uid="{00000000-0005-0000-0000-000061CB0000}"/>
    <cellStyle name="Normal 10 4 3" xfId="23235" xr:uid="{00000000-0005-0000-0000-000062CB0000}"/>
    <cellStyle name="Normal 10 4 3 2" xfId="56585" xr:uid="{00000000-0005-0000-0000-000063CB0000}"/>
    <cellStyle name="Normal 10 4 4" xfId="38222" xr:uid="{00000000-0005-0000-0000-000064CB0000}"/>
    <cellStyle name="Normal 10 4 5" xfId="53412" xr:uid="{00000000-0005-0000-0000-000065CB0000}"/>
    <cellStyle name="Normal 10 5" xfId="5086" xr:uid="{00000000-0005-0000-0000-000066CB0000}"/>
    <cellStyle name="Normal 10 5 2" xfId="13201" xr:uid="{00000000-0005-0000-0000-000067CB0000}"/>
    <cellStyle name="Normal 10 5 2 2" xfId="29521" xr:uid="{00000000-0005-0000-0000-000068CB0000}"/>
    <cellStyle name="Normal 10 5 2 2 2" xfId="57210" xr:uid="{00000000-0005-0000-0000-000069CB0000}"/>
    <cellStyle name="Normal 10 5 2 3" xfId="44486" xr:uid="{00000000-0005-0000-0000-00006ACB0000}"/>
    <cellStyle name="Normal 10 5 2 4" xfId="54043" xr:uid="{00000000-0005-0000-0000-00006BCB0000}"/>
    <cellStyle name="Normal 10 5 3" xfId="22499" xr:uid="{00000000-0005-0000-0000-00006CCB0000}"/>
    <cellStyle name="Normal 10 5 3 2" xfId="56586" xr:uid="{00000000-0005-0000-0000-00006DCB0000}"/>
    <cellStyle name="Normal 10 5 4" xfId="37487" xr:uid="{00000000-0005-0000-0000-00006ECB0000}"/>
    <cellStyle name="Normal 10 5 5" xfId="53413" xr:uid="{00000000-0005-0000-0000-00006FCB0000}"/>
    <cellStyle name="Normal 10 6" xfId="54037" xr:uid="{00000000-0005-0000-0000-000070CB0000}"/>
    <cellStyle name="Normal 10 6 2" xfId="57204" xr:uid="{00000000-0005-0000-0000-000071CB0000}"/>
    <cellStyle name="Normal 10 7" xfId="53407" xr:uid="{00000000-0005-0000-0000-000072CB0000}"/>
    <cellStyle name="Normal 10 7 2" xfId="56580" xr:uid="{00000000-0005-0000-0000-000073CB0000}"/>
    <cellStyle name="Normal 11" xfId="1179" xr:uid="{00000000-0005-0000-0000-000074CB0000}"/>
    <cellStyle name="Normal 11 10" xfId="55956" xr:uid="{00000000-0005-0000-0000-000075CB0000}"/>
    <cellStyle name="Normal 11 11" xfId="52679" xr:uid="{00000000-0005-0000-0000-000076CB0000}"/>
    <cellStyle name="Normal 11 2" xfId="5090" xr:uid="{00000000-0005-0000-0000-000077CB0000}"/>
    <cellStyle name="Normal 11 2 2" xfId="8802" xr:uid="{00000000-0005-0000-0000-000078CB0000}"/>
    <cellStyle name="Normal 11 2 2 2" xfId="18937" xr:uid="{00000000-0005-0000-0000-000079CB0000}"/>
    <cellStyle name="Normal 11 2 2 2 2" xfId="33938" xr:uid="{00000000-0005-0000-0000-00007ACB0000}"/>
    <cellStyle name="Normal 11 2 2 2 2 2" xfId="57213" xr:uid="{00000000-0005-0000-0000-00007BCB0000}"/>
    <cellStyle name="Normal 11 2 2 2 3" xfId="48899" xr:uid="{00000000-0005-0000-0000-00007CCB0000}"/>
    <cellStyle name="Normal 11 2 2 2 4" xfId="54046" xr:uid="{00000000-0005-0000-0000-00007DCB0000}"/>
    <cellStyle name="Normal 11 2 2 3" xfId="53416" xr:uid="{00000000-0005-0000-0000-00007ECB0000}"/>
    <cellStyle name="Normal 11 2 2 3 2" xfId="56589" xr:uid="{00000000-0005-0000-0000-00007FCB0000}"/>
    <cellStyle name="Normal 11 2 2 4" xfId="56346" xr:uid="{00000000-0005-0000-0000-000080CB0000}"/>
    <cellStyle name="Normal 11 2 2 5" xfId="53072" xr:uid="{00000000-0005-0000-0000-000081CB0000}"/>
    <cellStyle name="Normal 11 2 3" xfId="18890" xr:uid="{00000000-0005-0000-0000-000082CB0000}"/>
    <cellStyle name="Normal 11 2 3 2" xfId="33918" xr:uid="{00000000-0005-0000-0000-000083CB0000}"/>
    <cellStyle name="Normal 11 2 3 2 2" xfId="57214" xr:uid="{00000000-0005-0000-0000-000084CB0000}"/>
    <cellStyle name="Normal 11 2 3 2 3" xfId="54047" xr:uid="{00000000-0005-0000-0000-000085CB0000}"/>
    <cellStyle name="Normal 11 2 3 3" xfId="48879" xr:uid="{00000000-0005-0000-0000-000086CB0000}"/>
    <cellStyle name="Normal 11 2 3 3 2" xfId="56590" xr:uid="{00000000-0005-0000-0000-000087CB0000}"/>
    <cellStyle name="Normal 11 2 3 4" xfId="53417" xr:uid="{00000000-0005-0000-0000-000088CB0000}"/>
    <cellStyle name="Normal 11 2 4" xfId="53418" xr:uid="{00000000-0005-0000-0000-000089CB0000}"/>
    <cellStyle name="Normal 11 2 4 2" xfId="54048" xr:uid="{00000000-0005-0000-0000-00008ACB0000}"/>
    <cellStyle name="Normal 11 2 4 2 2" xfId="57215" xr:uid="{00000000-0005-0000-0000-00008BCB0000}"/>
    <cellStyle name="Normal 11 2 4 3" xfId="56591" xr:uid="{00000000-0005-0000-0000-00008CCB0000}"/>
    <cellStyle name="Normal 11 2 5" xfId="54045" xr:uid="{00000000-0005-0000-0000-00008DCB0000}"/>
    <cellStyle name="Normal 11 2 5 2" xfId="57212" xr:uid="{00000000-0005-0000-0000-00008ECB0000}"/>
    <cellStyle name="Normal 11 2 6" xfId="53415" xr:uid="{00000000-0005-0000-0000-00008FCB0000}"/>
    <cellStyle name="Normal 11 2 6 2" xfId="56588" xr:uid="{00000000-0005-0000-0000-000090CB0000}"/>
    <cellStyle name="Normal 11 2 7" xfId="55403" xr:uid="{00000000-0005-0000-0000-000091CB0000}"/>
    <cellStyle name="Normal 11 2 8" xfId="56325" xr:uid="{00000000-0005-0000-0000-000092CB0000}"/>
    <cellStyle name="Normal 11 2 9" xfId="53052" xr:uid="{00000000-0005-0000-0000-000093CB0000}"/>
    <cellStyle name="Normal 11 3" xfId="5091" xr:uid="{00000000-0005-0000-0000-000094CB0000}"/>
    <cellStyle name="Normal 11 3 2" xfId="5092" xr:uid="{00000000-0005-0000-0000-000095CB0000}"/>
    <cellStyle name="Normal 11 3 2 2" xfId="8560" xr:uid="{00000000-0005-0000-0000-000096CB0000}"/>
    <cellStyle name="Normal 11 3 2 2 2" xfId="16444" xr:uid="{00000000-0005-0000-0000-000097CB0000}"/>
    <cellStyle name="Normal 11 3 2 2 2 2" xfId="32759" xr:uid="{00000000-0005-0000-0000-000098CB0000}"/>
    <cellStyle name="Normal 11 3 2 2 2 3" xfId="47723" xr:uid="{00000000-0005-0000-0000-000099CB0000}"/>
    <cellStyle name="Normal 11 3 2 2 2 4" xfId="57217" xr:uid="{00000000-0005-0000-0000-00009ACB0000}"/>
    <cellStyle name="Normal 11 3 2 2 3" xfId="25737" xr:uid="{00000000-0005-0000-0000-00009BCB0000}"/>
    <cellStyle name="Normal 11 3 2 2 4" xfId="40724" xr:uid="{00000000-0005-0000-0000-00009CCB0000}"/>
    <cellStyle name="Normal 11 3 2 2 5" xfId="54050" xr:uid="{00000000-0005-0000-0000-00009DCB0000}"/>
    <cellStyle name="Normal 11 3 2 3" xfId="13204" xr:uid="{00000000-0005-0000-0000-00009ECB0000}"/>
    <cellStyle name="Normal 11 3 2 3 2" xfId="29524" xr:uid="{00000000-0005-0000-0000-00009FCB0000}"/>
    <cellStyle name="Normal 11 3 2 3 3" xfId="44489" xr:uid="{00000000-0005-0000-0000-0000A0CB0000}"/>
    <cellStyle name="Normal 11 3 2 3 4" xfId="56593" xr:uid="{00000000-0005-0000-0000-0000A1CB0000}"/>
    <cellStyle name="Normal 11 3 2 4" xfId="22502" xr:uid="{00000000-0005-0000-0000-0000A2CB0000}"/>
    <cellStyle name="Normal 11 3 2 5" xfId="37490" xr:uid="{00000000-0005-0000-0000-0000A3CB0000}"/>
    <cellStyle name="Normal 11 3 2 6" xfId="53420" xr:uid="{00000000-0005-0000-0000-0000A4CB0000}"/>
    <cellStyle name="Normal 11 3 3" xfId="6025" xr:uid="{00000000-0005-0000-0000-0000A5CB0000}"/>
    <cellStyle name="Normal 11 3 3 2" xfId="13943" xr:uid="{00000000-0005-0000-0000-0000A6CB0000}"/>
    <cellStyle name="Normal 11 3 3 2 2" xfId="30258" xr:uid="{00000000-0005-0000-0000-0000A7CB0000}"/>
    <cellStyle name="Normal 11 3 3 2 2 2" xfId="57218" xr:uid="{00000000-0005-0000-0000-0000A8CB0000}"/>
    <cellStyle name="Normal 11 3 3 2 3" xfId="45222" xr:uid="{00000000-0005-0000-0000-0000A9CB0000}"/>
    <cellStyle name="Normal 11 3 3 2 4" xfId="54051" xr:uid="{00000000-0005-0000-0000-0000AACB0000}"/>
    <cellStyle name="Normal 11 3 3 3" xfId="23236" xr:uid="{00000000-0005-0000-0000-0000ABCB0000}"/>
    <cellStyle name="Normal 11 3 3 3 2" xfId="56594" xr:uid="{00000000-0005-0000-0000-0000ACCB0000}"/>
    <cellStyle name="Normal 11 3 3 4" xfId="38223" xr:uid="{00000000-0005-0000-0000-0000ADCB0000}"/>
    <cellStyle name="Normal 11 3 3 5" xfId="53421" xr:uid="{00000000-0005-0000-0000-0000AECB0000}"/>
    <cellStyle name="Normal 11 3 4" xfId="13203" xr:uid="{00000000-0005-0000-0000-0000AFCB0000}"/>
    <cellStyle name="Normal 11 3 4 2" xfId="29523" xr:uid="{00000000-0005-0000-0000-0000B0CB0000}"/>
    <cellStyle name="Normal 11 3 4 2 2" xfId="57216" xr:uid="{00000000-0005-0000-0000-0000B1CB0000}"/>
    <cellStyle name="Normal 11 3 4 3" xfId="44488" xr:uid="{00000000-0005-0000-0000-0000B2CB0000}"/>
    <cellStyle name="Normal 11 3 4 4" xfId="54049" xr:uid="{00000000-0005-0000-0000-0000B3CB0000}"/>
    <cellStyle name="Normal 11 3 5" xfId="18918" xr:uid="{00000000-0005-0000-0000-0000B4CB0000}"/>
    <cellStyle name="Normal 11 3 5 2" xfId="33928" xr:uid="{00000000-0005-0000-0000-0000B5CB0000}"/>
    <cellStyle name="Normal 11 3 5 2 2" xfId="56592" xr:uid="{00000000-0005-0000-0000-0000B6CB0000}"/>
    <cellStyle name="Normal 11 3 5 3" xfId="48889" xr:uid="{00000000-0005-0000-0000-0000B7CB0000}"/>
    <cellStyle name="Normal 11 3 5 4" xfId="53419" xr:uid="{00000000-0005-0000-0000-0000B8CB0000}"/>
    <cellStyle name="Normal 11 3 6" xfId="22501" xr:uid="{00000000-0005-0000-0000-0000B9CB0000}"/>
    <cellStyle name="Normal 11 3 6 2" xfId="56336" xr:uid="{00000000-0005-0000-0000-0000BACB0000}"/>
    <cellStyle name="Normal 11 3 7" xfId="37489" xr:uid="{00000000-0005-0000-0000-0000BBCB0000}"/>
    <cellStyle name="Normal 11 3 8" xfId="53062" xr:uid="{00000000-0005-0000-0000-0000BCCB0000}"/>
    <cellStyle name="Normal 11 4" xfId="5089" xr:uid="{00000000-0005-0000-0000-0000BDCB0000}"/>
    <cellStyle name="Normal 11 4 2" xfId="54052" xr:uid="{00000000-0005-0000-0000-0000BECB0000}"/>
    <cellStyle name="Normal 11 4 2 2" xfId="57219" xr:uid="{00000000-0005-0000-0000-0000BFCB0000}"/>
    <cellStyle name="Normal 11 4 3" xfId="56595" xr:uid="{00000000-0005-0000-0000-0000C0CB0000}"/>
    <cellStyle name="Normal 11 4 4" xfId="53422" xr:uid="{00000000-0005-0000-0000-0000C1CB0000}"/>
    <cellStyle name="Normal 11 5" xfId="17887" xr:uid="{00000000-0005-0000-0000-0000C2CB0000}"/>
    <cellStyle name="Normal 11 5 2" xfId="33549" xr:uid="{00000000-0005-0000-0000-0000C3CB0000}"/>
    <cellStyle name="Normal 11 5 2 2" xfId="57220" xr:uid="{00000000-0005-0000-0000-0000C4CB0000}"/>
    <cellStyle name="Normal 11 5 2 3" xfId="54053" xr:uid="{00000000-0005-0000-0000-0000C5CB0000}"/>
    <cellStyle name="Normal 11 5 3" xfId="48510" xr:uid="{00000000-0005-0000-0000-0000C6CB0000}"/>
    <cellStyle name="Normal 11 5 3 2" xfId="56596" xr:uid="{00000000-0005-0000-0000-0000C7CB0000}"/>
    <cellStyle name="Normal 11 5 4" xfId="53423" xr:uid="{00000000-0005-0000-0000-0000C8CB0000}"/>
    <cellStyle name="Normal 11 6" xfId="53424" xr:uid="{00000000-0005-0000-0000-0000C9CB0000}"/>
    <cellStyle name="Normal 11 6 2" xfId="54054" xr:uid="{00000000-0005-0000-0000-0000CACB0000}"/>
    <cellStyle name="Normal 11 6 2 2" xfId="57221" xr:uid="{00000000-0005-0000-0000-0000CBCB0000}"/>
    <cellStyle name="Normal 11 6 3" xfId="56597" xr:uid="{00000000-0005-0000-0000-0000CCCB0000}"/>
    <cellStyle name="Normal 11 7" xfId="54044" xr:uid="{00000000-0005-0000-0000-0000CDCB0000}"/>
    <cellStyle name="Normal 11 7 2" xfId="57211" xr:uid="{00000000-0005-0000-0000-0000CECB0000}"/>
    <cellStyle name="Normal 11 8" xfId="53414" xr:uid="{00000000-0005-0000-0000-0000CFCB0000}"/>
    <cellStyle name="Normal 11 8 2" xfId="56587" xr:uid="{00000000-0005-0000-0000-0000D0CB0000}"/>
    <cellStyle name="Normal 11 9" xfId="55034" xr:uid="{00000000-0005-0000-0000-0000D1CB0000}"/>
    <cellStyle name="Normal 12" xfId="5093" xr:uid="{00000000-0005-0000-0000-0000D2CB0000}"/>
    <cellStyle name="Normal 12 2" xfId="5094" xr:uid="{00000000-0005-0000-0000-0000D3CB0000}"/>
    <cellStyle name="Normal 12 2 2" xfId="8803" xr:uid="{00000000-0005-0000-0000-0000D4CB0000}"/>
    <cellStyle name="Normal 12 2 2 2" xfId="54057" xr:uid="{00000000-0005-0000-0000-0000D5CB0000}"/>
    <cellStyle name="Normal 12 2 2 2 2" xfId="57224" xr:uid="{00000000-0005-0000-0000-0000D6CB0000}"/>
    <cellStyle name="Normal 12 2 2 3" xfId="56600" xr:uid="{00000000-0005-0000-0000-0000D7CB0000}"/>
    <cellStyle name="Normal 12 2 2 4" xfId="53427" xr:uid="{00000000-0005-0000-0000-0000D8CB0000}"/>
    <cellStyle name="Normal 12 2 3" xfId="53428" xr:uid="{00000000-0005-0000-0000-0000D9CB0000}"/>
    <cellStyle name="Normal 12 2 3 2" xfId="54058" xr:uid="{00000000-0005-0000-0000-0000DACB0000}"/>
    <cellStyle name="Normal 12 2 3 2 2" xfId="57225" xr:uid="{00000000-0005-0000-0000-0000DBCB0000}"/>
    <cellStyle name="Normal 12 2 3 3" xfId="56601" xr:uid="{00000000-0005-0000-0000-0000DCCB0000}"/>
    <cellStyle name="Normal 12 2 4" xfId="54056" xr:uid="{00000000-0005-0000-0000-0000DDCB0000}"/>
    <cellStyle name="Normal 12 2 4 2" xfId="57223" xr:uid="{00000000-0005-0000-0000-0000DECB0000}"/>
    <cellStyle name="Normal 12 2 5" xfId="56599" xr:uid="{00000000-0005-0000-0000-0000DFCB0000}"/>
    <cellStyle name="Normal 12 2 6" xfId="53426" xr:uid="{00000000-0005-0000-0000-0000E0CB0000}"/>
    <cellStyle name="Normal 12 3" xfId="5095" xr:uid="{00000000-0005-0000-0000-0000E1CB0000}"/>
    <cellStyle name="Normal 12 3 2" xfId="8210" xr:uid="{00000000-0005-0000-0000-0000E2CB0000}"/>
    <cellStyle name="Normal 12 3 2 2" xfId="16105" xr:uid="{00000000-0005-0000-0000-0000E3CB0000}"/>
    <cellStyle name="Normal 12 3 2 2 2" xfId="32420" xr:uid="{00000000-0005-0000-0000-0000E4CB0000}"/>
    <cellStyle name="Normal 12 3 2 2 3" xfId="47384" xr:uid="{00000000-0005-0000-0000-0000E5CB0000}"/>
    <cellStyle name="Normal 12 3 2 2 4" xfId="57226" xr:uid="{00000000-0005-0000-0000-0000E6CB0000}"/>
    <cellStyle name="Normal 12 3 2 3" xfId="25398" xr:uid="{00000000-0005-0000-0000-0000E7CB0000}"/>
    <cellStyle name="Normal 12 3 2 4" xfId="40385" xr:uid="{00000000-0005-0000-0000-0000E8CB0000}"/>
    <cellStyle name="Normal 12 3 2 5" xfId="54059" xr:uid="{00000000-0005-0000-0000-0000E9CB0000}"/>
    <cellStyle name="Normal 12 3 3" xfId="13206" xr:uid="{00000000-0005-0000-0000-0000EACB0000}"/>
    <cellStyle name="Normal 12 3 3 2" xfId="29526" xr:uid="{00000000-0005-0000-0000-0000EBCB0000}"/>
    <cellStyle name="Normal 12 3 3 3" xfId="44491" xr:uid="{00000000-0005-0000-0000-0000ECCB0000}"/>
    <cellStyle name="Normal 12 3 3 4" xfId="56602" xr:uid="{00000000-0005-0000-0000-0000EDCB0000}"/>
    <cellStyle name="Normal 12 3 4" xfId="22504" xr:uid="{00000000-0005-0000-0000-0000EECB0000}"/>
    <cellStyle name="Normal 12 3 5" xfId="37492" xr:uid="{00000000-0005-0000-0000-0000EFCB0000}"/>
    <cellStyle name="Normal 12 3 6" xfId="53429" xr:uid="{00000000-0005-0000-0000-0000F0CB0000}"/>
    <cellStyle name="Normal 12 4" xfId="6026" xr:uid="{00000000-0005-0000-0000-0000F1CB0000}"/>
    <cellStyle name="Normal 12 4 2" xfId="13944" xr:uid="{00000000-0005-0000-0000-0000F2CB0000}"/>
    <cellStyle name="Normal 12 4 2 2" xfId="30259" xr:uid="{00000000-0005-0000-0000-0000F3CB0000}"/>
    <cellStyle name="Normal 12 4 2 2 2" xfId="57227" xr:uid="{00000000-0005-0000-0000-0000F4CB0000}"/>
    <cellStyle name="Normal 12 4 2 3" xfId="45223" xr:uid="{00000000-0005-0000-0000-0000F5CB0000}"/>
    <cellStyle name="Normal 12 4 2 4" xfId="54060" xr:uid="{00000000-0005-0000-0000-0000F6CB0000}"/>
    <cellStyle name="Normal 12 4 3" xfId="23237" xr:uid="{00000000-0005-0000-0000-0000F7CB0000}"/>
    <cellStyle name="Normal 12 4 3 2" xfId="56603" xr:uid="{00000000-0005-0000-0000-0000F8CB0000}"/>
    <cellStyle name="Normal 12 4 4" xfId="38224" xr:uid="{00000000-0005-0000-0000-0000F9CB0000}"/>
    <cellStyle name="Normal 12 4 5" xfId="53430" xr:uid="{00000000-0005-0000-0000-0000FACB0000}"/>
    <cellStyle name="Normal 12 5" xfId="13205" xr:uid="{00000000-0005-0000-0000-0000FBCB0000}"/>
    <cellStyle name="Normal 12 5 2" xfId="29525" xr:uid="{00000000-0005-0000-0000-0000FCCB0000}"/>
    <cellStyle name="Normal 12 5 2 2" xfId="57228" xr:uid="{00000000-0005-0000-0000-0000FDCB0000}"/>
    <cellStyle name="Normal 12 5 2 3" xfId="54061" xr:uid="{00000000-0005-0000-0000-0000FECB0000}"/>
    <cellStyle name="Normal 12 5 3" xfId="44490" xr:uid="{00000000-0005-0000-0000-0000FFCB0000}"/>
    <cellStyle name="Normal 12 5 3 2" xfId="56604" xr:uid="{00000000-0005-0000-0000-000000CC0000}"/>
    <cellStyle name="Normal 12 5 4" xfId="53431" xr:uid="{00000000-0005-0000-0000-000001CC0000}"/>
    <cellStyle name="Normal 12 6" xfId="22503" xr:uid="{00000000-0005-0000-0000-000002CC0000}"/>
    <cellStyle name="Normal 12 6 2" xfId="57222" xr:uid="{00000000-0005-0000-0000-000003CC0000}"/>
    <cellStyle name="Normal 12 6 3" xfId="54055" xr:uid="{00000000-0005-0000-0000-000004CC0000}"/>
    <cellStyle name="Normal 12 7" xfId="37491" xr:uid="{00000000-0005-0000-0000-000005CC0000}"/>
    <cellStyle name="Normal 12 7 2" xfId="56598" xr:uid="{00000000-0005-0000-0000-000006CC0000}"/>
    <cellStyle name="Normal 12 7 3" xfId="53425" xr:uid="{00000000-0005-0000-0000-000007CC0000}"/>
    <cellStyle name="Normal 13" xfId="5096" xr:uid="{00000000-0005-0000-0000-000008CC0000}"/>
    <cellStyle name="Normal 13 10" xfId="53074" xr:uid="{00000000-0005-0000-0000-000009CC0000}"/>
    <cellStyle name="Normal 13 2" xfId="5097" xr:uid="{00000000-0005-0000-0000-00000ACC0000}"/>
    <cellStyle name="Normal 13 2 2" xfId="8138" xr:uid="{00000000-0005-0000-0000-00000BCC0000}"/>
    <cellStyle name="Normal 13 2 2 2" xfId="16040" xr:uid="{00000000-0005-0000-0000-00000CCC0000}"/>
    <cellStyle name="Normal 13 2 2 2 2" xfId="32355" xr:uid="{00000000-0005-0000-0000-00000DCC0000}"/>
    <cellStyle name="Normal 13 2 2 2 2 2" xfId="57231" xr:uid="{00000000-0005-0000-0000-00000ECC0000}"/>
    <cellStyle name="Normal 13 2 2 2 3" xfId="47319" xr:uid="{00000000-0005-0000-0000-00000FCC0000}"/>
    <cellStyle name="Normal 13 2 2 2 4" xfId="54064" xr:uid="{00000000-0005-0000-0000-000010CC0000}"/>
    <cellStyle name="Normal 13 2 2 3" xfId="25333" xr:uid="{00000000-0005-0000-0000-000011CC0000}"/>
    <cellStyle name="Normal 13 2 2 3 2" xfId="56607" xr:uid="{00000000-0005-0000-0000-000012CC0000}"/>
    <cellStyle name="Normal 13 2 2 4" xfId="40320" xr:uid="{00000000-0005-0000-0000-000013CC0000}"/>
    <cellStyle name="Normal 13 2 2 5" xfId="53434" xr:uid="{00000000-0005-0000-0000-000014CC0000}"/>
    <cellStyle name="Normal 13 2 3" xfId="13208" xr:uid="{00000000-0005-0000-0000-000015CC0000}"/>
    <cellStyle name="Normal 13 2 3 2" xfId="29528" xr:uid="{00000000-0005-0000-0000-000016CC0000}"/>
    <cellStyle name="Normal 13 2 3 2 2" xfId="57232" xr:uid="{00000000-0005-0000-0000-000017CC0000}"/>
    <cellStyle name="Normal 13 2 3 2 3" xfId="54065" xr:uid="{00000000-0005-0000-0000-000018CC0000}"/>
    <cellStyle name="Normal 13 2 3 3" xfId="44493" xr:uid="{00000000-0005-0000-0000-000019CC0000}"/>
    <cellStyle name="Normal 13 2 3 3 2" xfId="56608" xr:uid="{00000000-0005-0000-0000-00001ACC0000}"/>
    <cellStyle name="Normal 13 2 3 4" xfId="53435" xr:uid="{00000000-0005-0000-0000-00001BCC0000}"/>
    <cellStyle name="Normal 13 2 4" xfId="22506" xr:uid="{00000000-0005-0000-0000-00001CCC0000}"/>
    <cellStyle name="Normal 13 2 4 2" xfId="57230" xr:uid="{00000000-0005-0000-0000-00001DCC0000}"/>
    <cellStyle name="Normal 13 2 4 3" xfId="54063" xr:uid="{00000000-0005-0000-0000-00001ECC0000}"/>
    <cellStyle name="Normal 13 2 5" xfId="37494" xr:uid="{00000000-0005-0000-0000-00001FCC0000}"/>
    <cellStyle name="Normal 13 2 5 2" xfId="56606" xr:uid="{00000000-0005-0000-0000-000020CC0000}"/>
    <cellStyle name="Normal 13 2 6" xfId="53433" xr:uid="{00000000-0005-0000-0000-000021CC0000}"/>
    <cellStyle name="Normal 13 3" xfId="5098" xr:uid="{00000000-0005-0000-0000-000022CC0000}"/>
    <cellStyle name="Normal 13 3 2" xfId="7415" xr:uid="{00000000-0005-0000-0000-000023CC0000}"/>
    <cellStyle name="Normal 13 3 2 2" xfId="15326" xr:uid="{00000000-0005-0000-0000-000024CC0000}"/>
    <cellStyle name="Normal 13 3 2 2 2" xfId="31641" xr:uid="{00000000-0005-0000-0000-000025CC0000}"/>
    <cellStyle name="Normal 13 3 2 2 3" xfId="46605" xr:uid="{00000000-0005-0000-0000-000026CC0000}"/>
    <cellStyle name="Normal 13 3 2 2 4" xfId="57233" xr:uid="{00000000-0005-0000-0000-000027CC0000}"/>
    <cellStyle name="Normal 13 3 2 3" xfId="24619" xr:uid="{00000000-0005-0000-0000-000028CC0000}"/>
    <cellStyle name="Normal 13 3 2 4" xfId="39606" xr:uid="{00000000-0005-0000-0000-000029CC0000}"/>
    <cellStyle name="Normal 13 3 2 5" xfId="54066" xr:uid="{00000000-0005-0000-0000-00002ACC0000}"/>
    <cellStyle name="Normal 13 3 3" xfId="13209" xr:uid="{00000000-0005-0000-0000-00002BCC0000}"/>
    <cellStyle name="Normal 13 3 3 2" xfId="29529" xr:uid="{00000000-0005-0000-0000-00002CCC0000}"/>
    <cellStyle name="Normal 13 3 3 3" xfId="44494" xr:uid="{00000000-0005-0000-0000-00002DCC0000}"/>
    <cellStyle name="Normal 13 3 3 4" xfId="56609" xr:uid="{00000000-0005-0000-0000-00002ECC0000}"/>
    <cellStyle name="Normal 13 3 4" xfId="22507" xr:uid="{00000000-0005-0000-0000-00002FCC0000}"/>
    <cellStyle name="Normal 13 3 5" xfId="37495" xr:uid="{00000000-0005-0000-0000-000030CC0000}"/>
    <cellStyle name="Normal 13 3 6" xfId="53436" xr:uid="{00000000-0005-0000-0000-000031CC0000}"/>
    <cellStyle name="Normal 13 4" xfId="6027" xr:uid="{00000000-0005-0000-0000-000032CC0000}"/>
    <cellStyle name="Normal 13 4 2" xfId="13945" xr:uid="{00000000-0005-0000-0000-000033CC0000}"/>
    <cellStyle name="Normal 13 4 2 2" xfId="30260" xr:uid="{00000000-0005-0000-0000-000034CC0000}"/>
    <cellStyle name="Normal 13 4 2 2 2" xfId="57234" xr:uid="{00000000-0005-0000-0000-000035CC0000}"/>
    <cellStyle name="Normal 13 4 2 3" xfId="45224" xr:uid="{00000000-0005-0000-0000-000036CC0000}"/>
    <cellStyle name="Normal 13 4 2 4" xfId="54067" xr:uid="{00000000-0005-0000-0000-000037CC0000}"/>
    <cellStyle name="Normal 13 4 3" xfId="23238" xr:uid="{00000000-0005-0000-0000-000038CC0000}"/>
    <cellStyle name="Normal 13 4 3 2" xfId="56610" xr:uid="{00000000-0005-0000-0000-000039CC0000}"/>
    <cellStyle name="Normal 13 4 4" xfId="38225" xr:uid="{00000000-0005-0000-0000-00003ACC0000}"/>
    <cellStyle name="Normal 13 4 5" xfId="53437" xr:uid="{00000000-0005-0000-0000-00003BCC0000}"/>
    <cellStyle name="Normal 13 5" xfId="13207" xr:uid="{00000000-0005-0000-0000-00003CCC0000}"/>
    <cellStyle name="Normal 13 5 2" xfId="29527" xr:uid="{00000000-0005-0000-0000-00003DCC0000}"/>
    <cellStyle name="Normal 13 5 2 2" xfId="57235" xr:uid="{00000000-0005-0000-0000-00003ECC0000}"/>
    <cellStyle name="Normal 13 5 2 3" xfId="54068" xr:uid="{00000000-0005-0000-0000-00003FCC0000}"/>
    <cellStyle name="Normal 13 5 3" xfId="44492" xr:uid="{00000000-0005-0000-0000-000040CC0000}"/>
    <cellStyle name="Normal 13 5 3 2" xfId="56611" xr:uid="{00000000-0005-0000-0000-000041CC0000}"/>
    <cellStyle name="Normal 13 5 4" xfId="53438" xr:uid="{00000000-0005-0000-0000-000042CC0000}"/>
    <cellStyle name="Normal 13 6" xfId="18939" xr:uid="{00000000-0005-0000-0000-000043CC0000}"/>
    <cellStyle name="Normal 13 6 2" xfId="33940" xr:uid="{00000000-0005-0000-0000-000044CC0000}"/>
    <cellStyle name="Normal 13 6 2 2" xfId="57229" xr:uid="{00000000-0005-0000-0000-000045CC0000}"/>
    <cellStyle name="Normal 13 6 3" xfId="48901" xr:uid="{00000000-0005-0000-0000-000046CC0000}"/>
    <cellStyle name="Normal 13 6 4" xfId="54062" xr:uid="{00000000-0005-0000-0000-000047CC0000}"/>
    <cellStyle name="Normal 13 7" xfId="22505" xr:uid="{00000000-0005-0000-0000-000048CC0000}"/>
    <cellStyle name="Normal 13 7 2" xfId="56605" xr:uid="{00000000-0005-0000-0000-000049CC0000}"/>
    <cellStyle name="Normal 13 7 3" xfId="53432" xr:uid="{00000000-0005-0000-0000-00004ACC0000}"/>
    <cellStyle name="Normal 13 8" xfId="37493" xr:uid="{00000000-0005-0000-0000-00004BCC0000}"/>
    <cellStyle name="Normal 13 8 2" xfId="54653" xr:uid="{00000000-0005-0000-0000-00004CCC0000}"/>
    <cellStyle name="Normal 13 9" xfId="56348" xr:uid="{00000000-0005-0000-0000-00004DCC0000}"/>
    <cellStyle name="Normal 14" xfId="5099" xr:uid="{00000000-0005-0000-0000-00004ECC0000}"/>
    <cellStyle name="Normal 14 2" xfId="5100" xr:uid="{00000000-0005-0000-0000-00004FCC0000}"/>
    <cellStyle name="Normal 14 2 2" xfId="5101" xr:uid="{00000000-0005-0000-0000-000050CC0000}"/>
    <cellStyle name="Normal 14 2 2 2" xfId="8139" xr:uid="{00000000-0005-0000-0000-000051CC0000}"/>
    <cellStyle name="Normal 14 2 2 2 2" xfId="16041" xr:uid="{00000000-0005-0000-0000-000052CC0000}"/>
    <cellStyle name="Normal 14 2 2 2 2 2" xfId="32356" xr:uid="{00000000-0005-0000-0000-000053CC0000}"/>
    <cellStyle name="Normal 14 2 2 2 2 3" xfId="47320" xr:uid="{00000000-0005-0000-0000-000054CC0000}"/>
    <cellStyle name="Normal 14 2 2 2 3" xfId="25334" xr:uid="{00000000-0005-0000-0000-000055CC0000}"/>
    <cellStyle name="Normal 14 2 2 2 4" xfId="40321" xr:uid="{00000000-0005-0000-0000-000056CC0000}"/>
    <cellStyle name="Normal 14 2 2 3" xfId="13211" xr:uid="{00000000-0005-0000-0000-000057CC0000}"/>
    <cellStyle name="Normal 14 2 2 3 2" xfId="29531" xr:uid="{00000000-0005-0000-0000-000058CC0000}"/>
    <cellStyle name="Normal 14 2 2 3 3" xfId="44496" xr:uid="{00000000-0005-0000-0000-000059CC0000}"/>
    <cellStyle name="Normal 14 2 2 4" xfId="22509" xr:uid="{00000000-0005-0000-0000-00005ACC0000}"/>
    <cellStyle name="Normal 14 2 2 5" xfId="37497" xr:uid="{00000000-0005-0000-0000-00005BCC0000}"/>
    <cellStyle name="Normal 14 2 3" xfId="6630" xr:uid="{00000000-0005-0000-0000-00005CCC0000}"/>
    <cellStyle name="Normal 14 2 3 2" xfId="14545" xr:uid="{00000000-0005-0000-0000-00005DCC0000}"/>
    <cellStyle name="Normal 14 2 3 2 2" xfId="30860" xr:uid="{00000000-0005-0000-0000-00005ECC0000}"/>
    <cellStyle name="Normal 14 2 3 2 3" xfId="45824" xr:uid="{00000000-0005-0000-0000-00005FCC0000}"/>
    <cellStyle name="Normal 14 2 3 3" xfId="23838" xr:uid="{00000000-0005-0000-0000-000060CC0000}"/>
    <cellStyle name="Normal 14 2 3 4" xfId="38825" xr:uid="{00000000-0005-0000-0000-000061CC0000}"/>
    <cellStyle name="Normal 14 2 4" xfId="13210" xr:uid="{00000000-0005-0000-0000-000062CC0000}"/>
    <cellStyle name="Normal 14 2 4 2" xfId="29530" xr:uid="{00000000-0005-0000-0000-000063CC0000}"/>
    <cellStyle name="Normal 14 2 4 3" xfId="44495" xr:uid="{00000000-0005-0000-0000-000064CC0000}"/>
    <cellStyle name="Normal 14 2 5" xfId="22508" xr:uid="{00000000-0005-0000-0000-000065CC0000}"/>
    <cellStyle name="Normal 14 2 6" xfId="37496" xr:uid="{00000000-0005-0000-0000-000066CC0000}"/>
    <cellStyle name="Normal 14 2 7" xfId="53439" xr:uid="{00000000-0005-0000-0000-000067CC0000}"/>
    <cellStyle name="Normal 14 3" xfId="5102" xr:uid="{00000000-0005-0000-0000-000068CC0000}"/>
    <cellStyle name="Normal 14 3 2" xfId="7416" xr:uid="{00000000-0005-0000-0000-000069CC0000}"/>
    <cellStyle name="Normal 14 3 2 2" xfId="15327" xr:uid="{00000000-0005-0000-0000-00006ACC0000}"/>
    <cellStyle name="Normal 14 3 2 2 2" xfId="31642" xr:uid="{00000000-0005-0000-0000-00006BCC0000}"/>
    <cellStyle name="Normal 14 3 2 2 3" xfId="46606" xr:uid="{00000000-0005-0000-0000-00006CCC0000}"/>
    <cellStyle name="Normal 14 3 2 3" xfId="24620" xr:uid="{00000000-0005-0000-0000-00006DCC0000}"/>
    <cellStyle name="Normal 14 3 2 4" xfId="39607" xr:uid="{00000000-0005-0000-0000-00006ECC0000}"/>
    <cellStyle name="Normal 14 3 3" xfId="13212" xr:uid="{00000000-0005-0000-0000-00006FCC0000}"/>
    <cellStyle name="Normal 14 3 3 2" xfId="29532" xr:uid="{00000000-0005-0000-0000-000070CC0000}"/>
    <cellStyle name="Normal 14 3 3 3" xfId="44497" xr:uid="{00000000-0005-0000-0000-000071CC0000}"/>
    <cellStyle name="Normal 14 3 4" xfId="22510" xr:uid="{00000000-0005-0000-0000-000072CC0000}"/>
    <cellStyle name="Normal 14 3 5" xfId="37498" xr:uid="{00000000-0005-0000-0000-000073CC0000}"/>
    <cellStyle name="Normal 14 3 6" xfId="56373" xr:uid="{00000000-0005-0000-0000-000074CC0000}"/>
    <cellStyle name="Normal 14 4" xfId="53099" xr:uid="{00000000-0005-0000-0000-000075CC0000}"/>
    <cellStyle name="Normal 15" xfId="5103" xr:uid="{00000000-0005-0000-0000-000076CC0000}"/>
    <cellStyle name="Normal 15 2" xfId="5104" xr:uid="{00000000-0005-0000-0000-000077CC0000}"/>
    <cellStyle name="Normal 15 2 2" xfId="5105" xr:uid="{00000000-0005-0000-0000-000078CC0000}"/>
    <cellStyle name="Normal 15 2 2 2" xfId="8140" xr:uid="{00000000-0005-0000-0000-000079CC0000}"/>
    <cellStyle name="Normal 15 2 2 2 2" xfId="54071" xr:uid="{00000000-0005-0000-0000-00007ACC0000}"/>
    <cellStyle name="Normal 15 2 2 2 2 2" xfId="57238" xr:uid="{00000000-0005-0000-0000-00007BCC0000}"/>
    <cellStyle name="Normal 15 2 2 2 3" xfId="56614" xr:uid="{00000000-0005-0000-0000-00007CCC0000}"/>
    <cellStyle name="Normal 15 2 2 2 4" xfId="53442" xr:uid="{00000000-0005-0000-0000-00007DCC0000}"/>
    <cellStyle name="Normal 15 2 2 3" xfId="53443" xr:uid="{00000000-0005-0000-0000-00007ECC0000}"/>
    <cellStyle name="Normal 15 2 2 3 2" xfId="54072" xr:uid="{00000000-0005-0000-0000-00007FCC0000}"/>
    <cellStyle name="Normal 15 2 2 3 2 2" xfId="57239" xr:uid="{00000000-0005-0000-0000-000080CC0000}"/>
    <cellStyle name="Normal 15 2 2 3 3" xfId="56615" xr:uid="{00000000-0005-0000-0000-000081CC0000}"/>
    <cellStyle name="Normal 15 2 2 4" xfId="53444" xr:uid="{00000000-0005-0000-0000-000082CC0000}"/>
    <cellStyle name="Normal 15 2 2 4 2" xfId="54073" xr:uid="{00000000-0005-0000-0000-000083CC0000}"/>
    <cellStyle name="Normal 15 2 2 4 2 2" xfId="57240" xr:uid="{00000000-0005-0000-0000-000084CC0000}"/>
    <cellStyle name="Normal 15 2 2 4 3" xfId="56616" xr:uid="{00000000-0005-0000-0000-000085CC0000}"/>
    <cellStyle name="Normal 15 2 2 5" xfId="54070" xr:uid="{00000000-0005-0000-0000-000086CC0000}"/>
    <cellStyle name="Normal 15 2 2 5 2" xfId="57237" xr:uid="{00000000-0005-0000-0000-000087CC0000}"/>
    <cellStyle name="Normal 15 2 2 6" xfId="56613" xr:uid="{00000000-0005-0000-0000-000088CC0000}"/>
    <cellStyle name="Normal 15 2 2 7" xfId="53441" xr:uid="{00000000-0005-0000-0000-000089CC0000}"/>
    <cellStyle name="Normal 15 2 3" xfId="8805" xr:uid="{00000000-0005-0000-0000-00008ACC0000}"/>
    <cellStyle name="Normal 15 2 3 2" xfId="53446" xr:uid="{00000000-0005-0000-0000-00008BCC0000}"/>
    <cellStyle name="Normal 15 2 3 2 2" xfId="54075" xr:uid="{00000000-0005-0000-0000-00008CCC0000}"/>
    <cellStyle name="Normal 15 2 3 2 2 2" xfId="57242" xr:uid="{00000000-0005-0000-0000-00008DCC0000}"/>
    <cellStyle name="Normal 15 2 3 2 3" xfId="56618" xr:uid="{00000000-0005-0000-0000-00008ECC0000}"/>
    <cellStyle name="Normal 15 2 3 3" xfId="53447" xr:uid="{00000000-0005-0000-0000-00008FCC0000}"/>
    <cellStyle name="Normal 15 2 3 3 2" xfId="54076" xr:uid="{00000000-0005-0000-0000-000090CC0000}"/>
    <cellStyle name="Normal 15 2 3 3 2 2" xfId="57243" xr:uid="{00000000-0005-0000-0000-000091CC0000}"/>
    <cellStyle name="Normal 15 2 3 3 3" xfId="56619" xr:uid="{00000000-0005-0000-0000-000092CC0000}"/>
    <cellStyle name="Normal 15 2 3 4" xfId="53448" xr:uid="{00000000-0005-0000-0000-000093CC0000}"/>
    <cellStyle name="Normal 15 2 3 4 2" xfId="54077" xr:uid="{00000000-0005-0000-0000-000094CC0000}"/>
    <cellStyle name="Normal 15 2 3 4 2 2" xfId="57244" xr:uid="{00000000-0005-0000-0000-000095CC0000}"/>
    <cellStyle name="Normal 15 2 3 4 3" xfId="56620" xr:uid="{00000000-0005-0000-0000-000096CC0000}"/>
    <cellStyle name="Normal 15 2 3 5" xfId="54074" xr:uid="{00000000-0005-0000-0000-000097CC0000}"/>
    <cellStyle name="Normal 15 2 3 5 2" xfId="57241" xr:uid="{00000000-0005-0000-0000-000098CC0000}"/>
    <cellStyle name="Normal 15 2 3 6" xfId="56617" xr:uid="{00000000-0005-0000-0000-000099CC0000}"/>
    <cellStyle name="Normal 15 2 3 7" xfId="53445" xr:uid="{00000000-0005-0000-0000-00009ACC0000}"/>
    <cellStyle name="Normal 15 3" xfId="5106" xr:uid="{00000000-0005-0000-0000-00009BCC0000}"/>
    <cellStyle name="Normal 15 3 2" xfId="5107" xr:uid="{00000000-0005-0000-0000-00009CCC0000}"/>
    <cellStyle name="Normal 15 3 3" xfId="7417" xr:uid="{00000000-0005-0000-0000-00009DCC0000}"/>
    <cellStyle name="Normal 15 3 4" xfId="53449" xr:uid="{00000000-0005-0000-0000-00009ECC0000}"/>
    <cellStyle name="Normal 15 4" xfId="8804" xr:uid="{00000000-0005-0000-0000-00009FCC0000}"/>
    <cellStyle name="Normal 15 4 2" xfId="54078" xr:uid="{00000000-0005-0000-0000-0000A0CC0000}"/>
    <cellStyle name="Normal 15 4 2 2" xfId="57245" xr:uid="{00000000-0005-0000-0000-0000A1CC0000}"/>
    <cellStyle name="Normal 15 4 3" xfId="56621" xr:uid="{00000000-0005-0000-0000-0000A2CC0000}"/>
    <cellStyle name="Normal 15 4 4" xfId="53450" xr:uid="{00000000-0005-0000-0000-0000A3CC0000}"/>
    <cellStyle name="Normal 15 5" xfId="53451" xr:uid="{00000000-0005-0000-0000-0000A4CC0000}"/>
    <cellStyle name="Normal 15 5 2" xfId="54079" xr:uid="{00000000-0005-0000-0000-0000A5CC0000}"/>
    <cellStyle name="Normal 15 5 2 2" xfId="57246" xr:uid="{00000000-0005-0000-0000-0000A6CC0000}"/>
    <cellStyle name="Normal 15 5 3" xfId="56622" xr:uid="{00000000-0005-0000-0000-0000A7CC0000}"/>
    <cellStyle name="Normal 15 6" xfId="54069" xr:uid="{00000000-0005-0000-0000-0000A8CC0000}"/>
    <cellStyle name="Normal 15 6 2" xfId="57236" xr:uid="{00000000-0005-0000-0000-0000A9CC0000}"/>
    <cellStyle name="Normal 15 7" xfId="56612" xr:uid="{00000000-0005-0000-0000-0000AACC0000}"/>
    <cellStyle name="Normal 15 8" xfId="53440" xr:uid="{00000000-0005-0000-0000-0000ABCC0000}"/>
    <cellStyle name="Normal 15_Trends fuels" xfId="53452" xr:uid="{00000000-0005-0000-0000-0000ACCC0000}"/>
    <cellStyle name="Normal 16" xfId="5108" xr:uid="{00000000-0005-0000-0000-0000ADCC0000}"/>
    <cellStyle name="Normal 16 2" xfId="5109" xr:uid="{00000000-0005-0000-0000-0000AECC0000}"/>
    <cellStyle name="Normal 16 2 2" xfId="54081" xr:uid="{00000000-0005-0000-0000-0000AFCC0000}"/>
    <cellStyle name="Normal 16 2 2 2" xfId="57248" xr:uid="{00000000-0005-0000-0000-0000B0CC0000}"/>
    <cellStyle name="Normal 16 2 3" xfId="56624" xr:uid="{00000000-0005-0000-0000-0000B1CC0000}"/>
    <cellStyle name="Normal 16 2 4" xfId="53454" xr:uid="{00000000-0005-0000-0000-0000B2CC0000}"/>
    <cellStyle name="Normal 16 3" xfId="8806" xr:uid="{00000000-0005-0000-0000-0000B3CC0000}"/>
    <cellStyle name="Normal 16 3 2" xfId="54082" xr:uid="{00000000-0005-0000-0000-0000B4CC0000}"/>
    <cellStyle name="Normal 16 3 2 2" xfId="57249" xr:uid="{00000000-0005-0000-0000-0000B5CC0000}"/>
    <cellStyle name="Normal 16 3 3" xfId="56625" xr:uid="{00000000-0005-0000-0000-0000B6CC0000}"/>
    <cellStyle name="Normal 16 3 4" xfId="53455" xr:uid="{00000000-0005-0000-0000-0000B7CC0000}"/>
    <cellStyle name="Normal 16 4" xfId="53456" xr:uid="{00000000-0005-0000-0000-0000B8CC0000}"/>
    <cellStyle name="Normal 16 4 2" xfId="54083" xr:uid="{00000000-0005-0000-0000-0000B9CC0000}"/>
    <cellStyle name="Normal 16 4 2 2" xfId="57250" xr:uid="{00000000-0005-0000-0000-0000BACC0000}"/>
    <cellStyle name="Normal 16 4 3" xfId="56626" xr:uid="{00000000-0005-0000-0000-0000BBCC0000}"/>
    <cellStyle name="Normal 16 5" xfId="54080" xr:uid="{00000000-0005-0000-0000-0000BCCC0000}"/>
    <cellStyle name="Normal 16 5 2" xfId="57247" xr:uid="{00000000-0005-0000-0000-0000BDCC0000}"/>
    <cellStyle name="Normal 16 6" xfId="56623" xr:uid="{00000000-0005-0000-0000-0000BECC0000}"/>
    <cellStyle name="Normal 16 7" xfId="53453" xr:uid="{00000000-0005-0000-0000-0000BFCC0000}"/>
    <cellStyle name="Normal 17" xfId="5110" xr:uid="{00000000-0005-0000-0000-0000C0CC0000}"/>
    <cellStyle name="Normal 17 2" xfId="5111" xr:uid="{00000000-0005-0000-0000-0000C1CC0000}"/>
    <cellStyle name="Normal 17 2 2" xfId="7426" xr:uid="{00000000-0005-0000-0000-0000C2CC0000}"/>
    <cellStyle name="Normal 17 2 2 2" xfId="15328" xr:uid="{00000000-0005-0000-0000-0000C3CC0000}"/>
    <cellStyle name="Normal 17 2 2 2 2" xfId="31643" xr:uid="{00000000-0005-0000-0000-0000C4CC0000}"/>
    <cellStyle name="Normal 17 2 2 2 3" xfId="46607" xr:uid="{00000000-0005-0000-0000-0000C5CC0000}"/>
    <cellStyle name="Normal 17 2 2 2 4" xfId="57252" xr:uid="{00000000-0005-0000-0000-0000C6CC0000}"/>
    <cellStyle name="Normal 17 2 2 3" xfId="24621" xr:uid="{00000000-0005-0000-0000-0000C7CC0000}"/>
    <cellStyle name="Normal 17 2 2 4" xfId="39608" xr:uid="{00000000-0005-0000-0000-0000C8CC0000}"/>
    <cellStyle name="Normal 17 2 2 5" xfId="54085" xr:uid="{00000000-0005-0000-0000-0000C9CC0000}"/>
    <cellStyle name="Normal 17 2 3" xfId="13213" xr:uid="{00000000-0005-0000-0000-0000CACC0000}"/>
    <cellStyle name="Normal 17 2 3 2" xfId="29533" xr:uid="{00000000-0005-0000-0000-0000CBCC0000}"/>
    <cellStyle name="Normal 17 2 3 3" xfId="44498" xr:uid="{00000000-0005-0000-0000-0000CCCC0000}"/>
    <cellStyle name="Normal 17 2 3 4" xfId="56628" xr:uid="{00000000-0005-0000-0000-0000CDCC0000}"/>
    <cellStyle name="Normal 17 2 4" xfId="22511" xr:uid="{00000000-0005-0000-0000-0000CECC0000}"/>
    <cellStyle name="Normal 17 2 5" xfId="37499" xr:uid="{00000000-0005-0000-0000-0000CFCC0000}"/>
    <cellStyle name="Normal 17 2 6" xfId="53458" xr:uid="{00000000-0005-0000-0000-0000D0CC0000}"/>
    <cellStyle name="Normal 17 3" xfId="8807" xr:uid="{00000000-0005-0000-0000-0000D1CC0000}"/>
    <cellStyle name="Normal 17 3 2" xfId="54086" xr:uid="{00000000-0005-0000-0000-0000D2CC0000}"/>
    <cellStyle name="Normal 17 3 2 2" xfId="57253" xr:uid="{00000000-0005-0000-0000-0000D3CC0000}"/>
    <cellStyle name="Normal 17 3 3" xfId="56629" xr:uid="{00000000-0005-0000-0000-0000D4CC0000}"/>
    <cellStyle name="Normal 17 3 4" xfId="53459" xr:uid="{00000000-0005-0000-0000-0000D5CC0000}"/>
    <cellStyle name="Normal 17 4" xfId="53460" xr:uid="{00000000-0005-0000-0000-0000D6CC0000}"/>
    <cellStyle name="Normal 17 4 2" xfId="54087" xr:uid="{00000000-0005-0000-0000-0000D7CC0000}"/>
    <cellStyle name="Normal 17 4 2 2" xfId="57254" xr:uid="{00000000-0005-0000-0000-0000D8CC0000}"/>
    <cellStyle name="Normal 17 4 3" xfId="56630" xr:uid="{00000000-0005-0000-0000-0000D9CC0000}"/>
    <cellStyle name="Normal 17 5" xfId="54084" xr:uid="{00000000-0005-0000-0000-0000DACC0000}"/>
    <cellStyle name="Normal 17 5 2" xfId="57251" xr:uid="{00000000-0005-0000-0000-0000DBCC0000}"/>
    <cellStyle name="Normal 17 6" xfId="56627" xr:uid="{00000000-0005-0000-0000-0000DCCC0000}"/>
    <cellStyle name="Normal 17 7" xfId="53457" xr:uid="{00000000-0005-0000-0000-0000DDCC0000}"/>
    <cellStyle name="Normal 18" xfId="5112" xr:uid="{00000000-0005-0000-0000-0000DECC0000}"/>
    <cellStyle name="Normal 18 2" xfId="8808" xr:uid="{00000000-0005-0000-0000-0000DFCC0000}"/>
    <cellStyle name="Normal 18 2 2" xfId="54089" xr:uid="{00000000-0005-0000-0000-0000E0CC0000}"/>
    <cellStyle name="Normal 18 2 2 2" xfId="57256" xr:uid="{00000000-0005-0000-0000-0000E1CC0000}"/>
    <cellStyle name="Normal 18 2 3" xfId="56632" xr:uid="{00000000-0005-0000-0000-0000E2CC0000}"/>
    <cellStyle name="Normal 18 2 4" xfId="53462" xr:uid="{00000000-0005-0000-0000-0000E3CC0000}"/>
    <cellStyle name="Normal 18 3" xfId="53463" xr:uid="{00000000-0005-0000-0000-0000E4CC0000}"/>
    <cellStyle name="Normal 18 3 2" xfId="54090" xr:uid="{00000000-0005-0000-0000-0000E5CC0000}"/>
    <cellStyle name="Normal 18 3 2 2" xfId="57257" xr:uid="{00000000-0005-0000-0000-0000E6CC0000}"/>
    <cellStyle name="Normal 18 3 3" xfId="56633" xr:uid="{00000000-0005-0000-0000-0000E7CC0000}"/>
    <cellStyle name="Normal 18 4" xfId="53464" xr:uid="{00000000-0005-0000-0000-0000E8CC0000}"/>
    <cellStyle name="Normal 18 4 2" xfId="54091" xr:uid="{00000000-0005-0000-0000-0000E9CC0000}"/>
    <cellStyle name="Normal 18 4 2 2" xfId="57258" xr:uid="{00000000-0005-0000-0000-0000EACC0000}"/>
    <cellStyle name="Normal 18 4 3" xfId="56634" xr:uid="{00000000-0005-0000-0000-0000EBCC0000}"/>
    <cellStyle name="Normal 18 5" xfId="54088" xr:uid="{00000000-0005-0000-0000-0000ECCC0000}"/>
    <cellStyle name="Normal 18 5 2" xfId="57255" xr:uid="{00000000-0005-0000-0000-0000EDCC0000}"/>
    <cellStyle name="Normal 18 6" xfId="56631" xr:uid="{00000000-0005-0000-0000-0000EECC0000}"/>
    <cellStyle name="Normal 18 7" xfId="53461" xr:uid="{00000000-0005-0000-0000-0000EFCC0000}"/>
    <cellStyle name="Normal 19" xfId="5113" xr:uid="{00000000-0005-0000-0000-0000F0CC0000}"/>
    <cellStyle name="Normal 19 2" xfId="5114" xr:uid="{00000000-0005-0000-0000-0000F1CC0000}"/>
    <cellStyle name="Normal 19 2 2" xfId="54092" xr:uid="{00000000-0005-0000-0000-0000F2CC0000}"/>
    <cellStyle name="Normal 19 2 2 2" xfId="57259" xr:uid="{00000000-0005-0000-0000-0000F3CC0000}"/>
    <cellStyle name="Normal 19 2 3" xfId="56635" xr:uid="{00000000-0005-0000-0000-0000F4CC0000}"/>
    <cellStyle name="Normal 19 2 4" xfId="53466" xr:uid="{00000000-0005-0000-0000-0000F5CC0000}"/>
    <cellStyle name="Normal 19 3" xfId="6631" xr:uid="{00000000-0005-0000-0000-0000F6CC0000}"/>
    <cellStyle name="Normal 19 4" xfId="53465" xr:uid="{00000000-0005-0000-0000-0000F7CC0000}"/>
    <cellStyle name="Normal 2" xfId="531" xr:uid="{00000000-0005-0000-0000-0000F8CC0000}"/>
    <cellStyle name="Normal 2 10" xfId="53467" xr:uid="{00000000-0005-0000-0000-0000F9CC0000}"/>
    <cellStyle name="Normal 2 11" xfId="53468" xr:uid="{00000000-0005-0000-0000-0000FACC0000}"/>
    <cellStyle name="Normal 2 11 2" xfId="53469" xr:uid="{00000000-0005-0000-0000-0000FBCC0000}"/>
    <cellStyle name="Normal 2 11 2 2" xfId="54094" xr:uid="{00000000-0005-0000-0000-0000FCCC0000}"/>
    <cellStyle name="Normal 2 11 2 2 2" xfId="57261" xr:uid="{00000000-0005-0000-0000-0000FDCC0000}"/>
    <cellStyle name="Normal 2 11 2 3" xfId="56637" xr:uid="{00000000-0005-0000-0000-0000FECC0000}"/>
    <cellStyle name="Normal 2 11 3" xfId="54093" xr:uid="{00000000-0005-0000-0000-0000FFCC0000}"/>
    <cellStyle name="Normal 2 11 3 2" xfId="57260" xr:uid="{00000000-0005-0000-0000-000000CD0000}"/>
    <cellStyle name="Normal 2 11 4" xfId="56636" xr:uid="{00000000-0005-0000-0000-000001CD0000}"/>
    <cellStyle name="Normal 2 12" xfId="53470" xr:uid="{00000000-0005-0000-0000-000002CD0000}"/>
    <cellStyle name="Normal 2 12 2" xfId="54095" xr:uid="{00000000-0005-0000-0000-000003CD0000}"/>
    <cellStyle name="Normal 2 12 2 2" xfId="57262" xr:uid="{00000000-0005-0000-0000-000004CD0000}"/>
    <cellStyle name="Normal 2 12 3" xfId="56638" xr:uid="{00000000-0005-0000-0000-000005CD0000}"/>
    <cellStyle name="Normal 2 13" xfId="53471" xr:uid="{00000000-0005-0000-0000-000006CD0000}"/>
    <cellStyle name="Normal 2 13 2" xfId="54096" xr:uid="{00000000-0005-0000-0000-000007CD0000}"/>
    <cellStyle name="Normal 2 13 2 2" xfId="57263" xr:uid="{00000000-0005-0000-0000-000008CD0000}"/>
    <cellStyle name="Normal 2 13 3" xfId="56639" xr:uid="{00000000-0005-0000-0000-000009CD0000}"/>
    <cellStyle name="Normal 2 14" xfId="53245" xr:uid="{00000000-0005-0000-0000-00000ACD0000}"/>
    <cellStyle name="Normal 2 14 2" xfId="53881" xr:uid="{00000000-0005-0000-0000-00000BCD0000}"/>
    <cellStyle name="Normal 2 14 2 2" xfId="57048" xr:uid="{00000000-0005-0000-0000-00000CCD0000}"/>
    <cellStyle name="Normal 2 14 3" xfId="56437" xr:uid="{00000000-0005-0000-0000-00000DCD0000}"/>
    <cellStyle name="Normal 2 15" xfId="53108" xr:uid="{00000000-0005-0000-0000-00000ECD0000}"/>
    <cellStyle name="Normal 2 2" xfId="532" xr:uid="{00000000-0005-0000-0000-00000FCD0000}"/>
    <cellStyle name="Normal 2 2 2" xfId="5117" xr:uid="{00000000-0005-0000-0000-000010CD0000}"/>
    <cellStyle name="Normal 2 2 2 2" xfId="5118" xr:uid="{00000000-0005-0000-0000-000011CD0000}"/>
    <cellStyle name="Normal 2 2 2 2 2" xfId="8811" xr:uid="{00000000-0005-0000-0000-000012CD0000}"/>
    <cellStyle name="Normal 2 2 2 2 2 2" xfId="54097" xr:uid="{00000000-0005-0000-0000-000013CD0000}"/>
    <cellStyle name="Normal 2 2 2 2 2 2 2" xfId="57264" xr:uid="{00000000-0005-0000-0000-000014CD0000}"/>
    <cellStyle name="Normal 2 2 2 2 2 3" xfId="56640" xr:uid="{00000000-0005-0000-0000-000015CD0000}"/>
    <cellStyle name="Normal 2 2 2 2 2 4" xfId="53472" xr:uid="{00000000-0005-0000-0000-000016CD0000}"/>
    <cellStyle name="Normal 2 2 2 2 3" xfId="17428" xr:uid="{00000000-0005-0000-0000-000017CD0000}"/>
    <cellStyle name="Normal 2 2 2 2 3 2" xfId="57027" xr:uid="{00000000-0005-0000-0000-000018CD0000}"/>
    <cellStyle name="Normal 2 2 2 2 3 3" xfId="53860" xr:uid="{00000000-0005-0000-0000-000019CD0000}"/>
    <cellStyle name="Normal 2 2 2 2 4" xfId="53214" xr:uid="{00000000-0005-0000-0000-00001ACD0000}"/>
    <cellStyle name="Normal 2 2 2 2 4 2" xfId="56416" xr:uid="{00000000-0005-0000-0000-00001BCD0000}"/>
    <cellStyle name="Normal 2 2 2 3" xfId="5119" xr:uid="{00000000-0005-0000-0000-00001CCD0000}"/>
    <cellStyle name="Normal 2 2 2 3 2" xfId="5120" xr:uid="{00000000-0005-0000-0000-00001DCD0000}"/>
    <cellStyle name="Normal 2 2 2 3 2 2" xfId="8813" xr:uid="{00000000-0005-0000-0000-00001ECD0000}"/>
    <cellStyle name="Normal 2 2 2 3 2 2 2" xfId="57265" xr:uid="{00000000-0005-0000-0000-00001FCD0000}"/>
    <cellStyle name="Normal 2 2 2 3 2 2 3" xfId="54098" xr:uid="{00000000-0005-0000-0000-000020CD0000}"/>
    <cellStyle name="Normal 2 2 2 3 2 3" xfId="56641" xr:uid="{00000000-0005-0000-0000-000021CD0000}"/>
    <cellStyle name="Normal 2 2 2 3 2 4" xfId="53473" xr:uid="{00000000-0005-0000-0000-000022CD0000}"/>
    <cellStyle name="Normal 2 2 2 3 3" xfId="8812" xr:uid="{00000000-0005-0000-0000-000023CD0000}"/>
    <cellStyle name="Normal 2 2 2 3 3 2" xfId="57043" xr:uid="{00000000-0005-0000-0000-000024CD0000}"/>
    <cellStyle name="Normal 2 2 2 3 3 3" xfId="53876" xr:uid="{00000000-0005-0000-0000-000025CD0000}"/>
    <cellStyle name="Normal 2 2 2 3 4" xfId="53230" xr:uid="{00000000-0005-0000-0000-000026CD0000}"/>
    <cellStyle name="Normal 2 2 2 3 4 2" xfId="56432" xr:uid="{00000000-0005-0000-0000-000027CD0000}"/>
    <cellStyle name="Normal 2 2 2 4" xfId="8779" xr:uid="{00000000-0005-0000-0000-000028CD0000}"/>
    <cellStyle name="Normal 2 2 2 4 2" xfId="16629" xr:uid="{00000000-0005-0000-0000-000029CD0000}"/>
    <cellStyle name="Normal 2 2 2 4 2 2" xfId="32944" xr:uid="{00000000-0005-0000-0000-00002ACD0000}"/>
    <cellStyle name="Normal 2 2 2 4 2 2 2" xfId="57266" xr:uid="{00000000-0005-0000-0000-00002BCD0000}"/>
    <cellStyle name="Normal 2 2 2 4 2 3" xfId="47908" xr:uid="{00000000-0005-0000-0000-00002CCD0000}"/>
    <cellStyle name="Normal 2 2 2 4 2 4" xfId="54099" xr:uid="{00000000-0005-0000-0000-00002DCD0000}"/>
    <cellStyle name="Normal 2 2 2 4 3" xfId="18952" xr:uid="{00000000-0005-0000-0000-00002ECD0000}"/>
    <cellStyle name="Normal 2 2 2 4 3 2" xfId="33949" xr:uid="{00000000-0005-0000-0000-00002FCD0000}"/>
    <cellStyle name="Normal 2 2 2 4 3 2 2" xfId="56642" xr:uid="{00000000-0005-0000-0000-000030CD0000}"/>
    <cellStyle name="Normal 2 2 2 4 3 3" xfId="48910" xr:uid="{00000000-0005-0000-0000-000031CD0000}"/>
    <cellStyle name="Normal 2 2 2 4 3 4" xfId="53474" xr:uid="{00000000-0005-0000-0000-000032CD0000}"/>
    <cellStyle name="Normal 2 2 2 4 4" xfId="25922" xr:uid="{00000000-0005-0000-0000-000033CD0000}"/>
    <cellStyle name="Normal 2 2 2 4 4 2" xfId="56357" xr:uid="{00000000-0005-0000-0000-000034CD0000}"/>
    <cellStyle name="Normal 2 2 2 4 5" xfId="40909" xr:uid="{00000000-0005-0000-0000-000035CD0000}"/>
    <cellStyle name="Normal 2 2 2 4 6" xfId="53083" xr:uid="{00000000-0005-0000-0000-000036CD0000}"/>
    <cellStyle name="Normal 2 2 2 5" xfId="8810" xr:uid="{00000000-0005-0000-0000-000037CD0000}"/>
    <cellStyle name="Normal 2 2 2 5 2" xfId="53886" xr:uid="{00000000-0005-0000-0000-000038CD0000}"/>
    <cellStyle name="Normal 2 2 2 5 2 2" xfId="57053" xr:uid="{00000000-0005-0000-0000-000039CD0000}"/>
    <cellStyle name="Normal 2 2 2 5 3" xfId="56442" xr:uid="{00000000-0005-0000-0000-00003ACD0000}"/>
    <cellStyle name="Normal 2 2 2 5 4" xfId="53250" xr:uid="{00000000-0005-0000-0000-00003BCD0000}"/>
    <cellStyle name="Normal 2 2 2 6" xfId="53844" xr:uid="{00000000-0005-0000-0000-00003CCD0000}"/>
    <cellStyle name="Normal 2 2 2 6 2" xfId="57011" xr:uid="{00000000-0005-0000-0000-00003DCD0000}"/>
    <cellStyle name="Normal 2 2 2 7" xfId="53198" xr:uid="{00000000-0005-0000-0000-00003ECD0000}"/>
    <cellStyle name="Normal 2 2 2 7 2" xfId="56400" xr:uid="{00000000-0005-0000-0000-00003FCD0000}"/>
    <cellStyle name="Normal 2 2 3" xfId="5121" xr:uid="{00000000-0005-0000-0000-000040CD0000}"/>
    <cellStyle name="Normal 2 2 3 2" xfId="5122" xr:uid="{00000000-0005-0000-0000-000041CD0000}"/>
    <cellStyle name="Normal 2 2 3 2 2" xfId="8180" xr:uid="{00000000-0005-0000-0000-000042CD0000}"/>
    <cellStyle name="Normal 2 2 3 2 2 2" xfId="16078" xr:uid="{00000000-0005-0000-0000-000043CD0000}"/>
    <cellStyle name="Normal 2 2 3 2 2 2 2" xfId="32393" xr:uid="{00000000-0005-0000-0000-000044CD0000}"/>
    <cellStyle name="Normal 2 2 3 2 2 2 3" xfId="47357" xr:uid="{00000000-0005-0000-0000-000045CD0000}"/>
    <cellStyle name="Normal 2 2 3 2 2 2 4" xfId="57267" xr:uid="{00000000-0005-0000-0000-000046CD0000}"/>
    <cellStyle name="Normal 2 2 3 2 2 3" xfId="25371" xr:uid="{00000000-0005-0000-0000-000047CD0000}"/>
    <cellStyle name="Normal 2 2 3 2 2 4" xfId="40358" xr:uid="{00000000-0005-0000-0000-000048CD0000}"/>
    <cellStyle name="Normal 2 2 3 2 2 5" xfId="54100" xr:uid="{00000000-0005-0000-0000-000049CD0000}"/>
    <cellStyle name="Normal 2 2 3 2 3" xfId="13216" xr:uid="{00000000-0005-0000-0000-00004ACD0000}"/>
    <cellStyle name="Normal 2 2 3 2 3 2" xfId="29536" xr:uid="{00000000-0005-0000-0000-00004BCD0000}"/>
    <cellStyle name="Normal 2 2 3 2 3 3" xfId="44501" xr:uid="{00000000-0005-0000-0000-00004CCD0000}"/>
    <cellStyle name="Normal 2 2 3 2 3 4" xfId="56643" xr:uid="{00000000-0005-0000-0000-00004DCD0000}"/>
    <cellStyle name="Normal 2 2 3 2 4" xfId="22514" xr:uid="{00000000-0005-0000-0000-00004ECD0000}"/>
    <cellStyle name="Normal 2 2 3 2 5" xfId="37502" xr:uid="{00000000-0005-0000-0000-00004FCD0000}"/>
    <cellStyle name="Normal 2 2 3 2 6" xfId="53475" xr:uid="{00000000-0005-0000-0000-000050CD0000}"/>
    <cellStyle name="Normal 2 2 3 3" xfId="6029" xr:uid="{00000000-0005-0000-0000-000051CD0000}"/>
    <cellStyle name="Normal 2 2 3 3 2" xfId="13947" xr:uid="{00000000-0005-0000-0000-000052CD0000}"/>
    <cellStyle name="Normal 2 2 3 3 2 2" xfId="30262" xr:uid="{00000000-0005-0000-0000-000053CD0000}"/>
    <cellStyle name="Normal 2 2 3 3 2 3" xfId="45226" xr:uid="{00000000-0005-0000-0000-000054CD0000}"/>
    <cellStyle name="Normal 2 2 3 3 2 4" xfId="57019" xr:uid="{00000000-0005-0000-0000-000055CD0000}"/>
    <cellStyle name="Normal 2 2 3 3 3" xfId="23240" xr:uid="{00000000-0005-0000-0000-000056CD0000}"/>
    <cellStyle name="Normal 2 2 3 3 4" xfId="38227" xr:uid="{00000000-0005-0000-0000-000057CD0000}"/>
    <cellStyle name="Normal 2 2 3 3 5" xfId="53852" xr:uid="{00000000-0005-0000-0000-000058CD0000}"/>
    <cellStyle name="Normal 2 2 3 4" xfId="13215" xr:uid="{00000000-0005-0000-0000-000059CD0000}"/>
    <cellStyle name="Normal 2 2 3 4 2" xfId="29535" xr:uid="{00000000-0005-0000-0000-00005ACD0000}"/>
    <cellStyle name="Normal 2 2 3 4 2 2" xfId="56408" xr:uid="{00000000-0005-0000-0000-00005BCD0000}"/>
    <cellStyle name="Normal 2 2 3 4 3" xfId="44500" xr:uid="{00000000-0005-0000-0000-00005CCD0000}"/>
    <cellStyle name="Normal 2 2 3 4 4" xfId="53206" xr:uid="{00000000-0005-0000-0000-00005DCD0000}"/>
    <cellStyle name="Normal 2 2 3 5" xfId="18946" xr:uid="{00000000-0005-0000-0000-00005ECD0000}"/>
    <cellStyle name="Normal 2 2 3 5 2" xfId="33945" xr:uid="{00000000-0005-0000-0000-00005FCD0000}"/>
    <cellStyle name="Normal 2 2 3 5 3" xfId="48906" xr:uid="{00000000-0005-0000-0000-000060CD0000}"/>
    <cellStyle name="Normal 2 2 3 5 4" xfId="56353" xr:uid="{00000000-0005-0000-0000-000061CD0000}"/>
    <cellStyle name="Normal 2 2 3 6" xfId="22513" xr:uid="{00000000-0005-0000-0000-000062CD0000}"/>
    <cellStyle name="Normal 2 2 3 7" xfId="37501" xr:uid="{00000000-0005-0000-0000-000063CD0000}"/>
    <cellStyle name="Normal 2 2 3 8" xfId="53079" xr:uid="{00000000-0005-0000-0000-000064CD0000}"/>
    <cellStyle name="Normal 2 2 4" xfId="5116" xr:uid="{00000000-0005-0000-0000-000065CD0000}"/>
    <cellStyle name="Normal 2 2 4 2" xfId="8809" xr:uid="{00000000-0005-0000-0000-000066CD0000}"/>
    <cellStyle name="Normal 2 2 4 2 2" xfId="54101" xr:uid="{00000000-0005-0000-0000-000067CD0000}"/>
    <cellStyle name="Normal 2 2 4 2 2 2" xfId="57268" xr:uid="{00000000-0005-0000-0000-000068CD0000}"/>
    <cellStyle name="Normal 2 2 4 2 3" xfId="56644" xr:uid="{00000000-0005-0000-0000-000069CD0000}"/>
    <cellStyle name="Normal 2 2 4 2 4" xfId="53476" xr:uid="{00000000-0005-0000-0000-00006ACD0000}"/>
    <cellStyle name="Normal 2 2 4 3" xfId="53868" xr:uid="{00000000-0005-0000-0000-00006BCD0000}"/>
    <cellStyle name="Normal 2 2 4 3 2" xfId="57035" xr:uid="{00000000-0005-0000-0000-00006CCD0000}"/>
    <cellStyle name="Normal 2 2 4 4" xfId="56424" xr:uid="{00000000-0005-0000-0000-00006DCD0000}"/>
    <cellStyle name="Normal 2 2 4 5" xfId="53222" xr:uid="{00000000-0005-0000-0000-00006ECD0000}"/>
    <cellStyle name="Normal 2 2 5" xfId="1531" xr:uid="{00000000-0005-0000-0000-00006FCD0000}"/>
    <cellStyle name="Normal 2 2 5 2" xfId="10092" xr:uid="{00000000-0005-0000-0000-000070CD0000}"/>
    <cellStyle name="Normal 2 2 5 2 2" xfId="26412" xr:uid="{00000000-0005-0000-0000-000071CD0000}"/>
    <cellStyle name="Normal 2 2 5 2 2 2" xfId="57269" xr:uid="{00000000-0005-0000-0000-000072CD0000}"/>
    <cellStyle name="Normal 2 2 5 2 3" xfId="41378" xr:uid="{00000000-0005-0000-0000-000073CD0000}"/>
    <cellStyle name="Normal 2 2 5 2 4" xfId="54102" xr:uid="{00000000-0005-0000-0000-000074CD0000}"/>
    <cellStyle name="Normal 2 2 5 3" xfId="19390" xr:uid="{00000000-0005-0000-0000-000075CD0000}"/>
    <cellStyle name="Normal 2 2 5 3 2" xfId="56645" xr:uid="{00000000-0005-0000-0000-000076CD0000}"/>
    <cellStyle name="Normal 2 2 5 4" xfId="34379" xr:uid="{00000000-0005-0000-0000-000077CD0000}"/>
    <cellStyle name="Normal 2 2 5 5" xfId="53477" xr:uid="{00000000-0005-0000-0000-000078CD0000}"/>
    <cellStyle name="Normal 2 2 6" xfId="53478" xr:uid="{00000000-0005-0000-0000-000079CD0000}"/>
    <cellStyle name="Normal 2 2 6 2" xfId="54103" xr:uid="{00000000-0005-0000-0000-00007ACD0000}"/>
    <cellStyle name="Normal 2 2 6 2 2" xfId="57270" xr:uid="{00000000-0005-0000-0000-00007BCD0000}"/>
    <cellStyle name="Normal 2 2 6 3" xfId="56646" xr:uid="{00000000-0005-0000-0000-00007CCD0000}"/>
    <cellStyle name="Normal 2 2 7" xfId="53239" xr:uid="{00000000-0005-0000-0000-00007DCD0000}"/>
    <cellStyle name="Normal 2 2 8" xfId="53836" xr:uid="{00000000-0005-0000-0000-00007ECD0000}"/>
    <cellStyle name="Normal 2 2 8 2" xfId="57003" xr:uid="{00000000-0005-0000-0000-00007FCD0000}"/>
    <cellStyle name="Normal 2 2 9" xfId="53182" xr:uid="{00000000-0005-0000-0000-000080CD0000}"/>
    <cellStyle name="Normal 2 2 9 2" xfId="56391" xr:uid="{00000000-0005-0000-0000-000081CD0000}"/>
    <cellStyle name="Normal 2 3" xfId="1166" xr:uid="{00000000-0005-0000-0000-000082CD0000}"/>
    <cellStyle name="Normal 2 3 10" xfId="17429" xr:uid="{00000000-0005-0000-0000-000083CD0000}"/>
    <cellStyle name="Normal 2 3 11" xfId="19297" xr:uid="{00000000-0005-0000-0000-000084CD0000}"/>
    <cellStyle name="Normal 2 3 12" xfId="34287" xr:uid="{00000000-0005-0000-0000-000085CD0000}"/>
    <cellStyle name="Normal 2 3 13" xfId="49239" xr:uid="{00000000-0005-0000-0000-000086CD0000}"/>
    <cellStyle name="Normal 2 3 14" xfId="49644" xr:uid="{00000000-0005-0000-0000-000087CD0000}"/>
    <cellStyle name="Normal 2 3 15" xfId="50053" xr:uid="{00000000-0005-0000-0000-000088CD0000}"/>
    <cellStyle name="Normal 2 3 16" xfId="50458" xr:uid="{00000000-0005-0000-0000-000089CD0000}"/>
    <cellStyle name="Normal 2 3 17" xfId="51018" xr:uid="{00000000-0005-0000-0000-00008ACD0000}"/>
    <cellStyle name="Normal 2 3 18" xfId="51157" xr:uid="{00000000-0005-0000-0000-00008BCD0000}"/>
    <cellStyle name="Normal 2 3 19" xfId="51619" xr:uid="{00000000-0005-0000-0000-00008CCD0000}"/>
    <cellStyle name="Normal 2 3 2" xfId="5124" xr:uid="{00000000-0005-0000-0000-00008DCD0000}"/>
    <cellStyle name="Normal 2 3 2 2" xfId="5125" xr:uid="{00000000-0005-0000-0000-00008ECD0000}"/>
    <cellStyle name="Normal 2 3 2 2 2" xfId="7782" xr:uid="{00000000-0005-0000-0000-00008FCD0000}"/>
    <cellStyle name="Normal 2 3 2 2 2 2" xfId="15684" xr:uid="{00000000-0005-0000-0000-000090CD0000}"/>
    <cellStyle name="Normal 2 3 2 2 2 2 2" xfId="31999" xr:uid="{00000000-0005-0000-0000-000091CD0000}"/>
    <cellStyle name="Normal 2 3 2 2 2 2 3" xfId="46963" xr:uid="{00000000-0005-0000-0000-000092CD0000}"/>
    <cellStyle name="Normal 2 3 2 2 2 2 4" xfId="57273" xr:uid="{00000000-0005-0000-0000-000093CD0000}"/>
    <cellStyle name="Normal 2 3 2 2 2 3" xfId="24977" xr:uid="{00000000-0005-0000-0000-000094CD0000}"/>
    <cellStyle name="Normal 2 3 2 2 2 4" xfId="39964" xr:uid="{00000000-0005-0000-0000-000095CD0000}"/>
    <cellStyle name="Normal 2 3 2 2 2 5" xfId="54106" xr:uid="{00000000-0005-0000-0000-000096CD0000}"/>
    <cellStyle name="Normal 2 3 2 2 3" xfId="13219" xr:uid="{00000000-0005-0000-0000-000097CD0000}"/>
    <cellStyle name="Normal 2 3 2 2 3 2" xfId="29539" xr:uid="{00000000-0005-0000-0000-000098CD0000}"/>
    <cellStyle name="Normal 2 3 2 2 3 3" xfId="44504" xr:uid="{00000000-0005-0000-0000-000099CD0000}"/>
    <cellStyle name="Normal 2 3 2 2 3 4" xfId="56649" xr:uid="{00000000-0005-0000-0000-00009ACD0000}"/>
    <cellStyle name="Normal 2 3 2 2 4" xfId="22517" xr:uid="{00000000-0005-0000-0000-00009BCD0000}"/>
    <cellStyle name="Normal 2 3 2 2 5" xfId="37505" xr:uid="{00000000-0005-0000-0000-00009CCD0000}"/>
    <cellStyle name="Normal 2 3 2 2 6" xfId="53481" xr:uid="{00000000-0005-0000-0000-00009DCD0000}"/>
    <cellStyle name="Normal 2 3 2 3" xfId="5126" xr:uid="{00000000-0005-0000-0000-00009ECD0000}"/>
    <cellStyle name="Normal 2 3 2 3 2" xfId="7019" xr:uid="{00000000-0005-0000-0000-00009FCD0000}"/>
    <cellStyle name="Normal 2 3 2 3 2 2" xfId="14931" xr:uid="{00000000-0005-0000-0000-0000A0CD0000}"/>
    <cellStyle name="Normal 2 3 2 3 2 2 2" xfId="31246" xr:uid="{00000000-0005-0000-0000-0000A1CD0000}"/>
    <cellStyle name="Normal 2 3 2 3 2 2 3" xfId="46210" xr:uid="{00000000-0005-0000-0000-0000A2CD0000}"/>
    <cellStyle name="Normal 2 3 2 3 2 2 4" xfId="57274" xr:uid="{00000000-0005-0000-0000-0000A3CD0000}"/>
    <cellStyle name="Normal 2 3 2 3 2 3" xfId="24224" xr:uid="{00000000-0005-0000-0000-0000A4CD0000}"/>
    <cellStyle name="Normal 2 3 2 3 2 4" xfId="39211" xr:uid="{00000000-0005-0000-0000-0000A5CD0000}"/>
    <cellStyle name="Normal 2 3 2 3 2 5" xfId="54107" xr:uid="{00000000-0005-0000-0000-0000A6CD0000}"/>
    <cellStyle name="Normal 2 3 2 3 3" xfId="13220" xr:uid="{00000000-0005-0000-0000-0000A7CD0000}"/>
    <cellStyle name="Normal 2 3 2 3 3 2" xfId="29540" xr:uid="{00000000-0005-0000-0000-0000A8CD0000}"/>
    <cellStyle name="Normal 2 3 2 3 3 3" xfId="44505" xr:uid="{00000000-0005-0000-0000-0000A9CD0000}"/>
    <cellStyle name="Normal 2 3 2 3 3 4" xfId="56650" xr:uid="{00000000-0005-0000-0000-0000AACD0000}"/>
    <cellStyle name="Normal 2 3 2 3 4" xfId="22518" xr:uid="{00000000-0005-0000-0000-0000ABCD0000}"/>
    <cellStyle name="Normal 2 3 2 3 5" xfId="37506" xr:uid="{00000000-0005-0000-0000-0000ACCD0000}"/>
    <cellStyle name="Normal 2 3 2 3 6" xfId="53482" xr:uid="{00000000-0005-0000-0000-0000ADCD0000}"/>
    <cellStyle name="Normal 2 3 2 4" xfId="6031" xr:uid="{00000000-0005-0000-0000-0000AECD0000}"/>
    <cellStyle name="Normal 2 3 2 4 2" xfId="13949" xr:uid="{00000000-0005-0000-0000-0000AFCD0000}"/>
    <cellStyle name="Normal 2 3 2 4 2 2" xfId="30264" xr:uid="{00000000-0005-0000-0000-0000B0CD0000}"/>
    <cellStyle name="Normal 2 3 2 4 2 3" xfId="45228" xr:uid="{00000000-0005-0000-0000-0000B1CD0000}"/>
    <cellStyle name="Normal 2 3 2 4 2 4" xfId="57272" xr:uid="{00000000-0005-0000-0000-0000B2CD0000}"/>
    <cellStyle name="Normal 2 3 2 4 3" xfId="23242" xr:uid="{00000000-0005-0000-0000-0000B3CD0000}"/>
    <cellStyle name="Normal 2 3 2 4 4" xfId="38229" xr:uid="{00000000-0005-0000-0000-0000B4CD0000}"/>
    <cellStyle name="Normal 2 3 2 4 5" xfId="54105" xr:uid="{00000000-0005-0000-0000-0000B5CD0000}"/>
    <cellStyle name="Normal 2 3 2 5" xfId="13218" xr:uid="{00000000-0005-0000-0000-0000B6CD0000}"/>
    <cellStyle name="Normal 2 3 2 5 2" xfId="29538" xr:uid="{00000000-0005-0000-0000-0000B7CD0000}"/>
    <cellStyle name="Normal 2 3 2 5 3" xfId="44503" xr:uid="{00000000-0005-0000-0000-0000B8CD0000}"/>
    <cellStyle name="Normal 2 3 2 5 4" xfId="56648" xr:uid="{00000000-0005-0000-0000-0000B9CD0000}"/>
    <cellStyle name="Normal 2 3 2 6" xfId="22516" xr:uid="{00000000-0005-0000-0000-0000BACD0000}"/>
    <cellStyle name="Normal 2 3 2 7" xfId="37504" xr:uid="{00000000-0005-0000-0000-0000BBCD0000}"/>
    <cellStyle name="Normal 2 3 2 8" xfId="53480" xr:uid="{00000000-0005-0000-0000-0000BCCD0000}"/>
    <cellStyle name="Normal 2 3 20" xfId="52039" xr:uid="{00000000-0005-0000-0000-0000BDCD0000}"/>
    <cellStyle name="Normal 2 3 3" xfId="5127" xr:uid="{00000000-0005-0000-0000-0000BECD0000}"/>
    <cellStyle name="Normal 2 3 3 2" xfId="7546" xr:uid="{00000000-0005-0000-0000-0000BFCD0000}"/>
    <cellStyle name="Normal 2 3 3 2 2" xfId="15448" xr:uid="{00000000-0005-0000-0000-0000C0CD0000}"/>
    <cellStyle name="Normal 2 3 3 2 2 2" xfId="31763" xr:uid="{00000000-0005-0000-0000-0000C1CD0000}"/>
    <cellStyle name="Normal 2 3 3 2 2 3" xfId="46727" xr:uid="{00000000-0005-0000-0000-0000C2CD0000}"/>
    <cellStyle name="Normal 2 3 3 2 2 4" xfId="57275" xr:uid="{00000000-0005-0000-0000-0000C3CD0000}"/>
    <cellStyle name="Normal 2 3 3 2 3" xfId="24741" xr:uid="{00000000-0005-0000-0000-0000C4CD0000}"/>
    <cellStyle name="Normal 2 3 3 2 4" xfId="39728" xr:uid="{00000000-0005-0000-0000-0000C5CD0000}"/>
    <cellStyle name="Normal 2 3 3 2 5" xfId="54108" xr:uid="{00000000-0005-0000-0000-0000C6CD0000}"/>
    <cellStyle name="Normal 2 3 3 3" xfId="13221" xr:uid="{00000000-0005-0000-0000-0000C7CD0000}"/>
    <cellStyle name="Normal 2 3 3 3 2" xfId="29541" xr:uid="{00000000-0005-0000-0000-0000C8CD0000}"/>
    <cellStyle name="Normal 2 3 3 3 3" xfId="44506" xr:uid="{00000000-0005-0000-0000-0000C9CD0000}"/>
    <cellStyle name="Normal 2 3 3 3 4" xfId="56651" xr:uid="{00000000-0005-0000-0000-0000CACD0000}"/>
    <cellStyle name="Normal 2 3 3 4" xfId="22519" xr:uid="{00000000-0005-0000-0000-0000CBCD0000}"/>
    <cellStyle name="Normal 2 3 3 5" xfId="37507" xr:uid="{00000000-0005-0000-0000-0000CCCD0000}"/>
    <cellStyle name="Normal 2 3 3 6" xfId="53483" xr:uid="{00000000-0005-0000-0000-0000CDCD0000}"/>
    <cellStyle name="Normal 2 3 4" xfId="5128" xr:uid="{00000000-0005-0000-0000-0000CECD0000}"/>
    <cellStyle name="Normal 2 3 4 2" xfId="6776" xr:uid="{00000000-0005-0000-0000-0000CFCD0000}"/>
    <cellStyle name="Normal 2 3 4 2 2" xfId="14688" xr:uid="{00000000-0005-0000-0000-0000D0CD0000}"/>
    <cellStyle name="Normal 2 3 4 2 2 2" xfId="31003" xr:uid="{00000000-0005-0000-0000-0000D1CD0000}"/>
    <cellStyle name="Normal 2 3 4 2 2 3" xfId="45967" xr:uid="{00000000-0005-0000-0000-0000D2CD0000}"/>
    <cellStyle name="Normal 2 3 4 2 2 4" xfId="57276" xr:uid="{00000000-0005-0000-0000-0000D3CD0000}"/>
    <cellStyle name="Normal 2 3 4 2 3" xfId="23981" xr:uid="{00000000-0005-0000-0000-0000D4CD0000}"/>
    <cellStyle name="Normal 2 3 4 2 4" xfId="38968" xr:uid="{00000000-0005-0000-0000-0000D5CD0000}"/>
    <cellStyle name="Normal 2 3 4 2 5" xfId="54109" xr:uid="{00000000-0005-0000-0000-0000D6CD0000}"/>
    <cellStyle name="Normal 2 3 4 3" xfId="13222" xr:uid="{00000000-0005-0000-0000-0000D7CD0000}"/>
    <cellStyle name="Normal 2 3 4 3 2" xfId="29542" xr:uid="{00000000-0005-0000-0000-0000D8CD0000}"/>
    <cellStyle name="Normal 2 3 4 3 3" xfId="44507" xr:uid="{00000000-0005-0000-0000-0000D9CD0000}"/>
    <cellStyle name="Normal 2 3 4 3 4" xfId="56652" xr:uid="{00000000-0005-0000-0000-0000DACD0000}"/>
    <cellStyle name="Normal 2 3 4 4" xfId="22520" xr:uid="{00000000-0005-0000-0000-0000DBCD0000}"/>
    <cellStyle name="Normal 2 3 4 5" xfId="37508" xr:uid="{00000000-0005-0000-0000-0000DCCD0000}"/>
    <cellStyle name="Normal 2 3 4 6" xfId="53484" xr:uid="{00000000-0005-0000-0000-0000DDCD0000}"/>
    <cellStyle name="Normal 2 3 5" xfId="6030" xr:uid="{00000000-0005-0000-0000-0000DECD0000}"/>
    <cellStyle name="Normal 2 3 5 2" xfId="13948" xr:uid="{00000000-0005-0000-0000-0000DFCD0000}"/>
    <cellStyle name="Normal 2 3 5 2 2" xfId="30263" xr:uid="{00000000-0005-0000-0000-0000E0CD0000}"/>
    <cellStyle name="Normal 2 3 5 2 2 2" xfId="57277" xr:uid="{00000000-0005-0000-0000-0000E1CD0000}"/>
    <cellStyle name="Normal 2 3 5 2 3" xfId="45227" xr:uid="{00000000-0005-0000-0000-0000E2CD0000}"/>
    <cellStyle name="Normal 2 3 5 2 4" xfId="54110" xr:uid="{00000000-0005-0000-0000-0000E3CD0000}"/>
    <cellStyle name="Normal 2 3 5 3" xfId="23241" xr:uid="{00000000-0005-0000-0000-0000E4CD0000}"/>
    <cellStyle name="Normal 2 3 5 3 2" xfId="56653" xr:uid="{00000000-0005-0000-0000-0000E5CD0000}"/>
    <cellStyle name="Normal 2 3 5 4" xfId="38228" xr:uid="{00000000-0005-0000-0000-0000E6CD0000}"/>
    <cellStyle name="Normal 2 3 5 5" xfId="53485" xr:uid="{00000000-0005-0000-0000-0000E7CD0000}"/>
    <cellStyle name="Normal 2 3 6" xfId="5123" xr:uid="{00000000-0005-0000-0000-0000E8CD0000}"/>
    <cellStyle name="Normal 2 3 6 2" xfId="13217" xr:uid="{00000000-0005-0000-0000-0000E9CD0000}"/>
    <cellStyle name="Normal 2 3 6 2 2" xfId="29537" xr:uid="{00000000-0005-0000-0000-0000EACD0000}"/>
    <cellStyle name="Normal 2 3 6 2 2 2" xfId="57278" xr:uid="{00000000-0005-0000-0000-0000EBCD0000}"/>
    <cellStyle name="Normal 2 3 6 2 3" xfId="44502" xr:uid="{00000000-0005-0000-0000-0000ECCD0000}"/>
    <cellStyle name="Normal 2 3 6 2 4" xfId="54111" xr:uid="{00000000-0005-0000-0000-0000EDCD0000}"/>
    <cellStyle name="Normal 2 3 6 3" xfId="22515" xr:uid="{00000000-0005-0000-0000-0000EECD0000}"/>
    <cellStyle name="Normal 2 3 6 3 2" xfId="56654" xr:uid="{00000000-0005-0000-0000-0000EFCD0000}"/>
    <cellStyle name="Normal 2 3 6 4" xfId="37503" xr:uid="{00000000-0005-0000-0000-0000F0CD0000}"/>
    <cellStyle name="Normal 2 3 6 5" xfId="53486" xr:uid="{00000000-0005-0000-0000-0000F1CD0000}"/>
    <cellStyle name="Normal 2 3 7" xfId="8883" xr:uid="{00000000-0005-0000-0000-0000F2CD0000}"/>
    <cellStyle name="Normal 2 3 7 2" xfId="16657" xr:uid="{00000000-0005-0000-0000-0000F3CD0000}"/>
    <cellStyle name="Normal 2 3 7 2 2" xfId="32971" xr:uid="{00000000-0005-0000-0000-0000F4CD0000}"/>
    <cellStyle name="Normal 2 3 7 2 2 2" xfId="57271" xr:uid="{00000000-0005-0000-0000-0000F5CD0000}"/>
    <cellStyle name="Normal 2 3 7 2 3" xfId="47935" xr:uid="{00000000-0005-0000-0000-0000F6CD0000}"/>
    <cellStyle name="Normal 2 3 7 2 4" xfId="54104" xr:uid="{00000000-0005-0000-0000-0000F7CD0000}"/>
    <cellStyle name="Normal 2 3 7 3" xfId="25949" xr:uid="{00000000-0005-0000-0000-0000F8CD0000}"/>
    <cellStyle name="Normal 2 3 7 3 2" xfId="56647" xr:uid="{00000000-0005-0000-0000-0000F9CD0000}"/>
    <cellStyle name="Normal 2 3 7 4" xfId="40936" xr:uid="{00000000-0005-0000-0000-0000FACD0000}"/>
    <cellStyle name="Normal 2 3 7 5" xfId="53479" xr:uid="{00000000-0005-0000-0000-0000FBCD0000}"/>
    <cellStyle name="Normal 2 3 8" xfId="9418" xr:uid="{00000000-0005-0000-0000-0000FCCD0000}"/>
    <cellStyle name="Normal 2 3 8 2" xfId="53114" xr:uid="{00000000-0005-0000-0000-0000FDCD0000}"/>
    <cellStyle name="Normal 2 3 9" xfId="9996" xr:uid="{00000000-0005-0000-0000-0000FECD0000}"/>
    <cellStyle name="Normal 2 3 9 2" xfId="26318" xr:uid="{00000000-0005-0000-0000-0000FFCD0000}"/>
    <cellStyle name="Normal 2 3 9 3" xfId="41286" xr:uid="{00000000-0005-0000-0000-000000CE0000}"/>
    <cellStyle name="Normal 2 4" xfId="1159" xr:uid="{00000000-0005-0000-0000-000001CE0000}"/>
    <cellStyle name="Normal 2 4 2" xfId="5130" xr:uid="{00000000-0005-0000-0000-000002CE0000}"/>
    <cellStyle name="Normal 2 4 2 2" xfId="8136" xr:uid="{00000000-0005-0000-0000-000003CE0000}"/>
    <cellStyle name="Normal 2 4 2 2 2" xfId="16038" xr:uid="{00000000-0005-0000-0000-000004CE0000}"/>
    <cellStyle name="Normal 2 4 2 2 2 2" xfId="32353" xr:uid="{00000000-0005-0000-0000-000005CE0000}"/>
    <cellStyle name="Normal 2 4 2 2 2 2 2" xfId="57281" xr:uid="{00000000-0005-0000-0000-000006CE0000}"/>
    <cellStyle name="Normal 2 4 2 2 2 3" xfId="47317" xr:uid="{00000000-0005-0000-0000-000007CE0000}"/>
    <cellStyle name="Normal 2 4 2 2 2 4" xfId="54114" xr:uid="{00000000-0005-0000-0000-000008CE0000}"/>
    <cellStyle name="Normal 2 4 2 2 3" xfId="25331" xr:uid="{00000000-0005-0000-0000-000009CE0000}"/>
    <cellStyle name="Normal 2 4 2 2 3 2" xfId="56657" xr:uid="{00000000-0005-0000-0000-00000ACE0000}"/>
    <cellStyle name="Normal 2 4 2 2 4" xfId="40318" xr:uid="{00000000-0005-0000-0000-00000BCE0000}"/>
    <cellStyle name="Normal 2 4 2 2 5" xfId="53489" xr:uid="{00000000-0005-0000-0000-00000CCE0000}"/>
    <cellStyle name="Normal 2 4 2 3" xfId="13224" xr:uid="{00000000-0005-0000-0000-00000DCE0000}"/>
    <cellStyle name="Normal 2 4 2 3 2" xfId="29544" xr:uid="{00000000-0005-0000-0000-00000ECE0000}"/>
    <cellStyle name="Normal 2 4 2 3 2 2" xfId="57282" xr:uid="{00000000-0005-0000-0000-00000FCE0000}"/>
    <cellStyle name="Normal 2 4 2 3 2 3" xfId="54115" xr:uid="{00000000-0005-0000-0000-000010CE0000}"/>
    <cellStyle name="Normal 2 4 2 3 3" xfId="44509" xr:uid="{00000000-0005-0000-0000-000011CE0000}"/>
    <cellStyle name="Normal 2 4 2 3 3 2" xfId="56658" xr:uid="{00000000-0005-0000-0000-000012CE0000}"/>
    <cellStyle name="Normal 2 4 2 3 4" xfId="53490" xr:uid="{00000000-0005-0000-0000-000013CE0000}"/>
    <cellStyle name="Normal 2 4 2 4" xfId="18446" xr:uid="{00000000-0005-0000-0000-000014CE0000}"/>
    <cellStyle name="Normal 2 4 2 4 2" xfId="57280" xr:uid="{00000000-0005-0000-0000-000015CE0000}"/>
    <cellStyle name="Normal 2 4 2 4 3" xfId="54113" xr:uid="{00000000-0005-0000-0000-000016CE0000}"/>
    <cellStyle name="Normal 2 4 2 5" xfId="22522" xr:uid="{00000000-0005-0000-0000-000017CE0000}"/>
    <cellStyle name="Normal 2 4 2 5 2" xfId="56656" xr:uid="{00000000-0005-0000-0000-000018CE0000}"/>
    <cellStyle name="Normal 2 4 2 5 3" xfId="53488" xr:uid="{00000000-0005-0000-0000-000019CE0000}"/>
    <cellStyle name="Normal 2 4 2 6" xfId="37510" xr:uid="{00000000-0005-0000-0000-00001ACE0000}"/>
    <cellStyle name="Normal 2 4 3" xfId="5131" xr:uid="{00000000-0005-0000-0000-00001BCE0000}"/>
    <cellStyle name="Normal 2 4 3 2" xfId="7413" xr:uid="{00000000-0005-0000-0000-00001CCE0000}"/>
    <cellStyle name="Normal 2 4 3 2 2" xfId="15324" xr:uid="{00000000-0005-0000-0000-00001DCE0000}"/>
    <cellStyle name="Normal 2 4 3 2 2 2" xfId="31639" xr:uid="{00000000-0005-0000-0000-00001ECE0000}"/>
    <cellStyle name="Normal 2 4 3 2 2 3" xfId="46603" xr:uid="{00000000-0005-0000-0000-00001FCE0000}"/>
    <cellStyle name="Normal 2 4 3 2 2 4" xfId="57283" xr:uid="{00000000-0005-0000-0000-000020CE0000}"/>
    <cellStyle name="Normal 2 4 3 2 3" xfId="24617" xr:uid="{00000000-0005-0000-0000-000021CE0000}"/>
    <cellStyle name="Normal 2 4 3 2 4" xfId="39604" xr:uid="{00000000-0005-0000-0000-000022CE0000}"/>
    <cellStyle name="Normal 2 4 3 2 5" xfId="54116" xr:uid="{00000000-0005-0000-0000-000023CE0000}"/>
    <cellStyle name="Normal 2 4 3 3" xfId="13225" xr:uid="{00000000-0005-0000-0000-000024CE0000}"/>
    <cellStyle name="Normal 2 4 3 3 2" xfId="29545" xr:uid="{00000000-0005-0000-0000-000025CE0000}"/>
    <cellStyle name="Normal 2 4 3 3 3" xfId="44510" xr:uid="{00000000-0005-0000-0000-000026CE0000}"/>
    <cellStyle name="Normal 2 4 3 3 4" xfId="56659" xr:uid="{00000000-0005-0000-0000-000027CE0000}"/>
    <cellStyle name="Normal 2 4 3 4" xfId="22523" xr:uid="{00000000-0005-0000-0000-000028CE0000}"/>
    <cellStyle name="Normal 2 4 3 5" xfId="37511" xr:uid="{00000000-0005-0000-0000-000029CE0000}"/>
    <cellStyle name="Normal 2 4 3 6" xfId="53491" xr:uid="{00000000-0005-0000-0000-00002ACE0000}"/>
    <cellStyle name="Normal 2 4 4" xfId="6032" xr:uid="{00000000-0005-0000-0000-00002BCE0000}"/>
    <cellStyle name="Normal 2 4 4 2" xfId="13950" xr:uid="{00000000-0005-0000-0000-00002CCE0000}"/>
    <cellStyle name="Normal 2 4 4 2 2" xfId="30265" xr:uid="{00000000-0005-0000-0000-00002DCE0000}"/>
    <cellStyle name="Normal 2 4 4 2 2 2" xfId="57284" xr:uid="{00000000-0005-0000-0000-00002ECE0000}"/>
    <cellStyle name="Normal 2 4 4 2 3" xfId="45229" xr:uid="{00000000-0005-0000-0000-00002FCE0000}"/>
    <cellStyle name="Normal 2 4 4 2 4" xfId="54117" xr:uid="{00000000-0005-0000-0000-000030CE0000}"/>
    <cellStyle name="Normal 2 4 4 3" xfId="23243" xr:uid="{00000000-0005-0000-0000-000031CE0000}"/>
    <cellStyle name="Normal 2 4 4 3 2" xfId="56660" xr:uid="{00000000-0005-0000-0000-000032CE0000}"/>
    <cellStyle name="Normal 2 4 4 4" xfId="38230" xr:uid="{00000000-0005-0000-0000-000033CE0000}"/>
    <cellStyle name="Normal 2 4 4 5" xfId="53492" xr:uid="{00000000-0005-0000-0000-000034CE0000}"/>
    <cellStyle name="Normal 2 4 5" xfId="5129" xr:uid="{00000000-0005-0000-0000-000035CE0000}"/>
    <cellStyle name="Normal 2 4 5 2" xfId="13223" xr:uid="{00000000-0005-0000-0000-000036CE0000}"/>
    <cellStyle name="Normal 2 4 5 2 2" xfId="29543" xr:uid="{00000000-0005-0000-0000-000037CE0000}"/>
    <cellStyle name="Normal 2 4 5 2 2 2" xfId="57285" xr:uid="{00000000-0005-0000-0000-000038CE0000}"/>
    <cellStyle name="Normal 2 4 5 2 3" xfId="44508" xr:uid="{00000000-0005-0000-0000-000039CE0000}"/>
    <cellStyle name="Normal 2 4 5 2 4" xfId="54118" xr:uid="{00000000-0005-0000-0000-00003ACE0000}"/>
    <cellStyle name="Normal 2 4 5 3" xfId="22521" xr:uid="{00000000-0005-0000-0000-00003BCE0000}"/>
    <cellStyle name="Normal 2 4 5 3 2" xfId="56661" xr:uid="{00000000-0005-0000-0000-00003CCE0000}"/>
    <cellStyle name="Normal 2 4 5 4" xfId="37509" xr:uid="{00000000-0005-0000-0000-00003DCE0000}"/>
    <cellStyle name="Normal 2 4 5 5" xfId="53493" xr:uid="{00000000-0005-0000-0000-00003ECE0000}"/>
    <cellStyle name="Normal 2 4 6" xfId="51103" xr:uid="{00000000-0005-0000-0000-00003FCE0000}"/>
    <cellStyle name="Normal 2 4 6 2" xfId="54119" xr:uid="{00000000-0005-0000-0000-000040CE0000}"/>
    <cellStyle name="Normal 2 4 6 2 2" xfId="57286" xr:uid="{00000000-0005-0000-0000-000041CE0000}"/>
    <cellStyle name="Normal 2 4 6 3" xfId="56662" xr:uid="{00000000-0005-0000-0000-000042CE0000}"/>
    <cellStyle name="Normal 2 4 6 4" xfId="53494" xr:uid="{00000000-0005-0000-0000-000043CE0000}"/>
    <cellStyle name="Normal 2 4 7" xfId="53487" xr:uid="{00000000-0005-0000-0000-000044CE0000}"/>
    <cellStyle name="Normal 2 4 7 2" xfId="54112" xr:uid="{00000000-0005-0000-0000-000045CE0000}"/>
    <cellStyle name="Normal 2 4 7 2 2" xfId="57279" xr:uid="{00000000-0005-0000-0000-000046CE0000}"/>
    <cellStyle name="Normal 2 4 7 3" xfId="56655" xr:uid="{00000000-0005-0000-0000-000047CE0000}"/>
    <cellStyle name="Normal 2 4 8" xfId="53115" xr:uid="{00000000-0005-0000-0000-000048CE0000}"/>
    <cellStyle name="Normal 2 5" xfId="5132" xr:uid="{00000000-0005-0000-0000-000049CE0000}"/>
    <cellStyle name="Normal 2 5 2" xfId="8814" xr:uid="{00000000-0005-0000-0000-00004ACE0000}"/>
    <cellStyle name="Normal 2 5 2 2" xfId="53497" xr:uid="{00000000-0005-0000-0000-00004BCE0000}"/>
    <cellStyle name="Normal 2 5 2 2 2" xfId="54122" xr:uid="{00000000-0005-0000-0000-00004CCE0000}"/>
    <cellStyle name="Normal 2 5 2 2 2 2" xfId="57289" xr:uid="{00000000-0005-0000-0000-00004DCE0000}"/>
    <cellStyle name="Normal 2 5 2 2 3" xfId="56665" xr:uid="{00000000-0005-0000-0000-00004ECE0000}"/>
    <cellStyle name="Normal 2 5 2 3" xfId="53498" xr:uid="{00000000-0005-0000-0000-00004FCE0000}"/>
    <cellStyle name="Normal 2 5 2 3 2" xfId="54123" xr:uid="{00000000-0005-0000-0000-000050CE0000}"/>
    <cellStyle name="Normal 2 5 2 3 2 2" xfId="57290" xr:uid="{00000000-0005-0000-0000-000051CE0000}"/>
    <cellStyle name="Normal 2 5 2 3 3" xfId="56666" xr:uid="{00000000-0005-0000-0000-000052CE0000}"/>
    <cellStyle name="Normal 2 5 2 4" xfId="54121" xr:uid="{00000000-0005-0000-0000-000053CE0000}"/>
    <cellStyle name="Normal 2 5 2 4 2" xfId="57288" xr:uid="{00000000-0005-0000-0000-000054CE0000}"/>
    <cellStyle name="Normal 2 5 2 5" xfId="56664" xr:uid="{00000000-0005-0000-0000-000055CE0000}"/>
    <cellStyle name="Normal 2 5 2 6" xfId="53496" xr:uid="{00000000-0005-0000-0000-000056CE0000}"/>
    <cellStyle name="Normal 2 5 3" xfId="51104" xr:uid="{00000000-0005-0000-0000-000057CE0000}"/>
    <cellStyle name="Normal 2 5 3 2" xfId="54124" xr:uid="{00000000-0005-0000-0000-000058CE0000}"/>
    <cellStyle name="Normal 2 5 3 2 2" xfId="57291" xr:uid="{00000000-0005-0000-0000-000059CE0000}"/>
    <cellStyle name="Normal 2 5 3 3" xfId="56667" xr:uid="{00000000-0005-0000-0000-00005ACE0000}"/>
    <cellStyle name="Normal 2 5 3 4" xfId="53499" xr:uid="{00000000-0005-0000-0000-00005BCE0000}"/>
    <cellStyle name="Normal 2 5 4" xfId="53500" xr:uid="{00000000-0005-0000-0000-00005CCE0000}"/>
    <cellStyle name="Normal 2 5 4 2" xfId="54125" xr:uid="{00000000-0005-0000-0000-00005DCE0000}"/>
    <cellStyle name="Normal 2 5 4 2 2" xfId="57292" xr:uid="{00000000-0005-0000-0000-00005ECE0000}"/>
    <cellStyle name="Normal 2 5 4 3" xfId="56668" xr:uid="{00000000-0005-0000-0000-00005FCE0000}"/>
    <cellStyle name="Normal 2 5 5" xfId="53501" xr:uid="{00000000-0005-0000-0000-000060CE0000}"/>
    <cellStyle name="Normal 2 5 5 2" xfId="54126" xr:uid="{00000000-0005-0000-0000-000061CE0000}"/>
    <cellStyle name="Normal 2 5 5 2 2" xfId="57293" xr:uid="{00000000-0005-0000-0000-000062CE0000}"/>
    <cellStyle name="Normal 2 5 5 3" xfId="56669" xr:uid="{00000000-0005-0000-0000-000063CE0000}"/>
    <cellStyle name="Normal 2 5 6" xfId="53495" xr:uid="{00000000-0005-0000-0000-000064CE0000}"/>
    <cellStyle name="Normal 2 5 6 2" xfId="54120" xr:uid="{00000000-0005-0000-0000-000065CE0000}"/>
    <cellStyle name="Normal 2 5 6 2 2" xfId="57287" xr:uid="{00000000-0005-0000-0000-000066CE0000}"/>
    <cellStyle name="Normal 2 5 6 3" xfId="56663" xr:uid="{00000000-0005-0000-0000-000067CE0000}"/>
    <cellStyle name="Normal 2 5 7" xfId="53116" xr:uid="{00000000-0005-0000-0000-000068CE0000}"/>
    <cellStyle name="Normal 2 6" xfId="5133" xr:uid="{00000000-0005-0000-0000-000069CE0000}"/>
    <cellStyle name="Normal 2 6 2" xfId="5134" xr:uid="{00000000-0005-0000-0000-00006ACE0000}"/>
    <cellStyle name="Normal 2 6 2 2" xfId="8547" xr:uid="{00000000-0005-0000-0000-00006BCE0000}"/>
    <cellStyle name="Normal 2 6 2 2 2" xfId="16434" xr:uid="{00000000-0005-0000-0000-00006CCE0000}"/>
    <cellStyle name="Normal 2 6 2 2 2 2" xfId="32749" xr:uid="{00000000-0005-0000-0000-00006DCE0000}"/>
    <cellStyle name="Normal 2 6 2 2 2 2 2" xfId="57296" xr:uid="{00000000-0005-0000-0000-00006ECE0000}"/>
    <cellStyle name="Normal 2 6 2 2 2 3" xfId="47713" xr:uid="{00000000-0005-0000-0000-00006FCE0000}"/>
    <cellStyle name="Normal 2 6 2 2 2 4" xfId="54129" xr:uid="{00000000-0005-0000-0000-000070CE0000}"/>
    <cellStyle name="Normal 2 6 2 2 3" xfId="25727" xr:uid="{00000000-0005-0000-0000-000071CE0000}"/>
    <cellStyle name="Normal 2 6 2 2 3 2" xfId="56672" xr:uid="{00000000-0005-0000-0000-000072CE0000}"/>
    <cellStyle name="Normal 2 6 2 2 4" xfId="40714" xr:uid="{00000000-0005-0000-0000-000073CE0000}"/>
    <cellStyle name="Normal 2 6 2 2 5" xfId="53504" xr:uid="{00000000-0005-0000-0000-000074CE0000}"/>
    <cellStyle name="Normal 2 6 2 3" xfId="13227" xr:uid="{00000000-0005-0000-0000-000075CE0000}"/>
    <cellStyle name="Normal 2 6 2 3 2" xfId="29547" xr:uid="{00000000-0005-0000-0000-000076CE0000}"/>
    <cellStyle name="Normal 2 6 2 3 2 2" xfId="57297" xr:uid="{00000000-0005-0000-0000-000077CE0000}"/>
    <cellStyle name="Normal 2 6 2 3 2 3" xfId="54130" xr:uid="{00000000-0005-0000-0000-000078CE0000}"/>
    <cellStyle name="Normal 2 6 2 3 3" xfId="44512" xr:uid="{00000000-0005-0000-0000-000079CE0000}"/>
    <cellStyle name="Normal 2 6 2 3 3 2" xfId="56673" xr:uid="{00000000-0005-0000-0000-00007ACE0000}"/>
    <cellStyle name="Normal 2 6 2 3 4" xfId="53505" xr:uid="{00000000-0005-0000-0000-00007BCE0000}"/>
    <cellStyle name="Normal 2 6 2 4" xfId="22525" xr:uid="{00000000-0005-0000-0000-00007CCE0000}"/>
    <cellStyle name="Normal 2 6 2 4 2" xfId="57295" xr:uid="{00000000-0005-0000-0000-00007DCE0000}"/>
    <cellStyle name="Normal 2 6 2 4 3" xfId="54128" xr:uid="{00000000-0005-0000-0000-00007ECE0000}"/>
    <cellStyle name="Normal 2 6 2 5" xfId="37513" xr:uid="{00000000-0005-0000-0000-00007FCE0000}"/>
    <cellStyle name="Normal 2 6 2 5 2" xfId="56671" xr:uid="{00000000-0005-0000-0000-000080CE0000}"/>
    <cellStyle name="Normal 2 6 2 6" xfId="53503" xr:uid="{00000000-0005-0000-0000-000081CE0000}"/>
    <cellStyle name="Normal 2 6 3" xfId="6028" xr:uid="{00000000-0005-0000-0000-000082CE0000}"/>
    <cellStyle name="Normal 2 6 3 2" xfId="13946" xr:uid="{00000000-0005-0000-0000-000083CE0000}"/>
    <cellStyle name="Normal 2 6 3 2 2" xfId="30261" xr:uid="{00000000-0005-0000-0000-000084CE0000}"/>
    <cellStyle name="Normal 2 6 3 2 2 2" xfId="57298" xr:uid="{00000000-0005-0000-0000-000085CE0000}"/>
    <cellStyle name="Normal 2 6 3 2 3" xfId="45225" xr:uid="{00000000-0005-0000-0000-000086CE0000}"/>
    <cellStyle name="Normal 2 6 3 2 4" xfId="54131" xr:uid="{00000000-0005-0000-0000-000087CE0000}"/>
    <cellStyle name="Normal 2 6 3 3" xfId="23239" xr:uid="{00000000-0005-0000-0000-000088CE0000}"/>
    <cellStyle name="Normal 2 6 3 3 2" xfId="56674" xr:uid="{00000000-0005-0000-0000-000089CE0000}"/>
    <cellStyle name="Normal 2 6 3 4" xfId="38226" xr:uid="{00000000-0005-0000-0000-00008ACE0000}"/>
    <cellStyle name="Normal 2 6 3 5" xfId="53506" xr:uid="{00000000-0005-0000-0000-00008BCE0000}"/>
    <cellStyle name="Normal 2 6 4" xfId="13226" xr:uid="{00000000-0005-0000-0000-00008CCE0000}"/>
    <cellStyle name="Normal 2 6 4 2" xfId="29546" xr:uid="{00000000-0005-0000-0000-00008DCE0000}"/>
    <cellStyle name="Normal 2 6 4 2 2" xfId="57299" xr:uid="{00000000-0005-0000-0000-00008ECE0000}"/>
    <cellStyle name="Normal 2 6 4 2 3" xfId="54132" xr:uid="{00000000-0005-0000-0000-00008FCE0000}"/>
    <cellStyle name="Normal 2 6 4 3" xfId="44511" xr:uid="{00000000-0005-0000-0000-000090CE0000}"/>
    <cellStyle name="Normal 2 6 4 3 2" xfId="56675" xr:uid="{00000000-0005-0000-0000-000091CE0000}"/>
    <cellStyle name="Normal 2 6 4 4" xfId="53507" xr:uid="{00000000-0005-0000-0000-000092CE0000}"/>
    <cellStyle name="Normal 2 6 5" xfId="22524" xr:uid="{00000000-0005-0000-0000-000093CE0000}"/>
    <cellStyle name="Normal 2 6 5 2" xfId="54133" xr:uid="{00000000-0005-0000-0000-000094CE0000}"/>
    <cellStyle name="Normal 2 6 5 2 2" xfId="57300" xr:uid="{00000000-0005-0000-0000-000095CE0000}"/>
    <cellStyle name="Normal 2 6 5 3" xfId="56676" xr:uid="{00000000-0005-0000-0000-000096CE0000}"/>
    <cellStyle name="Normal 2 6 5 4" xfId="53508" xr:uid="{00000000-0005-0000-0000-000097CE0000}"/>
    <cellStyle name="Normal 2 6 6" xfId="37512" xr:uid="{00000000-0005-0000-0000-000098CE0000}"/>
    <cellStyle name="Normal 2 6 6 2" xfId="54127" xr:uid="{00000000-0005-0000-0000-000099CE0000}"/>
    <cellStyle name="Normal 2 6 6 2 2" xfId="57294" xr:uid="{00000000-0005-0000-0000-00009ACE0000}"/>
    <cellStyle name="Normal 2 6 6 3" xfId="56670" xr:uid="{00000000-0005-0000-0000-00009BCE0000}"/>
    <cellStyle name="Normal 2 6 6 4" xfId="53502" xr:uid="{00000000-0005-0000-0000-00009CCE0000}"/>
    <cellStyle name="Normal 2 6 7" xfId="51238" xr:uid="{00000000-0005-0000-0000-00009DCE0000}"/>
    <cellStyle name="Normal 2 6 8" xfId="53124" xr:uid="{00000000-0005-0000-0000-00009ECE0000}"/>
    <cellStyle name="Normal 2 7" xfId="5135" xr:uid="{00000000-0005-0000-0000-00009FCE0000}"/>
    <cellStyle name="Normal 2 7 2" xfId="53510" xr:uid="{00000000-0005-0000-0000-0000A0CE0000}"/>
    <cellStyle name="Normal 2 7 2 2" xfId="53511" xr:uid="{00000000-0005-0000-0000-0000A1CE0000}"/>
    <cellStyle name="Normal 2 7 2 2 2" xfId="54136" xr:uid="{00000000-0005-0000-0000-0000A2CE0000}"/>
    <cellStyle name="Normal 2 7 2 2 2 2" xfId="57303" xr:uid="{00000000-0005-0000-0000-0000A3CE0000}"/>
    <cellStyle name="Normal 2 7 2 2 3" xfId="56679" xr:uid="{00000000-0005-0000-0000-0000A4CE0000}"/>
    <cellStyle name="Normal 2 7 2 3" xfId="53512" xr:uid="{00000000-0005-0000-0000-0000A5CE0000}"/>
    <cellStyle name="Normal 2 7 2 3 2" xfId="54137" xr:uid="{00000000-0005-0000-0000-0000A6CE0000}"/>
    <cellStyle name="Normal 2 7 2 3 2 2" xfId="57304" xr:uid="{00000000-0005-0000-0000-0000A7CE0000}"/>
    <cellStyle name="Normal 2 7 2 3 3" xfId="56680" xr:uid="{00000000-0005-0000-0000-0000A8CE0000}"/>
    <cellStyle name="Normal 2 7 2 4" xfId="54135" xr:uid="{00000000-0005-0000-0000-0000A9CE0000}"/>
    <cellStyle name="Normal 2 7 2 4 2" xfId="57302" xr:uid="{00000000-0005-0000-0000-0000AACE0000}"/>
    <cellStyle name="Normal 2 7 2 5" xfId="56678" xr:uid="{00000000-0005-0000-0000-0000ABCE0000}"/>
    <cellStyle name="Normal 2 7 3" xfId="53513" xr:uid="{00000000-0005-0000-0000-0000ACCE0000}"/>
    <cellStyle name="Normal 2 7 3 2" xfId="54138" xr:uid="{00000000-0005-0000-0000-0000ADCE0000}"/>
    <cellStyle name="Normal 2 7 3 2 2" xfId="57305" xr:uid="{00000000-0005-0000-0000-0000AECE0000}"/>
    <cellStyle name="Normal 2 7 3 3" xfId="56681" xr:uid="{00000000-0005-0000-0000-0000AFCE0000}"/>
    <cellStyle name="Normal 2 7 4" xfId="53514" xr:uid="{00000000-0005-0000-0000-0000B0CE0000}"/>
    <cellStyle name="Normal 2 7 4 2" xfId="54139" xr:uid="{00000000-0005-0000-0000-0000B1CE0000}"/>
    <cellStyle name="Normal 2 7 4 2 2" xfId="57306" xr:uid="{00000000-0005-0000-0000-0000B2CE0000}"/>
    <cellStyle name="Normal 2 7 4 3" xfId="56682" xr:uid="{00000000-0005-0000-0000-0000B3CE0000}"/>
    <cellStyle name="Normal 2 7 5" xfId="53515" xr:uid="{00000000-0005-0000-0000-0000B4CE0000}"/>
    <cellStyle name="Normal 2 7 5 2" xfId="54140" xr:uid="{00000000-0005-0000-0000-0000B5CE0000}"/>
    <cellStyle name="Normal 2 7 5 2 2" xfId="57307" xr:uid="{00000000-0005-0000-0000-0000B6CE0000}"/>
    <cellStyle name="Normal 2 7 5 3" xfId="56683" xr:uid="{00000000-0005-0000-0000-0000B7CE0000}"/>
    <cellStyle name="Normal 2 7 6" xfId="54134" xr:uid="{00000000-0005-0000-0000-0000B8CE0000}"/>
    <cellStyle name="Normal 2 7 6 2" xfId="57301" xr:uid="{00000000-0005-0000-0000-0000B9CE0000}"/>
    <cellStyle name="Normal 2 7 7" xfId="56677" xr:uid="{00000000-0005-0000-0000-0000BACE0000}"/>
    <cellStyle name="Normal 2 7 8" xfId="53509" xr:uid="{00000000-0005-0000-0000-0000BBCE0000}"/>
    <cellStyle name="Normal 2 8" xfId="5115" xr:uid="{00000000-0005-0000-0000-0000BCCE0000}"/>
    <cellStyle name="Normal 2 8 2" xfId="13214" xr:uid="{00000000-0005-0000-0000-0000BDCE0000}"/>
    <cellStyle name="Normal 2 8 2 2" xfId="29534" xr:uid="{00000000-0005-0000-0000-0000BECE0000}"/>
    <cellStyle name="Normal 2 8 2 2 2" xfId="54143" xr:uid="{00000000-0005-0000-0000-0000BFCE0000}"/>
    <cellStyle name="Normal 2 8 2 2 2 2" xfId="57310" xr:uid="{00000000-0005-0000-0000-0000C0CE0000}"/>
    <cellStyle name="Normal 2 8 2 2 3" xfId="56686" xr:uid="{00000000-0005-0000-0000-0000C1CE0000}"/>
    <cellStyle name="Normal 2 8 2 2 4" xfId="53518" xr:uid="{00000000-0005-0000-0000-0000C2CE0000}"/>
    <cellStyle name="Normal 2 8 2 3" xfId="44499" xr:uid="{00000000-0005-0000-0000-0000C3CE0000}"/>
    <cellStyle name="Normal 2 8 2 3 2" xfId="54144" xr:uid="{00000000-0005-0000-0000-0000C4CE0000}"/>
    <cellStyle name="Normal 2 8 2 3 2 2" xfId="57311" xr:uid="{00000000-0005-0000-0000-0000C5CE0000}"/>
    <cellStyle name="Normal 2 8 2 3 3" xfId="56687" xr:uid="{00000000-0005-0000-0000-0000C6CE0000}"/>
    <cellStyle name="Normal 2 8 2 3 4" xfId="53519" xr:uid="{00000000-0005-0000-0000-0000C7CE0000}"/>
    <cellStyle name="Normal 2 8 2 4" xfId="54142" xr:uid="{00000000-0005-0000-0000-0000C8CE0000}"/>
    <cellStyle name="Normal 2 8 2 4 2" xfId="57309" xr:uid="{00000000-0005-0000-0000-0000C9CE0000}"/>
    <cellStyle name="Normal 2 8 2 5" xfId="56685" xr:uid="{00000000-0005-0000-0000-0000CACE0000}"/>
    <cellStyle name="Normal 2 8 2 6" xfId="53517" xr:uid="{00000000-0005-0000-0000-0000CBCE0000}"/>
    <cellStyle name="Normal 2 8 3" xfId="22512" xr:uid="{00000000-0005-0000-0000-0000CCCE0000}"/>
    <cellStyle name="Normal 2 8 3 2" xfId="54145" xr:uid="{00000000-0005-0000-0000-0000CDCE0000}"/>
    <cellStyle name="Normal 2 8 3 2 2" xfId="57312" xr:uid="{00000000-0005-0000-0000-0000CECE0000}"/>
    <cellStyle name="Normal 2 8 3 3" xfId="56688" xr:uid="{00000000-0005-0000-0000-0000CFCE0000}"/>
    <cellStyle name="Normal 2 8 3 4" xfId="53520" xr:uid="{00000000-0005-0000-0000-0000D0CE0000}"/>
    <cellStyle name="Normal 2 8 4" xfId="37500" xr:uid="{00000000-0005-0000-0000-0000D1CE0000}"/>
    <cellStyle name="Normal 2 8 4 2" xfId="54146" xr:uid="{00000000-0005-0000-0000-0000D2CE0000}"/>
    <cellStyle name="Normal 2 8 4 2 2" xfId="57313" xr:uid="{00000000-0005-0000-0000-0000D3CE0000}"/>
    <cellStyle name="Normal 2 8 4 3" xfId="56689" xr:uid="{00000000-0005-0000-0000-0000D4CE0000}"/>
    <cellStyle name="Normal 2 8 4 4" xfId="53521" xr:uid="{00000000-0005-0000-0000-0000D5CE0000}"/>
    <cellStyle name="Normal 2 8 5" xfId="53522" xr:uid="{00000000-0005-0000-0000-0000D6CE0000}"/>
    <cellStyle name="Normal 2 8 5 2" xfId="54147" xr:uid="{00000000-0005-0000-0000-0000D7CE0000}"/>
    <cellStyle name="Normal 2 8 5 2 2" xfId="57314" xr:uid="{00000000-0005-0000-0000-0000D8CE0000}"/>
    <cellStyle name="Normal 2 8 5 3" xfId="56690" xr:uid="{00000000-0005-0000-0000-0000D9CE0000}"/>
    <cellStyle name="Normal 2 8 6" xfId="54141" xr:uid="{00000000-0005-0000-0000-0000DACE0000}"/>
    <cellStyle name="Normal 2 8 6 2" xfId="57308" xr:uid="{00000000-0005-0000-0000-0000DBCE0000}"/>
    <cellStyle name="Normal 2 8 7" xfId="56684" xr:uid="{00000000-0005-0000-0000-0000DCCE0000}"/>
    <cellStyle name="Normal 2 8 8" xfId="53516" xr:uid="{00000000-0005-0000-0000-0000DDCE0000}"/>
    <cellStyle name="Normal 2 9" xfId="1523" xr:uid="{00000000-0005-0000-0000-0000DECE0000}"/>
    <cellStyle name="Normal 2 9 2" xfId="10085" xr:uid="{00000000-0005-0000-0000-0000DFCE0000}"/>
    <cellStyle name="Normal 2 9 2 2" xfId="26405" xr:uid="{00000000-0005-0000-0000-0000E0CE0000}"/>
    <cellStyle name="Normal 2 9 2 2 2" xfId="54150" xr:uid="{00000000-0005-0000-0000-0000E1CE0000}"/>
    <cellStyle name="Normal 2 9 2 2 2 2" xfId="57317" xr:uid="{00000000-0005-0000-0000-0000E2CE0000}"/>
    <cellStyle name="Normal 2 9 2 2 3" xfId="56693" xr:uid="{00000000-0005-0000-0000-0000E3CE0000}"/>
    <cellStyle name="Normal 2 9 2 2 4" xfId="53525" xr:uid="{00000000-0005-0000-0000-0000E4CE0000}"/>
    <cellStyle name="Normal 2 9 2 3" xfId="41371" xr:uid="{00000000-0005-0000-0000-0000E5CE0000}"/>
    <cellStyle name="Normal 2 9 2 3 2" xfId="54151" xr:uid="{00000000-0005-0000-0000-0000E6CE0000}"/>
    <cellStyle name="Normal 2 9 2 3 2 2" xfId="57318" xr:uid="{00000000-0005-0000-0000-0000E7CE0000}"/>
    <cellStyle name="Normal 2 9 2 3 3" xfId="56694" xr:uid="{00000000-0005-0000-0000-0000E8CE0000}"/>
    <cellStyle name="Normal 2 9 2 3 4" xfId="53526" xr:uid="{00000000-0005-0000-0000-0000E9CE0000}"/>
    <cellStyle name="Normal 2 9 2 4" xfId="54149" xr:uid="{00000000-0005-0000-0000-0000EACE0000}"/>
    <cellStyle name="Normal 2 9 2 4 2" xfId="57316" xr:uid="{00000000-0005-0000-0000-0000EBCE0000}"/>
    <cellStyle name="Normal 2 9 2 5" xfId="56692" xr:uid="{00000000-0005-0000-0000-0000ECCE0000}"/>
    <cellStyle name="Normal 2 9 2 6" xfId="53524" xr:uid="{00000000-0005-0000-0000-0000EDCE0000}"/>
    <cellStyle name="Normal 2 9 3" xfId="19383" xr:uid="{00000000-0005-0000-0000-0000EECE0000}"/>
    <cellStyle name="Normal 2 9 3 2" xfId="54152" xr:uid="{00000000-0005-0000-0000-0000EFCE0000}"/>
    <cellStyle name="Normal 2 9 3 2 2" xfId="57319" xr:uid="{00000000-0005-0000-0000-0000F0CE0000}"/>
    <cellStyle name="Normal 2 9 3 3" xfId="56695" xr:uid="{00000000-0005-0000-0000-0000F1CE0000}"/>
    <cellStyle name="Normal 2 9 3 4" xfId="53527" xr:uid="{00000000-0005-0000-0000-0000F2CE0000}"/>
    <cellStyle name="Normal 2 9 4" xfId="34372" xr:uid="{00000000-0005-0000-0000-0000F3CE0000}"/>
    <cellStyle name="Normal 2 9 4 2" xfId="54153" xr:uid="{00000000-0005-0000-0000-0000F4CE0000}"/>
    <cellStyle name="Normal 2 9 4 2 2" xfId="57320" xr:uid="{00000000-0005-0000-0000-0000F5CE0000}"/>
    <cellStyle name="Normal 2 9 4 3" xfId="56696" xr:uid="{00000000-0005-0000-0000-0000F6CE0000}"/>
    <cellStyle name="Normal 2 9 4 4" xfId="53528" xr:uid="{00000000-0005-0000-0000-0000F7CE0000}"/>
    <cellStyle name="Normal 2 9 5" xfId="54148" xr:uid="{00000000-0005-0000-0000-0000F8CE0000}"/>
    <cellStyle name="Normal 2 9 5 2" xfId="57315" xr:uid="{00000000-0005-0000-0000-0000F9CE0000}"/>
    <cellStyle name="Normal 2 9 6" xfId="56691" xr:uid="{00000000-0005-0000-0000-0000FACE0000}"/>
    <cellStyle name="Normal 2 9 7" xfId="53523" xr:uid="{00000000-0005-0000-0000-0000FBCE0000}"/>
    <cellStyle name="Normal 20" xfId="5136" xr:uid="{00000000-0005-0000-0000-0000FCCE0000}"/>
    <cellStyle name="Normal 20 2" xfId="8558" xr:uid="{00000000-0005-0000-0000-0000FDCE0000}"/>
    <cellStyle name="Normal 20 2 2" xfId="8856" xr:uid="{00000000-0005-0000-0000-0000FECE0000}"/>
    <cellStyle name="Normal 20 2 2 2" xfId="57321" xr:uid="{00000000-0005-0000-0000-0000FFCE0000}"/>
    <cellStyle name="Normal 20 2 3" xfId="54154" xr:uid="{00000000-0005-0000-0000-000000CF0000}"/>
    <cellStyle name="Normal 20 3" xfId="8815" xr:uid="{00000000-0005-0000-0000-000001CF0000}"/>
    <cellStyle name="Normal 20 3 2" xfId="56697" xr:uid="{00000000-0005-0000-0000-000002CF0000}"/>
    <cellStyle name="Normal 20 4" xfId="53529" xr:uid="{00000000-0005-0000-0000-000003CF0000}"/>
    <cellStyle name="Normal 21" xfId="1532" xr:uid="{00000000-0005-0000-0000-000004CF0000}"/>
    <cellStyle name="Normal 21 2" xfId="8785" xr:uid="{00000000-0005-0000-0000-000005CF0000}"/>
    <cellStyle name="Normal 21 2 2" xfId="57322" xr:uid="{00000000-0005-0000-0000-000006CF0000}"/>
    <cellStyle name="Normal 21 2 3" xfId="54155" xr:uid="{00000000-0005-0000-0000-000007CF0000}"/>
    <cellStyle name="Normal 21 3" xfId="56698" xr:uid="{00000000-0005-0000-0000-000008CF0000}"/>
    <cellStyle name="Normal 21 4" xfId="53530" xr:uid="{00000000-0005-0000-0000-000009CF0000}"/>
    <cellStyle name="Normal 22" xfId="8776" xr:uid="{00000000-0005-0000-0000-00000ACF0000}"/>
    <cellStyle name="Normal 22 2" xfId="16626" xr:uid="{00000000-0005-0000-0000-00000BCF0000}"/>
    <cellStyle name="Normal 22 2 2" xfId="32941" xr:uid="{00000000-0005-0000-0000-00000CCF0000}"/>
    <cellStyle name="Normal 22 2 2 2" xfId="57323" xr:uid="{00000000-0005-0000-0000-00000DCF0000}"/>
    <cellStyle name="Normal 22 2 3" xfId="47905" xr:uid="{00000000-0005-0000-0000-00000ECF0000}"/>
    <cellStyle name="Normal 22 2 4" xfId="54156" xr:uid="{00000000-0005-0000-0000-00000FCF0000}"/>
    <cellStyle name="Normal 22 3" xfId="25919" xr:uid="{00000000-0005-0000-0000-000010CF0000}"/>
    <cellStyle name="Normal 22 3 2" xfId="56699" xr:uid="{00000000-0005-0000-0000-000011CF0000}"/>
    <cellStyle name="Normal 22 4" xfId="40906" xr:uid="{00000000-0005-0000-0000-000012CF0000}"/>
    <cellStyle name="Normal 22 5" xfId="53531" xr:uid="{00000000-0005-0000-0000-000013CF0000}"/>
    <cellStyle name="Normal 23" xfId="1518" xr:uid="{00000000-0005-0000-0000-000014CF0000}"/>
    <cellStyle name="Normal 23 2" xfId="8857" xr:uid="{00000000-0005-0000-0000-000015CF0000}"/>
    <cellStyle name="Normal 23 2 2" xfId="57051" xr:uid="{00000000-0005-0000-0000-000016CF0000}"/>
    <cellStyle name="Normal 23 2 3" xfId="53884" xr:uid="{00000000-0005-0000-0000-000017CF0000}"/>
    <cellStyle name="Normal 23 3" xfId="56440" xr:uid="{00000000-0005-0000-0000-000018CF0000}"/>
    <cellStyle name="Normal 23 4" xfId="53248" xr:uid="{00000000-0005-0000-0000-000019CF0000}"/>
    <cellStyle name="Normal 24" xfId="8782" xr:uid="{00000000-0005-0000-0000-00001ACF0000}"/>
    <cellStyle name="Normal 24 2" xfId="8861" xr:uid="{00000000-0005-0000-0000-00001BCF0000}"/>
    <cellStyle name="Normal 24 3" xfId="54456" xr:uid="{00000000-0005-0000-0000-00001CCF0000}"/>
    <cellStyle name="Normal 25" xfId="8858" xr:uid="{00000000-0005-0000-0000-00001DCF0000}"/>
    <cellStyle name="Normal 25 2" xfId="54459" xr:uid="{00000000-0005-0000-0000-00001ECF0000}"/>
    <cellStyle name="Normal 26" xfId="1515" xr:uid="{00000000-0005-0000-0000-00001FCF0000}"/>
    <cellStyle name="Normal 26 2" xfId="10081" xr:uid="{00000000-0005-0000-0000-000020CF0000}"/>
    <cellStyle name="Normal 26 2 2" xfId="26401" xr:uid="{00000000-0005-0000-0000-000021CF0000}"/>
    <cellStyle name="Normal 26 2 3" xfId="41367" xr:uid="{00000000-0005-0000-0000-000022CF0000}"/>
    <cellStyle name="Normal 26 3" xfId="19379" xr:uid="{00000000-0005-0000-0000-000023CF0000}"/>
    <cellStyle name="Normal 26 4" xfId="34368" xr:uid="{00000000-0005-0000-0000-000024CF0000}"/>
    <cellStyle name="Normal 26 5" xfId="54460" xr:uid="{00000000-0005-0000-0000-000025CF0000}"/>
    <cellStyle name="Normal 27" xfId="8903" xr:uid="{00000000-0005-0000-0000-000026CF0000}"/>
    <cellStyle name="Normal 27 2" xfId="16676" xr:uid="{00000000-0005-0000-0000-000027CF0000}"/>
    <cellStyle name="Normal 27 2 2" xfId="32990" xr:uid="{00000000-0005-0000-0000-000028CF0000}"/>
    <cellStyle name="Normal 27 2 3" xfId="47954" xr:uid="{00000000-0005-0000-0000-000029CF0000}"/>
    <cellStyle name="Normal 27 3" xfId="25968" xr:uid="{00000000-0005-0000-0000-00002ACF0000}"/>
    <cellStyle name="Normal 27 4" xfId="40955" xr:uid="{00000000-0005-0000-0000-00002BCF0000}"/>
    <cellStyle name="Normal 27 5" xfId="54461" xr:uid="{00000000-0005-0000-0000-00002CCF0000}"/>
    <cellStyle name="Normal 28" xfId="9666" xr:uid="{00000000-0005-0000-0000-00002DCF0000}"/>
    <cellStyle name="Normal 28 2" xfId="50544" xr:uid="{00000000-0005-0000-0000-00002ECF0000}"/>
    <cellStyle name="Normal 28 3" xfId="54462" xr:uid="{00000000-0005-0000-0000-00002FCF0000}"/>
    <cellStyle name="Normal 29" xfId="9642" xr:uid="{00000000-0005-0000-0000-000030CF0000}"/>
    <cellStyle name="Normal 29 2" xfId="25974" xr:uid="{00000000-0005-0000-0000-000031CF0000}"/>
    <cellStyle name="Normal 29 3" xfId="40960" xr:uid="{00000000-0005-0000-0000-000032CF0000}"/>
    <cellStyle name="Normal 29 4" xfId="54463" xr:uid="{00000000-0005-0000-0000-000033CF0000}"/>
    <cellStyle name="Normal 3" xfId="533" xr:uid="{00000000-0005-0000-0000-000034CF0000}"/>
    <cellStyle name="Normal 3 10" xfId="9644" xr:uid="{00000000-0005-0000-0000-000035CF0000}"/>
    <cellStyle name="Normal 3 10 2" xfId="25975" xr:uid="{00000000-0005-0000-0000-000036CF0000}"/>
    <cellStyle name="Normal 3 10 2 2" xfId="54159" xr:uid="{00000000-0005-0000-0000-000037CF0000}"/>
    <cellStyle name="Normal 3 10 2 2 2" xfId="57326" xr:uid="{00000000-0005-0000-0000-000038CF0000}"/>
    <cellStyle name="Normal 3 10 2 3" xfId="56702" xr:uid="{00000000-0005-0000-0000-000039CF0000}"/>
    <cellStyle name="Normal 3 10 2 4" xfId="53534" xr:uid="{00000000-0005-0000-0000-00003ACF0000}"/>
    <cellStyle name="Normal 3 10 3" xfId="40961" xr:uid="{00000000-0005-0000-0000-00003BCF0000}"/>
    <cellStyle name="Normal 3 10 3 2" xfId="57325" xr:uid="{00000000-0005-0000-0000-00003CCF0000}"/>
    <cellStyle name="Normal 3 10 3 3" xfId="54158" xr:uid="{00000000-0005-0000-0000-00003DCF0000}"/>
    <cellStyle name="Normal 3 10 4" xfId="56701" xr:uid="{00000000-0005-0000-0000-00003ECF0000}"/>
    <cellStyle name="Normal 3 10 5" xfId="53533" xr:uid="{00000000-0005-0000-0000-00003FCF0000}"/>
    <cellStyle name="Normal 3 11" xfId="17430" xr:uid="{00000000-0005-0000-0000-000040CF0000}"/>
    <cellStyle name="Normal 3 11 2" xfId="54160" xr:uid="{00000000-0005-0000-0000-000041CF0000}"/>
    <cellStyle name="Normal 3 11 2 2" xfId="57327" xr:uid="{00000000-0005-0000-0000-000042CF0000}"/>
    <cellStyle name="Normal 3 11 3" xfId="56703" xr:uid="{00000000-0005-0000-0000-000043CF0000}"/>
    <cellStyle name="Normal 3 11 4" xfId="53535" xr:uid="{00000000-0005-0000-0000-000044CF0000}"/>
    <cellStyle name="Normal 3 12" xfId="19286" xr:uid="{00000000-0005-0000-0000-000045CF0000}"/>
    <cellStyle name="Normal 3 12 2" xfId="54161" xr:uid="{00000000-0005-0000-0000-000046CF0000}"/>
    <cellStyle name="Normal 3 12 2 2" xfId="57328" xr:uid="{00000000-0005-0000-0000-000047CF0000}"/>
    <cellStyle name="Normal 3 12 3" xfId="56704" xr:uid="{00000000-0005-0000-0000-000048CF0000}"/>
    <cellStyle name="Normal 3 12 4" xfId="53536" xr:uid="{00000000-0005-0000-0000-000049CF0000}"/>
    <cellStyle name="Normal 3 13" xfId="34281" xr:uid="{00000000-0005-0000-0000-00004ACF0000}"/>
    <cellStyle name="Normal 3 13 2" xfId="54162" xr:uid="{00000000-0005-0000-0000-00004BCF0000}"/>
    <cellStyle name="Normal 3 13 2 2" xfId="57329" xr:uid="{00000000-0005-0000-0000-00004CCF0000}"/>
    <cellStyle name="Normal 3 13 3" xfId="56705" xr:uid="{00000000-0005-0000-0000-00004DCF0000}"/>
    <cellStyle name="Normal 3 13 4" xfId="53537" xr:uid="{00000000-0005-0000-0000-00004ECF0000}"/>
    <cellStyle name="Normal 3 14" xfId="49221" xr:uid="{00000000-0005-0000-0000-00004FCF0000}"/>
    <cellStyle name="Normal 3 14 2" xfId="54157" xr:uid="{00000000-0005-0000-0000-000050CF0000}"/>
    <cellStyle name="Normal 3 14 2 2" xfId="57324" xr:uid="{00000000-0005-0000-0000-000051CF0000}"/>
    <cellStyle name="Normal 3 14 3" xfId="56700" xr:uid="{00000000-0005-0000-0000-000052CF0000}"/>
    <cellStyle name="Normal 3 14 4" xfId="53532" xr:uid="{00000000-0005-0000-0000-000053CF0000}"/>
    <cellStyle name="Normal 3 15" xfId="49626" xr:uid="{00000000-0005-0000-0000-000054CF0000}"/>
    <cellStyle name="Normal 3 15 2" xfId="53117" xr:uid="{00000000-0005-0000-0000-000055CF0000}"/>
    <cellStyle name="Normal 3 16" xfId="50032" xr:uid="{00000000-0005-0000-0000-000056CF0000}"/>
    <cellStyle name="Normal 3 17" xfId="50440" xr:uid="{00000000-0005-0000-0000-000057CF0000}"/>
    <cellStyle name="Normal 3 18" xfId="50540" xr:uid="{00000000-0005-0000-0000-000058CF0000}"/>
    <cellStyle name="Normal 3 19" xfId="50882" xr:uid="{00000000-0005-0000-0000-000059CF0000}"/>
    <cellStyle name="Normal 3 2" xfId="534" xr:uid="{00000000-0005-0000-0000-00005ACF0000}"/>
    <cellStyle name="Normal 3 2 10" xfId="19287" xr:uid="{00000000-0005-0000-0000-00005BCF0000}"/>
    <cellStyle name="Normal 3 2 10 2" xfId="55951" xr:uid="{00000000-0005-0000-0000-00005CCF0000}"/>
    <cellStyle name="Normal 3 2 11" xfId="34282" xr:uid="{00000000-0005-0000-0000-00005DCF0000}"/>
    <cellStyle name="Normal 3 2 12" xfId="49222" xr:uid="{00000000-0005-0000-0000-00005ECF0000}"/>
    <cellStyle name="Normal 3 2 13" xfId="49627" xr:uid="{00000000-0005-0000-0000-00005FCF0000}"/>
    <cellStyle name="Normal 3 2 14" xfId="50033" xr:uid="{00000000-0005-0000-0000-000060CF0000}"/>
    <cellStyle name="Normal 3 2 15" xfId="50441" xr:uid="{00000000-0005-0000-0000-000061CF0000}"/>
    <cellStyle name="Normal 3 2 16" xfId="50541" xr:uid="{00000000-0005-0000-0000-000062CF0000}"/>
    <cellStyle name="Normal 3 2 17" xfId="50883" xr:uid="{00000000-0005-0000-0000-000063CF0000}"/>
    <cellStyle name="Normal 3 2 18" xfId="51602" xr:uid="{00000000-0005-0000-0000-000064CF0000}"/>
    <cellStyle name="Normal 3 2 19" xfId="52015" xr:uid="{00000000-0005-0000-0000-000065CF0000}"/>
    <cellStyle name="Normal 3 2 2" xfId="535" xr:uid="{00000000-0005-0000-0000-000066CF0000}"/>
    <cellStyle name="Normal 3 2 2 10" xfId="50034" xr:uid="{00000000-0005-0000-0000-000067CF0000}"/>
    <cellStyle name="Normal 3 2 2 11" xfId="50442" xr:uid="{00000000-0005-0000-0000-000068CF0000}"/>
    <cellStyle name="Normal 3 2 2 12" xfId="50884" xr:uid="{00000000-0005-0000-0000-000069CF0000}"/>
    <cellStyle name="Normal 3 2 2 13" xfId="51603" xr:uid="{00000000-0005-0000-0000-00006ACF0000}"/>
    <cellStyle name="Normal 3 2 2 14" xfId="52016" xr:uid="{00000000-0005-0000-0000-00006BCF0000}"/>
    <cellStyle name="Normal 3 2 2 2" xfId="1307" xr:uid="{00000000-0005-0000-0000-00006CCF0000}"/>
    <cellStyle name="Normal 3 2 2 2 10" xfId="50535" xr:uid="{00000000-0005-0000-0000-00006DCF0000}"/>
    <cellStyle name="Normal 3 2 2 2 11" xfId="51100" xr:uid="{00000000-0005-0000-0000-00006ECF0000}"/>
    <cellStyle name="Normal 3 2 2 2 12" xfId="51696" xr:uid="{00000000-0005-0000-0000-00006FCF0000}"/>
    <cellStyle name="Normal 3 2 2 2 13" xfId="52117" xr:uid="{00000000-0005-0000-0000-000070CF0000}"/>
    <cellStyle name="Normal 3 2 2 2 2" xfId="8817" xr:uid="{00000000-0005-0000-0000-000071CF0000}"/>
    <cellStyle name="Normal 3 2 2 2 2 2" xfId="57332" xr:uid="{00000000-0005-0000-0000-000072CF0000}"/>
    <cellStyle name="Normal 3 2 2 2 2 3" xfId="54165" xr:uid="{00000000-0005-0000-0000-000073CF0000}"/>
    <cellStyle name="Normal 3 2 2 2 3" xfId="8898" xr:uid="{00000000-0005-0000-0000-000074CF0000}"/>
    <cellStyle name="Normal 3 2 2 2 3 2" xfId="16672" xr:uid="{00000000-0005-0000-0000-000075CF0000}"/>
    <cellStyle name="Normal 3 2 2 2 3 2 2" xfId="32986" xr:uid="{00000000-0005-0000-0000-000076CF0000}"/>
    <cellStyle name="Normal 3 2 2 2 3 2 3" xfId="47950" xr:uid="{00000000-0005-0000-0000-000077CF0000}"/>
    <cellStyle name="Normal 3 2 2 2 3 2 4" xfId="56708" xr:uid="{00000000-0005-0000-0000-000078CF0000}"/>
    <cellStyle name="Normal 3 2 2 2 3 3" xfId="25964" xr:uid="{00000000-0005-0000-0000-000079CF0000}"/>
    <cellStyle name="Normal 3 2 2 2 3 4" xfId="40951" xr:uid="{00000000-0005-0000-0000-00007ACF0000}"/>
    <cellStyle name="Normal 3 2 2 2 3 5" xfId="53540" xr:uid="{00000000-0005-0000-0000-00007BCF0000}"/>
    <cellStyle name="Normal 3 2 2 2 4" xfId="10074" xr:uid="{00000000-0005-0000-0000-00007CCF0000}"/>
    <cellStyle name="Normal 3 2 2 2 4 2" xfId="26395" xr:uid="{00000000-0005-0000-0000-00007DCF0000}"/>
    <cellStyle name="Normal 3 2 2 2 4 3" xfId="41363" xr:uid="{00000000-0005-0000-0000-00007ECF0000}"/>
    <cellStyle name="Normal 3 2 2 2 5" xfId="19374" xr:uid="{00000000-0005-0000-0000-00007FCF0000}"/>
    <cellStyle name="Normal 3 2 2 2 6" xfId="34364" xr:uid="{00000000-0005-0000-0000-000080CF0000}"/>
    <cellStyle name="Normal 3 2 2 2 7" xfId="49316" xr:uid="{00000000-0005-0000-0000-000081CF0000}"/>
    <cellStyle name="Normal 3 2 2 2 8" xfId="49721" xr:uid="{00000000-0005-0000-0000-000082CF0000}"/>
    <cellStyle name="Normal 3 2 2 2 9" xfId="50130" xr:uid="{00000000-0005-0000-0000-000083CF0000}"/>
    <cellStyle name="Normal 3 2 2 3" xfId="5139" xr:uid="{00000000-0005-0000-0000-000084CF0000}"/>
    <cellStyle name="Normal 3 2 2 3 2" xfId="18954" xr:uid="{00000000-0005-0000-0000-000085CF0000}"/>
    <cellStyle name="Normal 3 2 2 3 2 2" xfId="33951" xr:uid="{00000000-0005-0000-0000-000086CF0000}"/>
    <cellStyle name="Normal 3 2 2 3 2 2 2" xfId="57333" xr:uid="{00000000-0005-0000-0000-000087CF0000}"/>
    <cellStyle name="Normal 3 2 2 3 2 3" xfId="48912" xr:uid="{00000000-0005-0000-0000-000088CF0000}"/>
    <cellStyle name="Normal 3 2 2 3 2 4" xfId="54166" xr:uid="{00000000-0005-0000-0000-000089CF0000}"/>
    <cellStyle name="Normal 3 2 2 3 3" xfId="53541" xr:uid="{00000000-0005-0000-0000-00008ACF0000}"/>
    <cellStyle name="Normal 3 2 2 3 3 2" xfId="56709" xr:uid="{00000000-0005-0000-0000-00008BCF0000}"/>
    <cellStyle name="Normal 3 2 2 3 4" xfId="56359" xr:uid="{00000000-0005-0000-0000-00008CCF0000}"/>
    <cellStyle name="Normal 3 2 2 3 5" xfId="53085" xr:uid="{00000000-0005-0000-0000-00008DCF0000}"/>
    <cellStyle name="Normal 3 2 2 4" xfId="8865" xr:uid="{00000000-0005-0000-0000-00008ECF0000}"/>
    <cellStyle name="Normal 3 2 2 4 2" xfId="16641" xr:uid="{00000000-0005-0000-0000-00008FCF0000}"/>
    <cellStyle name="Normal 3 2 2 4 2 2" xfId="32955" xr:uid="{00000000-0005-0000-0000-000090CF0000}"/>
    <cellStyle name="Normal 3 2 2 4 2 2 2" xfId="57334" xr:uid="{00000000-0005-0000-0000-000091CF0000}"/>
    <cellStyle name="Normal 3 2 2 4 2 3" xfId="47919" xr:uid="{00000000-0005-0000-0000-000092CF0000}"/>
    <cellStyle name="Normal 3 2 2 4 2 4" xfId="54167" xr:uid="{00000000-0005-0000-0000-000093CF0000}"/>
    <cellStyle name="Normal 3 2 2 4 3" xfId="25933" xr:uid="{00000000-0005-0000-0000-000094CF0000}"/>
    <cellStyle name="Normal 3 2 2 4 3 2" xfId="56710" xr:uid="{00000000-0005-0000-0000-000095CF0000}"/>
    <cellStyle name="Normal 3 2 2 4 4" xfId="40920" xr:uid="{00000000-0005-0000-0000-000096CF0000}"/>
    <cellStyle name="Normal 3 2 2 4 5" xfId="53542" xr:uid="{00000000-0005-0000-0000-000097CF0000}"/>
    <cellStyle name="Normal 3 2 2 5" xfId="9979" xr:uid="{00000000-0005-0000-0000-000098CF0000}"/>
    <cellStyle name="Normal 3 2 2 5 2" xfId="26305" xr:uid="{00000000-0005-0000-0000-000099CF0000}"/>
    <cellStyle name="Normal 3 2 2 5 2 2" xfId="57331" xr:uid="{00000000-0005-0000-0000-00009ACF0000}"/>
    <cellStyle name="Normal 3 2 2 5 3" xfId="41283" xr:uid="{00000000-0005-0000-0000-00009BCF0000}"/>
    <cellStyle name="Normal 3 2 2 5 4" xfId="54164" xr:uid="{00000000-0005-0000-0000-00009CCF0000}"/>
    <cellStyle name="Normal 3 2 2 6" xfId="19288" xr:uid="{00000000-0005-0000-0000-00009DCF0000}"/>
    <cellStyle name="Normal 3 2 2 6 2" xfId="56707" xr:uid="{00000000-0005-0000-0000-00009ECF0000}"/>
    <cellStyle name="Normal 3 2 2 6 3" xfId="53539" xr:uid="{00000000-0005-0000-0000-00009FCF0000}"/>
    <cellStyle name="Normal 3 2 2 7" xfId="34283" xr:uid="{00000000-0005-0000-0000-0000A0CF0000}"/>
    <cellStyle name="Normal 3 2 2 8" xfId="49223" xr:uid="{00000000-0005-0000-0000-0000A1CF0000}"/>
    <cellStyle name="Normal 3 2 2 9" xfId="49628" xr:uid="{00000000-0005-0000-0000-0000A2CF0000}"/>
    <cellStyle name="Normal 3 2 20" xfId="52669" xr:uid="{00000000-0005-0000-0000-0000A3CF0000}"/>
    <cellStyle name="Normal 3 2 3" xfId="1306" xr:uid="{00000000-0005-0000-0000-0000A4CF0000}"/>
    <cellStyle name="Normal 3 2 3 10" xfId="49720" xr:uid="{00000000-0005-0000-0000-0000A5CF0000}"/>
    <cellStyle name="Normal 3 2 3 11" xfId="50129" xr:uid="{00000000-0005-0000-0000-0000A6CF0000}"/>
    <cellStyle name="Normal 3 2 3 12" xfId="50534" xr:uid="{00000000-0005-0000-0000-0000A7CF0000}"/>
    <cellStyle name="Normal 3 2 3 13" xfId="51099" xr:uid="{00000000-0005-0000-0000-0000A8CF0000}"/>
    <cellStyle name="Normal 3 2 3 14" xfId="51695" xr:uid="{00000000-0005-0000-0000-0000A9CF0000}"/>
    <cellStyle name="Normal 3 2 3 15" xfId="52116" xr:uid="{00000000-0005-0000-0000-0000AACF0000}"/>
    <cellStyle name="Normal 3 2 3 16" xfId="53043" xr:uid="{00000000-0005-0000-0000-0000ABCF0000}"/>
    <cellStyle name="Normal 3 2 3 2" xfId="8653" xr:uid="{00000000-0005-0000-0000-0000ACCF0000}"/>
    <cellStyle name="Normal 3 2 3 2 2" xfId="16534" xr:uid="{00000000-0005-0000-0000-0000ADCF0000}"/>
    <cellStyle name="Normal 3 2 3 2 2 2" xfId="32849" xr:uid="{00000000-0005-0000-0000-0000AECF0000}"/>
    <cellStyle name="Normal 3 2 3 2 2 2 2" xfId="57335" xr:uid="{00000000-0005-0000-0000-0000AFCF0000}"/>
    <cellStyle name="Normal 3 2 3 2 2 3" xfId="47813" xr:uid="{00000000-0005-0000-0000-0000B0CF0000}"/>
    <cellStyle name="Normal 3 2 3 2 2 4" xfId="54168" xr:uid="{00000000-0005-0000-0000-0000B1CF0000}"/>
    <cellStyle name="Normal 3 2 3 2 3" xfId="18932" xr:uid="{00000000-0005-0000-0000-0000B2CF0000}"/>
    <cellStyle name="Normal 3 2 3 2 3 2" xfId="33933" xr:uid="{00000000-0005-0000-0000-0000B3CF0000}"/>
    <cellStyle name="Normal 3 2 3 2 3 3" xfId="48894" xr:uid="{00000000-0005-0000-0000-0000B4CF0000}"/>
    <cellStyle name="Normal 3 2 3 2 3 4" xfId="56341" xr:uid="{00000000-0005-0000-0000-0000B5CF0000}"/>
    <cellStyle name="Normal 3 2 3 2 4" xfId="25827" xr:uid="{00000000-0005-0000-0000-0000B6CF0000}"/>
    <cellStyle name="Normal 3 2 3 2 5" xfId="40814" xr:uid="{00000000-0005-0000-0000-0000B7CF0000}"/>
    <cellStyle name="Normal 3 2 3 2 6" xfId="53067" xr:uid="{00000000-0005-0000-0000-0000B8CF0000}"/>
    <cellStyle name="Normal 3 2 3 3" xfId="5140" xr:uid="{00000000-0005-0000-0000-0000B9CF0000}"/>
    <cellStyle name="Normal 3 2 3 3 2" xfId="13229" xr:uid="{00000000-0005-0000-0000-0000BACF0000}"/>
    <cellStyle name="Normal 3 2 3 3 2 2" xfId="29549" xr:uid="{00000000-0005-0000-0000-0000BBCF0000}"/>
    <cellStyle name="Normal 3 2 3 3 2 3" xfId="44514" xr:uid="{00000000-0005-0000-0000-0000BCCF0000}"/>
    <cellStyle name="Normal 3 2 3 3 2 4" xfId="56711" xr:uid="{00000000-0005-0000-0000-0000BDCF0000}"/>
    <cellStyle name="Normal 3 2 3 3 3" xfId="22527" xr:uid="{00000000-0005-0000-0000-0000BECF0000}"/>
    <cellStyle name="Normal 3 2 3 3 4" xfId="37515" xr:uid="{00000000-0005-0000-0000-0000BFCF0000}"/>
    <cellStyle name="Normal 3 2 3 3 5" xfId="53543" xr:uid="{00000000-0005-0000-0000-0000C0CF0000}"/>
    <cellStyle name="Normal 3 2 3 4" xfId="8897" xr:uid="{00000000-0005-0000-0000-0000C1CF0000}"/>
    <cellStyle name="Normal 3 2 3 4 2" xfId="16671" xr:uid="{00000000-0005-0000-0000-0000C2CF0000}"/>
    <cellStyle name="Normal 3 2 3 4 2 2" xfId="32985" xr:uid="{00000000-0005-0000-0000-0000C3CF0000}"/>
    <cellStyle name="Normal 3 2 3 4 2 3" xfId="47949" xr:uid="{00000000-0005-0000-0000-0000C4CF0000}"/>
    <cellStyle name="Normal 3 2 3 4 3" xfId="25963" xr:uid="{00000000-0005-0000-0000-0000C5CF0000}"/>
    <cellStyle name="Normal 3 2 3 4 4" xfId="40950" xr:uid="{00000000-0005-0000-0000-0000C6CF0000}"/>
    <cellStyle name="Normal 3 2 3 4 5" xfId="55398" xr:uid="{00000000-0005-0000-0000-0000C7CF0000}"/>
    <cellStyle name="Normal 3 2 3 5" xfId="10073" xr:uid="{00000000-0005-0000-0000-0000C8CF0000}"/>
    <cellStyle name="Normal 3 2 3 5 2" xfId="26394" xr:uid="{00000000-0005-0000-0000-0000C9CF0000}"/>
    <cellStyle name="Normal 3 2 3 5 3" xfId="41362" xr:uid="{00000000-0005-0000-0000-0000CACF0000}"/>
    <cellStyle name="Normal 3 2 3 5 4" xfId="56320" xr:uid="{00000000-0005-0000-0000-0000CBCF0000}"/>
    <cellStyle name="Normal 3 2 3 6" xfId="18447" xr:uid="{00000000-0005-0000-0000-0000CCCF0000}"/>
    <cellStyle name="Normal 3 2 3 6 2" xfId="33913" xr:uid="{00000000-0005-0000-0000-0000CDCF0000}"/>
    <cellStyle name="Normal 3 2 3 6 3" xfId="48874" xr:uid="{00000000-0005-0000-0000-0000CECF0000}"/>
    <cellStyle name="Normal 3 2 3 7" xfId="19373" xr:uid="{00000000-0005-0000-0000-0000CFCF0000}"/>
    <cellStyle name="Normal 3 2 3 8" xfId="34363" xr:uid="{00000000-0005-0000-0000-0000D0CF0000}"/>
    <cellStyle name="Normal 3 2 3 9" xfId="49315" xr:uid="{00000000-0005-0000-0000-0000D1CF0000}"/>
    <cellStyle name="Normal 3 2 4" xfId="6033" xr:uid="{00000000-0005-0000-0000-0000D2CF0000}"/>
    <cellStyle name="Normal 3 2 4 2" xfId="13951" xr:uid="{00000000-0005-0000-0000-0000D3CF0000}"/>
    <cellStyle name="Normal 3 2 4 2 2" xfId="30266" xr:uid="{00000000-0005-0000-0000-0000D4CF0000}"/>
    <cellStyle name="Normal 3 2 4 2 2 2" xfId="57336" xr:uid="{00000000-0005-0000-0000-0000D5CF0000}"/>
    <cellStyle name="Normal 3 2 4 2 3" xfId="45230" xr:uid="{00000000-0005-0000-0000-0000D6CF0000}"/>
    <cellStyle name="Normal 3 2 4 2 4" xfId="54169" xr:uid="{00000000-0005-0000-0000-0000D7CF0000}"/>
    <cellStyle name="Normal 3 2 4 3" xfId="18948" xr:uid="{00000000-0005-0000-0000-0000D8CF0000}"/>
    <cellStyle name="Normal 3 2 4 3 2" xfId="33947" xr:uid="{00000000-0005-0000-0000-0000D9CF0000}"/>
    <cellStyle name="Normal 3 2 4 3 2 2" xfId="56712" xr:uid="{00000000-0005-0000-0000-0000DACF0000}"/>
    <cellStyle name="Normal 3 2 4 3 3" xfId="48908" xr:uid="{00000000-0005-0000-0000-0000DBCF0000}"/>
    <cellStyle name="Normal 3 2 4 3 4" xfId="53544" xr:uid="{00000000-0005-0000-0000-0000DCCF0000}"/>
    <cellStyle name="Normal 3 2 4 4" xfId="23244" xr:uid="{00000000-0005-0000-0000-0000DDCF0000}"/>
    <cellStyle name="Normal 3 2 4 4 2" xfId="56355" xr:uid="{00000000-0005-0000-0000-0000DECF0000}"/>
    <cellStyle name="Normal 3 2 4 5" xfId="38231" xr:uid="{00000000-0005-0000-0000-0000DFCF0000}"/>
    <cellStyle name="Normal 3 2 4 6" xfId="53081" xr:uid="{00000000-0005-0000-0000-0000E0CF0000}"/>
    <cellStyle name="Normal 3 2 5" xfId="5138" xr:uid="{00000000-0005-0000-0000-0000E1CF0000}"/>
    <cellStyle name="Normal 3 2 5 2" xfId="13228" xr:uid="{00000000-0005-0000-0000-0000E2CF0000}"/>
    <cellStyle name="Normal 3 2 5 2 2" xfId="29548" xr:uid="{00000000-0005-0000-0000-0000E3CF0000}"/>
    <cellStyle name="Normal 3 2 5 2 2 2" xfId="57337" xr:uid="{00000000-0005-0000-0000-0000E4CF0000}"/>
    <cellStyle name="Normal 3 2 5 2 3" xfId="44513" xr:uid="{00000000-0005-0000-0000-0000E5CF0000}"/>
    <cellStyle name="Normal 3 2 5 2 4" xfId="54170" xr:uid="{00000000-0005-0000-0000-0000E6CF0000}"/>
    <cellStyle name="Normal 3 2 5 3" xfId="18913" xr:uid="{00000000-0005-0000-0000-0000E7CF0000}"/>
    <cellStyle name="Normal 3 2 5 3 2" xfId="33923" xr:uid="{00000000-0005-0000-0000-0000E8CF0000}"/>
    <cellStyle name="Normal 3 2 5 3 2 2" xfId="56713" xr:uid="{00000000-0005-0000-0000-0000E9CF0000}"/>
    <cellStyle name="Normal 3 2 5 3 3" xfId="48884" xr:uid="{00000000-0005-0000-0000-0000EACF0000}"/>
    <cellStyle name="Normal 3 2 5 3 4" xfId="53545" xr:uid="{00000000-0005-0000-0000-0000EBCF0000}"/>
    <cellStyle name="Normal 3 2 5 4" xfId="22526" xr:uid="{00000000-0005-0000-0000-0000ECCF0000}"/>
    <cellStyle name="Normal 3 2 5 4 2" xfId="56331" xr:uid="{00000000-0005-0000-0000-0000EDCF0000}"/>
    <cellStyle name="Normal 3 2 5 5" xfId="37514" xr:uid="{00000000-0005-0000-0000-0000EECF0000}"/>
    <cellStyle name="Normal 3 2 5 6" xfId="53057" xr:uid="{00000000-0005-0000-0000-0000EFCF0000}"/>
    <cellStyle name="Normal 3 2 6" xfId="8864" xr:uid="{00000000-0005-0000-0000-0000F0CF0000}"/>
    <cellStyle name="Normal 3 2 6 2" xfId="16640" xr:uid="{00000000-0005-0000-0000-0000F1CF0000}"/>
    <cellStyle name="Normal 3 2 6 2 2" xfId="32954" xr:uid="{00000000-0005-0000-0000-0000F2CF0000}"/>
    <cellStyle name="Normal 3 2 6 2 2 2" xfId="57338" xr:uid="{00000000-0005-0000-0000-0000F3CF0000}"/>
    <cellStyle name="Normal 3 2 6 2 3" xfId="47918" xr:uid="{00000000-0005-0000-0000-0000F4CF0000}"/>
    <cellStyle name="Normal 3 2 6 2 4" xfId="54171" xr:uid="{00000000-0005-0000-0000-0000F5CF0000}"/>
    <cellStyle name="Normal 3 2 6 3" xfId="25932" xr:uid="{00000000-0005-0000-0000-0000F6CF0000}"/>
    <cellStyle name="Normal 3 2 6 3 2" xfId="56714" xr:uid="{00000000-0005-0000-0000-0000F7CF0000}"/>
    <cellStyle name="Normal 3 2 6 4" xfId="40919" xr:uid="{00000000-0005-0000-0000-0000F8CF0000}"/>
    <cellStyle name="Normal 3 2 6 5" xfId="53546" xr:uid="{00000000-0005-0000-0000-0000F9CF0000}"/>
    <cellStyle name="Normal 3 2 7" xfId="9420" xr:uid="{00000000-0005-0000-0000-0000FACF0000}"/>
    <cellStyle name="Normal 3 2 7 2" xfId="16679" xr:uid="{00000000-0005-0000-0000-0000FBCF0000}"/>
    <cellStyle name="Normal 3 2 7 2 2" xfId="32993" xr:uid="{00000000-0005-0000-0000-0000FCCF0000}"/>
    <cellStyle name="Normal 3 2 7 2 2 2" xfId="57330" xr:uid="{00000000-0005-0000-0000-0000FDCF0000}"/>
    <cellStyle name="Normal 3 2 7 2 3" xfId="47956" xr:uid="{00000000-0005-0000-0000-0000FECF0000}"/>
    <cellStyle name="Normal 3 2 7 2 4" xfId="54163" xr:uid="{00000000-0005-0000-0000-0000FFCF0000}"/>
    <cellStyle name="Normal 3 2 7 3" xfId="25970" xr:uid="{00000000-0005-0000-0000-000000D00000}"/>
    <cellStyle name="Normal 3 2 7 3 2" xfId="56706" xr:uid="{00000000-0005-0000-0000-000001D00000}"/>
    <cellStyle name="Normal 3 2 7 4" xfId="40957" xr:uid="{00000000-0005-0000-0000-000002D00000}"/>
    <cellStyle name="Normal 3 2 7 5" xfId="53538" xr:uid="{00000000-0005-0000-0000-000003D00000}"/>
    <cellStyle name="Normal 3 2 8" xfId="9645" xr:uid="{00000000-0005-0000-0000-000004D00000}"/>
    <cellStyle name="Normal 3 2 8 2" xfId="25976" xr:uid="{00000000-0005-0000-0000-000005D00000}"/>
    <cellStyle name="Normal 3 2 8 3" xfId="40962" xr:uid="{00000000-0005-0000-0000-000006D00000}"/>
    <cellStyle name="Normal 3 2 8 4" xfId="53238" xr:uid="{00000000-0005-0000-0000-000007D00000}"/>
    <cellStyle name="Normal 3 2 9" xfId="17431" xr:uid="{00000000-0005-0000-0000-000008D00000}"/>
    <cellStyle name="Normal 3 2 9 2" xfId="33544" xr:uid="{00000000-0005-0000-0000-000009D00000}"/>
    <cellStyle name="Normal 3 2 9 3" xfId="48505" xr:uid="{00000000-0005-0000-0000-00000AD00000}"/>
    <cellStyle name="Normal 3 2 9 4" xfId="55026" xr:uid="{00000000-0005-0000-0000-00000BD00000}"/>
    <cellStyle name="Normal 3 20" xfId="51601" xr:uid="{00000000-0005-0000-0000-00000CD00000}"/>
    <cellStyle name="Normal 3 21" xfId="51703" xr:uid="{00000000-0005-0000-0000-00000DD00000}"/>
    <cellStyle name="Normal 3 22" xfId="52014" xr:uid="{00000000-0005-0000-0000-00000ED00000}"/>
    <cellStyle name="Normal 3 3" xfId="536" xr:uid="{00000000-0005-0000-0000-00000FD00000}"/>
    <cellStyle name="Normal 3 3 10" xfId="55952" xr:uid="{00000000-0005-0000-0000-000010D00000}"/>
    <cellStyle name="Normal 3 3 11" xfId="52670" xr:uid="{00000000-0005-0000-0000-000011D00000}"/>
    <cellStyle name="Normal 3 3 2" xfId="8818" xr:uid="{00000000-0005-0000-0000-000012D00000}"/>
    <cellStyle name="Normal 3 3 2 2" xfId="18933" xr:uid="{00000000-0005-0000-0000-000013D00000}"/>
    <cellStyle name="Normal 3 3 2 2 2" xfId="33934" xr:uid="{00000000-0005-0000-0000-000014D00000}"/>
    <cellStyle name="Normal 3 3 2 2 2 2" xfId="57341" xr:uid="{00000000-0005-0000-0000-000015D00000}"/>
    <cellStyle name="Normal 3 3 2 2 2 3" xfId="54174" xr:uid="{00000000-0005-0000-0000-000016D00000}"/>
    <cellStyle name="Normal 3 3 2 2 3" xfId="48895" xr:uid="{00000000-0005-0000-0000-000017D00000}"/>
    <cellStyle name="Normal 3 3 2 2 3 2" xfId="56717" xr:uid="{00000000-0005-0000-0000-000018D00000}"/>
    <cellStyle name="Normal 3 3 2 2 3 3" xfId="53549" xr:uid="{00000000-0005-0000-0000-000019D00000}"/>
    <cellStyle name="Normal 3 3 2 2 4" xfId="56342" xr:uid="{00000000-0005-0000-0000-00001AD00000}"/>
    <cellStyle name="Normal 3 3 2 2 5" xfId="53068" xr:uid="{00000000-0005-0000-0000-00001BD00000}"/>
    <cellStyle name="Normal 3 3 2 3" xfId="18448" xr:uid="{00000000-0005-0000-0000-00001CD00000}"/>
    <cellStyle name="Normal 3 3 2 3 2" xfId="33914" xr:uid="{00000000-0005-0000-0000-00001DD00000}"/>
    <cellStyle name="Normal 3 3 2 3 2 2" xfId="57342" xr:uid="{00000000-0005-0000-0000-00001ED00000}"/>
    <cellStyle name="Normal 3 3 2 3 2 3" xfId="54175" xr:uid="{00000000-0005-0000-0000-00001FD00000}"/>
    <cellStyle name="Normal 3 3 2 3 3" xfId="48875" xr:uid="{00000000-0005-0000-0000-000020D00000}"/>
    <cellStyle name="Normal 3 3 2 3 3 2" xfId="56718" xr:uid="{00000000-0005-0000-0000-000021D00000}"/>
    <cellStyle name="Normal 3 3 2 3 4" xfId="53550" xr:uid="{00000000-0005-0000-0000-000022D00000}"/>
    <cellStyle name="Normal 3 3 2 4" xfId="54173" xr:uid="{00000000-0005-0000-0000-000023D00000}"/>
    <cellStyle name="Normal 3 3 2 4 2" xfId="57340" xr:uid="{00000000-0005-0000-0000-000024D00000}"/>
    <cellStyle name="Normal 3 3 2 5" xfId="53548" xr:uid="{00000000-0005-0000-0000-000025D00000}"/>
    <cellStyle name="Normal 3 3 2 5 2" xfId="56716" xr:uid="{00000000-0005-0000-0000-000026D00000}"/>
    <cellStyle name="Normal 3 3 2 6" xfId="55399" xr:uid="{00000000-0005-0000-0000-000027D00000}"/>
    <cellStyle name="Normal 3 3 2 7" xfId="56321" xr:uid="{00000000-0005-0000-0000-000028D00000}"/>
    <cellStyle name="Normal 3 3 2 8" xfId="53044" xr:uid="{00000000-0005-0000-0000-000029D00000}"/>
    <cellStyle name="Normal 3 3 3" xfId="5141" xr:uid="{00000000-0005-0000-0000-00002AD00000}"/>
    <cellStyle name="Normal 3 3 3 2" xfId="18953" xr:uid="{00000000-0005-0000-0000-00002BD00000}"/>
    <cellStyle name="Normal 3 3 3 2 2" xfId="33950" xr:uid="{00000000-0005-0000-0000-00002CD00000}"/>
    <cellStyle name="Normal 3 3 3 2 2 2" xfId="57343" xr:uid="{00000000-0005-0000-0000-00002DD00000}"/>
    <cellStyle name="Normal 3 3 3 2 3" xfId="48911" xr:uid="{00000000-0005-0000-0000-00002ED00000}"/>
    <cellStyle name="Normal 3 3 3 2 4" xfId="54176" xr:uid="{00000000-0005-0000-0000-00002FD00000}"/>
    <cellStyle name="Normal 3 3 3 3" xfId="53551" xr:uid="{00000000-0005-0000-0000-000030D00000}"/>
    <cellStyle name="Normal 3 3 3 3 2" xfId="56719" xr:uid="{00000000-0005-0000-0000-000031D00000}"/>
    <cellStyle name="Normal 3 3 3 4" xfId="56358" xr:uid="{00000000-0005-0000-0000-000032D00000}"/>
    <cellStyle name="Normal 3 3 3 5" xfId="53084" xr:uid="{00000000-0005-0000-0000-000033D00000}"/>
    <cellStyle name="Normal 3 3 4" xfId="18914" xr:uid="{00000000-0005-0000-0000-000034D00000}"/>
    <cellStyle name="Normal 3 3 4 2" xfId="33924" xr:uid="{00000000-0005-0000-0000-000035D00000}"/>
    <cellStyle name="Normal 3 3 4 2 2" xfId="57344" xr:uid="{00000000-0005-0000-0000-000036D00000}"/>
    <cellStyle name="Normal 3 3 4 2 3" xfId="54177" xr:uid="{00000000-0005-0000-0000-000037D00000}"/>
    <cellStyle name="Normal 3 3 4 3" xfId="48885" xr:uid="{00000000-0005-0000-0000-000038D00000}"/>
    <cellStyle name="Normal 3 3 4 3 2" xfId="56720" xr:uid="{00000000-0005-0000-0000-000039D00000}"/>
    <cellStyle name="Normal 3 3 4 3 3" xfId="53552" xr:uid="{00000000-0005-0000-0000-00003AD00000}"/>
    <cellStyle name="Normal 3 3 4 4" xfId="56332" xr:uid="{00000000-0005-0000-0000-00003BD00000}"/>
    <cellStyle name="Normal 3 3 4 5" xfId="53058" xr:uid="{00000000-0005-0000-0000-00003CD00000}"/>
    <cellStyle name="Normal 3 3 5" xfId="17432" xr:uid="{00000000-0005-0000-0000-00003DD00000}"/>
    <cellStyle name="Normal 3 3 5 2" xfId="33545" xr:uid="{00000000-0005-0000-0000-00003ED00000}"/>
    <cellStyle name="Normal 3 3 5 2 2" xfId="57345" xr:uid="{00000000-0005-0000-0000-00003FD00000}"/>
    <cellStyle name="Normal 3 3 5 2 3" xfId="54178" xr:uid="{00000000-0005-0000-0000-000040D00000}"/>
    <cellStyle name="Normal 3 3 5 3" xfId="48506" xr:uid="{00000000-0005-0000-0000-000041D00000}"/>
    <cellStyle name="Normal 3 3 5 3 2" xfId="56721" xr:uid="{00000000-0005-0000-0000-000042D00000}"/>
    <cellStyle name="Normal 3 3 5 4" xfId="53553" xr:uid="{00000000-0005-0000-0000-000043D00000}"/>
    <cellStyle name="Normal 3 3 6" xfId="53554" xr:uid="{00000000-0005-0000-0000-000044D00000}"/>
    <cellStyle name="Normal 3 3 6 2" xfId="54179" xr:uid="{00000000-0005-0000-0000-000045D00000}"/>
    <cellStyle name="Normal 3 3 6 2 2" xfId="57346" xr:uid="{00000000-0005-0000-0000-000046D00000}"/>
    <cellStyle name="Normal 3 3 6 3" xfId="56722" xr:uid="{00000000-0005-0000-0000-000047D00000}"/>
    <cellStyle name="Normal 3 3 7" xfId="54172" xr:uid="{00000000-0005-0000-0000-000048D00000}"/>
    <cellStyle name="Normal 3 3 7 2" xfId="57339" xr:uid="{00000000-0005-0000-0000-000049D00000}"/>
    <cellStyle name="Normal 3 3 8" xfId="53547" xr:uid="{00000000-0005-0000-0000-00004AD00000}"/>
    <cellStyle name="Normal 3 3 8 2" xfId="56715" xr:uid="{00000000-0005-0000-0000-00004BD00000}"/>
    <cellStyle name="Normal 3 3 9" xfId="55027" xr:uid="{00000000-0005-0000-0000-00004CD00000}"/>
    <cellStyle name="Normal 3 4" xfId="1168" xr:uid="{00000000-0005-0000-0000-00004DD00000}"/>
    <cellStyle name="Normal 3 4 10" xfId="49646" xr:uid="{00000000-0005-0000-0000-00004ED00000}"/>
    <cellStyle name="Normal 3 4 10 2" xfId="56354" xr:uid="{00000000-0005-0000-0000-00004FD00000}"/>
    <cellStyle name="Normal 3 4 11" xfId="50055" xr:uid="{00000000-0005-0000-0000-000050D00000}"/>
    <cellStyle name="Normal 3 4 12" xfId="50460" xr:uid="{00000000-0005-0000-0000-000051D00000}"/>
    <cellStyle name="Normal 3 4 13" xfId="51020" xr:uid="{00000000-0005-0000-0000-000052D00000}"/>
    <cellStyle name="Normal 3 4 14" xfId="51621" xr:uid="{00000000-0005-0000-0000-000053D00000}"/>
    <cellStyle name="Normal 3 4 15" xfId="52041" xr:uid="{00000000-0005-0000-0000-000054D00000}"/>
    <cellStyle name="Normal 3 4 16" xfId="53080" xr:uid="{00000000-0005-0000-0000-000055D00000}"/>
    <cellStyle name="Normal 3 4 2" xfId="8816" xr:uid="{00000000-0005-0000-0000-000056D00000}"/>
    <cellStyle name="Normal 3 4 2 2" xfId="53557" xr:uid="{00000000-0005-0000-0000-000057D00000}"/>
    <cellStyle name="Normal 3 4 2 2 2" xfId="54182" xr:uid="{00000000-0005-0000-0000-000058D00000}"/>
    <cellStyle name="Normal 3 4 2 2 2 2" xfId="57349" xr:uid="{00000000-0005-0000-0000-000059D00000}"/>
    <cellStyle name="Normal 3 4 2 2 3" xfId="56725" xr:uid="{00000000-0005-0000-0000-00005AD00000}"/>
    <cellStyle name="Normal 3 4 2 3" xfId="53558" xr:uid="{00000000-0005-0000-0000-00005BD00000}"/>
    <cellStyle name="Normal 3 4 2 3 2" xfId="54183" xr:uid="{00000000-0005-0000-0000-00005CD00000}"/>
    <cellStyle name="Normal 3 4 2 3 2 2" xfId="57350" xr:uid="{00000000-0005-0000-0000-00005DD00000}"/>
    <cellStyle name="Normal 3 4 2 3 3" xfId="56726" xr:uid="{00000000-0005-0000-0000-00005ED00000}"/>
    <cellStyle name="Normal 3 4 2 4" xfId="54181" xr:uid="{00000000-0005-0000-0000-00005FD00000}"/>
    <cellStyle name="Normal 3 4 2 4 2" xfId="57348" xr:uid="{00000000-0005-0000-0000-000060D00000}"/>
    <cellStyle name="Normal 3 4 2 5" xfId="56724" xr:uid="{00000000-0005-0000-0000-000061D00000}"/>
    <cellStyle name="Normal 3 4 2 6" xfId="53556" xr:uid="{00000000-0005-0000-0000-000062D00000}"/>
    <cellStyle name="Normal 3 4 3" xfId="5137" xr:uid="{00000000-0005-0000-0000-000063D00000}"/>
    <cellStyle name="Normal 3 4 3 2" xfId="54184" xr:uid="{00000000-0005-0000-0000-000064D00000}"/>
    <cellStyle name="Normal 3 4 3 2 2" xfId="57351" xr:uid="{00000000-0005-0000-0000-000065D00000}"/>
    <cellStyle name="Normal 3 4 3 3" xfId="56727" xr:uid="{00000000-0005-0000-0000-000066D00000}"/>
    <cellStyle name="Normal 3 4 3 4" xfId="53559" xr:uid="{00000000-0005-0000-0000-000067D00000}"/>
    <cellStyle name="Normal 3 4 4" xfId="8885" xr:uid="{00000000-0005-0000-0000-000068D00000}"/>
    <cellStyle name="Normal 3 4 4 2" xfId="16659" xr:uid="{00000000-0005-0000-0000-000069D00000}"/>
    <cellStyle name="Normal 3 4 4 2 2" xfId="32973" xr:uid="{00000000-0005-0000-0000-00006AD00000}"/>
    <cellStyle name="Normal 3 4 4 2 2 2" xfId="57352" xr:uid="{00000000-0005-0000-0000-00006BD00000}"/>
    <cellStyle name="Normal 3 4 4 2 3" xfId="47937" xr:uid="{00000000-0005-0000-0000-00006CD00000}"/>
    <cellStyle name="Normal 3 4 4 2 4" xfId="54185" xr:uid="{00000000-0005-0000-0000-00006DD00000}"/>
    <cellStyle name="Normal 3 4 4 3" xfId="25951" xr:uid="{00000000-0005-0000-0000-00006ED00000}"/>
    <cellStyle name="Normal 3 4 4 3 2" xfId="56728" xr:uid="{00000000-0005-0000-0000-00006FD00000}"/>
    <cellStyle name="Normal 3 4 4 4" xfId="40938" xr:uid="{00000000-0005-0000-0000-000070D00000}"/>
    <cellStyle name="Normal 3 4 4 5" xfId="53560" xr:uid="{00000000-0005-0000-0000-000071D00000}"/>
    <cellStyle name="Normal 3 4 5" xfId="9998" xr:uid="{00000000-0005-0000-0000-000072D00000}"/>
    <cellStyle name="Normal 3 4 5 2" xfId="26320" xr:uid="{00000000-0005-0000-0000-000073D00000}"/>
    <cellStyle name="Normal 3 4 5 2 2" xfId="57353" xr:uid="{00000000-0005-0000-0000-000074D00000}"/>
    <cellStyle name="Normal 3 4 5 2 3" xfId="54186" xr:uid="{00000000-0005-0000-0000-000075D00000}"/>
    <cellStyle name="Normal 3 4 5 3" xfId="41288" xr:uid="{00000000-0005-0000-0000-000076D00000}"/>
    <cellStyle name="Normal 3 4 5 3 2" xfId="56729" xr:uid="{00000000-0005-0000-0000-000077D00000}"/>
    <cellStyle name="Normal 3 4 5 4" xfId="53561" xr:uid="{00000000-0005-0000-0000-000078D00000}"/>
    <cellStyle name="Normal 3 4 6" xfId="18947" xr:uid="{00000000-0005-0000-0000-000079D00000}"/>
    <cellStyle name="Normal 3 4 6 2" xfId="33946" xr:uid="{00000000-0005-0000-0000-00007AD00000}"/>
    <cellStyle name="Normal 3 4 6 2 2" xfId="57354" xr:uid="{00000000-0005-0000-0000-00007BD00000}"/>
    <cellStyle name="Normal 3 4 6 2 3" xfId="54187" xr:uid="{00000000-0005-0000-0000-00007CD00000}"/>
    <cellStyle name="Normal 3 4 6 3" xfId="48907" xr:uid="{00000000-0005-0000-0000-00007DD00000}"/>
    <cellStyle name="Normal 3 4 6 3 2" xfId="56730" xr:uid="{00000000-0005-0000-0000-00007ED00000}"/>
    <cellStyle name="Normal 3 4 6 4" xfId="53562" xr:uid="{00000000-0005-0000-0000-00007FD00000}"/>
    <cellStyle name="Normal 3 4 7" xfId="19299" xr:uid="{00000000-0005-0000-0000-000080D00000}"/>
    <cellStyle name="Normal 3 4 7 2" xfId="57347" xr:uid="{00000000-0005-0000-0000-000081D00000}"/>
    <cellStyle name="Normal 3 4 7 3" xfId="54180" xr:uid="{00000000-0005-0000-0000-000082D00000}"/>
    <cellStyle name="Normal 3 4 8" xfId="34289" xr:uid="{00000000-0005-0000-0000-000083D00000}"/>
    <cellStyle name="Normal 3 4 8 2" xfId="56723" xr:uid="{00000000-0005-0000-0000-000084D00000}"/>
    <cellStyle name="Normal 3 4 8 3" xfId="53555" xr:uid="{00000000-0005-0000-0000-000085D00000}"/>
    <cellStyle name="Normal 3 4 9" xfId="49241" xr:uid="{00000000-0005-0000-0000-000086D00000}"/>
    <cellStyle name="Normal 3 4 9 2" xfId="55025" xr:uid="{00000000-0005-0000-0000-000087D00000}"/>
    <cellStyle name="Normal 3 5" xfId="1188" xr:uid="{00000000-0005-0000-0000-000088D00000}"/>
    <cellStyle name="Normal 3 5 2" xfId="53564" xr:uid="{00000000-0005-0000-0000-000089D00000}"/>
    <cellStyle name="Normal 3 5 2 2" xfId="53565" xr:uid="{00000000-0005-0000-0000-00008AD00000}"/>
    <cellStyle name="Normal 3 5 2 2 2" xfId="54190" xr:uid="{00000000-0005-0000-0000-00008BD00000}"/>
    <cellStyle name="Normal 3 5 2 2 2 2" xfId="57357" xr:uid="{00000000-0005-0000-0000-00008CD00000}"/>
    <cellStyle name="Normal 3 5 2 2 3" xfId="56733" xr:uid="{00000000-0005-0000-0000-00008DD00000}"/>
    <cellStyle name="Normal 3 5 2 3" xfId="53566" xr:uid="{00000000-0005-0000-0000-00008ED00000}"/>
    <cellStyle name="Normal 3 5 2 3 2" xfId="54191" xr:uid="{00000000-0005-0000-0000-00008FD00000}"/>
    <cellStyle name="Normal 3 5 2 3 2 2" xfId="57358" xr:uid="{00000000-0005-0000-0000-000090D00000}"/>
    <cellStyle name="Normal 3 5 2 3 3" xfId="56734" xr:uid="{00000000-0005-0000-0000-000091D00000}"/>
    <cellStyle name="Normal 3 5 2 4" xfId="54189" xr:uid="{00000000-0005-0000-0000-000092D00000}"/>
    <cellStyle name="Normal 3 5 2 4 2" xfId="57356" xr:uid="{00000000-0005-0000-0000-000093D00000}"/>
    <cellStyle name="Normal 3 5 2 5" xfId="56732" xr:uid="{00000000-0005-0000-0000-000094D00000}"/>
    <cellStyle name="Normal 3 5 3" xfId="53567" xr:uid="{00000000-0005-0000-0000-000095D00000}"/>
    <cellStyle name="Normal 3 5 3 2" xfId="54192" xr:uid="{00000000-0005-0000-0000-000096D00000}"/>
    <cellStyle name="Normal 3 5 3 2 2" xfId="57359" xr:uid="{00000000-0005-0000-0000-000097D00000}"/>
    <cellStyle name="Normal 3 5 3 3" xfId="56735" xr:uid="{00000000-0005-0000-0000-000098D00000}"/>
    <cellStyle name="Normal 3 5 4" xfId="53568" xr:uid="{00000000-0005-0000-0000-000099D00000}"/>
    <cellStyle name="Normal 3 5 4 2" xfId="54193" xr:uid="{00000000-0005-0000-0000-00009AD00000}"/>
    <cellStyle name="Normal 3 5 4 2 2" xfId="57360" xr:uid="{00000000-0005-0000-0000-00009BD00000}"/>
    <cellStyle name="Normal 3 5 4 3" xfId="56736" xr:uid="{00000000-0005-0000-0000-00009CD00000}"/>
    <cellStyle name="Normal 3 5 5" xfId="53569" xr:uid="{00000000-0005-0000-0000-00009DD00000}"/>
    <cellStyle name="Normal 3 5 5 2" xfId="54194" xr:uid="{00000000-0005-0000-0000-00009ED00000}"/>
    <cellStyle name="Normal 3 5 5 2 2" xfId="57361" xr:uid="{00000000-0005-0000-0000-00009FD00000}"/>
    <cellStyle name="Normal 3 5 5 3" xfId="56737" xr:uid="{00000000-0005-0000-0000-0000A0D00000}"/>
    <cellStyle name="Normal 3 5 6" xfId="54188" xr:uid="{00000000-0005-0000-0000-0000A1D00000}"/>
    <cellStyle name="Normal 3 5 6 2" xfId="57355" xr:uid="{00000000-0005-0000-0000-0000A2D00000}"/>
    <cellStyle name="Normal 3 5 7" xfId="56731" xr:uid="{00000000-0005-0000-0000-0000A3D00000}"/>
    <cellStyle name="Normal 3 5 8" xfId="53563" xr:uid="{00000000-0005-0000-0000-0000A4D00000}"/>
    <cellStyle name="Normal 3 6" xfId="1305" xr:uid="{00000000-0005-0000-0000-0000A5D00000}"/>
    <cellStyle name="Normal 3 6 10" xfId="51098" xr:uid="{00000000-0005-0000-0000-0000A6D00000}"/>
    <cellStyle name="Normal 3 6 11" xfId="51694" xr:uid="{00000000-0005-0000-0000-0000A7D00000}"/>
    <cellStyle name="Normal 3 6 12" xfId="52115" xr:uid="{00000000-0005-0000-0000-0000A8D00000}"/>
    <cellStyle name="Normal 3 6 13" xfId="53570" xr:uid="{00000000-0005-0000-0000-0000A9D00000}"/>
    <cellStyle name="Normal 3 6 2" xfId="8896" xr:uid="{00000000-0005-0000-0000-0000AAD00000}"/>
    <cellStyle name="Normal 3 6 2 2" xfId="16670" xr:uid="{00000000-0005-0000-0000-0000ABD00000}"/>
    <cellStyle name="Normal 3 6 2 2 2" xfId="32984" xr:uid="{00000000-0005-0000-0000-0000ACD00000}"/>
    <cellStyle name="Normal 3 6 2 2 2 2" xfId="57364" xr:uid="{00000000-0005-0000-0000-0000ADD00000}"/>
    <cellStyle name="Normal 3 6 2 2 2 3" xfId="54197" xr:uid="{00000000-0005-0000-0000-0000AED00000}"/>
    <cellStyle name="Normal 3 6 2 2 3" xfId="47948" xr:uid="{00000000-0005-0000-0000-0000AFD00000}"/>
    <cellStyle name="Normal 3 6 2 2 3 2" xfId="56740" xr:uid="{00000000-0005-0000-0000-0000B0D00000}"/>
    <cellStyle name="Normal 3 6 2 2 4" xfId="53572" xr:uid="{00000000-0005-0000-0000-0000B1D00000}"/>
    <cellStyle name="Normal 3 6 2 3" xfId="25962" xr:uid="{00000000-0005-0000-0000-0000B2D00000}"/>
    <cellStyle name="Normal 3 6 2 3 2" xfId="54198" xr:uid="{00000000-0005-0000-0000-0000B3D00000}"/>
    <cellStyle name="Normal 3 6 2 3 2 2" xfId="57365" xr:uid="{00000000-0005-0000-0000-0000B4D00000}"/>
    <cellStyle name="Normal 3 6 2 3 3" xfId="56741" xr:uid="{00000000-0005-0000-0000-0000B5D00000}"/>
    <cellStyle name="Normal 3 6 2 3 4" xfId="53573" xr:uid="{00000000-0005-0000-0000-0000B6D00000}"/>
    <cellStyle name="Normal 3 6 2 4" xfId="40949" xr:uid="{00000000-0005-0000-0000-0000B7D00000}"/>
    <cellStyle name="Normal 3 6 2 4 2" xfId="57363" xr:uid="{00000000-0005-0000-0000-0000B8D00000}"/>
    <cellStyle name="Normal 3 6 2 4 3" xfId="54196" xr:uid="{00000000-0005-0000-0000-0000B9D00000}"/>
    <cellStyle name="Normal 3 6 2 5" xfId="56739" xr:uid="{00000000-0005-0000-0000-0000BAD00000}"/>
    <cellStyle name="Normal 3 6 2 6" xfId="53571" xr:uid="{00000000-0005-0000-0000-0000BBD00000}"/>
    <cellStyle name="Normal 3 6 3" xfId="10072" xr:uid="{00000000-0005-0000-0000-0000BCD00000}"/>
    <cellStyle name="Normal 3 6 3 2" xfId="26393" xr:uid="{00000000-0005-0000-0000-0000BDD00000}"/>
    <cellStyle name="Normal 3 6 3 2 2" xfId="57366" xr:uid="{00000000-0005-0000-0000-0000BED00000}"/>
    <cellStyle name="Normal 3 6 3 2 3" xfId="54199" xr:uid="{00000000-0005-0000-0000-0000BFD00000}"/>
    <cellStyle name="Normal 3 6 3 3" xfId="41361" xr:uid="{00000000-0005-0000-0000-0000C0D00000}"/>
    <cellStyle name="Normal 3 6 3 3 2" xfId="56742" xr:uid="{00000000-0005-0000-0000-0000C1D00000}"/>
    <cellStyle name="Normal 3 6 3 4" xfId="53574" xr:uid="{00000000-0005-0000-0000-0000C2D00000}"/>
    <cellStyle name="Normal 3 6 4" xfId="19372" xr:uid="{00000000-0005-0000-0000-0000C3D00000}"/>
    <cellStyle name="Normal 3 6 4 2" xfId="54200" xr:uid="{00000000-0005-0000-0000-0000C4D00000}"/>
    <cellStyle name="Normal 3 6 4 2 2" xfId="57367" xr:uid="{00000000-0005-0000-0000-0000C5D00000}"/>
    <cellStyle name="Normal 3 6 4 3" xfId="56743" xr:uid="{00000000-0005-0000-0000-0000C6D00000}"/>
    <cellStyle name="Normal 3 6 4 4" xfId="53575" xr:uid="{00000000-0005-0000-0000-0000C7D00000}"/>
    <cellStyle name="Normal 3 6 5" xfId="34362" xr:uid="{00000000-0005-0000-0000-0000C8D00000}"/>
    <cellStyle name="Normal 3 6 5 2" xfId="54201" xr:uid="{00000000-0005-0000-0000-0000C9D00000}"/>
    <cellStyle name="Normal 3 6 5 2 2" xfId="57368" xr:uid="{00000000-0005-0000-0000-0000CAD00000}"/>
    <cellStyle name="Normal 3 6 5 3" xfId="56744" xr:uid="{00000000-0005-0000-0000-0000CBD00000}"/>
    <cellStyle name="Normal 3 6 5 4" xfId="53576" xr:uid="{00000000-0005-0000-0000-0000CCD00000}"/>
    <cellStyle name="Normal 3 6 6" xfId="49314" xr:uid="{00000000-0005-0000-0000-0000CDD00000}"/>
    <cellStyle name="Normal 3 6 6 2" xfId="57362" xr:uid="{00000000-0005-0000-0000-0000CED00000}"/>
    <cellStyle name="Normal 3 6 6 3" xfId="54195" xr:uid="{00000000-0005-0000-0000-0000CFD00000}"/>
    <cellStyle name="Normal 3 6 7" xfId="49719" xr:uid="{00000000-0005-0000-0000-0000D0D00000}"/>
    <cellStyle name="Normal 3 6 7 2" xfId="56738" xr:uid="{00000000-0005-0000-0000-0000D1D00000}"/>
    <cellStyle name="Normal 3 6 8" xfId="50128" xr:uid="{00000000-0005-0000-0000-0000D2D00000}"/>
    <cellStyle name="Normal 3 6 9" xfId="50533" xr:uid="{00000000-0005-0000-0000-0000D3D00000}"/>
    <cellStyle name="Normal 3 7" xfId="1525" xr:uid="{00000000-0005-0000-0000-0000D4D00000}"/>
    <cellStyle name="Normal 3 7 2" xfId="10087" xr:uid="{00000000-0005-0000-0000-0000D5D00000}"/>
    <cellStyle name="Normal 3 7 2 2" xfId="26407" xr:uid="{00000000-0005-0000-0000-0000D6D00000}"/>
    <cellStyle name="Normal 3 7 2 2 2" xfId="54204" xr:uid="{00000000-0005-0000-0000-0000D7D00000}"/>
    <cellStyle name="Normal 3 7 2 2 2 2" xfId="57371" xr:uid="{00000000-0005-0000-0000-0000D8D00000}"/>
    <cellStyle name="Normal 3 7 2 2 3" xfId="56747" xr:uid="{00000000-0005-0000-0000-0000D9D00000}"/>
    <cellStyle name="Normal 3 7 2 2 4" xfId="53579" xr:uid="{00000000-0005-0000-0000-0000DAD00000}"/>
    <cellStyle name="Normal 3 7 2 3" xfId="41373" xr:uid="{00000000-0005-0000-0000-0000DBD00000}"/>
    <cellStyle name="Normal 3 7 2 3 2" xfId="54205" xr:uid="{00000000-0005-0000-0000-0000DCD00000}"/>
    <cellStyle name="Normal 3 7 2 3 2 2" xfId="57372" xr:uid="{00000000-0005-0000-0000-0000DDD00000}"/>
    <cellStyle name="Normal 3 7 2 3 3" xfId="56748" xr:uid="{00000000-0005-0000-0000-0000DED00000}"/>
    <cellStyle name="Normal 3 7 2 3 4" xfId="53580" xr:uid="{00000000-0005-0000-0000-0000DFD00000}"/>
    <cellStyle name="Normal 3 7 2 4" xfId="54203" xr:uid="{00000000-0005-0000-0000-0000E0D00000}"/>
    <cellStyle name="Normal 3 7 2 4 2" xfId="57370" xr:uid="{00000000-0005-0000-0000-0000E1D00000}"/>
    <cellStyle name="Normal 3 7 2 5" xfId="56746" xr:uid="{00000000-0005-0000-0000-0000E2D00000}"/>
    <cellStyle name="Normal 3 7 2 6" xfId="53578" xr:uid="{00000000-0005-0000-0000-0000E3D00000}"/>
    <cellStyle name="Normal 3 7 3" xfId="19385" xr:uid="{00000000-0005-0000-0000-0000E4D00000}"/>
    <cellStyle name="Normal 3 7 3 2" xfId="54206" xr:uid="{00000000-0005-0000-0000-0000E5D00000}"/>
    <cellStyle name="Normal 3 7 3 2 2" xfId="57373" xr:uid="{00000000-0005-0000-0000-0000E6D00000}"/>
    <cellStyle name="Normal 3 7 3 3" xfId="56749" xr:uid="{00000000-0005-0000-0000-0000E7D00000}"/>
    <cellStyle name="Normal 3 7 3 4" xfId="53581" xr:uid="{00000000-0005-0000-0000-0000E8D00000}"/>
    <cellStyle name="Normal 3 7 4" xfId="34374" xr:uid="{00000000-0005-0000-0000-0000E9D00000}"/>
    <cellStyle name="Normal 3 7 4 2" xfId="54207" xr:uid="{00000000-0005-0000-0000-0000EAD00000}"/>
    <cellStyle name="Normal 3 7 4 2 2" xfId="57374" xr:uid="{00000000-0005-0000-0000-0000EBD00000}"/>
    <cellStyle name="Normal 3 7 4 3" xfId="56750" xr:uid="{00000000-0005-0000-0000-0000ECD00000}"/>
    <cellStyle name="Normal 3 7 4 4" xfId="53582" xr:uid="{00000000-0005-0000-0000-0000EDD00000}"/>
    <cellStyle name="Normal 3 7 5" xfId="53583" xr:uid="{00000000-0005-0000-0000-0000EED00000}"/>
    <cellStyle name="Normal 3 7 5 2" xfId="54208" xr:uid="{00000000-0005-0000-0000-0000EFD00000}"/>
    <cellStyle name="Normal 3 7 5 2 2" xfId="57375" xr:uid="{00000000-0005-0000-0000-0000F0D00000}"/>
    <cellStyle name="Normal 3 7 5 3" xfId="56751" xr:uid="{00000000-0005-0000-0000-0000F1D00000}"/>
    <cellStyle name="Normal 3 7 6" xfId="54202" xr:uid="{00000000-0005-0000-0000-0000F2D00000}"/>
    <cellStyle name="Normal 3 7 6 2" xfId="57369" xr:uid="{00000000-0005-0000-0000-0000F3D00000}"/>
    <cellStyle name="Normal 3 7 7" xfId="56745" xr:uid="{00000000-0005-0000-0000-0000F4D00000}"/>
    <cellStyle name="Normal 3 7 8" xfId="53577" xr:uid="{00000000-0005-0000-0000-0000F5D00000}"/>
    <cellStyle name="Normal 3 8" xfId="8863" xr:uid="{00000000-0005-0000-0000-0000F6D00000}"/>
    <cellStyle name="Normal 3 8 2" xfId="16639" xr:uid="{00000000-0005-0000-0000-0000F7D00000}"/>
    <cellStyle name="Normal 3 8 2 2" xfId="32953" xr:uid="{00000000-0005-0000-0000-0000F8D00000}"/>
    <cellStyle name="Normal 3 8 2 2 2" xfId="54211" xr:uid="{00000000-0005-0000-0000-0000F9D00000}"/>
    <cellStyle name="Normal 3 8 2 2 2 2" xfId="57378" xr:uid="{00000000-0005-0000-0000-0000FAD00000}"/>
    <cellStyle name="Normal 3 8 2 2 3" xfId="56754" xr:uid="{00000000-0005-0000-0000-0000FBD00000}"/>
    <cellStyle name="Normal 3 8 2 2 4" xfId="53586" xr:uid="{00000000-0005-0000-0000-0000FCD00000}"/>
    <cellStyle name="Normal 3 8 2 3" xfId="47917" xr:uid="{00000000-0005-0000-0000-0000FDD00000}"/>
    <cellStyle name="Normal 3 8 2 3 2" xfId="54212" xr:uid="{00000000-0005-0000-0000-0000FED00000}"/>
    <cellStyle name="Normal 3 8 2 3 2 2" xfId="57379" xr:uid="{00000000-0005-0000-0000-0000FFD00000}"/>
    <cellStyle name="Normal 3 8 2 3 3" xfId="56755" xr:uid="{00000000-0005-0000-0000-000000D10000}"/>
    <cellStyle name="Normal 3 8 2 3 4" xfId="53587" xr:uid="{00000000-0005-0000-0000-000001D10000}"/>
    <cellStyle name="Normal 3 8 2 4" xfId="54210" xr:uid="{00000000-0005-0000-0000-000002D10000}"/>
    <cellStyle name="Normal 3 8 2 4 2" xfId="57377" xr:uid="{00000000-0005-0000-0000-000003D10000}"/>
    <cellStyle name="Normal 3 8 2 5" xfId="56753" xr:uid="{00000000-0005-0000-0000-000004D10000}"/>
    <cellStyle name="Normal 3 8 2 6" xfId="53585" xr:uid="{00000000-0005-0000-0000-000005D10000}"/>
    <cellStyle name="Normal 3 8 3" xfId="25931" xr:uid="{00000000-0005-0000-0000-000006D10000}"/>
    <cellStyle name="Normal 3 8 3 2" xfId="54213" xr:uid="{00000000-0005-0000-0000-000007D10000}"/>
    <cellStyle name="Normal 3 8 3 2 2" xfId="57380" xr:uid="{00000000-0005-0000-0000-000008D10000}"/>
    <cellStyle name="Normal 3 8 3 3" xfId="56756" xr:uid="{00000000-0005-0000-0000-000009D10000}"/>
    <cellStyle name="Normal 3 8 3 4" xfId="53588" xr:uid="{00000000-0005-0000-0000-00000AD10000}"/>
    <cellStyle name="Normal 3 8 4" xfId="40918" xr:uid="{00000000-0005-0000-0000-00000BD10000}"/>
    <cellStyle name="Normal 3 8 4 2" xfId="54214" xr:uid="{00000000-0005-0000-0000-00000CD10000}"/>
    <cellStyle name="Normal 3 8 4 2 2" xfId="57381" xr:uid="{00000000-0005-0000-0000-00000DD10000}"/>
    <cellStyle name="Normal 3 8 4 3" xfId="56757" xr:uid="{00000000-0005-0000-0000-00000ED10000}"/>
    <cellStyle name="Normal 3 8 4 4" xfId="53589" xr:uid="{00000000-0005-0000-0000-00000FD10000}"/>
    <cellStyle name="Normal 3 8 5" xfId="53590" xr:uid="{00000000-0005-0000-0000-000010D10000}"/>
    <cellStyle name="Normal 3 8 5 2" xfId="54215" xr:uid="{00000000-0005-0000-0000-000011D10000}"/>
    <cellStyle name="Normal 3 8 5 2 2" xfId="57382" xr:uid="{00000000-0005-0000-0000-000012D10000}"/>
    <cellStyle name="Normal 3 8 5 3" xfId="56758" xr:uid="{00000000-0005-0000-0000-000013D10000}"/>
    <cellStyle name="Normal 3 8 6" xfId="54209" xr:uid="{00000000-0005-0000-0000-000014D10000}"/>
    <cellStyle name="Normal 3 8 6 2" xfId="57376" xr:uid="{00000000-0005-0000-0000-000015D10000}"/>
    <cellStyle name="Normal 3 8 7" xfId="56752" xr:uid="{00000000-0005-0000-0000-000016D10000}"/>
    <cellStyle name="Normal 3 8 8" xfId="53584" xr:uid="{00000000-0005-0000-0000-000017D10000}"/>
    <cellStyle name="Normal 3 9" xfId="9419" xr:uid="{00000000-0005-0000-0000-000018D10000}"/>
    <cellStyle name="Normal 3 9 2" xfId="16678" xr:uid="{00000000-0005-0000-0000-000019D10000}"/>
    <cellStyle name="Normal 3 9 2 2" xfId="32992" xr:uid="{00000000-0005-0000-0000-00001AD10000}"/>
    <cellStyle name="Normal 3 9 2 2 2" xfId="57384" xr:uid="{00000000-0005-0000-0000-00001BD10000}"/>
    <cellStyle name="Normal 3 9 2 2 3" xfId="54217" xr:uid="{00000000-0005-0000-0000-00001CD10000}"/>
    <cellStyle name="Normal 3 9 2 3" xfId="47955" xr:uid="{00000000-0005-0000-0000-00001DD10000}"/>
    <cellStyle name="Normal 3 9 2 3 2" xfId="56760" xr:uid="{00000000-0005-0000-0000-00001ED10000}"/>
    <cellStyle name="Normal 3 9 2 4" xfId="53592" xr:uid="{00000000-0005-0000-0000-00001FD10000}"/>
    <cellStyle name="Normal 3 9 3" xfId="25969" xr:uid="{00000000-0005-0000-0000-000020D10000}"/>
    <cellStyle name="Normal 3 9 3 2" xfId="54218" xr:uid="{00000000-0005-0000-0000-000021D10000}"/>
    <cellStyle name="Normal 3 9 3 2 2" xfId="57385" xr:uid="{00000000-0005-0000-0000-000022D10000}"/>
    <cellStyle name="Normal 3 9 3 3" xfId="56761" xr:uid="{00000000-0005-0000-0000-000023D10000}"/>
    <cellStyle name="Normal 3 9 3 4" xfId="53593" xr:uid="{00000000-0005-0000-0000-000024D10000}"/>
    <cellStyle name="Normal 3 9 4" xfId="40956" xr:uid="{00000000-0005-0000-0000-000025D10000}"/>
    <cellStyle name="Normal 3 9 4 2" xfId="57383" xr:uid="{00000000-0005-0000-0000-000026D10000}"/>
    <cellStyle name="Normal 3 9 4 3" xfId="54216" xr:uid="{00000000-0005-0000-0000-000027D10000}"/>
    <cellStyle name="Normal 3 9 5" xfId="56759" xr:uid="{00000000-0005-0000-0000-000028D10000}"/>
    <cellStyle name="Normal 3 9 6" xfId="53591" xr:uid="{00000000-0005-0000-0000-000029D10000}"/>
    <cellStyle name="Normal 30" xfId="18978" xr:uid="{00000000-0005-0000-0000-00002AD10000}"/>
    <cellStyle name="Normal 30 2" xfId="54464" xr:uid="{00000000-0005-0000-0000-00002BD10000}"/>
    <cellStyle name="Normal 31" xfId="18965" xr:uid="{00000000-0005-0000-0000-00002CD10000}"/>
    <cellStyle name="Normal 31 2" xfId="54465" xr:uid="{00000000-0005-0000-0000-00002DD10000}"/>
    <cellStyle name="Normal 32" xfId="33962" xr:uid="{00000000-0005-0000-0000-00002ED10000}"/>
    <cellStyle name="Normal 32 2" xfId="54466" xr:uid="{00000000-0005-0000-0000-00002FD10000}"/>
    <cellStyle name="Normal 33" xfId="49725" xr:uid="{00000000-0005-0000-0000-000030D10000}"/>
    <cellStyle name="Normal 33 2" xfId="53107" xr:uid="{00000000-0005-0000-0000-000031D10000}"/>
    <cellStyle name="Normal 34" xfId="50539" xr:uid="{00000000-0005-0000-0000-000032D10000}"/>
    <cellStyle name="Normal 34 2" xfId="54467" xr:uid="{00000000-0005-0000-0000-000033D10000}"/>
    <cellStyle name="Normal 4" xfId="537" xr:uid="{00000000-0005-0000-0000-000034D10000}"/>
    <cellStyle name="Normal 4 10" xfId="57624" xr:uid="{00000000-0005-0000-0000-000035D10000}"/>
    <cellStyle name="Normal 4 2" xfId="538" xr:uid="{00000000-0005-0000-0000-000036D10000}"/>
    <cellStyle name="Normal 4 2 10" xfId="34284" xr:uid="{00000000-0005-0000-0000-000037D10000}"/>
    <cellStyle name="Normal 4 2 11" xfId="49224" xr:uid="{00000000-0005-0000-0000-000038D10000}"/>
    <cellStyle name="Normal 4 2 12" xfId="49629" xr:uid="{00000000-0005-0000-0000-000039D10000}"/>
    <cellStyle name="Normal 4 2 13" xfId="50035" xr:uid="{00000000-0005-0000-0000-00003AD10000}"/>
    <cellStyle name="Normal 4 2 14" xfId="50443" xr:uid="{00000000-0005-0000-0000-00003BD10000}"/>
    <cellStyle name="Normal 4 2 15" xfId="50885" xr:uid="{00000000-0005-0000-0000-00003CD10000}"/>
    <cellStyle name="Normal 4 2 16" xfId="51604" xr:uid="{00000000-0005-0000-0000-00003DD10000}"/>
    <cellStyle name="Normal 4 2 17" xfId="52017" xr:uid="{00000000-0005-0000-0000-00003ED10000}"/>
    <cellStyle name="Normal 4 2 2" xfId="1308" xr:uid="{00000000-0005-0000-0000-00003FD10000}"/>
    <cellStyle name="Normal 4 2 2 10" xfId="50131" xr:uid="{00000000-0005-0000-0000-000040D10000}"/>
    <cellStyle name="Normal 4 2 2 11" xfId="50536" xr:uid="{00000000-0005-0000-0000-000041D10000}"/>
    <cellStyle name="Normal 4 2 2 12" xfId="51101" xr:uid="{00000000-0005-0000-0000-000042D10000}"/>
    <cellStyle name="Normal 4 2 2 13" xfId="51697" xr:uid="{00000000-0005-0000-0000-000043D10000}"/>
    <cellStyle name="Normal 4 2 2 14" xfId="52118" xr:uid="{00000000-0005-0000-0000-000044D10000}"/>
    <cellStyle name="Normal 4 2 2 2" xfId="5144" xr:uid="{00000000-0005-0000-0000-000045D10000}"/>
    <cellStyle name="Normal 4 2 2 3" xfId="8899" xr:uid="{00000000-0005-0000-0000-000046D10000}"/>
    <cellStyle name="Normal 4 2 2 3 2" xfId="16673" xr:uid="{00000000-0005-0000-0000-000047D10000}"/>
    <cellStyle name="Normal 4 2 2 3 2 2" xfId="32987" xr:uid="{00000000-0005-0000-0000-000048D10000}"/>
    <cellStyle name="Normal 4 2 2 3 2 3" xfId="47951" xr:uid="{00000000-0005-0000-0000-000049D10000}"/>
    <cellStyle name="Normal 4 2 2 3 3" xfId="25965" xr:uid="{00000000-0005-0000-0000-00004AD10000}"/>
    <cellStyle name="Normal 4 2 2 3 4" xfId="40952" xr:uid="{00000000-0005-0000-0000-00004BD10000}"/>
    <cellStyle name="Normal 4 2 2 4" xfId="10075" xr:uid="{00000000-0005-0000-0000-00004CD10000}"/>
    <cellStyle name="Normal 4 2 2 4 2" xfId="26396" xr:uid="{00000000-0005-0000-0000-00004DD10000}"/>
    <cellStyle name="Normal 4 2 2 4 3" xfId="41364" xr:uid="{00000000-0005-0000-0000-00004ED10000}"/>
    <cellStyle name="Normal 4 2 2 5" xfId="18449" xr:uid="{00000000-0005-0000-0000-00004FD10000}"/>
    <cellStyle name="Normal 4 2 2 6" xfId="19375" xr:uid="{00000000-0005-0000-0000-000050D10000}"/>
    <cellStyle name="Normal 4 2 2 7" xfId="34365" xr:uid="{00000000-0005-0000-0000-000051D10000}"/>
    <cellStyle name="Normal 4 2 2 8" xfId="49317" xr:uid="{00000000-0005-0000-0000-000052D10000}"/>
    <cellStyle name="Normal 4 2 2 9" xfId="49722" xr:uid="{00000000-0005-0000-0000-000053D10000}"/>
    <cellStyle name="Normal 4 2 3" xfId="5145" xr:uid="{00000000-0005-0000-0000-000054D10000}"/>
    <cellStyle name="Normal 4 2 3 2" xfId="8335" xr:uid="{00000000-0005-0000-0000-000055D10000}"/>
    <cellStyle name="Normal 4 2 3 2 2" xfId="16229" xr:uid="{00000000-0005-0000-0000-000056D10000}"/>
    <cellStyle name="Normal 4 2 3 2 2 2" xfId="32544" xr:uid="{00000000-0005-0000-0000-000057D10000}"/>
    <cellStyle name="Normal 4 2 3 2 2 3" xfId="47508" xr:uid="{00000000-0005-0000-0000-000058D10000}"/>
    <cellStyle name="Normal 4 2 3 2 3" xfId="25522" xr:uid="{00000000-0005-0000-0000-000059D10000}"/>
    <cellStyle name="Normal 4 2 3 2 4" xfId="40509" xr:uid="{00000000-0005-0000-0000-00005AD10000}"/>
    <cellStyle name="Normal 4 2 3 3" xfId="13231" xr:uid="{00000000-0005-0000-0000-00005BD10000}"/>
    <cellStyle name="Normal 4 2 3 3 2" xfId="29551" xr:uid="{00000000-0005-0000-0000-00005CD10000}"/>
    <cellStyle name="Normal 4 2 3 3 3" xfId="44516" xr:uid="{00000000-0005-0000-0000-00005DD10000}"/>
    <cellStyle name="Normal 4 2 3 4" xfId="22529" xr:uid="{00000000-0005-0000-0000-00005ED10000}"/>
    <cellStyle name="Normal 4 2 3 5" xfId="37517" xr:uid="{00000000-0005-0000-0000-00005FD10000}"/>
    <cellStyle name="Normal 4 2 3 6" xfId="53183" xr:uid="{00000000-0005-0000-0000-000060D10000}"/>
    <cellStyle name="Normal 4 2 4" xfId="6034" xr:uid="{00000000-0005-0000-0000-000061D10000}"/>
    <cellStyle name="Normal 4 2 4 2" xfId="13952" xr:uid="{00000000-0005-0000-0000-000062D10000}"/>
    <cellStyle name="Normal 4 2 4 2 2" xfId="30267" xr:uid="{00000000-0005-0000-0000-000063D10000}"/>
    <cellStyle name="Normal 4 2 4 2 3" xfId="45231" xr:uid="{00000000-0005-0000-0000-000064D10000}"/>
    <cellStyle name="Normal 4 2 4 3" xfId="23245" xr:uid="{00000000-0005-0000-0000-000065D10000}"/>
    <cellStyle name="Normal 4 2 4 4" xfId="38232" xr:uid="{00000000-0005-0000-0000-000066D10000}"/>
    <cellStyle name="Normal 4 2 5" xfId="5143" xr:uid="{00000000-0005-0000-0000-000067D10000}"/>
    <cellStyle name="Normal 4 2 5 2" xfId="13230" xr:uid="{00000000-0005-0000-0000-000068D10000}"/>
    <cellStyle name="Normal 4 2 5 2 2" xfId="29550" xr:uid="{00000000-0005-0000-0000-000069D10000}"/>
    <cellStyle name="Normal 4 2 5 2 3" xfId="44515" xr:uid="{00000000-0005-0000-0000-00006AD10000}"/>
    <cellStyle name="Normal 4 2 5 3" xfId="22528" xr:uid="{00000000-0005-0000-0000-00006BD10000}"/>
    <cellStyle name="Normal 4 2 5 4" xfId="37516" xr:uid="{00000000-0005-0000-0000-00006CD10000}"/>
    <cellStyle name="Normal 4 2 6" xfId="8866" xr:uid="{00000000-0005-0000-0000-00006DD10000}"/>
    <cellStyle name="Normal 4 2 6 2" xfId="16642" xr:uid="{00000000-0005-0000-0000-00006ED10000}"/>
    <cellStyle name="Normal 4 2 6 2 2" xfId="32956" xr:uid="{00000000-0005-0000-0000-00006FD10000}"/>
    <cellStyle name="Normal 4 2 6 2 3" xfId="47920" xr:uid="{00000000-0005-0000-0000-000070D10000}"/>
    <cellStyle name="Normal 4 2 6 3" xfId="25934" xr:uid="{00000000-0005-0000-0000-000071D10000}"/>
    <cellStyle name="Normal 4 2 6 4" xfId="40921" xr:uid="{00000000-0005-0000-0000-000072D10000}"/>
    <cellStyle name="Normal 4 2 7" xfId="9980" xr:uid="{00000000-0005-0000-0000-000073D10000}"/>
    <cellStyle name="Normal 4 2 7 2" xfId="26306" xr:uid="{00000000-0005-0000-0000-000074D10000}"/>
    <cellStyle name="Normal 4 2 7 3" xfId="41284" xr:uid="{00000000-0005-0000-0000-000075D10000}"/>
    <cellStyle name="Normal 4 2 8" xfId="17433" xr:uid="{00000000-0005-0000-0000-000076D10000}"/>
    <cellStyle name="Normal 4 2 9" xfId="19289" xr:uid="{00000000-0005-0000-0000-000077D10000}"/>
    <cellStyle name="Normal 4 3" xfId="1169" xr:uid="{00000000-0005-0000-0000-000078D10000}"/>
    <cellStyle name="Normal 4 3 10" xfId="50461" xr:uid="{00000000-0005-0000-0000-000079D10000}"/>
    <cellStyle name="Normal 4 3 11" xfId="51021" xr:uid="{00000000-0005-0000-0000-00007AD10000}"/>
    <cellStyle name="Normal 4 3 12" xfId="51622" xr:uid="{00000000-0005-0000-0000-00007BD10000}"/>
    <cellStyle name="Normal 4 3 13" xfId="52042" xr:uid="{00000000-0005-0000-0000-00007CD10000}"/>
    <cellStyle name="Normal 4 3 14" xfId="53193" xr:uid="{00000000-0005-0000-0000-00007DD10000}"/>
    <cellStyle name="Normal 4 3 2" xfId="5146" xr:uid="{00000000-0005-0000-0000-00007ED10000}"/>
    <cellStyle name="Normal 4 3 2 2" xfId="53855" xr:uid="{00000000-0005-0000-0000-00007FD10000}"/>
    <cellStyle name="Normal 4 3 2 2 2" xfId="57022" xr:uid="{00000000-0005-0000-0000-000080D10000}"/>
    <cellStyle name="Normal 4 3 2 3" xfId="56411" xr:uid="{00000000-0005-0000-0000-000081D10000}"/>
    <cellStyle name="Normal 4 3 2 4" xfId="53209" xr:uid="{00000000-0005-0000-0000-000082D10000}"/>
    <cellStyle name="Normal 4 3 3" xfId="8886" xr:uid="{00000000-0005-0000-0000-000083D10000}"/>
    <cellStyle name="Normal 4 3 3 2" xfId="16660" xr:uid="{00000000-0005-0000-0000-000084D10000}"/>
    <cellStyle name="Normal 4 3 3 2 2" xfId="32974" xr:uid="{00000000-0005-0000-0000-000085D10000}"/>
    <cellStyle name="Normal 4 3 3 2 2 2" xfId="57038" xr:uid="{00000000-0005-0000-0000-000086D10000}"/>
    <cellStyle name="Normal 4 3 3 2 3" xfId="47938" xr:uid="{00000000-0005-0000-0000-000087D10000}"/>
    <cellStyle name="Normal 4 3 3 2 4" xfId="53871" xr:uid="{00000000-0005-0000-0000-000088D10000}"/>
    <cellStyle name="Normal 4 3 3 3" xfId="25952" xr:uid="{00000000-0005-0000-0000-000089D10000}"/>
    <cellStyle name="Normal 4 3 3 3 2" xfId="56427" xr:uid="{00000000-0005-0000-0000-00008AD10000}"/>
    <cellStyle name="Normal 4 3 3 4" xfId="40939" xr:uid="{00000000-0005-0000-0000-00008BD10000}"/>
    <cellStyle name="Normal 4 3 3 5" xfId="53225" xr:uid="{00000000-0005-0000-0000-00008CD10000}"/>
    <cellStyle name="Normal 4 3 4" xfId="9999" xr:uid="{00000000-0005-0000-0000-00008DD10000}"/>
    <cellStyle name="Normal 4 3 4 2" xfId="26321" xr:uid="{00000000-0005-0000-0000-00008ED10000}"/>
    <cellStyle name="Normal 4 3 4 3" xfId="41289" xr:uid="{00000000-0005-0000-0000-00008FD10000}"/>
    <cellStyle name="Normal 4 3 4 4" xfId="53251" xr:uid="{00000000-0005-0000-0000-000090D10000}"/>
    <cellStyle name="Normal 4 3 5" xfId="19300" xr:uid="{00000000-0005-0000-0000-000091D10000}"/>
    <cellStyle name="Normal 4 3 5 2" xfId="57006" xr:uid="{00000000-0005-0000-0000-000092D10000}"/>
    <cellStyle name="Normal 4 3 5 3" xfId="53839" xr:uid="{00000000-0005-0000-0000-000093D10000}"/>
    <cellStyle name="Normal 4 3 6" xfId="34290" xr:uid="{00000000-0005-0000-0000-000094D10000}"/>
    <cellStyle name="Normal 4 3 6 2" xfId="55028" xr:uid="{00000000-0005-0000-0000-000095D10000}"/>
    <cellStyle name="Normal 4 3 7" xfId="49242" xr:uid="{00000000-0005-0000-0000-000096D10000}"/>
    <cellStyle name="Normal 4 3 7 2" xfId="56395" xr:uid="{00000000-0005-0000-0000-000097D10000}"/>
    <cellStyle name="Normal 4 3 8" xfId="49647" xr:uid="{00000000-0005-0000-0000-000098D10000}"/>
    <cellStyle name="Normal 4 3 9" xfId="50056" xr:uid="{00000000-0005-0000-0000-000099D10000}"/>
    <cellStyle name="Normal 4 4" xfId="5142" xr:uid="{00000000-0005-0000-0000-00009AD10000}"/>
    <cellStyle name="Normal 4 4 2" xfId="8819" xr:uid="{00000000-0005-0000-0000-00009BD10000}"/>
    <cellStyle name="Normal 4 4 2 2" xfId="57014" xr:uid="{00000000-0005-0000-0000-00009CD10000}"/>
    <cellStyle name="Normal 4 4 2 3" xfId="53847" xr:uid="{00000000-0005-0000-0000-00009DD10000}"/>
    <cellStyle name="Normal 4 4 3" xfId="56403" xr:uid="{00000000-0005-0000-0000-00009ED10000}"/>
    <cellStyle name="Normal 4 4 4" xfId="53201" xr:uid="{00000000-0005-0000-0000-00009FD10000}"/>
    <cellStyle name="Normal 4 5" xfId="1526" xr:uid="{00000000-0005-0000-0000-0000A0D10000}"/>
    <cellStyle name="Normal 4 5 2" xfId="10088" xr:uid="{00000000-0005-0000-0000-0000A1D10000}"/>
    <cellStyle name="Normal 4 5 2 2" xfId="26408" xr:uid="{00000000-0005-0000-0000-0000A2D10000}"/>
    <cellStyle name="Normal 4 5 2 2 2" xfId="57030" xr:uid="{00000000-0005-0000-0000-0000A3D10000}"/>
    <cellStyle name="Normal 4 5 2 3" xfId="41374" xr:uid="{00000000-0005-0000-0000-0000A4D10000}"/>
    <cellStyle name="Normal 4 5 2 4" xfId="53863" xr:uid="{00000000-0005-0000-0000-0000A5D10000}"/>
    <cellStyle name="Normal 4 5 3" xfId="19386" xr:uid="{00000000-0005-0000-0000-0000A6D10000}"/>
    <cellStyle name="Normal 4 5 3 2" xfId="56419" xr:uid="{00000000-0005-0000-0000-0000A7D10000}"/>
    <cellStyle name="Normal 4 5 4" xfId="34375" xr:uid="{00000000-0005-0000-0000-0000A8D10000}"/>
    <cellStyle name="Normal 4 5 5" xfId="53217" xr:uid="{00000000-0005-0000-0000-0000A9D10000}"/>
    <cellStyle name="Normal 4 6" xfId="53243" xr:uid="{00000000-0005-0000-0000-0000AAD10000}"/>
    <cellStyle name="Normal 4 7" xfId="53831" xr:uid="{00000000-0005-0000-0000-0000ABD10000}"/>
    <cellStyle name="Normal 4 7 2" xfId="56998" xr:uid="{00000000-0005-0000-0000-0000ACD10000}"/>
    <cellStyle name="Normal 4 8" xfId="53119" xr:uid="{00000000-0005-0000-0000-0000ADD10000}"/>
    <cellStyle name="Normal 4 8 2" xfId="56379" xr:uid="{00000000-0005-0000-0000-0000AED10000}"/>
    <cellStyle name="Normal 40" xfId="48914" xr:uid="{00000000-0005-0000-0000-0000AFD10000}"/>
    <cellStyle name="Normal 5" xfId="539" xr:uid="{00000000-0005-0000-0000-0000B0D10000}"/>
    <cellStyle name="Normal 5 10" xfId="53595" xr:uid="{00000000-0005-0000-0000-0000B1D10000}"/>
    <cellStyle name="Normal 5 10 2" xfId="54220" xr:uid="{00000000-0005-0000-0000-0000B2D10000}"/>
    <cellStyle name="Normal 5 10 2 2" xfId="57387" xr:uid="{00000000-0005-0000-0000-0000B3D10000}"/>
    <cellStyle name="Normal 5 10 3" xfId="56763" xr:uid="{00000000-0005-0000-0000-0000B4D10000}"/>
    <cellStyle name="Normal 5 11" xfId="53596" xr:uid="{00000000-0005-0000-0000-0000B5D10000}"/>
    <cellStyle name="Normal 5 11 2" xfId="54221" xr:uid="{00000000-0005-0000-0000-0000B6D10000}"/>
    <cellStyle name="Normal 5 11 2 2" xfId="57388" xr:uid="{00000000-0005-0000-0000-0000B7D10000}"/>
    <cellStyle name="Normal 5 11 3" xfId="56764" xr:uid="{00000000-0005-0000-0000-0000B8D10000}"/>
    <cellStyle name="Normal 5 12" xfId="53597" xr:uid="{00000000-0005-0000-0000-0000B9D10000}"/>
    <cellStyle name="Normal 5 12 2" xfId="54222" xr:uid="{00000000-0005-0000-0000-0000BAD10000}"/>
    <cellStyle name="Normal 5 12 2 2" xfId="57389" xr:uid="{00000000-0005-0000-0000-0000BBD10000}"/>
    <cellStyle name="Normal 5 12 3" xfId="56765" xr:uid="{00000000-0005-0000-0000-0000BCD10000}"/>
    <cellStyle name="Normal 5 13" xfId="53594" xr:uid="{00000000-0005-0000-0000-0000BDD10000}"/>
    <cellStyle name="Normal 5 13 2" xfId="54219" xr:uid="{00000000-0005-0000-0000-0000BED10000}"/>
    <cellStyle name="Normal 5 13 2 2" xfId="57386" xr:uid="{00000000-0005-0000-0000-0000BFD10000}"/>
    <cellStyle name="Normal 5 13 3" xfId="56762" xr:uid="{00000000-0005-0000-0000-0000C0D10000}"/>
    <cellStyle name="Normal 5 14" xfId="53235" xr:uid="{00000000-0005-0000-0000-0000C1D10000}"/>
    <cellStyle name="Normal 5 15" xfId="53184" xr:uid="{00000000-0005-0000-0000-0000C2D10000}"/>
    <cellStyle name="Normal 5 2" xfId="540" xr:uid="{00000000-0005-0000-0000-0000C3D10000}"/>
    <cellStyle name="Normal 5 2 2" xfId="5149" xr:uid="{00000000-0005-0000-0000-0000C4D10000}"/>
    <cellStyle name="Normal 5 2 2 2" xfId="8821" xr:uid="{00000000-0005-0000-0000-0000C5D10000}"/>
    <cellStyle name="Normal 5 2 2 2 2" xfId="17953" xr:uid="{00000000-0005-0000-0000-0000C6D10000}"/>
    <cellStyle name="Normal 5 2 2 2 2 2" xfId="57392" xr:uid="{00000000-0005-0000-0000-0000C7D10000}"/>
    <cellStyle name="Normal 5 2 2 2 2 3" xfId="54225" xr:uid="{00000000-0005-0000-0000-0000C8D10000}"/>
    <cellStyle name="Normal 5 2 2 2 3" xfId="53600" xr:uid="{00000000-0005-0000-0000-0000C9D10000}"/>
    <cellStyle name="Normal 5 2 2 2 3 2" xfId="56768" xr:uid="{00000000-0005-0000-0000-0000CAD10000}"/>
    <cellStyle name="Normal 5 2 2 3" xfId="17952" xr:uid="{00000000-0005-0000-0000-0000CBD10000}"/>
    <cellStyle name="Normal 5 2 2 3 2" xfId="54226" xr:uid="{00000000-0005-0000-0000-0000CCD10000}"/>
    <cellStyle name="Normal 5 2 2 3 2 2" xfId="57393" xr:uid="{00000000-0005-0000-0000-0000CDD10000}"/>
    <cellStyle name="Normal 5 2 2 3 3" xfId="56769" xr:uid="{00000000-0005-0000-0000-0000CED10000}"/>
    <cellStyle name="Normal 5 2 2 3 4" xfId="53601" xr:uid="{00000000-0005-0000-0000-0000CFD10000}"/>
    <cellStyle name="Normal 5 2 2 4" xfId="54224" xr:uid="{00000000-0005-0000-0000-0000D0D10000}"/>
    <cellStyle name="Normal 5 2 2 4 2" xfId="57391" xr:uid="{00000000-0005-0000-0000-0000D1D10000}"/>
    <cellStyle name="Normal 5 2 2 5" xfId="53599" xr:uid="{00000000-0005-0000-0000-0000D2D10000}"/>
    <cellStyle name="Normal 5 2 2 5 2" xfId="56767" xr:uid="{00000000-0005-0000-0000-0000D3D10000}"/>
    <cellStyle name="Normal 5 2 3" xfId="5150" xr:uid="{00000000-0005-0000-0000-0000D4D10000}"/>
    <cellStyle name="Normal 5 2 3 2" xfId="8169" xr:uid="{00000000-0005-0000-0000-0000D5D10000}"/>
    <cellStyle name="Normal 5 2 3 2 2" xfId="16067" xr:uid="{00000000-0005-0000-0000-0000D6D10000}"/>
    <cellStyle name="Normal 5 2 3 2 2 2" xfId="32382" xr:uid="{00000000-0005-0000-0000-0000D7D10000}"/>
    <cellStyle name="Normal 5 2 3 2 2 3" xfId="47346" xr:uid="{00000000-0005-0000-0000-0000D8D10000}"/>
    <cellStyle name="Normal 5 2 3 2 2 4" xfId="57394" xr:uid="{00000000-0005-0000-0000-0000D9D10000}"/>
    <cellStyle name="Normal 5 2 3 2 3" xfId="25360" xr:uid="{00000000-0005-0000-0000-0000DAD10000}"/>
    <cellStyle name="Normal 5 2 3 2 4" xfId="40347" xr:uid="{00000000-0005-0000-0000-0000DBD10000}"/>
    <cellStyle name="Normal 5 2 3 2 5" xfId="54227" xr:uid="{00000000-0005-0000-0000-0000DCD10000}"/>
    <cellStyle name="Normal 5 2 3 3" xfId="13233" xr:uid="{00000000-0005-0000-0000-0000DDD10000}"/>
    <cellStyle name="Normal 5 2 3 3 2" xfId="29553" xr:uid="{00000000-0005-0000-0000-0000DED10000}"/>
    <cellStyle name="Normal 5 2 3 3 3" xfId="44518" xr:uid="{00000000-0005-0000-0000-0000DFD10000}"/>
    <cellStyle name="Normal 5 2 3 3 4" xfId="56770" xr:uid="{00000000-0005-0000-0000-0000E0D10000}"/>
    <cellStyle name="Normal 5 2 3 4" xfId="22531" xr:uid="{00000000-0005-0000-0000-0000E1D10000}"/>
    <cellStyle name="Normal 5 2 3 5" xfId="37519" xr:uid="{00000000-0005-0000-0000-0000E2D10000}"/>
    <cellStyle name="Normal 5 2 3 6" xfId="53602" xr:uid="{00000000-0005-0000-0000-0000E3D10000}"/>
    <cellStyle name="Normal 5 2 4" xfId="6035" xr:uid="{00000000-0005-0000-0000-0000E4D10000}"/>
    <cellStyle name="Normal 5 2 4 2" xfId="13953" xr:uid="{00000000-0005-0000-0000-0000E5D10000}"/>
    <cellStyle name="Normal 5 2 4 2 2" xfId="30268" xr:uid="{00000000-0005-0000-0000-0000E6D10000}"/>
    <cellStyle name="Normal 5 2 4 2 2 2" xfId="57395" xr:uid="{00000000-0005-0000-0000-0000E7D10000}"/>
    <cellStyle name="Normal 5 2 4 2 3" xfId="45232" xr:uid="{00000000-0005-0000-0000-0000E8D10000}"/>
    <cellStyle name="Normal 5 2 4 2 4" xfId="54228" xr:uid="{00000000-0005-0000-0000-0000E9D10000}"/>
    <cellStyle name="Normal 5 2 4 3" xfId="23246" xr:uid="{00000000-0005-0000-0000-0000EAD10000}"/>
    <cellStyle name="Normal 5 2 4 3 2" xfId="56771" xr:uid="{00000000-0005-0000-0000-0000EBD10000}"/>
    <cellStyle name="Normal 5 2 4 4" xfId="38233" xr:uid="{00000000-0005-0000-0000-0000ECD10000}"/>
    <cellStyle name="Normal 5 2 4 5" xfId="53603" xr:uid="{00000000-0005-0000-0000-0000EDD10000}"/>
    <cellStyle name="Normal 5 2 5" xfId="5148" xr:uid="{00000000-0005-0000-0000-0000EED10000}"/>
    <cellStyle name="Normal 5 2 5 2" xfId="13232" xr:uid="{00000000-0005-0000-0000-0000EFD10000}"/>
    <cellStyle name="Normal 5 2 5 2 2" xfId="29552" xr:uid="{00000000-0005-0000-0000-0000F0D10000}"/>
    <cellStyle name="Normal 5 2 5 2 2 2" xfId="57396" xr:uid="{00000000-0005-0000-0000-0000F1D10000}"/>
    <cellStyle name="Normal 5 2 5 2 3" xfId="44517" xr:uid="{00000000-0005-0000-0000-0000F2D10000}"/>
    <cellStyle name="Normal 5 2 5 2 4" xfId="54229" xr:uid="{00000000-0005-0000-0000-0000F3D10000}"/>
    <cellStyle name="Normal 5 2 5 3" xfId="22530" xr:uid="{00000000-0005-0000-0000-0000F4D10000}"/>
    <cellStyle name="Normal 5 2 5 3 2" xfId="56772" xr:uid="{00000000-0005-0000-0000-0000F5D10000}"/>
    <cellStyle name="Normal 5 2 5 4" xfId="37518" xr:uid="{00000000-0005-0000-0000-0000F6D10000}"/>
    <cellStyle name="Normal 5 2 5 5" xfId="53604" xr:uid="{00000000-0005-0000-0000-0000F7D10000}"/>
    <cellStyle name="Normal 5 2 6" xfId="17951" xr:uid="{00000000-0005-0000-0000-0000F8D10000}"/>
    <cellStyle name="Normal 5 2 6 2" xfId="54230" xr:uid="{00000000-0005-0000-0000-0000F9D10000}"/>
    <cellStyle name="Normal 5 2 6 2 2" xfId="57397" xr:uid="{00000000-0005-0000-0000-0000FAD10000}"/>
    <cellStyle name="Normal 5 2 6 3" xfId="56773" xr:uid="{00000000-0005-0000-0000-0000FBD10000}"/>
    <cellStyle name="Normal 5 2 6 4" xfId="53605" xr:uid="{00000000-0005-0000-0000-0000FCD10000}"/>
    <cellStyle name="Normal 5 2 7" xfId="53598" xr:uid="{00000000-0005-0000-0000-0000FDD10000}"/>
    <cellStyle name="Normal 5 2 7 2" xfId="54223" xr:uid="{00000000-0005-0000-0000-0000FED10000}"/>
    <cellStyle name="Normal 5 2 7 2 2" xfId="57390" xr:uid="{00000000-0005-0000-0000-0000FFD10000}"/>
    <cellStyle name="Normal 5 2 7 3" xfId="56766" xr:uid="{00000000-0005-0000-0000-000000D20000}"/>
    <cellStyle name="Normal 5 2 8" xfId="53252" xr:uid="{00000000-0005-0000-0000-000001D20000}"/>
    <cellStyle name="Normal 5 3" xfId="1170" xr:uid="{00000000-0005-0000-0000-000002D20000}"/>
    <cellStyle name="Normal 5 3 10" xfId="50057" xr:uid="{00000000-0005-0000-0000-000003D20000}"/>
    <cellStyle name="Normal 5 3 11" xfId="50462" xr:uid="{00000000-0005-0000-0000-000004D20000}"/>
    <cellStyle name="Normal 5 3 12" xfId="51022" xr:uid="{00000000-0005-0000-0000-000005D20000}"/>
    <cellStyle name="Normal 5 3 13" xfId="51623" xr:uid="{00000000-0005-0000-0000-000006D20000}"/>
    <cellStyle name="Normal 5 3 14" xfId="52043" xr:uid="{00000000-0005-0000-0000-000007D20000}"/>
    <cellStyle name="Normal 5 3 15" xfId="53606" xr:uid="{00000000-0005-0000-0000-000008D20000}"/>
    <cellStyle name="Normal 5 3 2" xfId="8822" xr:uid="{00000000-0005-0000-0000-000009D20000}"/>
    <cellStyle name="Normal 5 3 2 2" xfId="53608" xr:uid="{00000000-0005-0000-0000-00000AD20000}"/>
    <cellStyle name="Normal 5 3 2 2 2" xfId="54233" xr:uid="{00000000-0005-0000-0000-00000BD20000}"/>
    <cellStyle name="Normal 5 3 2 2 2 2" xfId="57400" xr:uid="{00000000-0005-0000-0000-00000CD20000}"/>
    <cellStyle name="Normal 5 3 2 2 3" xfId="56776" xr:uid="{00000000-0005-0000-0000-00000DD20000}"/>
    <cellStyle name="Normal 5 3 2 3" xfId="53609" xr:uid="{00000000-0005-0000-0000-00000ED20000}"/>
    <cellStyle name="Normal 5 3 2 3 2" xfId="54234" xr:uid="{00000000-0005-0000-0000-00000FD20000}"/>
    <cellStyle name="Normal 5 3 2 3 2 2" xfId="57401" xr:uid="{00000000-0005-0000-0000-000010D20000}"/>
    <cellStyle name="Normal 5 3 2 3 3" xfId="56777" xr:uid="{00000000-0005-0000-0000-000011D20000}"/>
    <cellStyle name="Normal 5 3 2 4" xfId="54232" xr:uid="{00000000-0005-0000-0000-000012D20000}"/>
    <cellStyle name="Normal 5 3 2 4 2" xfId="57399" xr:uid="{00000000-0005-0000-0000-000013D20000}"/>
    <cellStyle name="Normal 5 3 2 5" xfId="56775" xr:uid="{00000000-0005-0000-0000-000014D20000}"/>
    <cellStyle name="Normal 5 3 2 6" xfId="53607" xr:uid="{00000000-0005-0000-0000-000015D20000}"/>
    <cellStyle name="Normal 5 3 3" xfId="5151" xr:uid="{00000000-0005-0000-0000-000016D20000}"/>
    <cellStyle name="Normal 5 3 3 2" xfId="54235" xr:uid="{00000000-0005-0000-0000-000017D20000}"/>
    <cellStyle name="Normal 5 3 3 2 2" xfId="57402" xr:uid="{00000000-0005-0000-0000-000018D20000}"/>
    <cellStyle name="Normal 5 3 3 3" xfId="56778" xr:uid="{00000000-0005-0000-0000-000019D20000}"/>
    <cellStyle name="Normal 5 3 3 4" xfId="53610" xr:uid="{00000000-0005-0000-0000-00001AD20000}"/>
    <cellStyle name="Normal 5 3 4" xfId="8887" xr:uid="{00000000-0005-0000-0000-00001BD20000}"/>
    <cellStyle name="Normal 5 3 4 2" xfId="16661" xr:uid="{00000000-0005-0000-0000-00001CD20000}"/>
    <cellStyle name="Normal 5 3 4 2 2" xfId="32975" xr:uid="{00000000-0005-0000-0000-00001DD20000}"/>
    <cellStyle name="Normal 5 3 4 2 2 2" xfId="57403" xr:uid="{00000000-0005-0000-0000-00001ED20000}"/>
    <cellStyle name="Normal 5 3 4 2 3" xfId="47939" xr:uid="{00000000-0005-0000-0000-00001FD20000}"/>
    <cellStyle name="Normal 5 3 4 2 4" xfId="54236" xr:uid="{00000000-0005-0000-0000-000020D20000}"/>
    <cellStyle name="Normal 5 3 4 3" xfId="25953" xr:uid="{00000000-0005-0000-0000-000021D20000}"/>
    <cellStyle name="Normal 5 3 4 3 2" xfId="56779" xr:uid="{00000000-0005-0000-0000-000022D20000}"/>
    <cellStyle name="Normal 5 3 4 4" xfId="40940" xr:uid="{00000000-0005-0000-0000-000023D20000}"/>
    <cellStyle name="Normal 5 3 4 5" xfId="53611" xr:uid="{00000000-0005-0000-0000-000024D20000}"/>
    <cellStyle name="Normal 5 3 5" xfId="10000" xr:uid="{00000000-0005-0000-0000-000025D20000}"/>
    <cellStyle name="Normal 5 3 5 2" xfId="26322" xr:uid="{00000000-0005-0000-0000-000026D20000}"/>
    <cellStyle name="Normal 5 3 5 2 2" xfId="57404" xr:uid="{00000000-0005-0000-0000-000027D20000}"/>
    <cellStyle name="Normal 5 3 5 2 3" xfId="54237" xr:uid="{00000000-0005-0000-0000-000028D20000}"/>
    <cellStyle name="Normal 5 3 5 3" xfId="41290" xr:uid="{00000000-0005-0000-0000-000029D20000}"/>
    <cellStyle name="Normal 5 3 5 3 2" xfId="56780" xr:uid="{00000000-0005-0000-0000-00002AD20000}"/>
    <cellStyle name="Normal 5 3 5 4" xfId="53612" xr:uid="{00000000-0005-0000-0000-00002BD20000}"/>
    <cellStyle name="Normal 5 3 6" xfId="19301" xr:uid="{00000000-0005-0000-0000-00002CD20000}"/>
    <cellStyle name="Normal 5 3 6 2" xfId="54238" xr:uid="{00000000-0005-0000-0000-00002DD20000}"/>
    <cellStyle name="Normal 5 3 6 2 2" xfId="57405" xr:uid="{00000000-0005-0000-0000-00002ED20000}"/>
    <cellStyle name="Normal 5 3 6 3" xfId="56781" xr:uid="{00000000-0005-0000-0000-00002FD20000}"/>
    <cellStyle name="Normal 5 3 6 4" xfId="53613" xr:uid="{00000000-0005-0000-0000-000030D20000}"/>
    <cellStyle name="Normal 5 3 7" xfId="34291" xr:uid="{00000000-0005-0000-0000-000031D20000}"/>
    <cellStyle name="Normal 5 3 7 2" xfId="57398" xr:uid="{00000000-0005-0000-0000-000032D20000}"/>
    <cellStyle name="Normal 5 3 7 3" xfId="54231" xr:uid="{00000000-0005-0000-0000-000033D20000}"/>
    <cellStyle name="Normal 5 3 8" xfId="49243" xr:uid="{00000000-0005-0000-0000-000034D20000}"/>
    <cellStyle name="Normal 5 3 8 2" xfId="56774" xr:uid="{00000000-0005-0000-0000-000035D20000}"/>
    <cellStyle name="Normal 5 3 9" xfId="49648" xr:uid="{00000000-0005-0000-0000-000036D20000}"/>
    <cellStyle name="Normal 5 4" xfId="1192" xr:uid="{00000000-0005-0000-0000-000037D20000}"/>
    <cellStyle name="Normal 5 4 2" xfId="8820" xr:uid="{00000000-0005-0000-0000-000038D20000}"/>
    <cellStyle name="Normal 5 4 2 2" xfId="53616" xr:uid="{00000000-0005-0000-0000-000039D20000}"/>
    <cellStyle name="Normal 5 4 2 2 2" xfId="54241" xr:uid="{00000000-0005-0000-0000-00003AD20000}"/>
    <cellStyle name="Normal 5 4 2 2 2 2" xfId="57408" xr:uid="{00000000-0005-0000-0000-00003BD20000}"/>
    <cellStyle name="Normal 5 4 2 2 3" xfId="56784" xr:uid="{00000000-0005-0000-0000-00003CD20000}"/>
    <cellStyle name="Normal 5 4 2 3" xfId="53617" xr:uid="{00000000-0005-0000-0000-00003DD20000}"/>
    <cellStyle name="Normal 5 4 2 3 2" xfId="54242" xr:uid="{00000000-0005-0000-0000-00003ED20000}"/>
    <cellStyle name="Normal 5 4 2 3 2 2" xfId="57409" xr:uid="{00000000-0005-0000-0000-00003FD20000}"/>
    <cellStyle name="Normal 5 4 2 3 3" xfId="56785" xr:uid="{00000000-0005-0000-0000-000040D20000}"/>
    <cellStyle name="Normal 5 4 2 4" xfId="54240" xr:uid="{00000000-0005-0000-0000-000041D20000}"/>
    <cellStyle name="Normal 5 4 2 4 2" xfId="57407" xr:uid="{00000000-0005-0000-0000-000042D20000}"/>
    <cellStyle name="Normal 5 4 2 5" xfId="56783" xr:uid="{00000000-0005-0000-0000-000043D20000}"/>
    <cellStyle name="Normal 5 4 2 6" xfId="53615" xr:uid="{00000000-0005-0000-0000-000044D20000}"/>
    <cellStyle name="Normal 5 4 3" xfId="5147" xr:uid="{00000000-0005-0000-0000-000045D20000}"/>
    <cellStyle name="Normal 5 4 3 2" xfId="54243" xr:uid="{00000000-0005-0000-0000-000046D20000}"/>
    <cellStyle name="Normal 5 4 3 2 2" xfId="57410" xr:uid="{00000000-0005-0000-0000-000047D20000}"/>
    <cellStyle name="Normal 5 4 3 3" xfId="56786" xr:uid="{00000000-0005-0000-0000-000048D20000}"/>
    <cellStyle name="Normal 5 4 3 4" xfId="53618" xr:uid="{00000000-0005-0000-0000-000049D20000}"/>
    <cellStyle name="Normal 5 4 4" xfId="53619" xr:uid="{00000000-0005-0000-0000-00004AD20000}"/>
    <cellStyle name="Normal 5 4 4 2" xfId="54244" xr:uid="{00000000-0005-0000-0000-00004BD20000}"/>
    <cellStyle name="Normal 5 4 4 2 2" xfId="57411" xr:uid="{00000000-0005-0000-0000-00004CD20000}"/>
    <cellStyle name="Normal 5 4 4 3" xfId="56787" xr:uid="{00000000-0005-0000-0000-00004DD20000}"/>
    <cellStyle name="Normal 5 4 5" xfId="53620" xr:uid="{00000000-0005-0000-0000-00004ED20000}"/>
    <cellStyle name="Normal 5 4 5 2" xfId="54245" xr:uid="{00000000-0005-0000-0000-00004FD20000}"/>
    <cellStyle name="Normal 5 4 5 2 2" xfId="57412" xr:uid="{00000000-0005-0000-0000-000050D20000}"/>
    <cellStyle name="Normal 5 4 5 3" xfId="56788" xr:uid="{00000000-0005-0000-0000-000051D20000}"/>
    <cellStyle name="Normal 5 4 6" xfId="54239" xr:uid="{00000000-0005-0000-0000-000052D20000}"/>
    <cellStyle name="Normal 5 4 6 2" xfId="57406" xr:uid="{00000000-0005-0000-0000-000053D20000}"/>
    <cellStyle name="Normal 5 4 7" xfId="56782" xr:uid="{00000000-0005-0000-0000-000054D20000}"/>
    <cellStyle name="Normal 5 4 8" xfId="53614" xr:uid="{00000000-0005-0000-0000-000055D20000}"/>
    <cellStyle name="Normal 5 5" xfId="1527" xr:uid="{00000000-0005-0000-0000-000056D20000}"/>
    <cellStyle name="Normal 5 5 2" xfId="10089" xr:uid="{00000000-0005-0000-0000-000057D20000}"/>
    <cellStyle name="Normal 5 5 2 2" xfId="26409" xr:uid="{00000000-0005-0000-0000-000058D20000}"/>
    <cellStyle name="Normal 5 5 2 2 2" xfId="54248" xr:uid="{00000000-0005-0000-0000-000059D20000}"/>
    <cellStyle name="Normal 5 5 2 2 2 2" xfId="57415" xr:uid="{00000000-0005-0000-0000-00005AD20000}"/>
    <cellStyle name="Normal 5 5 2 2 3" xfId="56791" xr:uid="{00000000-0005-0000-0000-00005BD20000}"/>
    <cellStyle name="Normal 5 5 2 2 4" xfId="53623" xr:uid="{00000000-0005-0000-0000-00005CD20000}"/>
    <cellStyle name="Normal 5 5 2 3" xfId="41375" xr:uid="{00000000-0005-0000-0000-00005DD20000}"/>
    <cellStyle name="Normal 5 5 2 3 2" xfId="54249" xr:uid="{00000000-0005-0000-0000-00005ED20000}"/>
    <cellStyle name="Normal 5 5 2 3 2 2" xfId="57416" xr:uid="{00000000-0005-0000-0000-00005FD20000}"/>
    <cellStyle name="Normal 5 5 2 3 3" xfId="56792" xr:uid="{00000000-0005-0000-0000-000060D20000}"/>
    <cellStyle name="Normal 5 5 2 3 4" xfId="53624" xr:uid="{00000000-0005-0000-0000-000061D20000}"/>
    <cellStyle name="Normal 5 5 2 4" xfId="54247" xr:uid="{00000000-0005-0000-0000-000062D20000}"/>
    <cellStyle name="Normal 5 5 2 4 2" xfId="57414" xr:uid="{00000000-0005-0000-0000-000063D20000}"/>
    <cellStyle name="Normal 5 5 2 5" xfId="56790" xr:uid="{00000000-0005-0000-0000-000064D20000}"/>
    <cellStyle name="Normal 5 5 2 6" xfId="53622" xr:uid="{00000000-0005-0000-0000-000065D20000}"/>
    <cellStyle name="Normal 5 5 3" xfId="19387" xr:uid="{00000000-0005-0000-0000-000066D20000}"/>
    <cellStyle name="Normal 5 5 3 2" xfId="54250" xr:uid="{00000000-0005-0000-0000-000067D20000}"/>
    <cellStyle name="Normal 5 5 3 2 2" xfId="57417" xr:uid="{00000000-0005-0000-0000-000068D20000}"/>
    <cellStyle name="Normal 5 5 3 3" xfId="56793" xr:uid="{00000000-0005-0000-0000-000069D20000}"/>
    <cellStyle name="Normal 5 5 3 4" xfId="53625" xr:uid="{00000000-0005-0000-0000-00006AD20000}"/>
    <cellStyle name="Normal 5 5 4" xfId="34376" xr:uid="{00000000-0005-0000-0000-00006BD20000}"/>
    <cellStyle name="Normal 5 5 4 2" xfId="54251" xr:uid="{00000000-0005-0000-0000-00006CD20000}"/>
    <cellStyle name="Normal 5 5 4 2 2" xfId="57418" xr:uid="{00000000-0005-0000-0000-00006DD20000}"/>
    <cellStyle name="Normal 5 5 4 3" xfId="56794" xr:uid="{00000000-0005-0000-0000-00006ED20000}"/>
    <cellStyle name="Normal 5 5 4 4" xfId="53626" xr:uid="{00000000-0005-0000-0000-00006FD20000}"/>
    <cellStyle name="Normal 5 5 5" xfId="53627" xr:uid="{00000000-0005-0000-0000-000070D20000}"/>
    <cellStyle name="Normal 5 5 5 2" xfId="54252" xr:uid="{00000000-0005-0000-0000-000071D20000}"/>
    <cellStyle name="Normal 5 5 5 2 2" xfId="57419" xr:uid="{00000000-0005-0000-0000-000072D20000}"/>
    <cellStyle name="Normal 5 5 5 3" xfId="56795" xr:uid="{00000000-0005-0000-0000-000073D20000}"/>
    <cellStyle name="Normal 5 5 6" xfId="54246" xr:uid="{00000000-0005-0000-0000-000074D20000}"/>
    <cellStyle name="Normal 5 5 6 2" xfId="57413" xr:uid="{00000000-0005-0000-0000-000075D20000}"/>
    <cellStyle name="Normal 5 5 7" xfId="56789" xr:uid="{00000000-0005-0000-0000-000076D20000}"/>
    <cellStyle name="Normal 5 5 8" xfId="53621" xr:uid="{00000000-0005-0000-0000-000077D20000}"/>
    <cellStyle name="Normal 5 6" xfId="53628" xr:uid="{00000000-0005-0000-0000-000078D20000}"/>
    <cellStyle name="Normal 5 6 2" xfId="53629" xr:uid="{00000000-0005-0000-0000-000079D20000}"/>
    <cellStyle name="Normal 5 6 2 2" xfId="53630" xr:uid="{00000000-0005-0000-0000-00007AD20000}"/>
    <cellStyle name="Normal 5 6 2 2 2" xfId="54255" xr:uid="{00000000-0005-0000-0000-00007BD20000}"/>
    <cellStyle name="Normal 5 6 2 2 2 2" xfId="57422" xr:uid="{00000000-0005-0000-0000-00007CD20000}"/>
    <cellStyle name="Normal 5 6 2 2 3" xfId="56798" xr:uid="{00000000-0005-0000-0000-00007DD20000}"/>
    <cellStyle name="Normal 5 6 2 3" xfId="53631" xr:uid="{00000000-0005-0000-0000-00007ED20000}"/>
    <cellStyle name="Normal 5 6 2 3 2" xfId="54256" xr:uid="{00000000-0005-0000-0000-00007FD20000}"/>
    <cellStyle name="Normal 5 6 2 3 2 2" xfId="57423" xr:uid="{00000000-0005-0000-0000-000080D20000}"/>
    <cellStyle name="Normal 5 6 2 3 3" xfId="56799" xr:uid="{00000000-0005-0000-0000-000081D20000}"/>
    <cellStyle name="Normal 5 6 2 4" xfId="54254" xr:uid="{00000000-0005-0000-0000-000082D20000}"/>
    <cellStyle name="Normal 5 6 2 4 2" xfId="57421" xr:uid="{00000000-0005-0000-0000-000083D20000}"/>
    <cellStyle name="Normal 5 6 2 5" xfId="56797" xr:uid="{00000000-0005-0000-0000-000084D20000}"/>
    <cellStyle name="Normal 5 6 3" xfId="53632" xr:uid="{00000000-0005-0000-0000-000085D20000}"/>
    <cellStyle name="Normal 5 6 3 2" xfId="54257" xr:uid="{00000000-0005-0000-0000-000086D20000}"/>
    <cellStyle name="Normal 5 6 3 2 2" xfId="57424" xr:uid="{00000000-0005-0000-0000-000087D20000}"/>
    <cellStyle name="Normal 5 6 3 3" xfId="56800" xr:uid="{00000000-0005-0000-0000-000088D20000}"/>
    <cellStyle name="Normal 5 6 4" xfId="53633" xr:uid="{00000000-0005-0000-0000-000089D20000}"/>
    <cellStyle name="Normal 5 6 4 2" xfId="54258" xr:uid="{00000000-0005-0000-0000-00008AD20000}"/>
    <cellStyle name="Normal 5 6 4 2 2" xfId="57425" xr:uid="{00000000-0005-0000-0000-00008BD20000}"/>
    <cellStyle name="Normal 5 6 4 3" xfId="56801" xr:uid="{00000000-0005-0000-0000-00008CD20000}"/>
    <cellStyle name="Normal 5 6 5" xfId="53634" xr:uid="{00000000-0005-0000-0000-00008DD20000}"/>
    <cellStyle name="Normal 5 6 5 2" xfId="54259" xr:uid="{00000000-0005-0000-0000-00008ED20000}"/>
    <cellStyle name="Normal 5 6 5 2 2" xfId="57426" xr:uid="{00000000-0005-0000-0000-00008FD20000}"/>
    <cellStyle name="Normal 5 6 5 3" xfId="56802" xr:uid="{00000000-0005-0000-0000-000090D20000}"/>
    <cellStyle name="Normal 5 6 6" xfId="54253" xr:uid="{00000000-0005-0000-0000-000091D20000}"/>
    <cellStyle name="Normal 5 6 6 2" xfId="57420" xr:uid="{00000000-0005-0000-0000-000092D20000}"/>
    <cellStyle name="Normal 5 6 7" xfId="56796" xr:uid="{00000000-0005-0000-0000-000093D20000}"/>
    <cellStyle name="Normal 5 7" xfId="53635" xr:uid="{00000000-0005-0000-0000-000094D20000}"/>
    <cellStyle name="Normal 5 7 2" xfId="53636" xr:uid="{00000000-0005-0000-0000-000095D20000}"/>
    <cellStyle name="Normal 5 7 2 2" xfId="53637" xr:uid="{00000000-0005-0000-0000-000096D20000}"/>
    <cellStyle name="Normal 5 7 2 2 2" xfId="54262" xr:uid="{00000000-0005-0000-0000-000097D20000}"/>
    <cellStyle name="Normal 5 7 2 2 2 2" xfId="57429" xr:uid="{00000000-0005-0000-0000-000098D20000}"/>
    <cellStyle name="Normal 5 7 2 2 3" xfId="56805" xr:uid="{00000000-0005-0000-0000-000099D20000}"/>
    <cellStyle name="Normal 5 7 2 3" xfId="53638" xr:uid="{00000000-0005-0000-0000-00009AD20000}"/>
    <cellStyle name="Normal 5 7 2 3 2" xfId="54263" xr:uid="{00000000-0005-0000-0000-00009BD20000}"/>
    <cellStyle name="Normal 5 7 2 3 2 2" xfId="57430" xr:uid="{00000000-0005-0000-0000-00009CD20000}"/>
    <cellStyle name="Normal 5 7 2 3 3" xfId="56806" xr:uid="{00000000-0005-0000-0000-00009DD20000}"/>
    <cellStyle name="Normal 5 7 2 4" xfId="54261" xr:uid="{00000000-0005-0000-0000-00009ED20000}"/>
    <cellStyle name="Normal 5 7 2 4 2" xfId="57428" xr:uid="{00000000-0005-0000-0000-00009FD20000}"/>
    <cellStyle name="Normal 5 7 2 5" xfId="56804" xr:uid="{00000000-0005-0000-0000-0000A0D20000}"/>
    <cellStyle name="Normal 5 7 3" xfId="53639" xr:uid="{00000000-0005-0000-0000-0000A1D20000}"/>
    <cellStyle name="Normal 5 7 3 2" xfId="54264" xr:uid="{00000000-0005-0000-0000-0000A2D20000}"/>
    <cellStyle name="Normal 5 7 3 2 2" xfId="57431" xr:uid="{00000000-0005-0000-0000-0000A3D20000}"/>
    <cellStyle name="Normal 5 7 3 3" xfId="56807" xr:uid="{00000000-0005-0000-0000-0000A4D20000}"/>
    <cellStyle name="Normal 5 7 4" xfId="53640" xr:uid="{00000000-0005-0000-0000-0000A5D20000}"/>
    <cellStyle name="Normal 5 7 4 2" xfId="54265" xr:uid="{00000000-0005-0000-0000-0000A6D20000}"/>
    <cellStyle name="Normal 5 7 4 2 2" xfId="57432" xr:uid="{00000000-0005-0000-0000-0000A7D20000}"/>
    <cellStyle name="Normal 5 7 4 3" xfId="56808" xr:uid="{00000000-0005-0000-0000-0000A8D20000}"/>
    <cellStyle name="Normal 5 7 5" xfId="53641" xr:uid="{00000000-0005-0000-0000-0000A9D20000}"/>
    <cellStyle name="Normal 5 7 5 2" xfId="54266" xr:uid="{00000000-0005-0000-0000-0000AAD20000}"/>
    <cellStyle name="Normal 5 7 5 2 2" xfId="57433" xr:uid="{00000000-0005-0000-0000-0000ABD20000}"/>
    <cellStyle name="Normal 5 7 5 3" xfId="56809" xr:uid="{00000000-0005-0000-0000-0000ACD20000}"/>
    <cellStyle name="Normal 5 7 6" xfId="54260" xr:uid="{00000000-0005-0000-0000-0000ADD20000}"/>
    <cellStyle name="Normal 5 7 6 2" xfId="57427" xr:uid="{00000000-0005-0000-0000-0000AED20000}"/>
    <cellStyle name="Normal 5 7 7" xfId="56803" xr:uid="{00000000-0005-0000-0000-0000AFD20000}"/>
    <cellStyle name="Normal 5 8" xfId="53642" xr:uid="{00000000-0005-0000-0000-0000B0D20000}"/>
    <cellStyle name="Normal 5 8 2" xfId="53643" xr:uid="{00000000-0005-0000-0000-0000B1D20000}"/>
    <cellStyle name="Normal 5 8 2 2" xfId="54268" xr:uid="{00000000-0005-0000-0000-0000B2D20000}"/>
    <cellStyle name="Normal 5 8 2 2 2" xfId="57435" xr:uid="{00000000-0005-0000-0000-0000B3D20000}"/>
    <cellStyle name="Normal 5 8 2 3" xfId="56811" xr:uid="{00000000-0005-0000-0000-0000B4D20000}"/>
    <cellStyle name="Normal 5 8 3" xfId="53644" xr:uid="{00000000-0005-0000-0000-0000B5D20000}"/>
    <cellStyle name="Normal 5 8 3 2" xfId="54269" xr:uid="{00000000-0005-0000-0000-0000B6D20000}"/>
    <cellStyle name="Normal 5 8 3 2 2" xfId="57436" xr:uid="{00000000-0005-0000-0000-0000B7D20000}"/>
    <cellStyle name="Normal 5 8 3 3" xfId="56812" xr:uid="{00000000-0005-0000-0000-0000B8D20000}"/>
    <cellStyle name="Normal 5 8 4" xfId="54267" xr:uid="{00000000-0005-0000-0000-0000B9D20000}"/>
    <cellStyle name="Normal 5 8 4 2" xfId="57434" xr:uid="{00000000-0005-0000-0000-0000BAD20000}"/>
    <cellStyle name="Normal 5 8 5" xfId="56810" xr:uid="{00000000-0005-0000-0000-0000BBD20000}"/>
    <cellStyle name="Normal 5 9" xfId="53645" xr:uid="{00000000-0005-0000-0000-0000BCD20000}"/>
    <cellStyle name="Normal 5 9 2" xfId="53646" xr:uid="{00000000-0005-0000-0000-0000BDD20000}"/>
    <cellStyle name="Normal 5 9 2 2" xfId="54271" xr:uid="{00000000-0005-0000-0000-0000BED20000}"/>
    <cellStyle name="Normal 5 9 2 2 2" xfId="57438" xr:uid="{00000000-0005-0000-0000-0000BFD20000}"/>
    <cellStyle name="Normal 5 9 2 3" xfId="56814" xr:uid="{00000000-0005-0000-0000-0000C0D20000}"/>
    <cellStyle name="Normal 5 9 3" xfId="54270" xr:uid="{00000000-0005-0000-0000-0000C1D20000}"/>
    <cellStyle name="Normal 5 9 3 2" xfId="57437" xr:uid="{00000000-0005-0000-0000-0000C2D20000}"/>
    <cellStyle name="Normal 5 9 4" xfId="56813" xr:uid="{00000000-0005-0000-0000-0000C3D20000}"/>
    <cellStyle name="Normal 6" xfId="541" xr:uid="{00000000-0005-0000-0000-0000C4D20000}"/>
    <cellStyle name="Normal 6 10" xfId="9646" xr:uid="{00000000-0005-0000-0000-0000C5D20000}"/>
    <cellStyle name="Normal 6 10 2" xfId="25977" xr:uid="{00000000-0005-0000-0000-0000C6D20000}"/>
    <cellStyle name="Normal 6 10 2 2" xfId="57440" xr:uid="{00000000-0005-0000-0000-0000C7D20000}"/>
    <cellStyle name="Normal 6 10 2 3" xfId="54273" xr:uid="{00000000-0005-0000-0000-0000C8D20000}"/>
    <cellStyle name="Normal 6 10 3" xfId="40963" xr:uid="{00000000-0005-0000-0000-0000C9D20000}"/>
    <cellStyle name="Normal 6 10 3 2" xfId="56816" xr:uid="{00000000-0005-0000-0000-0000CAD20000}"/>
    <cellStyle name="Normal 6 10 4" xfId="53648" xr:uid="{00000000-0005-0000-0000-0000CBD20000}"/>
    <cellStyle name="Normal 6 11" xfId="17434" xr:uid="{00000000-0005-0000-0000-0000CCD20000}"/>
    <cellStyle name="Normal 6 11 2" xfId="33546" xr:uid="{00000000-0005-0000-0000-0000CDD20000}"/>
    <cellStyle name="Normal 6 11 2 2" xfId="57441" xr:uid="{00000000-0005-0000-0000-0000CED20000}"/>
    <cellStyle name="Normal 6 11 2 3" xfId="54274" xr:uid="{00000000-0005-0000-0000-0000CFD20000}"/>
    <cellStyle name="Normal 6 11 3" xfId="48507" xr:uid="{00000000-0005-0000-0000-0000D0D20000}"/>
    <cellStyle name="Normal 6 11 3 2" xfId="56817" xr:uid="{00000000-0005-0000-0000-0000D1D20000}"/>
    <cellStyle name="Normal 6 11 4" xfId="53649" xr:uid="{00000000-0005-0000-0000-0000D2D20000}"/>
    <cellStyle name="Normal 6 12" xfId="19290" xr:uid="{00000000-0005-0000-0000-0000D3D20000}"/>
    <cellStyle name="Normal 6 12 2" xfId="54275" xr:uid="{00000000-0005-0000-0000-0000D4D20000}"/>
    <cellStyle name="Normal 6 12 2 2" xfId="57442" xr:uid="{00000000-0005-0000-0000-0000D5D20000}"/>
    <cellStyle name="Normal 6 12 3" xfId="56818" xr:uid="{00000000-0005-0000-0000-0000D6D20000}"/>
    <cellStyle name="Normal 6 12 4" xfId="53650" xr:uid="{00000000-0005-0000-0000-0000D7D20000}"/>
    <cellStyle name="Normal 6 13" xfId="34285" xr:uid="{00000000-0005-0000-0000-0000D8D20000}"/>
    <cellStyle name="Normal 6 13 2" xfId="54272" xr:uid="{00000000-0005-0000-0000-0000D9D20000}"/>
    <cellStyle name="Normal 6 13 2 2" xfId="57439" xr:uid="{00000000-0005-0000-0000-0000DAD20000}"/>
    <cellStyle name="Normal 6 13 3" xfId="56815" xr:uid="{00000000-0005-0000-0000-0000DBD20000}"/>
    <cellStyle name="Normal 6 13 4" xfId="53647" xr:uid="{00000000-0005-0000-0000-0000DCD20000}"/>
    <cellStyle name="Normal 6 14" xfId="49225" xr:uid="{00000000-0005-0000-0000-0000DDD20000}"/>
    <cellStyle name="Normal 6 14 2" xfId="56999" xr:uid="{00000000-0005-0000-0000-0000DED20000}"/>
    <cellStyle name="Normal 6 14 3" xfId="53832" xr:uid="{00000000-0005-0000-0000-0000DFD20000}"/>
    <cellStyle name="Normal 6 15" xfId="49630" xr:uid="{00000000-0005-0000-0000-0000E0D20000}"/>
    <cellStyle name="Normal 6 15 2" xfId="56380" xr:uid="{00000000-0005-0000-0000-0000E1D20000}"/>
    <cellStyle name="Normal 6 15 3" xfId="53120" xr:uid="{00000000-0005-0000-0000-0000E2D20000}"/>
    <cellStyle name="Normal 6 16" xfId="50036" xr:uid="{00000000-0005-0000-0000-0000E3D20000}"/>
    <cellStyle name="Normal 6 16 2" xfId="55953" xr:uid="{00000000-0005-0000-0000-0000E4D20000}"/>
    <cellStyle name="Normal 6 17" xfId="50444" xr:uid="{00000000-0005-0000-0000-0000E5D20000}"/>
    <cellStyle name="Normal 6 18" xfId="50542" xr:uid="{00000000-0005-0000-0000-0000E6D20000}"/>
    <cellStyle name="Normal 6 19" xfId="50886" xr:uid="{00000000-0005-0000-0000-0000E7D20000}"/>
    <cellStyle name="Normal 6 2" xfId="542" xr:uid="{00000000-0005-0000-0000-0000E8D20000}"/>
    <cellStyle name="Normal 6 2 2" xfId="5154" xr:uid="{00000000-0005-0000-0000-0000E9D20000}"/>
    <cellStyle name="Normal 6 2 2 2" xfId="7783" xr:uid="{00000000-0005-0000-0000-0000EAD20000}"/>
    <cellStyle name="Normal 6 2 2 2 2" xfId="15685" xr:uid="{00000000-0005-0000-0000-0000EBD20000}"/>
    <cellStyle name="Normal 6 2 2 2 2 2" xfId="32000" xr:uid="{00000000-0005-0000-0000-0000ECD20000}"/>
    <cellStyle name="Normal 6 2 2 2 2 2 2" xfId="57445" xr:uid="{00000000-0005-0000-0000-0000EDD20000}"/>
    <cellStyle name="Normal 6 2 2 2 2 3" xfId="46964" xr:uid="{00000000-0005-0000-0000-0000EED20000}"/>
    <cellStyle name="Normal 6 2 2 2 2 4" xfId="54278" xr:uid="{00000000-0005-0000-0000-0000EFD20000}"/>
    <cellStyle name="Normal 6 2 2 2 3" xfId="24978" xr:uid="{00000000-0005-0000-0000-0000F0D20000}"/>
    <cellStyle name="Normal 6 2 2 2 3 2" xfId="56821" xr:uid="{00000000-0005-0000-0000-0000F1D20000}"/>
    <cellStyle name="Normal 6 2 2 2 4" xfId="39965" xr:uid="{00000000-0005-0000-0000-0000F2D20000}"/>
    <cellStyle name="Normal 6 2 2 2 5" xfId="53653" xr:uid="{00000000-0005-0000-0000-0000F3D20000}"/>
    <cellStyle name="Normal 6 2 2 3" xfId="13235" xr:uid="{00000000-0005-0000-0000-0000F4D20000}"/>
    <cellStyle name="Normal 6 2 2 3 2" xfId="29555" xr:uid="{00000000-0005-0000-0000-0000F5D20000}"/>
    <cellStyle name="Normal 6 2 2 3 2 2" xfId="57446" xr:uid="{00000000-0005-0000-0000-0000F6D20000}"/>
    <cellStyle name="Normal 6 2 2 3 2 3" xfId="54279" xr:uid="{00000000-0005-0000-0000-0000F7D20000}"/>
    <cellStyle name="Normal 6 2 2 3 3" xfId="44520" xr:uid="{00000000-0005-0000-0000-0000F8D20000}"/>
    <cellStyle name="Normal 6 2 2 3 3 2" xfId="56822" xr:uid="{00000000-0005-0000-0000-0000F9D20000}"/>
    <cellStyle name="Normal 6 2 2 3 4" xfId="53654" xr:uid="{00000000-0005-0000-0000-0000FAD20000}"/>
    <cellStyle name="Normal 6 2 2 4" xfId="18451" xr:uid="{00000000-0005-0000-0000-0000FBD20000}"/>
    <cellStyle name="Normal 6 2 2 4 2" xfId="54277" xr:uid="{00000000-0005-0000-0000-0000FCD20000}"/>
    <cellStyle name="Normal 6 2 2 4 2 2" xfId="57444" xr:uid="{00000000-0005-0000-0000-0000FDD20000}"/>
    <cellStyle name="Normal 6 2 2 4 3" xfId="56820" xr:uid="{00000000-0005-0000-0000-0000FED20000}"/>
    <cellStyle name="Normal 6 2 2 4 4" xfId="53652" xr:uid="{00000000-0005-0000-0000-0000FFD20000}"/>
    <cellStyle name="Normal 6 2 2 5" xfId="22533" xr:uid="{00000000-0005-0000-0000-000000D30000}"/>
    <cellStyle name="Normal 6 2 2 5 2" xfId="57023" xr:uid="{00000000-0005-0000-0000-000001D30000}"/>
    <cellStyle name="Normal 6 2 2 5 3" xfId="53856" xr:uid="{00000000-0005-0000-0000-000002D30000}"/>
    <cellStyle name="Normal 6 2 2 6" xfId="37521" xr:uid="{00000000-0005-0000-0000-000003D30000}"/>
    <cellStyle name="Normal 6 2 2 6 2" xfId="56412" xr:uid="{00000000-0005-0000-0000-000004D30000}"/>
    <cellStyle name="Normal 6 2 2 6 3" xfId="53210" xr:uid="{00000000-0005-0000-0000-000005D30000}"/>
    <cellStyle name="Normal 6 2 3" xfId="5155" xr:uid="{00000000-0005-0000-0000-000006D30000}"/>
    <cellStyle name="Normal 6 2 3 2" xfId="7020" xr:uid="{00000000-0005-0000-0000-000007D30000}"/>
    <cellStyle name="Normal 6 2 3 2 2" xfId="14932" xr:uid="{00000000-0005-0000-0000-000008D30000}"/>
    <cellStyle name="Normal 6 2 3 2 2 2" xfId="31247" xr:uid="{00000000-0005-0000-0000-000009D30000}"/>
    <cellStyle name="Normal 6 2 3 2 2 2 2" xfId="57447" xr:uid="{00000000-0005-0000-0000-00000AD30000}"/>
    <cellStyle name="Normal 6 2 3 2 2 3" xfId="46211" xr:uid="{00000000-0005-0000-0000-00000BD30000}"/>
    <cellStyle name="Normal 6 2 3 2 2 4" xfId="54280" xr:uid="{00000000-0005-0000-0000-00000CD30000}"/>
    <cellStyle name="Normal 6 2 3 2 3" xfId="24225" xr:uid="{00000000-0005-0000-0000-00000DD30000}"/>
    <cellStyle name="Normal 6 2 3 2 3 2" xfId="56823" xr:uid="{00000000-0005-0000-0000-00000ED30000}"/>
    <cellStyle name="Normal 6 2 3 2 4" xfId="39212" xr:uid="{00000000-0005-0000-0000-00000FD30000}"/>
    <cellStyle name="Normal 6 2 3 2 5" xfId="53655" xr:uid="{00000000-0005-0000-0000-000010D30000}"/>
    <cellStyle name="Normal 6 2 3 3" xfId="13236" xr:uid="{00000000-0005-0000-0000-000011D30000}"/>
    <cellStyle name="Normal 6 2 3 3 2" xfId="29556" xr:uid="{00000000-0005-0000-0000-000012D30000}"/>
    <cellStyle name="Normal 6 2 3 3 2 2" xfId="57039" xr:uid="{00000000-0005-0000-0000-000013D30000}"/>
    <cellStyle name="Normal 6 2 3 3 3" xfId="44521" xr:uid="{00000000-0005-0000-0000-000014D30000}"/>
    <cellStyle name="Normal 6 2 3 3 4" xfId="53872" xr:uid="{00000000-0005-0000-0000-000015D30000}"/>
    <cellStyle name="Normal 6 2 3 4" xfId="18955" xr:uid="{00000000-0005-0000-0000-000016D30000}"/>
    <cellStyle name="Normal 6 2 3 4 2" xfId="33952" xr:uid="{00000000-0005-0000-0000-000017D30000}"/>
    <cellStyle name="Normal 6 2 3 4 2 2" xfId="56428" xr:uid="{00000000-0005-0000-0000-000018D30000}"/>
    <cellStyle name="Normal 6 2 3 4 3" xfId="48913" xr:uid="{00000000-0005-0000-0000-000019D30000}"/>
    <cellStyle name="Normal 6 2 3 4 4" xfId="53226" xr:uid="{00000000-0005-0000-0000-00001AD30000}"/>
    <cellStyle name="Normal 6 2 3 5" xfId="22534" xr:uid="{00000000-0005-0000-0000-00001BD30000}"/>
    <cellStyle name="Normal 6 2 3 5 2" xfId="56360" xr:uid="{00000000-0005-0000-0000-00001CD30000}"/>
    <cellStyle name="Normal 6 2 3 6" xfId="37522" xr:uid="{00000000-0005-0000-0000-00001DD30000}"/>
    <cellStyle name="Normal 6 2 3 7" xfId="53086" xr:uid="{00000000-0005-0000-0000-00001ED30000}"/>
    <cellStyle name="Normal 6 2 4" xfId="6036" xr:uid="{00000000-0005-0000-0000-00001FD30000}"/>
    <cellStyle name="Normal 6 2 4 2" xfId="13954" xr:uid="{00000000-0005-0000-0000-000020D30000}"/>
    <cellStyle name="Normal 6 2 4 2 2" xfId="30269" xr:uid="{00000000-0005-0000-0000-000021D30000}"/>
    <cellStyle name="Normal 6 2 4 2 2 2" xfId="57448" xr:uid="{00000000-0005-0000-0000-000022D30000}"/>
    <cellStyle name="Normal 6 2 4 2 3" xfId="45233" xr:uid="{00000000-0005-0000-0000-000023D30000}"/>
    <cellStyle name="Normal 6 2 4 2 4" xfId="54281" xr:uid="{00000000-0005-0000-0000-000024D30000}"/>
    <cellStyle name="Normal 6 2 4 3" xfId="23247" xr:uid="{00000000-0005-0000-0000-000025D30000}"/>
    <cellStyle name="Normal 6 2 4 3 2" xfId="56824" xr:uid="{00000000-0005-0000-0000-000026D30000}"/>
    <cellStyle name="Normal 6 2 4 4" xfId="38234" xr:uid="{00000000-0005-0000-0000-000027D30000}"/>
    <cellStyle name="Normal 6 2 4 5" xfId="53656" xr:uid="{00000000-0005-0000-0000-000028D30000}"/>
    <cellStyle name="Normal 6 2 5" xfId="5153" xr:uid="{00000000-0005-0000-0000-000029D30000}"/>
    <cellStyle name="Normal 6 2 5 2" xfId="13234" xr:uid="{00000000-0005-0000-0000-00002AD30000}"/>
    <cellStyle name="Normal 6 2 5 2 2" xfId="29554" xr:uid="{00000000-0005-0000-0000-00002BD30000}"/>
    <cellStyle name="Normal 6 2 5 2 2 2" xfId="57449" xr:uid="{00000000-0005-0000-0000-00002CD30000}"/>
    <cellStyle name="Normal 6 2 5 2 3" xfId="44519" xr:uid="{00000000-0005-0000-0000-00002DD30000}"/>
    <cellStyle name="Normal 6 2 5 2 4" xfId="54282" xr:uid="{00000000-0005-0000-0000-00002ED30000}"/>
    <cellStyle name="Normal 6 2 5 3" xfId="22532" xr:uid="{00000000-0005-0000-0000-00002FD30000}"/>
    <cellStyle name="Normal 6 2 5 3 2" xfId="56825" xr:uid="{00000000-0005-0000-0000-000030D30000}"/>
    <cellStyle name="Normal 6 2 5 4" xfId="37520" xr:uid="{00000000-0005-0000-0000-000031D30000}"/>
    <cellStyle name="Normal 6 2 5 5" xfId="53657" xr:uid="{00000000-0005-0000-0000-000032D30000}"/>
    <cellStyle name="Normal 6 2 6" xfId="17435" xr:uid="{00000000-0005-0000-0000-000033D30000}"/>
    <cellStyle name="Normal 6 2 6 2" xfId="54283" xr:uid="{00000000-0005-0000-0000-000034D30000}"/>
    <cellStyle name="Normal 6 2 6 2 2" xfId="57450" xr:uid="{00000000-0005-0000-0000-000035D30000}"/>
    <cellStyle name="Normal 6 2 6 3" xfId="56826" xr:uid="{00000000-0005-0000-0000-000036D30000}"/>
    <cellStyle name="Normal 6 2 6 4" xfId="53658" xr:uid="{00000000-0005-0000-0000-000037D30000}"/>
    <cellStyle name="Normal 6 2 7" xfId="53651" xr:uid="{00000000-0005-0000-0000-000038D30000}"/>
    <cellStyle name="Normal 6 2 7 2" xfId="54276" xr:uid="{00000000-0005-0000-0000-000039D30000}"/>
    <cellStyle name="Normal 6 2 7 2 2" xfId="57443" xr:uid="{00000000-0005-0000-0000-00003AD30000}"/>
    <cellStyle name="Normal 6 2 7 3" xfId="56819" xr:uid="{00000000-0005-0000-0000-00003BD30000}"/>
    <cellStyle name="Normal 6 2 8" xfId="53840" xr:uid="{00000000-0005-0000-0000-00003CD30000}"/>
    <cellStyle name="Normal 6 2 8 2" xfId="57007" xr:uid="{00000000-0005-0000-0000-00003DD30000}"/>
    <cellStyle name="Normal 6 2 9" xfId="53194" xr:uid="{00000000-0005-0000-0000-00003ED30000}"/>
    <cellStyle name="Normal 6 2 9 2" xfId="56396" xr:uid="{00000000-0005-0000-0000-00003FD30000}"/>
    <cellStyle name="Normal 6 20" xfId="51605" xr:uid="{00000000-0005-0000-0000-000040D30000}"/>
    <cellStyle name="Normal 6 21" xfId="52018" xr:uid="{00000000-0005-0000-0000-000041D30000}"/>
    <cellStyle name="Normal 6 22" xfId="52671" xr:uid="{00000000-0005-0000-0000-000042D30000}"/>
    <cellStyle name="Normal 6 3" xfId="1171" xr:uid="{00000000-0005-0000-0000-000043D30000}"/>
    <cellStyle name="Normal 6 3 10" xfId="49244" xr:uid="{00000000-0005-0000-0000-000044D30000}"/>
    <cellStyle name="Normal 6 3 10 2" xfId="55400" xr:uid="{00000000-0005-0000-0000-000045D30000}"/>
    <cellStyle name="Normal 6 3 11" xfId="49649" xr:uid="{00000000-0005-0000-0000-000046D30000}"/>
    <cellStyle name="Normal 6 3 11 2" xfId="56322" xr:uid="{00000000-0005-0000-0000-000047D30000}"/>
    <cellStyle name="Normal 6 3 12" xfId="50058" xr:uid="{00000000-0005-0000-0000-000048D30000}"/>
    <cellStyle name="Normal 6 3 13" xfId="50463" xr:uid="{00000000-0005-0000-0000-000049D30000}"/>
    <cellStyle name="Normal 6 3 14" xfId="51023" xr:uid="{00000000-0005-0000-0000-00004AD30000}"/>
    <cellStyle name="Normal 6 3 15" xfId="51624" xr:uid="{00000000-0005-0000-0000-00004BD30000}"/>
    <cellStyle name="Normal 6 3 16" xfId="52044" xr:uid="{00000000-0005-0000-0000-00004CD30000}"/>
    <cellStyle name="Normal 6 3 17" xfId="53045" xr:uid="{00000000-0005-0000-0000-00004DD30000}"/>
    <cellStyle name="Normal 6 3 2" xfId="5157" xr:uid="{00000000-0005-0000-0000-00004ED30000}"/>
    <cellStyle name="Normal 6 3 2 2" xfId="18934" xr:uid="{00000000-0005-0000-0000-00004FD30000}"/>
    <cellStyle name="Normal 6 3 2 2 2" xfId="33935" xr:uid="{00000000-0005-0000-0000-000050D30000}"/>
    <cellStyle name="Normal 6 3 2 2 2 2" xfId="57453" xr:uid="{00000000-0005-0000-0000-000051D30000}"/>
    <cellStyle name="Normal 6 3 2 2 2 3" xfId="54286" xr:uid="{00000000-0005-0000-0000-000052D30000}"/>
    <cellStyle name="Normal 6 3 2 2 3" xfId="48896" xr:uid="{00000000-0005-0000-0000-000053D30000}"/>
    <cellStyle name="Normal 6 3 2 2 3 2" xfId="56829" xr:uid="{00000000-0005-0000-0000-000054D30000}"/>
    <cellStyle name="Normal 6 3 2 2 4" xfId="53661" xr:uid="{00000000-0005-0000-0000-000055D30000}"/>
    <cellStyle name="Normal 6 3 2 3" xfId="53662" xr:uid="{00000000-0005-0000-0000-000056D30000}"/>
    <cellStyle name="Normal 6 3 2 3 2" xfId="54287" xr:uid="{00000000-0005-0000-0000-000057D30000}"/>
    <cellStyle name="Normal 6 3 2 3 2 2" xfId="57454" xr:uid="{00000000-0005-0000-0000-000058D30000}"/>
    <cellStyle name="Normal 6 3 2 3 3" xfId="56830" xr:uid="{00000000-0005-0000-0000-000059D30000}"/>
    <cellStyle name="Normal 6 3 2 4" xfId="54285" xr:uid="{00000000-0005-0000-0000-00005AD30000}"/>
    <cellStyle name="Normal 6 3 2 4 2" xfId="57452" xr:uid="{00000000-0005-0000-0000-00005BD30000}"/>
    <cellStyle name="Normal 6 3 2 5" xfId="53660" xr:uid="{00000000-0005-0000-0000-00005CD30000}"/>
    <cellStyle name="Normal 6 3 2 5 2" xfId="56828" xr:uid="{00000000-0005-0000-0000-00005DD30000}"/>
    <cellStyle name="Normal 6 3 2 6" xfId="56343" xr:uid="{00000000-0005-0000-0000-00005ED30000}"/>
    <cellStyle name="Normal 6 3 2 7" xfId="53069" xr:uid="{00000000-0005-0000-0000-00005FD30000}"/>
    <cellStyle name="Normal 6 3 3" xfId="8824" xr:uid="{00000000-0005-0000-0000-000060D30000}"/>
    <cellStyle name="Normal 6 3 3 2" xfId="54288" xr:uid="{00000000-0005-0000-0000-000061D30000}"/>
    <cellStyle name="Normal 6 3 3 2 2" xfId="57455" xr:uid="{00000000-0005-0000-0000-000062D30000}"/>
    <cellStyle name="Normal 6 3 3 3" xfId="56831" xr:uid="{00000000-0005-0000-0000-000063D30000}"/>
    <cellStyle name="Normal 6 3 3 4" xfId="53663" xr:uid="{00000000-0005-0000-0000-000064D30000}"/>
    <cellStyle name="Normal 6 3 4" xfId="5156" xr:uid="{00000000-0005-0000-0000-000065D30000}"/>
    <cellStyle name="Normal 6 3 4 2" xfId="54289" xr:uid="{00000000-0005-0000-0000-000066D30000}"/>
    <cellStyle name="Normal 6 3 4 2 2" xfId="57456" xr:uid="{00000000-0005-0000-0000-000067D30000}"/>
    <cellStyle name="Normal 6 3 4 3" xfId="56832" xr:uid="{00000000-0005-0000-0000-000068D30000}"/>
    <cellStyle name="Normal 6 3 4 4" xfId="53664" xr:uid="{00000000-0005-0000-0000-000069D30000}"/>
    <cellStyle name="Normal 6 3 5" xfId="8888" xr:uid="{00000000-0005-0000-0000-00006AD30000}"/>
    <cellStyle name="Normal 6 3 5 2" xfId="16662" xr:uid="{00000000-0005-0000-0000-00006BD30000}"/>
    <cellStyle name="Normal 6 3 5 2 2" xfId="32976" xr:uid="{00000000-0005-0000-0000-00006CD30000}"/>
    <cellStyle name="Normal 6 3 5 2 2 2" xfId="57457" xr:uid="{00000000-0005-0000-0000-00006DD30000}"/>
    <cellStyle name="Normal 6 3 5 2 3" xfId="47940" xr:uid="{00000000-0005-0000-0000-00006ED30000}"/>
    <cellStyle name="Normal 6 3 5 2 4" xfId="54290" xr:uid="{00000000-0005-0000-0000-00006FD30000}"/>
    <cellStyle name="Normal 6 3 5 3" xfId="25954" xr:uid="{00000000-0005-0000-0000-000070D30000}"/>
    <cellStyle name="Normal 6 3 5 3 2" xfId="56833" xr:uid="{00000000-0005-0000-0000-000071D30000}"/>
    <cellStyle name="Normal 6 3 5 4" xfId="40941" xr:uid="{00000000-0005-0000-0000-000072D30000}"/>
    <cellStyle name="Normal 6 3 5 5" xfId="53665" xr:uid="{00000000-0005-0000-0000-000073D30000}"/>
    <cellStyle name="Normal 6 3 6" xfId="10001" xr:uid="{00000000-0005-0000-0000-000074D30000}"/>
    <cellStyle name="Normal 6 3 6 2" xfId="26323" xr:uid="{00000000-0005-0000-0000-000075D30000}"/>
    <cellStyle name="Normal 6 3 6 2 2" xfId="57458" xr:uid="{00000000-0005-0000-0000-000076D30000}"/>
    <cellStyle name="Normal 6 3 6 2 3" xfId="54291" xr:uid="{00000000-0005-0000-0000-000077D30000}"/>
    <cellStyle name="Normal 6 3 6 3" xfId="41291" xr:uid="{00000000-0005-0000-0000-000078D30000}"/>
    <cellStyle name="Normal 6 3 6 3 2" xfId="56834" xr:uid="{00000000-0005-0000-0000-000079D30000}"/>
    <cellStyle name="Normal 6 3 6 4" xfId="53666" xr:uid="{00000000-0005-0000-0000-00007AD30000}"/>
    <cellStyle name="Normal 6 3 7" xfId="18450" xr:uid="{00000000-0005-0000-0000-00007BD30000}"/>
    <cellStyle name="Normal 6 3 7 2" xfId="33915" xr:uid="{00000000-0005-0000-0000-00007CD30000}"/>
    <cellStyle name="Normal 6 3 7 2 2" xfId="57451" xr:uid="{00000000-0005-0000-0000-00007DD30000}"/>
    <cellStyle name="Normal 6 3 7 2 3" xfId="54284" xr:uid="{00000000-0005-0000-0000-00007ED30000}"/>
    <cellStyle name="Normal 6 3 7 3" xfId="48876" xr:uid="{00000000-0005-0000-0000-00007FD30000}"/>
    <cellStyle name="Normal 6 3 7 3 2" xfId="56827" xr:uid="{00000000-0005-0000-0000-000080D30000}"/>
    <cellStyle name="Normal 6 3 7 4" xfId="53659" xr:uid="{00000000-0005-0000-0000-000081D30000}"/>
    <cellStyle name="Normal 6 3 8" xfId="19302" xr:uid="{00000000-0005-0000-0000-000082D30000}"/>
    <cellStyle name="Normal 6 3 8 2" xfId="57015" xr:uid="{00000000-0005-0000-0000-000083D30000}"/>
    <cellStyle name="Normal 6 3 8 3" xfId="53848" xr:uid="{00000000-0005-0000-0000-000084D30000}"/>
    <cellStyle name="Normal 6 3 9" xfId="34292" xr:uid="{00000000-0005-0000-0000-000085D30000}"/>
    <cellStyle name="Normal 6 3 9 2" xfId="56404" xr:uid="{00000000-0005-0000-0000-000086D30000}"/>
    <cellStyle name="Normal 6 3 9 3" xfId="53202" xr:uid="{00000000-0005-0000-0000-000087D30000}"/>
    <cellStyle name="Normal 6 4" xfId="1309" xr:uid="{00000000-0005-0000-0000-000088D30000}"/>
    <cellStyle name="Normal 6 4 10" xfId="49318" xr:uid="{00000000-0005-0000-0000-000089D30000}"/>
    <cellStyle name="Normal 6 4 10 2" xfId="56356" xr:uid="{00000000-0005-0000-0000-00008AD30000}"/>
    <cellStyle name="Normal 6 4 11" xfId="49723" xr:uid="{00000000-0005-0000-0000-00008BD30000}"/>
    <cellStyle name="Normal 6 4 12" xfId="50132" xr:uid="{00000000-0005-0000-0000-00008CD30000}"/>
    <cellStyle name="Normal 6 4 13" xfId="50537" xr:uid="{00000000-0005-0000-0000-00008DD30000}"/>
    <cellStyle name="Normal 6 4 14" xfId="51102" xr:uid="{00000000-0005-0000-0000-00008ED30000}"/>
    <cellStyle name="Normal 6 4 15" xfId="51698" xr:uid="{00000000-0005-0000-0000-00008FD30000}"/>
    <cellStyle name="Normal 6 4 16" xfId="52119" xr:uid="{00000000-0005-0000-0000-000090D30000}"/>
    <cellStyle name="Normal 6 4 17" xfId="53082" xr:uid="{00000000-0005-0000-0000-000091D30000}"/>
    <cellStyle name="Normal 6 4 2" xfId="5159" xr:uid="{00000000-0005-0000-0000-000092D30000}"/>
    <cellStyle name="Normal 6 4 2 2" xfId="7545" xr:uid="{00000000-0005-0000-0000-000093D30000}"/>
    <cellStyle name="Normal 6 4 2 2 2" xfId="15447" xr:uid="{00000000-0005-0000-0000-000094D30000}"/>
    <cellStyle name="Normal 6 4 2 2 2 2" xfId="31762" xr:uid="{00000000-0005-0000-0000-000095D30000}"/>
    <cellStyle name="Normal 6 4 2 2 2 2 2" xfId="57461" xr:uid="{00000000-0005-0000-0000-000096D30000}"/>
    <cellStyle name="Normal 6 4 2 2 2 3" xfId="46726" xr:uid="{00000000-0005-0000-0000-000097D30000}"/>
    <cellStyle name="Normal 6 4 2 2 2 4" xfId="54294" xr:uid="{00000000-0005-0000-0000-000098D30000}"/>
    <cellStyle name="Normal 6 4 2 2 3" xfId="24740" xr:uid="{00000000-0005-0000-0000-000099D30000}"/>
    <cellStyle name="Normal 6 4 2 2 3 2" xfId="56837" xr:uid="{00000000-0005-0000-0000-00009AD30000}"/>
    <cellStyle name="Normal 6 4 2 2 4" xfId="39727" xr:uid="{00000000-0005-0000-0000-00009BD30000}"/>
    <cellStyle name="Normal 6 4 2 2 5" xfId="53669" xr:uid="{00000000-0005-0000-0000-00009CD30000}"/>
    <cellStyle name="Normal 6 4 2 3" xfId="13238" xr:uid="{00000000-0005-0000-0000-00009DD30000}"/>
    <cellStyle name="Normal 6 4 2 3 2" xfId="29558" xr:uid="{00000000-0005-0000-0000-00009ED30000}"/>
    <cellStyle name="Normal 6 4 2 3 2 2" xfId="57462" xr:uid="{00000000-0005-0000-0000-00009FD30000}"/>
    <cellStyle name="Normal 6 4 2 3 2 3" xfId="54295" xr:uid="{00000000-0005-0000-0000-0000A0D30000}"/>
    <cellStyle name="Normal 6 4 2 3 3" xfId="44523" xr:uid="{00000000-0005-0000-0000-0000A1D30000}"/>
    <cellStyle name="Normal 6 4 2 3 3 2" xfId="56838" xr:uid="{00000000-0005-0000-0000-0000A2D30000}"/>
    <cellStyle name="Normal 6 4 2 3 4" xfId="53670" xr:uid="{00000000-0005-0000-0000-0000A3D30000}"/>
    <cellStyle name="Normal 6 4 2 4" xfId="22536" xr:uid="{00000000-0005-0000-0000-0000A4D30000}"/>
    <cellStyle name="Normal 6 4 2 4 2" xfId="57460" xr:uid="{00000000-0005-0000-0000-0000A5D30000}"/>
    <cellStyle name="Normal 6 4 2 4 3" xfId="54293" xr:uid="{00000000-0005-0000-0000-0000A6D30000}"/>
    <cellStyle name="Normal 6 4 2 5" xfId="37524" xr:uid="{00000000-0005-0000-0000-0000A7D30000}"/>
    <cellStyle name="Normal 6 4 2 5 2" xfId="56836" xr:uid="{00000000-0005-0000-0000-0000A8D30000}"/>
    <cellStyle name="Normal 6 4 2 6" xfId="53668" xr:uid="{00000000-0005-0000-0000-0000A9D30000}"/>
    <cellStyle name="Normal 6 4 3" xfId="6037" xr:uid="{00000000-0005-0000-0000-0000AAD30000}"/>
    <cellStyle name="Normal 6 4 3 2" xfId="13955" xr:uid="{00000000-0005-0000-0000-0000ABD30000}"/>
    <cellStyle name="Normal 6 4 3 2 2" xfId="30270" xr:uid="{00000000-0005-0000-0000-0000ACD30000}"/>
    <cellStyle name="Normal 6 4 3 2 2 2" xfId="57463" xr:uid="{00000000-0005-0000-0000-0000ADD30000}"/>
    <cellStyle name="Normal 6 4 3 2 3" xfId="45234" xr:uid="{00000000-0005-0000-0000-0000AED30000}"/>
    <cellStyle name="Normal 6 4 3 2 4" xfId="54296" xr:uid="{00000000-0005-0000-0000-0000AFD30000}"/>
    <cellStyle name="Normal 6 4 3 3" xfId="23248" xr:uid="{00000000-0005-0000-0000-0000B0D30000}"/>
    <cellStyle name="Normal 6 4 3 3 2" xfId="56839" xr:uid="{00000000-0005-0000-0000-0000B1D30000}"/>
    <cellStyle name="Normal 6 4 3 4" xfId="38235" xr:uid="{00000000-0005-0000-0000-0000B2D30000}"/>
    <cellStyle name="Normal 6 4 3 5" xfId="53671" xr:uid="{00000000-0005-0000-0000-0000B3D30000}"/>
    <cellStyle name="Normal 6 4 4" xfId="5158" xr:uid="{00000000-0005-0000-0000-0000B4D30000}"/>
    <cellStyle name="Normal 6 4 4 2" xfId="13237" xr:uid="{00000000-0005-0000-0000-0000B5D30000}"/>
    <cellStyle name="Normal 6 4 4 2 2" xfId="29557" xr:uid="{00000000-0005-0000-0000-0000B6D30000}"/>
    <cellStyle name="Normal 6 4 4 2 2 2" xfId="57464" xr:uid="{00000000-0005-0000-0000-0000B7D30000}"/>
    <cellStyle name="Normal 6 4 4 2 3" xfId="44522" xr:uid="{00000000-0005-0000-0000-0000B8D30000}"/>
    <cellStyle name="Normal 6 4 4 2 4" xfId="54297" xr:uid="{00000000-0005-0000-0000-0000B9D30000}"/>
    <cellStyle name="Normal 6 4 4 3" xfId="22535" xr:uid="{00000000-0005-0000-0000-0000BAD30000}"/>
    <cellStyle name="Normal 6 4 4 3 2" xfId="56840" xr:uid="{00000000-0005-0000-0000-0000BBD30000}"/>
    <cellStyle name="Normal 6 4 4 4" xfId="37523" xr:uid="{00000000-0005-0000-0000-0000BCD30000}"/>
    <cellStyle name="Normal 6 4 4 5" xfId="53672" xr:uid="{00000000-0005-0000-0000-0000BDD30000}"/>
    <cellStyle name="Normal 6 4 5" xfId="8900" xr:uid="{00000000-0005-0000-0000-0000BED30000}"/>
    <cellStyle name="Normal 6 4 5 2" xfId="16674" xr:uid="{00000000-0005-0000-0000-0000BFD30000}"/>
    <cellStyle name="Normal 6 4 5 2 2" xfId="32988" xr:uid="{00000000-0005-0000-0000-0000C0D30000}"/>
    <cellStyle name="Normal 6 4 5 2 2 2" xfId="57465" xr:uid="{00000000-0005-0000-0000-0000C1D30000}"/>
    <cellStyle name="Normal 6 4 5 2 3" xfId="47952" xr:uid="{00000000-0005-0000-0000-0000C2D30000}"/>
    <cellStyle name="Normal 6 4 5 2 4" xfId="54298" xr:uid="{00000000-0005-0000-0000-0000C3D30000}"/>
    <cellStyle name="Normal 6 4 5 3" xfId="25966" xr:uid="{00000000-0005-0000-0000-0000C4D30000}"/>
    <cellStyle name="Normal 6 4 5 3 2" xfId="56841" xr:uid="{00000000-0005-0000-0000-0000C5D30000}"/>
    <cellStyle name="Normal 6 4 5 4" xfId="40953" xr:uid="{00000000-0005-0000-0000-0000C6D30000}"/>
    <cellStyle name="Normal 6 4 5 5" xfId="53673" xr:uid="{00000000-0005-0000-0000-0000C7D30000}"/>
    <cellStyle name="Normal 6 4 6" xfId="10076" xr:uid="{00000000-0005-0000-0000-0000C8D30000}"/>
    <cellStyle name="Normal 6 4 6 2" xfId="26397" xr:uid="{00000000-0005-0000-0000-0000C9D30000}"/>
    <cellStyle name="Normal 6 4 6 2 2" xfId="57459" xr:uid="{00000000-0005-0000-0000-0000CAD30000}"/>
    <cellStyle name="Normal 6 4 6 2 3" xfId="54292" xr:uid="{00000000-0005-0000-0000-0000CBD30000}"/>
    <cellStyle name="Normal 6 4 6 3" xfId="41365" xr:uid="{00000000-0005-0000-0000-0000CCD30000}"/>
    <cellStyle name="Normal 6 4 6 3 2" xfId="56835" xr:uid="{00000000-0005-0000-0000-0000CDD30000}"/>
    <cellStyle name="Normal 6 4 6 4" xfId="53667" xr:uid="{00000000-0005-0000-0000-0000CED30000}"/>
    <cellStyle name="Normal 6 4 7" xfId="18949" xr:uid="{00000000-0005-0000-0000-0000CFD30000}"/>
    <cellStyle name="Normal 6 4 7 2" xfId="33948" xr:uid="{00000000-0005-0000-0000-0000D0D30000}"/>
    <cellStyle name="Normal 6 4 7 2 2" xfId="57031" xr:uid="{00000000-0005-0000-0000-0000D1D30000}"/>
    <cellStyle name="Normal 6 4 7 3" xfId="48909" xr:uid="{00000000-0005-0000-0000-0000D2D30000}"/>
    <cellStyle name="Normal 6 4 7 4" xfId="53864" xr:uid="{00000000-0005-0000-0000-0000D3D30000}"/>
    <cellStyle name="Normal 6 4 8" xfId="19376" xr:uid="{00000000-0005-0000-0000-0000D4D30000}"/>
    <cellStyle name="Normal 6 4 8 2" xfId="56420" xr:uid="{00000000-0005-0000-0000-0000D5D30000}"/>
    <cellStyle name="Normal 6 4 8 3" xfId="53218" xr:uid="{00000000-0005-0000-0000-0000D6D30000}"/>
    <cellStyle name="Normal 6 4 9" xfId="34366" xr:uid="{00000000-0005-0000-0000-0000D7D30000}"/>
    <cellStyle name="Normal 6 4 9 2" xfId="55029" xr:uid="{00000000-0005-0000-0000-0000D8D30000}"/>
    <cellStyle name="Normal 6 5" xfId="5160" xr:uid="{00000000-0005-0000-0000-0000D9D30000}"/>
    <cellStyle name="Normal 6 5 2" xfId="6773" xr:uid="{00000000-0005-0000-0000-0000DAD30000}"/>
    <cellStyle name="Normal 6 5 2 2" xfId="14685" xr:uid="{00000000-0005-0000-0000-0000DBD30000}"/>
    <cellStyle name="Normal 6 5 2 2 2" xfId="31000" xr:uid="{00000000-0005-0000-0000-0000DCD30000}"/>
    <cellStyle name="Normal 6 5 2 2 2 2" xfId="57468" xr:uid="{00000000-0005-0000-0000-0000DDD30000}"/>
    <cellStyle name="Normal 6 5 2 2 2 3" xfId="54301" xr:uid="{00000000-0005-0000-0000-0000DED30000}"/>
    <cellStyle name="Normal 6 5 2 2 3" xfId="45964" xr:uid="{00000000-0005-0000-0000-0000DFD30000}"/>
    <cellStyle name="Normal 6 5 2 2 3 2" xfId="56844" xr:uid="{00000000-0005-0000-0000-0000E0D30000}"/>
    <cellStyle name="Normal 6 5 2 2 4" xfId="53676" xr:uid="{00000000-0005-0000-0000-0000E1D30000}"/>
    <cellStyle name="Normal 6 5 2 3" xfId="23978" xr:uid="{00000000-0005-0000-0000-0000E2D30000}"/>
    <cellStyle name="Normal 6 5 2 3 2" xfId="54302" xr:uid="{00000000-0005-0000-0000-0000E3D30000}"/>
    <cellStyle name="Normal 6 5 2 3 2 2" xfId="57469" xr:uid="{00000000-0005-0000-0000-0000E4D30000}"/>
    <cellStyle name="Normal 6 5 2 3 3" xfId="56845" xr:uid="{00000000-0005-0000-0000-0000E5D30000}"/>
    <cellStyle name="Normal 6 5 2 3 4" xfId="53677" xr:uid="{00000000-0005-0000-0000-0000E6D30000}"/>
    <cellStyle name="Normal 6 5 2 4" xfId="38965" xr:uid="{00000000-0005-0000-0000-0000E7D30000}"/>
    <cellStyle name="Normal 6 5 2 4 2" xfId="57467" xr:uid="{00000000-0005-0000-0000-0000E8D30000}"/>
    <cellStyle name="Normal 6 5 2 4 3" xfId="54300" xr:uid="{00000000-0005-0000-0000-0000E9D30000}"/>
    <cellStyle name="Normal 6 5 2 5" xfId="56843" xr:uid="{00000000-0005-0000-0000-0000EAD30000}"/>
    <cellStyle name="Normal 6 5 2 6" xfId="53675" xr:uid="{00000000-0005-0000-0000-0000EBD30000}"/>
    <cellStyle name="Normal 6 5 3" xfId="13239" xr:uid="{00000000-0005-0000-0000-0000ECD30000}"/>
    <cellStyle name="Normal 6 5 3 2" xfId="29559" xr:uid="{00000000-0005-0000-0000-0000EDD30000}"/>
    <cellStyle name="Normal 6 5 3 2 2" xfId="57470" xr:uid="{00000000-0005-0000-0000-0000EED30000}"/>
    <cellStyle name="Normal 6 5 3 2 3" xfId="54303" xr:uid="{00000000-0005-0000-0000-0000EFD30000}"/>
    <cellStyle name="Normal 6 5 3 3" xfId="44524" xr:uid="{00000000-0005-0000-0000-0000F0D30000}"/>
    <cellStyle name="Normal 6 5 3 3 2" xfId="56846" xr:uid="{00000000-0005-0000-0000-0000F1D30000}"/>
    <cellStyle name="Normal 6 5 3 4" xfId="53678" xr:uid="{00000000-0005-0000-0000-0000F2D30000}"/>
    <cellStyle name="Normal 6 5 4" xfId="18915" xr:uid="{00000000-0005-0000-0000-0000F3D30000}"/>
    <cellStyle name="Normal 6 5 4 2" xfId="33925" xr:uid="{00000000-0005-0000-0000-0000F4D30000}"/>
    <cellStyle name="Normal 6 5 4 2 2" xfId="57471" xr:uid="{00000000-0005-0000-0000-0000F5D30000}"/>
    <cellStyle name="Normal 6 5 4 2 3" xfId="54304" xr:uid="{00000000-0005-0000-0000-0000F6D30000}"/>
    <cellStyle name="Normal 6 5 4 3" xfId="48886" xr:uid="{00000000-0005-0000-0000-0000F7D30000}"/>
    <cellStyle name="Normal 6 5 4 3 2" xfId="56847" xr:uid="{00000000-0005-0000-0000-0000F8D30000}"/>
    <cellStyle name="Normal 6 5 4 4" xfId="53679" xr:uid="{00000000-0005-0000-0000-0000F9D30000}"/>
    <cellStyle name="Normal 6 5 5" xfId="22537" xr:uid="{00000000-0005-0000-0000-0000FAD30000}"/>
    <cellStyle name="Normal 6 5 5 2" xfId="54305" xr:uid="{00000000-0005-0000-0000-0000FBD30000}"/>
    <cellStyle name="Normal 6 5 5 2 2" xfId="57472" xr:uid="{00000000-0005-0000-0000-0000FCD30000}"/>
    <cellStyle name="Normal 6 5 5 3" xfId="56848" xr:uid="{00000000-0005-0000-0000-0000FDD30000}"/>
    <cellStyle name="Normal 6 5 5 4" xfId="53680" xr:uid="{00000000-0005-0000-0000-0000FED30000}"/>
    <cellStyle name="Normal 6 5 6" xfId="37525" xr:uid="{00000000-0005-0000-0000-0000FFD30000}"/>
    <cellStyle name="Normal 6 5 6 2" xfId="57466" xr:uid="{00000000-0005-0000-0000-000000D40000}"/>
    <cellStyle name="Normal 6 5 6 3" xfId="54299" xr:uid="{00000000-0005-0000-0000-000001D40000}"/>
    <cellStyle name="Normal 6 5 7" xfId="53674" xr:uid="{00000000-0005-0000-0000-000002D40000}"/>
    <cellStyle name="Normal 6 5 7 2" xfId="56842" xr:uid="{00000000-0005-0000-0000-000003D40000}"/>
    <cellStyle name="Normal 6 5 8" xfId="56333" xr:uid="{00000000-0005-0000-0000-000004D40000}"/>
    <cellStyle name="Normal 6 5 9" xfId="53059" xr:uid="{00000000-0005-0000-0000-000005D40000}"/>
    <cellStyle name="Normal 6 6" xfId="5152" xr:uid="{00000000-0005-0000-0000-000006D40000}"/>
    <cellStyle name="Normal 6 6 2" xfId="8823" xr:uid="{00000000-0005-0000-0000-000007D40000}"/>
    <cellStyle name="Normal 6 6 2 2" xfId="53683" xr:uid="{00000000-0005-0000-0000-000008D40000}"/>
    <cellStyle name="Normal 6 6 2 2 2" xfId="54308" xr:uid="{00000000-0005-0000-0000-000009D40000}"/>
    <cellStyle name="Normal 6 6 2 2 2 2" xfId="57475" xr:uid="{00000000-0005-0000-0000-00000AD40000}"/>
    <cellStyle name="Normal 6 6 2 2 3" xfId="56851" xr:uid="{00000000-0005-0000-0000-00000BD40000}"/>
    <cellStyle name="Normal 6 6 2 3" xfId="53684" xr:uid="{00000000-0005-0000-0000-00000CD40000}"/>
    <cellStyle name="Normal 6 6 2 3 2" xfId="54309" xr:uid="{00000000-0005-0000-0000-00000DD40000}"/>
    <cellStyle name="Normal 6 6 2 3 2 2" xfId="57476" xr:uid="{00000000-0005-0000-0000-00000ED40000}"/>
    <cellStyle name="Normal 6 6 2 3 3" xfId="56852" xr:uid="{00000000-0005-0000-0000-00000FD40000}"/>
    <cellStyle name="Normal 6 6 2 4" xfId="54307" xr:uid="{00000000-0005-0000-0000-000010D40000}"/>
    <cellStyle name="Normal 6 6 2 4 2" xfId="57474" xr:uid="{00000000-0005-0000-0000-000011D40000}"/>
    <cellStyle name="Normal 6 6 2 5" xfId="56850" xr:uid="{00000000-0005-0000-0000-000012D40000}"/>
    <cellStyle name="Normal 6 6 2 6" xfId="53682" xr:uid="{00000000-0005-0000-0000-000013D40000}"/>
    <cellStyle name="Normal 6 6 3" xfId="53685" xr:uid="{00000000-0005-0000-0000-000014D40000}"/>
    <cellStyle name="Normal 6 6 3 2" xfId="54310" xr:uid="{00000000-0005-0000-0000-000015D40000}"/>
    <cellStyle name="Normal 6 6 3 2 2" xfId="57477" xr:uid="{00000000-0005-0000-0000-000016D40000}"/>
    <cellStyle name="Normal 6 6 3 3" xfId="56853" xr:uid="{00000000-0005-0000-0000-000017D40000}"/>
    <cellStyle name="Normal 6 6 4" xfId="53686" xr:uid="{00000000-0005-0000-0000-000018D40000}"/>
    <cellStyle name="Normal 6 6 4 2" xfId="54311" xr:uid="{00000000-0005-0000-0000-000019D40000}"/>
    <cellStyle name="Normal 6 6 4 2 2" xfId="57478" xr:uid="{00000000-0005-0000-0000-00001AD40000}"/>
    <cellStyle name="Normal 6 6 4 3" xfId="56854" xr:uid="{00000000-0005-0000-0000-00001BD40000}"/>
    <cellStyle name="Normal 6 6 5" xfId="53687" xr:uid="{00000000-0005-0000-0000-00001CD40000}"/>
    <cellStyle name="Normal 6 6 5 2" xfId="54312" xr:uid="{00000000-0005-0000-0000-00001DD40000}"/>
    <cellStyle name="Normal 6 6 5 2 2" xfId="57479" xr:uid="{00000000-0005-0000-0000-00001ED40000}"/>
    <cellStyle name="Normal 6 6 5 3" xfId="56855" xr:uid="{00000000-0005-0000-0000-00001FD40000}"/>
    <cellStyle name="Normal 6 6 6" xfId="54306" xr:uid="{00000000-0005-0000-0000-000020D40000}"/>
    <cellStyle name="Normal 6 6 6 2" xfId="57473" xr:uid="{00000000-0005-0000-0000-000021D40000}"/>
    <cellStyle name="Normal 6 6 7" xfId="56849" xr:uid="{00000000-0005-0000-0000-000022D40000}"/>
    <cellStyle name="Normal 6 6 8" xfId="53681" xr:uid="{00000000-0005-0000-0000-000023D40000}"/>
    <cellStyle name="Normal 6 7" xfId="1528" xr:uid="{00000000-0005-0000-0000-000024D40000}"/>
    <cellStyle name="Normal 6 7 2" xfId="10090" xr:uid="{00000000-0005-0000-0000-000025D40000}"/>
    <cellStyle name="Normal 6 7 2 2" xfId="26410" xr:uid="{00000000-0005-0000-0000-000026D40000}"/>
    <cellStyle name="Normal 6 7 2 2 2" xfId="54315" xr:uid="{00000000-0005-0000-0000-000027D40000}"/>
    <cellStyle name="Normal 6 7 2 2 2 2" xfId="57482" xr:uid="{00000000-0005-0000-0000-000028D40000}"/>
    <cellStyle name="Normal 6 7 2 2 3" xfId="56858" xr:uid="{00000000-0005-0000-0000-000029D40000}"/>
    <cellStyle name="Normal 6 7 2 2 4" xfId="53690" xr:uid="{00000000-0005-0000-0000-00002AD40000}"/>
    <cellStyle name="Normal 6 7 2 3" xfId="41376" xr:uid="{00000000-0005-0000-0000-00002BD40000}"/>
    <cellStyle name="Normal 6 7 2 3 2" xfId="54316" xr:uid="{00000000-0005-0000-0000-00002CD40000}"/>
    <cellStyle name="Normal 6 7 2 3 2 2" xfId="57483" xr:uid="{00000000-0005-0000-0000-00002DD40000}"/>
    <cellStyle name="Normal 6 7 2 3 3" xfId="56859" xr:uid="{00000000-0005-0000-0000-00002ED40000}"/>
    <cellStyle name="Normal 6 7 2 3 4" xfId="53691" xr:uid="{00000000-0005-0000-0000-00002FD40000}"/>
    <cellStyle name="Normal 6 7 2 4" xfId="54314" xr:uid="{00000000-0005-0000-0000-000030D40000}"/>
    <cellStyle name="Normal 6 7 2 4 2" xfId="57481" xr:uid="{00000000-0005-0000-0000-000031D40000}"/>
    <cellStyle name="Normal 6 7 2 5" xfId="56857" xr:uid="{00000000-0005-0000-0000-000032D40000}"/>
    <cellStyle name="Normal 6 7 2 6" xfId="53689" xr:uid="{00000000-0005-0000-0000-000033D40000}"/>
    <cellStyle name="Normal 6 7 3" xfId="19388" xr:uid="{00000000-0005-0000-0000-000034D40000}"/>
    <cellStyle name="Normal 6 7 3 2" xfId="54317" xr:uid="{00000000-0005-0000-0000-000035D40000}"/>
    <cellStyle name="Normal 6 7 3 2 2" xfId="57484" xr:uid="{00000000-0005-0000-0000-000036D40000}"/>
    <cellStyle name="Normal 6 7 3 3" xfId="56860" xr:uid="{00000000-0005-0000-0000-000037D40000}"/>
    <cellStyle name="Normal 6 7 3 4" xfId="53692" xr:uid="{00000000-0005-0000-0000-000038D40000}"/>
    <cellStyle name="Normal 6 7 4" xfId="34377" xr:uid="{00000000-0005-0000-0000-000039D40000}"/>
    <cellStyle name="Normal 6 7 4 2" xfId="54318" xr:uid="{00000000-0005-0000-0000-00003AD40000}"/>
    <cellStyle name="Normal 6 7 4 2 2" xfId="57485" xr:uid="{00000000-0005-0000-0000-00003BD40000}"/>
    <cellStyle name="Normal 6 7 4 3" xfId="56861" xr:uid="{00000000-0005-0000-0000-00003CD40000}"/>
    <cellStyle name="Normal 6 7 4 4" xfId="53693" xr:uid="{00000000-0005-0000-0000-00003DD40000}"/>
    <cellStyle name="Normal 6 7 5" xfId="53694" xr:uid="{00000000-0005-0000-0000-00003ED40000}"/>
    <cellStyle name="Normal 6 7 5 2" xfId="54319" xr:uid="{00000000-0005-0000-0000-00003FD40000}"/>
    <cellStyle name="Normal 6 7 5 2 2" xfId="57486" xr:uid="{00000000-0005-0000-0000-000040D40000}"/>
    <cellStyle name="Normal 6 7 5 3" xfId="56862" xr:uid="{00000000-0005-0000-0000-000041D40000}"/>
    <cellStyle name="Normal 6 7 6" xfId="54313" xr:uid="{00000000-0005-0000-0000-000042D40000}"/>
    <cellStyle name="Normal 6 7 6 2" xfId="57480" xr:uid="{00000000-0005-0000-0000-000043D40000}"/>
    <cellStyle name="Normal 6 7 7" xfId="56856" xr:uid="{00000000-0005-0000-0000-000044D40000}"/>
    <cellStyle name="Normal 6 7 8" xfId="53688" xr:uid="{00000000-0005-0000-0000-000045D40000}"/>
    <cellStyle name="Normal 6 8" xfId="8867" xr:uid="{00000000-0005-0000-0000-000046D40000}"/>
    <cellStyle name="Normal 6 8 2" xfId="16643" xr:uid="{00000000-0005-0000-0000-000047D40000}"/>
    <cellStyle name="Normal 6 8 2 2" xfId="32957" xr:uid="{00000000-0005-0000-0000-000048D40000}"/>
    <cellStyle name="Normal 6 8 2 2 2" xfId="57488" xr:uid="{00000000-0005-0000-0000-000049D40000}"/>
    <cellStyle name="Normal 6 8 2 2 3" xfId="54321" xr:uid="{00000000-0005-0000-0000-00004AD40000}"/>
    <cellStyle name="Normal 6 8 2 3" xfId="47921" xr:uid="{00000000-0005-0000-0000-00004BD40000}"/>
    <cellStyle name="Normal 6 8 2 3 2" xfId="56864" xr:uid="{00000000-0005-0000-0000-00004CD40000}"/>
    <cellStyle name="Normal 6 8 2 4" xfId="53696" xr:uid="{00000000-0005-0000-0000-00004DD40000}"/>
    <cellStyle name="Normal 6 8 3" xfId="25935" xr:uid="{00000000-0005-0000-0000-00004ED40000}"/>
    <cellStyle name="Normal 6 8 3 2" xfId="54322" xr:uid="{00000000-0005-0000-0000-00004FD40000}"/>
    <cellStyle name="Normal 6 8 3 2 2" xfId="57489" xr:uid="{00000000-0005-0000-0000-000050D40000}"/>
    <cellStyle name="Normal 6 8 3 3" xfId="56865" xr:uid="{00000000-0005-0000-0000-000051D40000}"/>
    <cellStyle name="Normal 6 8 3 4" xfId="53697" xr:uid="{00000000-0005-0000-0000-000052D40000}"/>
    <cellStyle name="Normal 6 8 4" xfId="40922" xr:uid="{00000000-0005-0000-0000-000053D40000}"/>
    <cellStyle name="Normal 6 8 4 2" xfId="57487" xr:uid="{00000000-0005-0000-0000-000054D40000}"/>
    <cellStyle name="Normal 6 8 4 3" xfId="54320" xr:uid="{00000000-0005-0000-0000-000055D40000}"/>
    <cellStyle name="Normal 6 8 5" xfId="56863" xr:uid="{00000000-0005-0000-0000-000056D40000}"/>
    <cellStyle name="Normal 6 8 6" xfId="53695" xr:uid="{00000000-0005-0000-0000-000057D40000}"/>
    <cellStyle name="Normal 6 9" xfId="9421" xr:uid="{00000000-0005-0000-0000-000058D40000}"/>
    <cellStyle name="Normal 6 9 2" xfId="16680" xr:uid="{00000000-0005-0000-0000-000059D40000}"/>
    <cellStyle name="Normal 6 9 2 2" xfId="32994" xr:uid="{00000000-0005-0000-0000-00005AD40000}"/>
    <cellStyle name="Normal 6 9 2 2 2" xfId="57491" xr:uid="{00000000-0005-0000-0000-00005BD40000}"/>
    <cellStyle name="Normal 6 9 2 2 3" xfId="54324" xr:uid="{00000000-0005-0000-0000-00005CD40000}"/>
    <cellStyle name="Normal 6 9 2 3" xfId="47957" xr:uid="{00000000-0005-0000-0000-00005DD40000}"/>
    <cellStyle name="Normal 6 9 2 3 2" xfId="56867" xr:uid="{00000000-0005-0000-0000-00005ED40000}"/>
    <cellStyle name="Normal 6 9 2 4" xfId="53699" xr:uid="{00000000-0005-0000-0000-00005FD40000}"/>
    <cellStyle name="Normal 6 9 3" xfId="25971" xr:uid="{00000000-0005-0000-0000-000060D40000}"/>
    <cellStyle name="Normal 6 9 3 2" xfId="57490" xr:uid="{00000000-0005-0000-0000-000061D40000}"/>
    <cellStyle name="Normal 6 9 3 3" xfId="54323" xr:uid="{00000000-0005-0000-0000-000062D40000}"/>
    <cellStyle name="Normal 6 9 4" xfId="40958" xr:uid="{00000000-0005-0000-0000-000063D40000}"/>
    <cellStyle name="Normal 6 9 4 2" xfId="56866" xr:uid="{00000000-0005-0000-0000-000064D40000}"/>
    <cellStyle name="Normal 6 9 5" xfId="53698" xr:uid="{00000000-0005-0000-0000-000065D40000}"/>
    <cellStyle name="Normal 7" xfId="543" xr:uid="{00000000-0005-0000-0000-000066D40000}"/>
    <cellStyle name="Normal 7 10" xfId="53192" xr:uid="{00000000-0005-0000-0000-000067D40000}"/>
    <cellStyle name="Normal 7 10 2" xfId="56394" xr:uid="{00000000-0005-0000-0000-000068D40000}"/>
    <cellStyle name="Normal 7 2" xfId="544" xr:uid="{00000000-0005-0000-0000-000069D40000}"/>
    <cellStyle name="Normal 7 2 2" xfId="8778" xr:uid="{00000000-0005-0000-0000-00006AD40000}"/>
    <cellStyle name="Normal 7 2 2 2" xfId="16628" xr:uid="{00000000-0005-0000-0000-00006BD40000}"/>
    <cellStyle name="Normal 7 2 2 2 2" xfId="32943" xr:uid="{00000000-0005-0000-0000-00006CD40000}"/>
    <cellStyle name="Normal 7 2 2 2 3" xfId="47907" xr:uid="{00000000-0005-0000-0000-00006DD40000}"/>
    <cellStyle name="Normal 7 2 2 2 4" xfId="53701" xr:uid="{00000000-0005-0000-0000-00006ED40000}"/>
    <cellStyle name="Normal 7 2 2 3" xfId="18950" xr:uid="{00000000-0005-0000-0000-00006FD40000}"/>
    <cellStyle name="Normal 7 2 2 3 2" xfId="57029" xr:uid="{00000000-0005-0000-0000-000070D40000}"/>
    <cellStyle name="Normal 7 2 2 3 3" xfId="53862" xr:uid="{00000000-0005-0000-0000-000071D40000}"/>
    <cellStyle name="Normal 7 2 2 4" xfId="25921" xr:uid="{00000000-0005-0000-0000-000072D40000}"/>
    <cellStyle name="Normal 7 2 2 4 2" xfId="56418" xr:uid="{00000000-0005-0000-0000-000073D40000}"/>
    <cellStyle name="Normal 7 2 2 4 3" xfId="53216" xr:uid="{00000000-0005-0000-0000-000074D40000}"/>
    <cellStyle name="Normal 7 2 2 5" xfId="40908" xr:uid="{00000000-0005-0000-0000-000075D40000}"/>
    <cellStyle name="Normal 7 2 3" xfId="8825" xr:uid="{00000000-0005-0000-0000-000076D40000}"/>
    <cellStyle name="Normal 7 2 3 2" xfId="53702" xr:uid="{00000000-0005-0000-0000-000077D40000}"/>
    <cellStyle name="Normal 7 2 3 2 2" xfId="54326" xr:uid="{00000000-0005-0000-0000-000078D40000}"/>
    <cellStyle name="Normal 7 2 3 2 2 2" xfId="57493" xr:uid="{00000000-0005-0000-0000-000079D40000}"/>
    <cellStyle name="Normal 7 2 3 2 3" xfId="56869" xr:uid="{00000000-0005-0000-0000-00007AD40000}"/>
    <cellStyle name="Normal 7 2 3 3" xfId="53878" xr:uid="{00000000-0005-0000-0000-00007BD40000}"/>
    <cellStyle name="Normal 7 2 3 3 2" xfId="57045" xr:uid="{00000000-0005-0000-0000-00007CD40000}"/>
    <cellStyle name="Normal 7 2 3 4" xfId="56434" xr:uid="{00000000-0005-0000-0000-00007DD40000}"/>
    <cellStyle name="Normal 7 2 3 5" xfId="53232" xr:uid="{00000000-0005-0000-0000-00007ED40000}"/>
    <cellStyle name="Normal 7 2 4" xfId="5162" xr:uid="{00000000-0005-0000-0000-00007FD40000}"/>
    <cellStyle name="Normal 7 2 5" xfId="17436" xr:uid="{00000000-0005-0000-0000-000080D40000}"/>
    <cellStyle name="Normal 7 2 5 2" xfId="57013" xr:uid="{00000000-0005-0000-0000-000081D40000}"/>
    <cellStyle name="Normal 7 2 5 3" xfId="53846" xr:uid="{00000000-0005-0000-0000-000082D40000}"/>
    <cellStyle name="Normal 7 2 6" xfId="53200" xr:uid="{00000000-0005-0000-0000-000083D40000}"/>
    <cellStyle name="Normal 7 2 6 2" xfId="56402" xr:uid="{00000000-0005-0000-0000-000084D40000}"/>
    <cellStyle name="Normal 7 3" xfId="1172" xr:uid="{00000000-0005-0000-0000-000085D40000}"/>
    <cellStyle name="Normal 7 3 10" xfId="50059" xr:uid="{00000000-0005-0000-0000-000086D40000}"/>
    <cellStyle name="Normal 7 3 11" xfId="50464" xr:uid="{00000000-0005-0000-0000-000087D40000}"/>
    <cellStyle name="Normal 7 3 12" xfId="51024" xr:uid="{00000000-0005-0000-0000-000088D40000}"/>
    <cellStyle name="Normal 7 3 13" xfId="51625" xr:uid="{00000000-0005-0000-0000-000089D40000}"/>
    <cellStyle name="Normal 7 3 14" xfId="52045" xr:uid="{00000000-0005-0000-0000-00008AD40000}"/>
    <cellStyle name="Normal 7 3 15" xfId="53208" xr:uid="{00000000-0005-0000-0000-00008BD40000}"/>
    <cellStyle name="Normal 7 3 2" xfId="8826" xr:uid="{00000000-0005-0000-0000-00008CD40000}"/>
    <cellStyle name="Normal 7 3 2 2" xfId="54328" xr:uid="{00000000-0005-0000-0000-00008DD40000}"/>
    <cellStyle name="Normal 7 3 2 2 2" xfId="57495" xr:uid="{00000000-0005-0000-0000-00008ED40000}"/>
    <cellStyle name="Normal 7 3 2 3" xfId="56871" xr:uid="{00000000-0005-0000-0000-00008FD40000}"/>
    <cellStyle name="Normal 7 3 2 4" xfId="53704" xr:uid="{00000000-0005-0000-0000-000090D40000}"/>
    <cellStyle name="Normal 7 3 3" xfId="5163" xr:uid="{00000000-0005-0000-0000-000091D40000}"/>
    <cellStyle name="Normal 7 3 3 2" xfId="54329" xr:uid="{00000000-0005-0000-0000-000092D40000}"/>
    <cellStyle name="Normal 7 3 3 2 2" xfId="57496" xr:uid="{00000000-0005-0000-0000-000093D40000}"/>
    <cellStyle name="Normal 7 3 3 3" xfId="56872" xr:uid="{00000000-0005-0000-0000-000094D40000}"/>
    <cellStyle name="Normal 7 3 3 4" xfId="53705" xr:uid="{00000000-0005-0000-0000-000095D40000}"/>
    <cellStyle name="Normal 7 3 4" xfId="8889" xr:uid="{00000000-0005-0000-0000-000096D40000}"/>
    <cellStyle name="Normal 7 3 4 2" xfId="16663" xr:uid="{00000000-0005-0000-0000-000097D40000}"/>
    <cellStyle name="Normal 7 3 4 2 2" xfId="32977" xr:uid="{00000000-0005-0000-0000-000098D40000}"/>
    <cellStyle name="Normal 7 3 4 2 2 2" xfId="57494" xr:uid="{00000000-0005-0000-0000-000099D40000}"/>
    <cellStyle name="Normal 7 3 4 2 3" xfId="47941" xr:uid="{00000000-0005-0000-0000-00009AD40000}"/>
    <cellStyle name="Normal 7 3 4 2 4" xfId="54327" xr:uid="{00000000-0005-0000-0000-00009BD40000}"/>
    <cellStyle name="Normal 7 3 4 3" xfId="25955" xr:uid="{00000000-0005-0000-0000-00009CD40000}"/>
    <cellStyle name="Normal 7 3 4 3 2" xfId="56870" xr:uid="{00000000-0005-0000-0000-00009DD40000}"/>
    <cellStyle name="Normal 7 3 4 4" xfId="40942" xr:uid="{00000000-0005-0000-0000-00009ED40000}"/>
    <cellStyle name="Normal 7 3 4 5" xfId="53703" xr:uid="{00000000-0005-0000-0000-00009FD40000}"/>
    <cellStyle name="Normal 7 3 5" xfId="10002" xr:uid="{00000000-0005-0000-0000-0000A0D40000}"/>
    <cellStyle name="Normal 7 3 5 2" xfId="26324" xr:uid="{00000000-0005-0000-0000-0000A1D40000}"/>
    <cellStyle name="Normal 7 3 5 2 2" xfId="57021" xr:uid="{00000000-0005-0000-0000-0000A2D40000}"/>
    <cellStyle name="Normal 7 3 5 3" xfId="41292" xr:uid="{00000000-0005-0000-0000-0000A3D40000}"/>
    <cellStyle name="Normal 7 3 5 4" xfId="53854" xr:uid="{00000000-0005-0000-0000-0000A4D40000}"/>
    <cellStyle name="Normal 7 3 6" xfId="19303" xr:uid="{00000000-0005-0000-0000-0000A5D40000}"/>
    <cellStyle name="Normal 7 3 6 2" xfId="56410" xr:uid="{00000000-0005-0000-0000-0000A6D40000}"/>
    <cellStyle name="Normal 7 3 7" xfId="34293" xr:uid="{00000000-0005-0000-0000-0000A7D40000}"/>
    <cellStyle name="Normal 7 3 8" xfId="49245" xr:uid="{00000000-0005-0000-0000-0000A8D40000}"/>
    <cellStyle name="Normal 7 3 9" xfId="49650" xr:uid="{00000000-0005-0000-0000-0000A9D40000}"/>
    <cellStyle name="Normal 7 4" xfId="5164" xr:uid="{00000000-0005-0000-0000-0000AAD40000}"/>
    <cellStyle name="Normal 7 4 2" xfId="8559" xr:uid="{00000000-0005-0000-0000-0000ABD40000}"/>
    <cellStyle name="Normal 7 4 2 2" xfId="16443" xr:uid="{00000000-0005-0000-0000-0000ACD40000}"/>
    <cellStyle name="Normal 7 4 2 2 2" xfId="32758" xr:uid="{00000000-0005-0000-0000-0000ADD40000}"/>
    <cellStyle name="Normal 7 4 2 2 2 2" xfId="57498" xr:uid="{00000000-0005-0000-0000-0000AED40000}"/>
    <cellStyle name="Normal 7 4 2 2 3" xfId="47722" xr:uid="{00000000-0005-0000-0000-0000AFD40000}"/>
    <cellStyle name="Normal 7 4 2 2 4" xfId="54331" xr:uid="{00000000-0005-0000-0000-0000B0D40000}"/>
    <cellStyle name="Normal 7 4 2 3" xfId="25736" xr:uid="{00000000-0005-0000-0000-0000B1D40000}"/>
    <cellStyle name="Normal 7 4 2 3 2" xfId="56874" xr:uid="{00000000-0005-0000-0000-0000B2D40000}"/>
    <cellStyle name="Normal 7 4 2 4" xfId="40723" xr:uid="{00000000-0005-0000-0000-0000B3D40000}"/>
    <cellStyle name="Normal 7 4 2 5" xfId="53707" xr:uid="{00000000-0005-0000-0000-0000B4D40000}"/>
    <cellStyle name="Normal 7 4 3" xfId="13241" xr:uid="{00000000-0005-0000-0000-0000B5D40000}"/>
    <cellStyle name="Normal 7 4 3 2" xfId="29561" xr:uid="{00000000-0005-0000-0000-0000B6D40000}"/>
    <cellStyle name="Normal 7 4 3 2 2" xfId="57497" xr:uid="{00000000-0005-0000-0000-0000B7D40000}"/>
    <cellStyle name="Normal 7 4 3 2 3" xfId="54330" xr:uid="{00000000-0005-0000-0000-0000B8D40000}"/>
    <cellStyle name="Normal 7 4 3 3" xfId="44526" xr:uid="{00000000-0005-0000-0000-0000B9D40000}"/>
    <cellStyle name="Normal 7 4 3 3 2" xfId="56873" xr:uid="{00000000-0005-0000-0000-0000BAD40000}"/>
    <cellStyle name="Normal 7 4 3 4" xfId="53706" xr:uid="{00000000-0005-0000-0000-0000BBD40000}"/>
    <cellStyle name="Normal 7 4 4" xfId="22539" xr:uid="{00000000-0005-0000-0000-0000BCD40000}"/>
    <cellStyle name="Normal 7 4 4 2" xfId="57037" xr:uid="{00000000-0005-0000-0000-0000BDD40000}"/>
    <cellStyle name="Normal 7 4 4 3" xfId="53870" xr:uid="{00000000-0005-0000-0000-0000BED40000}"/>
    <cellStyle name="Normal 7 4 5" xfId="37527" xr:uid="{00000000-0005-0000-0000-0000BFD40000}"/>
    <cellStyle name="Normal 7 4 5 2" xfId="56426" xr:uid="{00000000-0005-0000-0000-0000C0D40000}"/>
    <cellStyle name="Normal 7 4 6" xfId="53224" xr:uid="{00000000-0005-0000-0000-0000C1D40000}"/>
    <cellStyle name="Normal 7 5" xfId="6038" xr:uid="{00000000-0005-0000-0000-0000C2D40000}"/>
    <cellStyle name="Normal 7 5 2" xfId="13956" xr:uid="{00000000-0005-0000-0000-0000C3D40000}"/>
    <cellStyle name="Normal 7 5 2 2" xfId="30271" xr:uid="{00000000-0005-0000-0000-0000C4D40000}"/>
    <cellStyle name="Normal 7 5 2 2 2" xfId="57499" xr:uid="{00000000-0005-0000-0000-0000C5D40000}"/>
    <cellStyle name="Normal 7 5 2 3" xfId="45235" xr:uid="{00000000-0005-0000-0000-0000C6D40000}"/>
    <cellStyle name="Normal 7 5 2 4" xfId="54332" xr:uid="{00000000-0005-0000-0000-0000C7D40000}"/>
    <cellStyle name="Normal 7 5 3" xfId="23249" xr:uid="{00000000-0005-0000-0000-0000C8D40000}"/>
    <cellStyle name="Normal 7 5 3 2" xfId="56875" xr:uid="{00000000-0005-0000-0000-0000C9D40000}"/>
    <cellStyle name="Normal 7 5 4" xfId="38236" xr:uid="{00000000-0005-0000-0000-0000CAD40000}"/>
    <cellStyle name="Normal 7 5 5" xfId="53708" xr:uid="{00000000-0005-0000-0000-0000CBD40000}"/>
    <cellStyle name="Normal 7 6" xfId="5161" xr:uid="{00000000-0005-0000-0000-0000CCD40000}"/>
    <cellStyle name="Normal 7 6 2" xfId="13240" xr:uid="{00000000-0005-0000-0000-0000CDD40000}"/>
    <cellStyle name="Normal 7 6 2 2" xfId="29560" xr:uid="{00000000-0005-0000-0000-0000CED40000}"/>
    <cellStyle name="Normal 7 6 2 2 2" xfId="57500" xr:uid="{00000000-0005-0000-0000-0000CFD40000}"/>
    <cellStyle name="Normal 7 6 2 3" xfId="44525" xr:uid="{00000000-0005-0000-0000-0000D0D40000}"/>
    <cellStyle name="Normal 7 6 2 4" xfId="54333" xr:uid="{00000000-0005-0000-0000-0000D1D40000}"/>
    <cellStyle name="Normal 7 6 3" xfId="22538" xr:uid="{00000000-0005-0000-0000-0000D2D40000}"/>
    <cellStyle name="Normal 7 6 3 2" xfId="56876" xr:uid="{00000000-0005-0000-0000-0000D3D40000}"/>
    <cellStyle name="Normal 7 6 4" xfId="37526" xr:uid="{00000000-0005-0000-0000-0000D4D40000}"/>
    <cellStyle name="Normal 7 6 5" xfId="53709" xr:uid="{00000000-0005-0000-0000-0000D5D40000}"/>
    <cellStyle name="Normal 7 7" xfId="1529" xr:uid="{00000000-0005-0000-0000-0000D6D40000}"/>
    <cellStyle name="Normal 7 7 2" xfId="10091" xr:uid="{00000000-0005-0000-0000-0000D7D40000}"/>
    <cellStyle name="Normal 7 7 2 2" xfId="26411" xr:uid="{00000000-0005-0000-0000-0000D8D40000}"/>
    <cellStyle name="Normal 7 7 2 2 2" xfId="57501" xr:uid="{00000000-0005-0000-0000-0000D9D40000}"/>
    <cellStyle name="Normal 7 7 2 3" xfId="41377" xr:uid="{00000000-0005-0000-0000-0000DAD40000}"/>
    <cellStyle name="Normal 7 7 2 4" xfId="54334" xr:uid="{00000000-0005-0000-0000-0000DBD40000}"/>
    <cellStyle name="Normal 7 7 3" xfId="19389" xr:uid="{00000000-0005-0000-0000-0000DCD40000}"/>
    <cellStyle name="Normal 7 7 3 2" xfId="56877" xr:uid="{00000000-0005-0000-0000-0000DDD40000}"/>
    <cellStyle name="Normal 7 7 4" xfId="34378" xr:uid="{00000000-0005-0000-0000-0000DED40000}"/>
    <cellStyle name="Normal 7 7 5" xfId="53710" xr:uid="{00000000-0005-0000-0000-0000DFD40000}"/>
    <cellStyle name="Normal 7 8" xfId="53700" xr:uid="{00000000-0005-0000-0000-0000E0D40000}"/>
    <cellStyle name="Normal 7 8 2" xfId="54325" xr:uid="{00000000-0005-0000-0000-0000E1D40000}"/>
    <cellStyle name="Normal 7 8 2 2" xfId="57492" xr:uid="{00000000-0005-0000-0000-0000E2D40000}"/>
    <cellStyle name="Normal 7 8 3" xfId="56868" xr:uid="{00000000-0005-0000-0000-0000E3D40000}"/>
    <cellStyle name="Normal 7 9" xfId="53838" xr:uid="{00000000-0005-0000-0000-0000E4D40000}"/>
    <cellStyle name="Normal 7 9 2" xfId="57005" xr:uid="{00000000-0005-0000-0000-0000E5D40000}"/>
    <cellStyle name="Normal 8" xfId="545" xr:uid="{00000000-0005-0000-0000-0000E6D40000}"/>
    <cellStyle name="Normal 8 10" xfId="9422" xr:uid="{00000000-0005-0000-0000-0000E7D40000}"/>
    <cellStyle name="Normal 8 11" xfId="9981" xr:uid="{00000000-0005-0000-0000-0000E8D40000}"/>
    <cellStyle name="Normal 8 2" xfId="1173" xr:uid="{00000000-0005-0000-0000-0000E9D40000}"/>
    <cellStyle name="Normal 8 2 10" xfId="49651" xr:uid="{00000000-0005-0000-0000-0000EAD40000}"/>
    <cellStyle name="Normal 8 2 11" xfId="50060" xr:uid="{00000000-0005-0000-0000-0000EBD40000}"/>
    <cellStyle name="Normal 8 2 12" xfId="50465" xr:uid="{00000000-0005-0000-0000-0000ECD40000}"/>
    <cellStyle name="Normal 8 2 13" xfId="51025" xr:uid="{00000000-0005-0000-0000-0000EDD40000}"/>
    <cellStyle name="Normal 8 2 14" xfId="50887" xr:uid="{00000000-0005-0000-0000-0000EED40000}"/>
    <cellStyle name="Normal 8 2 15" xfId="51626" xr:uid="{00000000-0005-0000-0000-0000EFD40000}"/>
    <cellStyle name="Normal 8 2 16" xfId="52046" xr:uid="{00000000-0005-0000-0000-0000F0D40000}"/>
    <cellStyle name="Normal 8 2 17" xfId="52672" xr:uid="{00000000-0005-0000-0000-0000F1D40000}"/>
    <cellStyle name="Normal 8 2 2" xfId="8827" xr:uid="{00000000-0005-0000-0000-0000F2D40000}"/>
    <cellStyle name="Normal 8 2 2 2" xfId="18935" xr:uid="{00000000-0005-0000-0000-0000F3D40000}"/>
    <cellStyle name="Normal 8 2 2 2 2" xfId="33936" xr:uid="{00000000-0005-0000-0000-0000F4D40000}"/>
    <cellStyle name="Normal 8 2 2 2 2 2" xfId="57504" xr:uid="{00000000-0005-0000-0000-0000F5D40000}"/>
    <cellStyle name="Normal 8 2 2 2 2 3" xfId="54337" xr:uid="{00000000-0005-0000-0000-0000F6D40000}"/>
    <cellStyle name="Normal 8 2 2 2 3" xfId="48897" xr:uid="{00000000-0005-0000-0000-0000F7D40000}"/>
    <cellStyle name="Normal 8 2 2 2 3 2" xfId="56344" xr:uid="{00000000-0005-0000-0000-0000F8D40000}"/>
    <cellStyle name="Normal 8 2 2 2 4" xfId="53070" xr:uid="{00000000-0005-0000-0000-0000F9D40000}"/>
    <cellStyle name="Normal 8 2 2 3" xfId="18452" xr:uid="{00000000-0005-0000-0000-0000FAD40000}"/>
    <cellStyle name="Normal 8 2 2 3 2" xfId="33916" xr:uid="{00000000-0005-0000-0000-0000FBD40000}"/>
    <cellStyle name="Normal 8 2 2 3 2 2" xfId="56880" xr:uid="{00000000-0005-0000-0000-0000FCD40000}"/>
    <cellStyle name="Normal 8 2 2 3 3" xfId="48877" xr:uid="{00000000-0005-0000-0000-0000FDD40000}"/>
    <cellStyle name="Normal 8 2 2 3 4" xfId="53713" xr:uid="{00000000-0005-0000-0000-0000FED40000}"/>
    <cellStyle name="Normal 8 2 2 4" xfId="55401" xr:uid="{00000000-0005-0000-0000-0000FFD40000}"/>
    <cellStyle name="Normal 8 2 2 5" xfId="56323" xr:uid="{00000000-0005-0000-0000-000000D50000}"/>
    <cellStyle name="Normal 8 2 2 6" xfId="53046" xr:uid="{00000000-0005-0000-0000-000001D50000}"/>
    <cellStyle name="Normal 8 2 3" xfId="5166" xr:uid="{00000000-0005-0000-0000-000002D50000}"/>
    <cellStyle name="Normal 8 2 3 2" xfId="18916" xr:uid="{00000000-0005-0000-0000-000003D50000}"/>
    <cellStyle name="Normal 8 2 3 2 2" xfId="33926" xr:uid="{00000000-0005-0000-0000-000004D50000}"/>
    <cellStyle name="Normal 8 2 3 2 2 2" xfId="57505" xr:uid="{00000000-0005-0000-0000-000005D50000}"/>
    <cellStyle name="Normal 8 2 3 2 3" xfId="48887" xr:uid="{00000000-0005-0000-0000-000006D50000}"/>
    <cellStyle name="Normal 8 2 3 2 4" xfId="54338" xr:uid="{00000000-0005-0000-0000-000007D50000}"/>
    <cellStyle name="Normal 8 2 3 3" xfId="53714" xr:uid="{00000000-0005-0000-0000-000008D50000}"/>
    <cellStyle name="Normal 8 2 3 3 2" xfId="56881" xr:uid="{00000000-0005-0000-0000-000009D50000}"/>
    <cellStyle name="Normal 8 2 3 4" xfId="56334" xr:uid="{00000000-0005-0000-0000-00000AD50000}"/>
    <cellStyle name="Normal 8 2 3 5" xfId="53060" xr:uid="{00000000-0005-0000-0000-00000BD50000}"/>
    <cellStyle name="Normal 8 2 4" xfId="8890" xr:uid="{00000000-0005-0000-0000-00000CD50000}"/>
    <cellStyle name="Normal 8 2 4 2" xfId="16664" xr:uid="{00000000-0005-0000-0000-00000DD50000}"/>
    <cellStyle name="Normal 8 2 4 2 2" xfId="32978" xr:uid="{00000000-0005-0000-0000-00000ED50000}"/>
    <cellStyle name="Normal 8 2 4 2 2 2" xfId="57506" xr:uid="{00000000-0005-0000-0000-00000FD50000}"/>
    <cellStyle name="Normal 8 2 4 2 3" xfId="47942" xr:uid="{00000000-0005-0000-0000-000010D50000}"/>
    <cellStyle name="Normal 8 2 4 2 4" xfId="54339" xr:uid="{00000000-0005-0000-0000-000011D50000}"/>
    <cellStyle name="Normal 8 2 4 3" xfId="25956" xr:uid="{00000000-0005-0000-0000-000012D50000}"/>
    <cellStyle name="Normal 8 2 4 3 2" xfId="56882" xr:uid="{00000000-0005-0000-0000-000013D50000}"/>
    <cellStyle name="Normal 8 2 4 4" xfId="40943" xr:uid="{00000000-0005-0000-0000-000014D50000}"/>
    <cellStyle name="Normal 8 2 4 5" xfId="53715" xr:uid="{00000000-0005-0000-0000-000015D50000}"/>
    <cellStyle name="Normal 8 2 5" xfId="10003" xr:uid="{00000000-0005-0000-0000-000016D50000}"/>
    <cellStyle name="Normal 8 2 5 2" xfId="26325" xr:uid="{00000000-0005-0000-0000-000017D50000}"/>
    <cellStyle name="Normal 8 2 5 2 2" xfId="57503" xr:uid="{00000000-0005-0000-0000-000018D50000}"/>
    <cellStyle name="Normal 8 2 5 3" xfId="41293" xr:uid="{00000000-0005-0000-0000-000019D50000}"/>
    <cellStyle name="Normal 8 2 5 4" xfId="54336" xr:uid="{00000000-0005-0000-0000-00001AD50000}"/>
    <cellStyle name="Normal 8 2 6" xfId="17437" xr:uid="{00000000-0005-0000-0000-00001BD50000}"/>
    <cellStyle name="Normal 8 2 6 2" xfId="33547" xr:uid="{00000000-0005-0000-0000-00001CD50000}"/>
    <cellStyle name="Normal 8 2 6 2 2" xfId="56879" xr:uid="{00000000-0005-0000-0000-00001DD50000}"/>
    <cellStyle name="Normal 8 2 6 3" xfId="48508" xr:uid="{00000000-0005-0000-0000-00001ED50000}"/>
    <cellStyle name="Normal 8 2 6 4" xfId="53712" xr:uid="{00000000-0005-0000-0000-00001FD50000}"/>
    <cellStyle name="Normal 8 2 7" xfId="19304" xr:uid="{00000000-0005-0000-0000-000020D50000}"/>
    <cellStyle name="Normal 8 2 7 2" xfId="55030" xr:uid="{00000000-0005-0000-0000-000021D50000}"/>
    <cellStyle name="Normal 8 2 8" xfId="34294" xr:uid="{00000000-0005-0000-0000-000022D50000}"/>
    <cellStyle name="Normal 8 2 8 2" xfId="55954" xr:uid="{00000000-0005-0000-0000-000023D50000}"/>
    <cellStyle name="Normal 8 2 9" xfId="49246" xr:uid="{00000000-0005-0000-0000-000024D50000}"/>
    <cellStyle name="Normal 8 3" xfId="5167" xr:uid="{00000000-0005-0000-0000-000025D50000}"/>
    <cellStyle name="Normal 8 3 2" xfId="8828" xr:uid="{00000000-0005-0000-0000-000026D50000}"/>
    <cellStyle name="Normal 8 3 2 2" xfId="54341" xr:uid="{00000000-0005-0000-0000-000027D50000}"/>
    <cellStyle name="Normal 8 3 2 2 2" xfId="57508" xr:uid="{00000000-0005-0000-0000-000028D50000}"/>
    <cellStyle name="Normal 8 3 2 3" xfId="56884" xr:uid="{00000000-0005-0000-0000-000029D50000}"/>
    <cellStyle name="Normal 8 3 2 4" xfId="53717" xr:uid="{00000000-0005-0000-0000-00002AD50000}"/>
    <cellStyle name="Normal 8 3 3" xfId="53718" xr:uid="{00000000-0005-0000-0000-00002BD50000}"/>
    <cellStyle name="Normal 8 3 3 2" xfId="54342" xr:uid="{00000000-0005-0000-0000-00002CD50000}"/>
    <cellStyle name="Normal 8 3 3 2 2" xfId="57509" xr:uid="{00000000-0005-0000-0000-00002DD50000}"/>
    <cellStyle name="Normal 8 3 3 3" xfId="56885" xr:uid="{00000000-0005-0000-0000-00002ED50000}"/>
    <cellStyle name="Normal 8 3 4" xfId="54340" xr:uid="{00000000-0005-0000-0000-00002FD50000}"/>
    <cellStyle name="Normal 8 3 4 2" xfId="57507" xr:uid="{00000000-0005-0000-0000-000030D50000}"/>
    <cellStyle name="Normal 8 3 5" xfId="53716" xr:uid="{00000000-0005-0000-0000-000031D50000}"/>
    <cellStyle name="Normal 8 3 5 2" xfId="56883" xr:uid="{00000000-0005-0000-0000-000032D50000}"/>
    <cellStyle name="Normal 8 4" xfId="5168" xr:uid="{00000000-0005-0000-0000-000033D50000}"/>
    <cellStyle name="Normal 8 4 2" xfId="8829" xr:uid="{00000000-0005-0000-0000-000034D50000}"/>
    <cellStyle name="Normal 8 4 2 2" xfId="57510" xr:uid="{00000000-0005-0000-0000-000035D50000}"/>
    <cellStyle name="Normal 8 4 2 3" xfId="54343" xr:uid="{00000000-0005-0000-0000-000036D50000}"/>
    <cellStyle name="Normal 8 4 3" xfId="56886" xr:uid="{00000000-0005-0000-0000-000037D50000}"/>
    <cellStyle name="Normal 8 4 4" xfId="53719" xr:uid="{00000000-0005-0000-0000-000038D50000}"/>
    <cellStyle name="Normal 8 5" xfId="5169" xr:uid="{00000000-0005-0000-0000-000039D50000}"/>
    <cellStyle name="Normal 8 5 2" xfId="54344" xr:uid="{00000000-0005-0000-0000-00003AD50000}"/>
    <cellStyle name="Normal 8 5 2 2" xfId="57511" xr:uid="{00000000-0005-0000-0000-00003BD50000}"/>
    <cellStyle name="Normal 8 5 3" xfId="56887" xr:uid="{00000000-0005-0000-0000-00003CD50000}"/>
    <cellStyle name="Normal 8 5 4" xfId="53720" xr:uid="{00000000-0005-0000-0000-00003DD50000}"/>
    <cellStyle name="Normal 8 6" xfId="5170" xr:uid="{00000000-0005-0000-0000-00003ED50000}"/>
    <cellStyle name="Normal 8 6 2" xfId="8199" xr:uid="{00000000-0005-0000-0000-00003FD50000}"/>
    <cellStyle name="Normal 8 6 2 2" xfId="16096" xr:uid="{00000000-0005-0000-0000-000040D50000}"/>
    <cellStyle name="Normal 8 6 2 2 2" xfId="32411" xr:uid="{00000000-0005-0000-0000-000041D50000}"/>
    <cellStyle name="Normal 8 6 2 2 3" xfId="47375" xr:uid="{00000000-0005-0000-0000-000042D50000}"/>
    <cellStyle name="Normal 8 6 2 2 4" xfId="57512" xr:uid="{00000000-0005-0000-0000-000043D50000}"/>
    <cellStyle name="Normal 8 6 2 3" xfId="25389" xr:uid="{00000000-0005-0000-0000-000044D50000}"/>
    <cellStyle name="Normal 8 6 2 4" xfId="40376" xr:uid="{00000000-0005-0000-0000-000045D50000}"/>
    <cellStyle name="Normal 8 6 2 5" xfId="54345" xr:uid="{00000000-0005-0000-0000-000046D50000}"/>
    <cellStyle name="Normal 8 6 3" xfId="13243" xr:uid="{00000000-0005-0000-0000-000047D50000}"/>
    <cellStyle name="Normal 8 6 3 2" xfId="29563" xr:uid="{00000000-0005-0000-0000-000048D50000}"/>
    <cellStyle name="Normal 8 6 3 3" xfId="44528" xr:uid="{00000000-0005-0000-0000-000049D50000}"/>
    <cellStyle name="Normal 8 6 3 4" xfId="56888" xr:uid="{00000000-0005-0000-0000-00004AD50000}"/>
    <cellStyle name="Normal 8 6 4" xfId="22541" xr:uid="{00000000-0005-0000-0000-00004BD50000}"/>
    <cellStyle name="Normal 8 6 5" xfId="37529" xr:uid="{00000000-0005-0000-0000-00004CD50000}"/>
    <cellStyle name="Normal 8 6 6" xfId="53721" xr:uid="{00000000-0005-0000-0000-00004DD50000}"/>
    <cellStyle name="Normal 8 7" xfId="6039" xr:uid="{00000000-0005-0000-0000-00004ED50000}"/>
    <cellStyle name="Normal 8 7 2" xfId="13957" xr:uid="{00000000-0005-0000-0000-00004FD50000}"/>
    <cellStyle name="Normal 8 7 2 2" xfId="30272" xr:uid="{00000000-0005-0000-0000-000050D50000}"/>
    <cellStyle name="Normal 8 7 2 2 2" xfId="57502" xr:uid="{00000000-0005-0000-0000-000051D50000}"/>
    <cellStyle name="Normal 8 7 2 3" xfId="45236" xr:uid="{00000000-0005-0000-0000-000052D50000}"/>
    <cellStyle name="Normal 8 7 2 4" xfId="54335" xr:uid="{00000000-0005-0000-0000-000053D50000}"/>
    <cellStyle name="Normal 8 7 3" xfId="23250" xr:uid="{00000000-0005-0000-0000-000054D50000}"/>
    <cellStyle name="Normal 8 7 3 2" xfId="56878" xr:uid="{00000000-0005-0000-0000-000055D50000}"/>
    <cellStyle name="Normal 8 7 4" xfId="38237" xr:uid="{00000000-0005-0000-0000-000056D50000}"/>
    <cellStyle name="Normal 8 7 5" xfId="53711" xr:uid="{00000000-0005-0000-0000-000057D50000}"/>
    <cellStyle name="Normal 8 8" xfId="5165" xr:uid="{00000000-0005-0000-0000-000058D50000}"/>
    <cellStyle name="Normal 8 8 2" xfId="13242" xr:uid="{00000000-0005-0000-0000-000059D50000}"/>
    <cellStyle name="Normal 8 8 2 2" xfId="29562" xr:uid="{00000000-0005-0000-0000-00005AD50000}"/>
    <cellStyle name="Normal 8 8 2 3" xfId="44527" xr:uid="{00000000-0005-0000-0000-00005BD50000}"/>
    <cellStyle name="Normal 8 8 3" xfId="22540" xr:uid="{00000000-0005-0000-0000-00005CD50000}"/>
    <cellStyle name="Normal 8 8 4" xfId="37528" xr:uid="{00000000-0005-0000-0000-00005DD50000}"/>
    <cellStyle name="Normal 8 8 5" xfId="53233" xr:uid="{00000000-0005-0000-0000-00005ED50000}"/>
    <cellStyle name="Normal 8 9" xfId="1530" xr:uid="{00000000-0005-0000-0000-00005FD50000}"/>
    <cellStyle name="Normal 9" xfId="1118" xr:uid="{00000000-0005-0000-0000-000060D50000}"/>
    <cellStyle name="Normal 9 2" xfId="1174" xr:uid="{00000000-0005-0000-0000-000061D50000}"/>
    <cellStyle name="Normal 9 2 10" xfId="50061" xr:uid="{00000000-0005-0000-0000-000062D50000}"/>
    <cellStyle name="Normal 9 2 11" xfId="50466" xr:uid="{00000000-0005-0000-0000-000063D50000}"/>
    <cellStyle name="Normal 9 2 12" xfId="51026" xr:uid="{00000000-0005-0000-0000-000064D50000}"/>
    <cellStyle name="Normal 9 2 13" xfId="51627" xr:uid="{00000000-0005-0000-0000-000065D50000}"/>
    <cellStyle name="Normal 9 2 14" xfId="52047" xr:uid="{00000000-0005-0000-0000-000066D50000}"/>
    <cellStyle name="Normal 9 2 2" xfId="5172" xr:uid="{00000000-0005-0000-0000-000067D50000}"/>
    <cellStyle name="Normal 9 2 2 2" xfId="54348" xr:uid="{00000000-0005-0000-0000-000068D50000}"/>
    <cellStyle name="Normal 9 2 2 2 2" xfId="57515" xr:uid="{00000000-0005-0000-0000-000069D50000}"/>
    <cellStyle name="Normal 9 2 2 3" xfId="56891" xr:uid="{00000000-0005-0000-0000-00006AD50000}"/>
    <cellStyle name="Normal 9 2 2 4" xfId="53724" xr:uid="{00000000-0005-0000-0000-00006BD50000}"/>
    <cellStyle name="Normal 9 2 3" xfId="8891" xr:uid="{00000000-0005-0000-0000-00006CD50000}"/>
    <cellStyle name="Normal 9 2 3 2" xfId="16665" xr:uid="{00000000-0005-0000-0000-00006DD50000}"/>
    <cellStyle name="Normal 9 2 3 2 2" xfId="32979" xr:uid="{00000000-0005-0000-0000-00006ED50000}"/>
    <cellStyle name="Normal 9 2 3 2 2 2" xfId="57516" xr:uid="{00000000-0005-0000-0000-00006FD50000}"/>
    <cellStyle name="Normal 9 2 3 2 3" xfId="47943" xr:uid="{00000000-0005-0000-0000-000070D50000}"/>
    <cellStyle name="Normal 9 2 3 2 4" xfId="54349" xr:uid="{00000000-0005-0000-0000-000071D50000}"/>
    <cellStyle name="Normal 9 2 3 3" xfId="25957" xr:uid="{00000000-0005-0000-0000-000072D50000}"/>
    <cellStyle name="Normal 9 2 3 3 2" xfId="56892" xr:uid="{00000000-0005-0000-0000-000073D50000}"/>
    <cellStyle name="Normal 9 2 3 4" xfId="40944" xr:uid="{00000000-0005-0000-0000-000074D50000}"/>
    <cellStyle name="Normal 9 2 3 5" xfId="53725" xr:uid="{00000000-0005-0000-0000-000075D50000}"/>
    <cellStyle name="Normal 9 2 4" xfId="10004" xr:uid="{00000000-0005-0000-0000-000076D50000}"/>
    <cellStyle name="Normal 9 2 4 2" xfId="26326" xr:uid="{00000000-0005-0000-0000-000077D50000}"/>
    <cellStyle name="Normal 9 2 4 2 2" xfId="57514" xr:uid="{00000000-0005-0000-0000-000078D50000}"/>
    <cellStyle name="Normal 9 2 4 3" xfId="41294" xr:uid="{00000000-0005-0000-0000-000079D50000}"/>
    <cellStyle name="Normal 9 2 4 4" xfId="54347" xr:uid="{00000000-0005-0000-0000-00007AD50000}"/>
    <cellStyle name="Normal 9 2 5" xfId="18951" xr:uid="{00000000-0005-0000-0000-00007BD50000}"/>
    <cellStyle name="Normal 9 2 5 2" xfId="56890" xr:uid="{00000000-0005-0000-0000-00007CD50000}"/>
    <cellStyle name="Normal 9 2 5 3" xfId="53723" xr:uid="{00000000-0005-0000-0000-00007DD50000}"/>
    <cellStyle name="Normal 9 2 6" xfId="19305" xr:uid="{00000000-0005-0000-0000-00007ED50000}"/>
    <cellStyle name="Normal 9 2 7" xfId="34295" xr:uid="{00000000-0005-0000-0000-00007FD50000}"/>
    <cellStyle name="Normal 9 2 8" xfId="49247" xr:uid="{00000000-0005-0000-0000-000080D50000}"/>
    <cellStyle name="Normal 9 2 9" xfId="49652" xr:uid="{00000000-0005-0000-0000-000081D50000}"/>
    <cellStyle name="Normal 9 3" xfId="5173" xr:uid="{00000000-0005-0000-0000-000082D50000}"/>
    <cellStyle name="Normal 9 3 2" xfId="8666" xr:uid="{00000000-0005-0000-0000-000083D50000}"/>
    <cellStyle name="Normal 9 3 2 2" xfId="16547" xr:uid="{00000000-0005-0000-0000-000084D50000}"/>
    <cellStyle name="Normal 9 3 2 2 2" xfId="32862" xr:uid="{00000000-0005-0000-0000-000085D50000}"/>
    <cellStyle name="Normal 9 3 2 2 3" xfId="47826" xr:uid="{00000000-0005-0000-0000-000086D50000}"/>
    <cellStyle name="Normal 9 3 2 2 4" xfId="57517" xr:uid="{00000000-0005-0000-0000-000087D50000}"/>
    <cellStyle name="Normal 9 3 2 3" xfId="25840" xr:uid="{00000000-0005-0000-0000-000088D50000}"/>
    <cellStyle name="Normal 9 3 2 4" xfId="40827" xr:uid="{00000000-0005-0000-0000-000089D50000}"/>
    <cellStyle name="Normal 9 3 2 5" xfId="54350" xr:uid="{00000000-0005-0000-0000-00008AD50000}"/>
    <cellStyle name="Normal 9 3 3" xfId="13245" xr:uid="{00000000-0005-0000-0000-00008BD50000}"/>
    <cellStyle name="Normal 9 3 3 2" xfId="29565" xr:uid="{00000000-0005-0000-0000-00008CD50000}"/>
    <cellStyle name="Normal 9 3 3 3" xfId="44530" xr:uid="{00000000-0005-0000-0000-00008DD50000}"/>
    <cellStyle name="Normal 9 3 3 4" xfId="56893" xr:uid="{00000000-0005-0000-0000-00008ED50000}"/>
    <cellStyle name="Normal 9 3 4" xfId="22543" xr:uid="{00000000-0005-0000-0000-00008FD50000}"/>
    <cellStyle name="Normal 9 3 5" xfId="37531" xr:uid="{00000000-0005-0000-0000-000090D50000}"/>
    <cellStyle name="Normal 9 3 6" xfId="53726" xr:uid="{00000000-0005-0000-0000-000091D50000}"/>
    <cellStyle name="Normal 9 4" xfId="6040" xr:uid="{00000000-0005-0000-0000-000092D50000}"/>
    <cellStyle name="Normal 9 4 2" xfId="13958" xr:uid="{00000000-0005-0000-0000-000093D50000}"/>
    <cellStyle name="Normal 9 4 2 2" xfId="30273" xr:uid="{00000000-0005-0000-0000-000094D50000}"/>
    <cellStyle name="Normal 9 4 2 2 2" xfId="57518" xr:uid="{00000000-0005-0000-0000-000095D50000}"/>
    <cellStyle name="Normal 9 4 2 3" xfId="45237" xr:uid="{00000000-0005-0000-0000-000096D50000}"/>
    <cellStyle name="Normal 9 4 2 4" xfId="54351" xr:uid="{00000000-0005-0000-0000-000097D50000}"/>
    <cellStyle name="Normal 9 4 3" xfId="23251" xr:uid="{00000000-0005-0000-0000-000098D50000}"/>
    <cellStyle name="Normal 9 4 3 2" xfId="56894" xr:uid="{00000000-0005-0000-0000-000099D50000}"/>
    <cellStyle name="Normal 9 4 4" xfId="38238" xr:uid="{00000000-0005-0000-0000-00009AD50000}"/>
    <cellStyle name="Normal 9 4 5" xfId="53727" xr:uid="{00000000-0005-0000-0000-00009BD50000}"/>
    <cellStyle name="Normal 9 5" xfId="5171" xr:uid="{00000000-0005-0000-0000-00009CD50000}"/>
    <cellStyle name="Normal 9 5 2" xfId="13244" xr:uid="{00000000-0005-0000-0000-00009DD50000}"/>
    <cellStyle name="Normal 9 5 2 2" xfId="29564" xr:uid="{00000000-0005-0000-0000-00009ED50000}"/>
    <cellStyle name="Normal 9 5 2 2 2" xfId="57519" xr:uid="{00000000-0005-0000-0000-00009FD50000}"/>
    <cellStyle name="Normal 9 5 2 3" xfId="44529" xr:uid="{00000000-0005-0000-0000-0000A0D50000}"/>
    <cellStyle name="Normal 9 5 2 4" xfId="54352" xr:uid="{00000000-0005-0000-0000-0000A1D50000}"/>
    <cellStyle name="Normal 9 5 3" xfId="22542" xr:uid="{00000000-0005-0000-0000-0000A2D50000}"/>
    <cellStyle name="Normal 9 5 3 2" xfId="56895" xr:uid="{00000000-0005-0000-0000-0000A3D50000}"/>
    <cellStyle name="Normal 9 5 4" xfId="37530" xr:uid="{00000000-0005-0000-0000-0000A4D50000}"/>
    <cellStyle name="Normal 9 5 5" xfId="53728" xr:uid="{00000000-0005-0000-0000-0000A5D50000}"/>
    <cellStyle name="Normal 9 6" xfId="17438" xr:uid="{00000000-0005-0000-0000-0000A6D50000}"/>
    <cellStyle name="Normal 9 6 2" xfId="57513" xr:uid="{00000000-0005-0000-0000-0000A7D50000}"/>
    <cellStyle name="Normal 9 6 3" xfId="54346" xr:uid="{00000000-0005-0000-0000-0000A8D50000}"/>
    <cellStyle name="Normal 9 7" xfId="53722" xr:uid="{00000000-0005-0000-0000-0000A9D50000}"/>
    <cellStyle name="Normal 9 7 2" xfId="56889" xr:uid="{00000000-0005-0000-0000-0000AAD50000}"/>
    <cellStyle name="Normal GHG Numbers (0.00)" xfId="546" xr:uid="{00000000-0005-0000-0000-0000ABD50000}"/>
    <cellStyle name="Normal GHG Numbers (0.00) 2" xfId="9982" xr:uid="{00000000-0005-0000-0000-0000ACD50000}"/>
    <cellStyle name="Normal GHG Numbers (0.00) 2 2" xfId="26307" xr:uid="{00000000-0005-0000-0000-0000ADD50000}"/>
    <cellStyle name="Normal GHG Numbers (0.00) 3" xfId="16719" xr:uid="{00000000-0005-0000-0000-0000AED50000}"/>
    <cellStyle name="Normal GHG Numbers (0.00) 4" xfId="50037" xr:uid="{00000000-0005-0000-0000-0000AFD50000}"/>
    <cellStyle name="Normal GHG Textfiels Bold" xfId="547" xr:uid="{00000000-0005-0000-0000-0000B0D50000}"/>
    <cellStyle name="Normal GHG Textfiels Bold 2" xfId="5174" xr:uid="{00000000-0005-0000-0000-0000B1D50000}"/>
    <cellStyle name="Normal GHG Textfiels Bold 2 2" xfId="13246" xr:uid="{00000000-0005-0000-0000-0000B2D50000}"/>
    <cellStyle name="Normal GHG Textfiels Bold 2 2 2" xfId="29566" xr:uid="{00000000-0005-0000-0000-0000B3D50000}"/>
    <cellStyle name="Normal GHG Textfiels Bold 2 3" xfId="22544" xr:uid="{00000000-0005-0000-0000-0000B4D50000}"/>
    <cellStyle name="Normal GHG whole table" xfId="548" xr:uid="{00000000-0005-0000-0000-0000B5D50000}"/>
    <cellStyle name="Normal GHG whole table 2" xfId="9983" xr:uid="{00000000-0005-0000-0000-0000B6D50000}"/>
    <cellStyle name="Normal GHG whole table 2 2" xfId="26308" xr:uid="{00000000-0005-0000-0000-0000B7D50000}"/>
    <cellStyle name="Normal GHG whole table 3" xfId="19291" xr:uid="{00000000-0005-0000-0000-0000B8D50000}"/>
    <cellStyle name="Normal GHG whole table 4" xfId="50038" xr:uid="{00000000-0005-0000-0000-0000B9D50000}"/>
    <cellStyle name="Normal GHG-Shade" xfId="549" xr:uid="{00000000-0005-0000-0000-0000BAD50000}"/>
    <cellStyle name="Normal GHG-Shade 2" xfId="550" xr:uid="{00000000-0005-0000-0000-0000BBD50000}"/>
    <cellStyle name="Normal GHG-Shade 2 2" xfId="18453" xr:uid="{00000000-0005-0000-0000-0000BCD50000}"/>
    <cellStyle name="Normal GHG-Shade 3" xfId="1310" xr:uid="{00000000-0005-0000-0000-0000BDD50000}"/>
    <cellStyle name="Normal_AppendixAU" xfId="551" xr:uid="{00000000-0005-0000-0000-0000BED50000}"/>
    <cellStyle name="Normal_CBA Femer Bælt" xfId="51704" xr:uid="{00000000-0005-0000-0000-0000BFD50000}"/>
    <cellStyle name="Normal_Omkostninger ved elsvigt" xfId="552" xr:uid="{00000000-0005-0000-0000-0000C0D50000}"/>
    <cellStyle name="Normal_PERS93" xfId="57623" xr:uid="{00000000-0005-0000-0000-0000C1D50000}"/>
    <cellStyle name="Normal_Sheet1" xfId="553" xr:uid="{00000000-0005-0000-0000-0000C2D50000}"/>
    <cellStyle name="Normale 10" xfId="554" xr:uid="{00000000-0005-0000-0000-0000C3D50000}"/>
    <cellStyle name="Normale 10 2" xfId="555" xr:uid="{00000000-0005-0000-0000-0000C4D50000}"/>
    <cellStyle name="Normale 10 2 2" xfId="1312" xr:uid="{00000000-0005-0000-0000-0000C5D50000}"/>
    <cellStyle name="Normale 10 3" xfId="556" xr:uid="{00000000-0005-0000-0000-0000C6D50000}"/>
    <cellStyle name="Normale 10 3 2" xfId="1313" xr:uid="{00000000-0005-0000-0000-0000C7D50000}"/>
    <cellStyle name="Normale 10 4" xfId="1311" xr:uid="{00000000-0005-0000-0000-0000C8D50000}"/>
    <cellStyle name="Normale 10_EDEN industria 2008 rev" xfId="557" xr:uid="{00000000-0005-0000-0000-0000C9D50000}"/>
    <cellStyle name="Normale 11" xfId="558" xr:uid="{00000000-0005-0000-0000-0000CAD50000}"/>
    <cellStyle name="Normale 11 2" xfId="559" xr:uid="{00000000-0005-0000-0000-0000CBD50000}"/>
    <cellStyle name="Normale 11 2 2" xfId="1315" xr:uid="{00000000-0005-0000-0000-0000CCD50000}"/>
    <cellStyle name="Normale 11 3" xfId="560" xr:uid="{00000000-0005-0000-0000-0000CDD50000}"/>
    <cellStyle name="Normale 11 3 2" xfId="1316" xr:uid="{00000000-0005-0000-0000-0000CED50000}"/>
    <cellStyle name="Normale 11 4" xfId="1314" xr:uid="{00000000-0005-0000-0000-0000CFD50000}"/>
    <cellStyle name="Normale 11_EDEN industria 2008 rev" xfId="561" xr:uid="{00000000-0005-0000-0000-0000D0D50000}"/>
    <cellStyle name="Normale 12" xfId="562" xr:uid="{00000000-0005-0000-0000-0000D1D50000}"/>
    <cellStyle name="Normale 12 2" xfId="563" xr:uid="{00000000-0005-0000-0000-0000D2D50000}"/>
    <cellStyle name="Normale 12 2 2" xfId="1318" xr:uid="{00000000-0005-0000-0000-0000D3D50000}"/>
    <cellStyle name="Normale 12 3" xfId="564" xr:uid="{00000000-0005-0000-0000-0000D4D50000}"/>
    <cellStyle name="Normale 12 3 2" xfId="1319" xr:uid="{00000000-0005-0000-0000-0000D5D50000}"/>
    <cellStyle name="Normale 12 4" xfId="1317" xr:uid="{00000000-0005-0000-0000-0000D6D50000}"/>
    <cellStyle name="Normale 12_EDEN industria 2008 rev" xfId="565" xr:uid="{00000000-0005-0000-0000-0000D7D50000}"/>
    <cellStyle name="Normale 13" xfId="566" xr:uid="{00000000-0005-0000-0000-0000D8D50000}"/>
    <cellStyle name="Normale 13 2" xfId="567" xr:uid="{00000000-0005-0000-0000-0000D9D50000}"/>
    <cellStyle name="Normale 13 2 2" xfId="1321" xr:uid="{00000000-0005-0000-0000-0000DAD50000}"/>
    <cellStyle name="Normale 13 3" xfId="568" xr:uid="{00000000-0005-0000-0000-0000DBD50000}"/>
    <cellStyle name="Normale 13 3 2" xfId="1322" xr:uid="{00000000-0005-0000-0000-0000DCD50000}"/>
    <cellStyle name="Normale 13 4" xfId="1320" xr:uid="{00000000-0005-0000-0000-0000DDD50000}"/>
    <cellStyle name="Normale 13_EDEN industria 2008 rev" xfId="569" xr:uid="{00000000-0005-0000-0000-0000DED50000}"/>
    <cellStyle name="Normale 14" xfId="570" xr:uid="{00000000-0005-0000-0000-0000DFD50000}"/>
    <cellStyle name="Normale 14 2" xfId="571" xr:uid="{00000000-0005-0000-0000-0000E0D50000}"/>
    <cellStyle name="Normale 14 2 2" xfId="1324" xr:uid="{00000000-0005-0000-0000-0000E1D50000}"/>
    <cellStyle name="Normale 14 3" xfId="572" xr:uid="{00000000-0005-0000-0000-0000E2D50000}"/>
    <cellStyle name="Normale 14 3 2" xfId="1325" xr:uid="{00000000-0005-0000-0000-0000E3D50000}"/>
    <cellStyle name="Normale 14 4" xfId="1323" xr:uid="{00000000-0005-0000-0000-0000E4D50000}"/>
    <cellStyle name="Normale 14_EDEN industria 2008 rev" xfId="573" xr:uid="{00000000-0005-0000-0000-0000E5D50000}"/>
    <cellStyle name="Normale 15" xfId="574" xr:uid="{00000000-0005-0000-0000-0000E6D50000}"/>
    <cellStyle name="Normale 15 2" xfId="575" xr:uid="{00000000-0005-0000-0000-0000E7D50000}"/>
    <cellStyle name="Normale 15 2 2" xfId="1327" xr:uid="{00000000-0005-0000-0000-0000E8D50000}"/>
    <cellStyle name="Normale 15 3" xfId="576" xr:uid="{00000000-0005-0000-0000-0000E9D50000}"/>
    <cellStyle name="Normale 15 3 2" xfId="1328" xr:uid="{00000000-0005-0000-0000-0000EAD50000}"/>
    <cellStyle name="Normale 15 4" xfId="1326" xr:uid="{00000000-0005-0000-0000-0000EBD50000}"/>
    <cellStyle name="Normale 15_EDEN industria 2008 rev" xfId="577" xr:uid="{00000000-0005-0000-0000-0000ECD50000}"/>
    <cellStyle name="Normale 16" xfId="578" xr:uid="{00000000-0005-0000-0000-0000EDD50000}"/>
    <cellStyle name="Normale 16 2" xfId="1329" xr:uid="{00000000-0005-0000-0000-0000EED50000}"/>
    <cellStyle name="Normale 17" xfId="579" xr:uid="{00000000-0005-0000-0000-0000EFD50000}"/>
    <cellStyle name="Normale 17 2" xfId="1330" xr:uid="{00000000-0005-0000-0000-0000F0D50000}"/>
    <cellStyle name="Normale 18" xfId="580" xr:uid="{00000000-0005-0000-0000-0000F1D50000}"/>
    <cellStyle name="Normale 19" xfId="581" xr:uid="{00000000-0005-0000-0000-0000F2D50000}"/>
    <cellStyle name="Normale 2" xfId="582" xr:uid="{00000000-0005-0000-0000-0000F3D50000}"/>
    <cellStyle name="Normale 2 2" xfId="583" xr:uid="{00000000-0005-0000-0000-0000F4D50000}"/>
    <cellStyle name="Normale 2 2 2" xfId="1332" xr:uid="{00000000-0005-0000-0000-0000F5D50000}"/>
    <cellStyle name="Normale 2 3" xfId="1331" xr:uid="{00000000-0005-0000-0000-0000F6D50000}"/>
    <cellStyle name="Normale 2_EDEN industria 2008 rev" xfId="584" xr:uid="{00000000-0005-0000-0000-0000F7D50000}"/>
    <cellStyle name="Normale 20" xfId="585" xr:uid="{00000000-0005-0000-0000-0000F8D50000}"/>
    <cellStyle name="Normale 20 2" xfId="1333" xr:uid="{00000000-0005-0000-0000-0000F9D50000}"/>
    <cellStyle name="Normale 21" xfId="586" xr:uid="{00000000-0005-0000-0000-0000FAD50000}"/>
    <cellStyle name="Normale 21 2" xfId="1334" xr:uid="{00000000-0005-0000-0000-0000FBD50000}"/>
    <cellStyle name="Normale 22" xfId="587" xr:uid="{00000000-0005-0000-0000-0000FCD50000}"/>
    <cellStyle name="Normale 22 2" xfId="1335" xr:uid="{00000000-0005-0000-0000-0000FDD50000}"/>
    <cellStyle name="Normale 23" xfId="588" xr:uid="{00000000-0005-0000-0000-0000FED50000}"/>
    <cellStyle name="Normale 23 2" xfId="1336" xr:uid="{00000000-0005-0000-0000-0000FFD50000}"/>
    <cellStyle name="Normale 24" xfId="589" xr:uid="{00000000-0005-0000-0000-000000D60000}"/>
    <cellStyle name="Normale 24 2" xfId="1337" xr:uid="{00000000-0005-0000-0000-000001D60000}"/>
    <cellStyle name="Normale 25" xfId="590" xr:uid="{00000000-0005-0000-0000-000002D60000}"/>
    <cellStyle name="Normale 25 2" xfId="1338" xr:uid="{00000000-0005-0000-0000-000003D60000}"/>
    <cellStyle name="Normale 26" xfId="591" xr:uid="{00000000-0005-0000-0000-000004D60000}"/>
    <cellStyle name="Normale 26 2" xfId="1339" xr:uid="{00000000-0005-0000-0000-000005D60000}"/>
    <cellStyle name="Normale 27" xfId="592" xr:uid="{00000000-0005-0000-0000-000006D60000}"/>
    <cellStyle name="Normale 27 2" xfId="1340" xr:uid="{00000000-0005-0000-0000-000007D60000}"/>
    <cellStyle name="Normale 28" xfId="593" xr:uid="{00000000-0005-0000-0000-000008D60000}"/>
    <cellStyle name="Normale 28 2" xfId="1341" xr:uid="{00000000-0005-0000-0000-000009D60000}"/>
    <cellStyle name="Normale 29" xfId="594" xr:uid="{00000000-0005-0000-0000-00000AD60000}"/>
    <cellStyle name="Normale 29 2" xfId="1342" xr:uid="{00000000-0005-0000-0000-00000BD60000}"/>
    <cellStyle name="Normale 3" xfId="595" xr:uid="{00000000-0005-0000-0000-00000CD60000}"/>
    <cellStyle name="Normale 3 2" xfId="596" xr:uid="{00000000-0005-0000-0000-00000DD60000}"/>
    <cellStyle name="Normale 3 2 2" xfId="1344" xr:uid="{00000000-0005-0000-0000-00000ED60000}"/>
    <cellStyle name="Normale 3 3" xfId="597" xr:uid="{00000000-0005-0000-0000-00000FD60000}"/>
    <cellStyle name="Normale 3 3 2" xfId="1345" xr:uid="{00000000-0005-0000-0000-000010D60000}"/>
    <cellStyle name="Normale 3 4" xfId="1343" xr:uid="{00000000-0005-0000-0000-000011D60000}"/>
    <cellStyle name="Normale 3_EDEN industria 2008 rev" xfId="598" xr:uid="{00000000-0005-0000-0000-000012D60000}"/>
    <cellStyle name="Normale 30" xfId="599" xr:uid="{00000000-0005-0000-0000-000013D60000}"/>
    <cellStyle name="Normale 30 2" xfId="1346" xr:uid="{00000000-0005-0000-0000-000014D60000}"/>
    <cellStyle name="Normale 31" xfId="600" xr:uid="{00000000-0005-0000-0000-000015D60000}"/>
    <cellStyle name="Normale 31 2" xfId="1347" xr:uid="{00000000-0005-0000-0000-000016D60000}"/>
    <cellStyle name="Normale 32" xfId="601" xr:uid="{00000000-0005-0000-0000-000017D60000}"/>
    <cellStyle name="Normale 32 2" xfId="1348" xr:uid="{00000000-0005-0000-0000-000018D60000}"/>
    <cellStyle name="Normale 33" xfId="602" xr:uid="{00000000-0005-0000-0000-000019D60000}"/>
    <cellStyle name="Normale 33 2" xfId="1349" xr:uid="{00000000-0005-0000-0000-00001AD60000}"/>
    <cellStyle name="Normale 34" xfId="603" xr:uid="{00000000-0005-0000-0000-00001BD60000}"/>
    <cellStyle name="Normale 34 2" xfId="1350" xr:uid="{00000000-0005-0000-0000-00001CD60000}"/>
    <cellStyle name="Normale 35" xfId="604" xr:uid="{00000000-0005-0000-0000-00001DD60000}"/>
    <cellStyle name="Normale 35 2" xfId="1351" xr:uid="{00000000-0005-0000-0000-00001ED60000}"/>
    <cellStyle name="Normale 36" xfId="605" xr:uid="{00000000-0005-0000-0000-00001FD60000}"/>
    <cellStyle name="Normale 36 2" xfId="1352" xr:uid="{00000000-0005-0000-0000-000020D60000}"/>
    <cellStyle name="Normale 37" xfId="606" xr:uid="{00000000-0005-0000-0000-000021D60000}"/>
    <cellStyle name="Normale 37 2" xfId="1353" xr:uid="{00000000-0005-0000-0000-000022D60000}"/>
    <cellStyle name="Normale 38" xfId="607" xr:uid="{00000000-0005-0000-0000-000023D60000}"/>
    <cellStyle name="Normale 38 2" xfId="1354" xr:uid="{00000000-0005-0000-0000-000024D60000}"/>
    <cellStyle name="Normale 39" xfId="608" xr:uid="{00000000-0005-0000-0000-000025D60000}"/>
    <cellStyle name="Normale 39 2" xfId="1355" xr:uid="{00000000-0005-0000-0000-000026D60000}"/>
    <cellStyle name="Normale 4" xfId="609" xr:uid="{00000000-0005-0000-0000-000027D60000}"/>
    <cellStyle name="Normale 4 2" xfId="610" xr:uid="{00000000-0005-0000-0000-000028D60000}"/>
    <cellStyle name="Normale 4 2 2" xfId="1357" xr:uid="{00000000-0005-0000-0000-000029D60000}"/>
    <cellStyle name="Normale 4 3" xfId="611" xr:uid="{00000000-0005-0000-0000-00002AD60000}"/>
    <cellStyle name="Normale 4 3 2" xfId="1358" xr:uid="{00000000-0005-0000-0000-00002BD60000}"/>
    <cellStyle name="Normale 4 4" xfId="1356" xr:uid="{00000000-0005-0000-0000-00002CD60000}"/>
    <cellStyle name="Normale 4_EDEN industria 2008 rev" xfId="612" xr:uid="{00000000-0005-0000-0000-00002DD60000}"/>
    <cellStyle name="Normale 40" xfId="613" xr:uid="{00000000-0005-0000-0000-00002ED60000}"/>
    <cellStyle name="Normale 40 2" xfId="1359" xr:uid="{00000000-0005-0000-0000-00002FD60000}"/>
    <cellStyle name="Normale 41" xfId="614" xr:uid="{00000000-0005-0000-0000-000030D60000}"/>
    <cellStyle name="Normale 41 2" xfId="1360" xr:uid="{00000000-0005-0000-0000-000031D60000}"/>
    <cellStyle name="Normale 42" xfId="615" xr:uid="{00000000-0005-0000-0000-000032D60000}"/>
    <cellStyle name="Normale 42 2" xfId="1361" xr:uid="{00000000-0005-0000-0000-000033D60000}"/>
    <cellStyle name="Normale 43" xfId="616" xr:uid="{00000000-0005-0000-0000-000034D60000}"/>
    <cellStyle name="Normale 43 2" xfId="1362" xr:uid="{00000000-0005-0000-0000-000035D60000}"/>
    <cellStyle name="Normale 44" xfId="617" xr:uid="{00000000-0005-0000-0000-000036D60000}"/>
    <cellStyle name="Normale 44 2" xfId="1363" xr:uid="{00000000-0005-0000-0000-000037D60000}"/>
    <cellStyle name="Normale 45" xfId="618" xr:uid="{00000000-0005-0000-0000-000038D60000}"/>
    <cellStyle name="Normale 45 2" xfId="1364" xr:uid="{00000000-0005-0000-0000-000039D60000}"/>
    <cellStyle name="Normale 46" xfId="619" xr:uid="{00000000-0005-0000-0000-00003AD60000}"/>
    <cellStyle name="Normale 46 2" xfId="1365" xr:uid="{00000000-0005-0000-0000-00003BD60000}"/>
    <cellStyle name="Normale 47" xfId="620" xr:uid="{00000000-0005-0000-0000-00003CD60000}"/>
    <cellStyle name="Normale 47 2" xfId="1366" xr:uid="{00000000-0005-0000-0000-00003DD60000}"/>
    <cellStyle name="Normale 48" xfId="621" xr:uid="{00000000-0005-0000-0000-00003ED60000}"/>
    <cellStyle name="Normale 48 2" xfId="1367" xr:uid="{00000000-0005-0000-0000-00003FD60000}"/>
    <cellStyle name="Normale 49" xfId="622" xr:uid="{00000000-0005-0000-0000-000040D60000}"/>
    <cellStyle name="Normale 49 2" xfId="1368" xr:uid="{00000000-0005-0000-0000-000041D60000}"/>
    <cellStyle name="Normale 5" xfId="623" xr:uid="{00000000-0005-0000-0000-000042D60000}"/>
    <cellStyle name="Normale 5 2" xfId="624" xr:uid="{00000000-0005-0000-0000-000043D60000}"/>
    <cellStyle name="Normale 5 2 2" xfId="1370" xr:uid="{00000000-0005-0000-0000-000044D60000}"/>
    <cellStyle name="Normale 5 3" xfId="625" xr:uid="{00000000-0005-0000-0000-000045D60000}"/>
    <cellStyle name="Normale 5 3 2" xfId="1371" xr:uid="{00000000-0005-0000-0000-000046D60000}"/>
    <cellStyle name="Normale 5 4" xfId="1369" xr:uid="{00000000-0005-0000-0000-000047D60000}"/>
    <cellStyle name="Normale 5_EDEN industria 2008 rev" xfId="626" xr:uid="{00000000-0005-0000-0000-000048D60000}"/>
    <cellStyle name="Normale 50" xfId="627" xr:uid="{00000000-0005-0000-0000-000049D60000}"/>
    <cellStyle name="Normale 50 2" xfId="1372" xr:uid="{00000000-0005-0000-0000-00004AD60000}"/>
    <cellStyle name="Normale 51" xfId="628" xr:uid="{00000000-0005-0000-0000-00004BD60000}"/>
    <cellStyle name="Normale 51 2" xfId="1373" xr:uid="{00000000-0005-0000-0000-00004CD60000}"/>
    <cellStyle name="Normale 52" xfId="629" xr:uid="{00000000-0005-0000-0000-00004DD60000}"/>
    <cellStyle name="Normale 52 2" xfId="1374" xr:uid="{00000000-0005-0000-0000-00004ED60000}"/>
    <cellStyle name="Normale 53" xfId="630" xr:uid="{00000000-0005-0000-0000-00004FD60000}"/>
    <cellStyle name="Normale 53 2" xfId="1375" xr:uid="{00000000-0005-0000-0000-000050D60000}"/>
    <cellStyle name="Normale 54" xfId="631" xr:uid="{00000000-0005-0000-0000-000051D60000}"/>
    <cellStyle name="Normale 54 2" xfId="1376" xr:uid="{00000000-0005-0000-0000-000052D60000}"/>
    <cellStyle name="Normale 55" xfId="632" xr:uid="{00000000-0005-0000-0000-000053D60000}"/>
    <cellStyle name="Normale 55 2" xfId="1377" xr:uid="{00000000-0005-0000-0000-000054D60000}"/>
    <cellStyle name="Normale 56" xfId="633" xr:uid="{00000000-0005-0000-0000-000055D60000}"/>
    <cellStyle name="Normale 56 2" xfId="1378" xr:uid="{00000000-0005-0000-0000-000056D60000}"/>
    <cellStyle name="Normale 57" xfId="634" xr:uid="{00000000-0005-0000-0000-000057D60000}"/>
    <cellStyle name="Normale 57 2" xfId="1379" xr:uid="{00000000-0005-0000-0000-000058D60000}"/>
    <cellStyle name="Normale 58" xfId="635" xr:uid="{00000000-0005-0000-0000-000059D60000}"/>
    <cellStyle name="Normale 58 2" xfId="1380" xr:uid="{00000000-0005-0000-0000-00005AD60000}"/>
    <cellStyle name="Normale 59" xfId="636" xr:uid="{00000000-0005-0000-0000-00005BD60000}"/>
    <cellStyle name="Normale 59 2" xfId="1381" xr:uid="{00000000-0005-0000-0000-00005CD60000}"/>
    <cellStyle name="Normale 6" xfId="637" xr:uid="{00000000-0005-0000-0000-00005DD60000}"/>
    <cellStyle name="Normale 6 2" xfId="638" xr:uid="{00000000-0005-0000-0000-00005ED60000}"/>
    <cellStyle name="Normale 6 2 2" xfId="1383" xr:uid="{00000000-0005-0000-0000-00005FD60000}"/>
    <cellStyle name="Normale 6 3" xfId="639" xr:uid="{00000000-0005-0000-0000-000060D60000}"/>
    <cellStyle name="Normale 6 3 2" xfId="1384" xr:uid="{00000000-0005-0000-0000-000061D60000}"/>
    <cellStyle name="Normale 6 4" xfId="1382" xr:uid="{00000000-0005-0000-0000-000062D60000}"/>
    <cellStyle name="Normale 6_EDEN industria 2008 rev" xfId="640" xr:uid="{00000000-0005-0000-0000-000063D60000}"/>
    <cellStyle name="Normale 60" xfId="641" xr:uid="{00000000-0005-0000-0000-000064D60000}"/>
    <cellStyle name="Normale 60 2" xfId="1385" xr:uid="{00000000-0005-0000-0000-000065D60000}"/>
    <cellStyle name="Normale 61" xfId="642" xr:uid="{00000000-0005-0000-0000-000066D60000}"/>
    <cellStyle name="Normale 61 2" xfId="1386" xr:uid="{00000000-0005-0000-0000-000067D60000}"/>
    <cellStyle name="Normale 62" xfId="643" xr:uid="{00000000-0005-0000-0000-000068D60000}"/>
    <cellStyle name="Normale 62 2" xfId="1387" xr:uid="{00000000-0005-0000-0000-000069D60000}"/>
    <cellStyle name="Normale 63" xfId="644" xr:uid="{00000000-0005-0000-0000-00006AD60000}"/>
    <cellStyle name="Normale 63 2" xfId="1388" xr:uid="{00000000-0005-0000-0000-00006BD60000}"/>
    <cellStyle name="Normale 64" xfId="645" xr:uid="{00000000-0005-0000-0000-00006CD60000}"/>
    <cellStyle name="Normale 64 2" xfId="1389" xr:uid="{00000000-0005-0000-0000-00006DD60000}"/>
    <cellStyle name="Normale 65" xfId="646" xr:uid="{00000000-0005-0000-0000-00006ED60000}"/>
    <cellStyle name="Normale 65 2" xfId="1390" xr:uid="{00000000-0005-0000-0000-00006FD60000}"/>
    <cellStyle name="Normale 7" xfId="647" xr:uid="{00000000-0005-0000-0000-000070D60000}"/>
    <cellStyle name="Normale 7 2" xfId="648" xr:uid="{00000000-0005-0000-0000-000071D60000}"/>
    <cellStyle name="Normale 7 2 2" xfId="1392" xr:uid="{00000000-0005-0000-0000-000072D60000}"/>
    <cellStyle name="Normale 7 3" xfId="649" xr:uid="{00000000-0005-0000-0000-000073D60000}"/>
    <cellStyle name="Normale 7 3 2" xfId="1393" xr:uid="{00000000-0005-0000-0000-000074D60000}"/>
    <cellStyle name="Normale 7 4" xfId="1391" xr:uid="{00000000-0005-0000-0000-000075D60000}"/>
    <cellStyle name="Normale 7_EDEN industria 2008 rev" xfId="650" xr:uid="{00000000-0005-0000-0000-000076D60000}"/>
    <cellStyle name="Normale 8" xfId="651" xr:uid="{00000000-0005-0000-0000-000077D60000}"/>
    <cellStyle name="Normale 8 2" xfId="652" xr:uid="{00000000-0005-0000-0000-000078D60000}"/>
    <cellStyle name="Normale 8 2 2" xfId="1395" xr:uid="{00000000-0005-0000-0000-000079D60000}"/>
    <cellStyle name="Normale 8 3" xfId="653" xr:uid="{00000000-0005-0000-0000-00007AD60000}"/>
    <cellStyle name="Normale 8 3 2" xfId="1396" xr:uid="{00000000-0005-0000-0000-00007BD60000}"/>
    <cellStyle name="Normale 8 4" xfId="1394" xr:uid="{00000000-0005-0000-0000-00007CD60000}"/>
    <cellStyle name="Normale 8_EDEN industria 2008 rev" xfId="654" xr:uid="{00000000-0005-0000-0000-00007DD60000}"/>
    <cellStyle name="Normale 9" xfId="655" xr:uid="{00000000-0005-0000-0000-00007ED60000}"/>
    <cellStyle name="Normale 9 2" xfId="656" xr:uid="{00000000-0005-0000-0000-00007FD60000}"/>
    <cellStyle name="Normale 9 2 2" xfId="1398" xr:uid="{00000000-0005-0000-0000-000080D60000}"/>
    <cellStyle name="Normale 9 3" xfId="657" xr:uid="{00000000-0005-0000-0000-000081D60000}"/>
    <cellStyle name="Normale 9 3 2" xfId="1399" xr:uid="{00000000-0005-0000-0000-000082D60000}"/>
    <cellStyle name="Normale 9 4" xfId="1397" xr:uid="{00000000-0005-0000-0000-000083D60000}"/>
    <cellStyle name="Normale 9_EDEN industria 2008 rev" xfId="658" xr:uid="{00000000-0005-0000-0000-000084D60000}"/>
    <cellStyle name="Normale_B2020" xfId="659" xr:uid="{00000000-0005-0000-0000-000085D60000}"/>
    <cellStyle name="Nota" xfId="660" xr:uid="{00000000-0005-0000-0000-000086D60000}"/>
    <cellStyle name="Nota 2" xfId="661" xr:uid="{00000000-0005-0000-0000-000087D60000}"/>
    <cellStyle name="Nota 2 2" xfId="1400" xr:uid="{00000000-0005-0000-0000-000088D60000}"/>
    <cellStyle name="Nota 2 2 2" xfId="10077" xr:uid="{00000000-0005-0000-0000-000089D60000}"/>
    <cellStyle name="Nota 2 2 2 2" xfId="26398" xr:uid="{00000000-0005-0000-0000-00008AD60000}"/>
    <cellStyle name="Nota 2 2 3" xfId="18454" xr:uid="{00000000-0005-0000-0000-00008BD60000}"/>
    <cellStyle name="Nota 2 2 4" xfId="18960" xr:uid="{00000000-0005-0000-0000-00008CD60000}"/>
    <cellStyle name="Nota 2 2 4 2" xfId="33957" xr:uid="{00000000-0005-0000-0000-00008DD60000}"/>
    <cellStyle name="Nota 2 2 5" xfId="52120" xr:uid="{00000000-0005-0000-0000-00008ED60000}"/>
    <cellStyle name="Nota 2 3" xfId="9985" xr:uid="{00000000-0005-0000-0000-00008FD60000}"/>
    <cellStyle name="Nota 2 3 2" xfId="26310" xr:uid="{00000000-0005-0000-0000-000090D60000}"/>
    <cellStyle name="Nota 2 4" xfId="9652" xr:uid="{00000000-0005-0000-0000-000091D60000}"/>
    <cellStyle name="Nota 2 4 2" xfId="25983" xr:uid="{00000000-0005-0000-0000-000092D60000}"/>
    <cellStyle name="Nota 2 5" xfId="17440" xr:uid="{00000000-0005-0000-0000-000093D60000}"/>
    <cellStyle name="Nota 2 6" xfId="52020" xr:uid="{00000000-0005-0000-0000-000094D60000}"/>
    <cellStyle name="Nota 3" xfId="662" xr:uid="{00000000-0005-0000-0000-000095D60000}"/>
    <cellStyle name="Nota 3 2" xfId="663" xr:uid="{00000000-0005-0000-0000-000096D60000}"/>
    <cellStyle name="Nota 3 2 2" xfId="9987" xr:uid="{00000000-0005-0000-0000-000097D60000}"/>
    <cellStyle name="Nota 3 2 2 2" xfId="26312" xr:uid="{00000000-0005-0000-0000-000098D60000}"/>
    <cellStyle name="Nota 3 2 3" xfId="9650" xr:uid="{00000000-0005-0000-0000-000099D60000}"/>
    <cellStyle name="Nota 3 2 3 2" xfId="25981" xr:uid="{00000000-0005-0000-0000-00009AD60000}"/>
    <cellStyle name="Nota 3 2 4" xfId="17442" xr:uid="{00000000-0005-0000-0000-00009BD60000}"/>
    <cellStyle name="Nota 3 2 5" xfId="52022" xr:uid="{00000000-0005-0000-0000-00009CD60000}"/>
    <cellStyle name="Nota 3 3" xfId="9986" xr:uid="{00000000-0005-0000-0000-00009DD60000}"/>
    <cellStyle name="Nota 3 3 2" xfId="18456" xr:uid="{00000000-0005-0000-0000-00009ED60000}"/>
    <cellStyle name="Nota 3 3 2 2" xfId="18962" xr:uid="{00000000-0005-0000-0000-00009FD60000}"/>
    <cellStyle name="Nota 3 3 2 2 2" xfId="33959" xr:uid="{00000000-0005-0000-0000-0000A0D60000}"/>
    <cellStyle name="Nota 3 3 2 3" xfId="53048" xr:uid="{00000000-0005-0000-0000-0000A1D60000}"/>
    <cellStyle name="Nota 3 3 3" xfId="17443" xr:uid="{00000000-0005-0000-0000-0000A2D60000}"/>
    <cellStyle name="Nota 3 3 4" xfId="18957" xr:uid="{00000000-0005-0000-0000-0000A3D60000}"/>
    <cellStyle name="Nota 3 3 4 2" xfId="33954" xr:uid="{00000000-0005-0000-0000-0000A4D60000}"/>
    <cellStyle name="Nota 3 3 5" xfId="26311" xr:uid="{00000000-0005-0000-0000-0000A5D60000}"/>
    <cellStyle name="Nota 3 3 6" xfId="52674" xr:uid="{00000000-0005-0000-0000-0000A6D60000}"/>
    <cellStyle name="Nota 3 4" xfId="9651" xr:uid="{00000000-0005-0000-0000-0000A7D60000}"/>
    <cellStyle name="Nota 3 4 2" xfId="18455" xr:uid="{00000000-0005-0000-0000-0000A8D60000}"/>
    <cellStyle name="Nota 3 4 3" xfId="18961" xr:uid="{00000000-0005-0000-0000-0000A9D60000}"/>
    <cellStyle name="Nota 3 4 3 2" xfId="33958" xr:uid="{00000000-0005-0000-0000-0000AAD60000}"/>
    <cellStyle name="Nota 3 4 4" xfId="25982" xr:uid="{00000000-0005-0000-0000-0000ABD60000}"/>
    <cellStyle name="Nota 3 4 5" xfId="53047" xr:uid="{00000000-0005-0000-0000-0000ACD60000}"/>
    <cellStyle name="Nota 3 5" xfId="17441" xr:uid="{00000000-0005-0000-0000-0000ADD60000}"/>
    <cellStyle name="Nota 3 6" xfId="18956" xr:uid="{00000000-0005-0000-0000-0000AED60000}"/>
    <cellStyle name="Nota 3 6 2" xfId="33953" xr:uid="{00000000-0005-0000-0000-0000AFD60000}"/>
    <cellStyle name="Nota 3 7" xfId="52021" xr:uid="{00000000-0005-0000-0000-0000B0D60000}"/>
    <cellStyle name="Nota 3 8" xfId="52673" xr:uid="{00000000-0005-0000-0000-0000B1D60000}"/>
    <cellStyle name="Nota 4" xfId="9423" xr:uid="{00000000-0005-0000-0000-0000B2D60000}"/>
    <cellStyle name="Nota 4 2" xfId="16681" xr:uid="{00000000-0005-0000-0000-0000B3D60000}"/>
    <cellStyle name="Nota 4 2 2" xfId="18458" xr:uid="{00000000-0005-0000-0000-0000B4D60000}"/>
    <cellStyle name="Nota 4 2 2 2" xfId="18964" xr:uid="{00000000-0005-0000-0000-0000B5D60000}"/>
    <cellStyle name="Nota 4 2 2 2 2" xfId="33961" xr:uid="{00000000-0005-0000-0000-0000B6D60000}"/>
    <cellStyle name="Nota 4 2 2 3" xfId="53050" xr:uid="{00000000-0005-0000-0000-0000B7D60000}"/>
    <cellStyle name="Nota 4 2 3" xfId="17445" xr:uid="{00000000-0005-0000-0000-0000B8D60000}"/>
    <cellStyle name="Nota 4 2 4" xfId="18959" xr:uid="{00000000-0005-0000-0000-0000B9D60000}"/>
    <cellStyle name="Nota 4 2 4 2" xfId="33956" xr:uid="{00000000-0005-0000-0000-0000BAD60000}"/>
    <cellStyle name="Nota 4 2 5" xfId="32995" xr:uid="{00000000-0005-0000-0000-0000BBD60000}"/>
    <cellStyle name="Nota 4 2 6" xfId="52676" xr:uid="{00000000-0005-0000-0000-0000BCD60000}"/>
    <cellStyle name="Nota 4 3" xfId="9649" xr:uid="{00000000-0005-0000-0000-0000BDD60000}"/>
    <cellStyle name="Nota 4 3 2" xfId="18457" xr:uid="{00000000-0005-0000-0000-0000BED60000}"/>
    <cellStyle name="Nota 4 3 3" xfId="18963" xr:uid="{00000000-0005-0000-0000-0000BFD60000}"/>
    <cellStyle name="Nota 4 3 3 2" xfId="33960" xr:uid="{00000000-0005-0000-0000-0000C0D60000}"/>
    <cellStyle name="Nota 4 3 4" xfId="25980" xr:uid="{00000000-0005-0000-0000-0000C1D60000}"/>
    <cellStyle name="Nota 4 3 5" xfId="53049" xr:uid="{00000000-0005-0000-0000-0000C2D60000}"/>
    <cellStyle name="Nota 4 4" xfId="17444" xr:uid="{00000000-0005-0000-0000-0000C3D60000}"/>
    <cellStyle name="Nota 4 5" xfId="18958" xr:uid="{00000000-0005-0000-0000-0000C4D60000}"/>
    <cellStyle name="Nota 4 5 2" xfId="33955" xr:uid="{00000000-0005-0000-0000-0000C5D60000}"/>
    <cellStyle name="Nota 4 6" xfId="25972" xr:uid="{00000000-0005-0000-0000-0000C6D60000}"/>
    <cellStyle name="Nota 4 7" xfId="52675" xr:uid="{00000000-0005-0000-0000-0000C7D60000}"/>
    <cellStyle name="Nota 5" xfId="9424" xr:uid="{00000000-0005-0000-0000-0000C8D60000}"/>
    <cellStyle name="Nota 5 2" xfId="16682" xr:uid="{00000000-0005-0000-0000-0000C9D60000}"/>
    <cellStyle name="Nota 5 2 2" xfId="32996" xr:uid="{00000000-0005-0000-0000-0000CAD60000}"/>
    <cellStyle name="Nota 5 3" xfId="9648" xr:uid="{00000000-0005-0000-0000-0000CBD60000}"/>
    <cellStyle name="Nota 5 3 2" xfId="25979" xr:uid="{00000000-0005-0000-0000-0000CCD60000}"/>
    <cellStyle name="Nota 5 4" xfId="17446" xr:uid="{00000000-0005-0000-0000-0000CDD60000}"/>
    <cellStyle name="Nota 5 5" xfId="52677" xr:uid="{00000000-0005-0000-0000-0000CED60000}"/>
    <cellStyle name="Nota 6" xfId="9984" xr:uid="{00000000-0005-0000-0000-0000CFD60000}"/>
    <cellStyle name="Nota 6 2" xfId="26309" xr:uid="{00000000-0005-0000-0000-0000D0D60000}"/>
    <cellStyle name="Nota 7" xfId="10078" xr:uid="{00000000-0005-0000-0000-0000D1D60000}"/>
    <cellStyle name="Nota 7 2" xfId="26399" xr:uid="{00000000-0005-0000-0000-0000D2D60000}"/>
    <cellStyle name="Nota 8" xfId="17439" xr:uid="{00000000-0005-0000-0000-0000D3D60000}"/>
    <cellStyle name="Nota 9" xfId="52019" xr:uid="{00000000-0005-0000-0000-0000D4D60000}"/>
    <cellStyle name="Note 2" xfId="1167" xr:uid="{00000000-0005-0000-0000-0000D5D60000}"/>
    <cellStyle name="Note 2 10" xfId="50054" xr:uid="{00000000-0005-0000-0000-0000D6D60000}"/>
    <cellStyle name="Note 2 11" xfId="50459" xr:uid="{00000000-0005-0000-0000-0000D7D60000}"/>
    <cellStyle name="Note 2 12" xfId="51019" xr:uid="{00000000-0005-0000-0000-0000D8D60000}"/>
    <cellStyle name="Note 2 13" xfId="51620" xr:uid="{00000000-0005-0000-0000-0000D9D60000}"/>
    <cellStyle name="Note 2 14" xfId="52040" xr:uid="{00000000-0005-0000-0000-0000DAD60000}"/>
    <cellStyle name="Note 2 15" xfId="53185" xr:uid="{00000000-0005-0000-0000-0000DBD60000}"/>
    <cellStyle name="Note 2 2" xfId="5176" xr:uid="{00000000-0005-0000-0000-0000DCD60000}"/>
    <cellStyle name="Note 2 2 2" xfId="53255" xr:uid="{00000000-0005-0000-0000-0000DDD60000}"/>
    <cellStyle name="Note 2 3" xfId="5175" xr:uid="{00000000-0005-0000-0000-0000DED60000}"/>
    <cellStyle name="Note 2 4" xfId="8884" xr:uid="{00000000-0005-0000-0000-0000DFD60000}"/>
    <cellStyle name="Note 2 4 2" xfId="16658" xr:uid="{00000000-0005-0000-0000-0000E0D60000}"/>
    <cellStyle name="Note 2 4 2 2" xfId="32972" xr:uid="{00000000-0005-0000-0000-0000E1D60000}"/>
    <cellStyle name="Note 2 4 2 3" xfId="47936" xr:uid="{00000000-0005-0000-0000-0000E2D60000}"/>
    <cellStyle name="Note 2 4 3" xfId="25950" xr:uid="{00000000-0005-0000-0000-0000E3D60000}"/>
    <cellStyle name="Note 2 4 4" xfId="40937" xr:uid="{00000000-0005-0000-0000-0000E4D60000}"/>
    <cellStyle name="Note 2 5" xfId="9997" xr:uid="{00000000-0005-0000-0000-0000E5D60000}"/>
    <cellStyle name="Note 2 5 2" xfId="26319" xr:uid="{00000000-0005-0000-0000-0000E6D60000}"/>
    <cellStyle name="Note 2 5 3" xfId="41287" xr:uid="{00000000-0005-0000-0000-0000E7D60000}"/>
    <cellStyle name="Note 2 6" xfId="19298" xr:uid="{00000000-0005-0000-0000-0000E8D60000}"/>
    <cellStyle name="Note 2 7" xfId="34288" xr:uid="{00000000-0005-0000-0000-0000E9D60000}"/>
    <cellStyle name="Note 2 8" xfId="49240" xr:uid="{00000000-0005-0000-0000-0000EAD60000}"/>
    <cellStyle name="Note 2 9" xfId="49645" xr:uid="{00000000-0005-0000-0000-0000EBD60000}"/>
    <cellStyle name="Note 3" xfId="8902" xr:uid="{00000000-0005-0000-0000-0000ECD60000}"/>
    <cellStyle name="Note 4" xfId="10080" xr:uid="{00000000-0005-0000-0000-0000EDD60000}"/>
    <cellStyle name="Note 5" xfId="19378" xr:uid="{00000000-0005-0000-0000-0000EED60000}"/>
    <cellStyle name="Nuovo" xfId="664" xr:uid="{00000000-0005-0000-0000-0000EFD60000}"/>
    <cellStyle name="Nuovo 10" xfId="665" xr:uid="{00000000-0005-0000-0000-0000F0D60000}"/>
    <cellStyle name="Nuovo 10 2" xfId="666" xr:uid="{00000000-0005-0000-0000-0000F1D60000}"/>
    <cellStyle name="Nuovo 10 2 2" xfId="1401" xr:uid="{00000000-0005-0000-0000-0000F2D60000}"/>
    <cellStyle name="Nuovo 10 3" xfId="667" xr:uid="{00000000-0005-0000-0000-0000F3D60000}"/>
    <cellStyle name="Nuovo 10 3 2" xfId="668" xr:uid="{00000000-0005-0000-0000-0000F4D60000}"/>
    <cellStyle name="Nuovo 10 3 3" xfId="17448" xr:uid="{00000000-0005-0000-0000-0000F5D60000}"/>
    <cellStyle name="Nuovo 10 3 3 2" xfId="18460" xr:uid="{00000000-0005-0000-0000-0000F6D60000}"/>
    <cellStyle name="Nuovo 10 3 4" xfId="18459" xr:uid="{00000000-0005-0000-0000-0000F7D60000}"/>
    <cellStyle name="Nuovo 10 3 5" xfId="17447" xr:uid="{00000000-0005-0000-0000-0000F8D60000}"/>
    <cellStyle name="Nuovo 10 4" xfId="9425" xr:uid="{00000000-0005-0000-0000-0000F9D60000}"/>
    <cellStyle name="Nuovo 10 4 2" xfId="17450" xr:uid="{00000000-0005-0000-0000-0000FAD60000}"/>
    <cellStyle name="Nuovo 10 4 2 2" xfId="18462" xr:uid="{00000000-0005-0000-0000-0000FBD60000}"/>
    <cellStyle name="Nuovo 10 4 3" xfId="18461" xr:uid="{00000000-0005-0000-0000-0000FCD60000}"/>
    <cellStyle name="Nuovo 10 4 4" xfId="17449" xr:uid="{00000000-0005-0000-0000-0000FDD60000}"/>
    <cellStyle name="Nuovo 10 5" xfId="9426" xr:uid="{00000000-0005-0000-0000-0000FED60000}"/>
    <cellStyle name="Nuovo 10 6" xfId="50582" xr:uid="{00000000-0005-0000-0000-0000FFD60000}"/>
    <cellStyle name="Nuovo 11" xfId="669" xr:uid="{00000000-0005-0000-0000-000000D70000}"/>
    <cellStyle name="Nuovo 11 2" xfId="670" xr:uid="{00000000-0005-0000-0000-000001D70000}"/>
    <cellStyle name="Nuovo 11 2 2" xfId="1402" xr:uid="{00000000-0005-0000-0000-000002D70000}"/>
    <cellStyle name="Nuovo 11 3" xfId="671" xr:uid="{00000000-0005-0000-0000-000003D70000}"/>
    <cellStyle name="Nuovo 11 3 2" xfId="672" xr:uid="{00000000-0005-0000-0000-000004D70000}"/>
    <cellStyle name="Nuovo 11 3 3" xfId="17452" xr:uid="{00000000-0005-0000-0000-000005D70000}"/>
    <cellStyle name="Nuovo 11 3 3 2" xfId="18464" xr:uid="{00000000-0005-0000-0000-000006D70000}"/>
    <cellStyle name="Nuovo 11 3 4" xfId="18463" xr:uid="{00000000-0005-0000-0000-000007D70000}"/>
    <cellStyle name="Nuovo 11 3 5" xfId="17451" xr:uid="{00000000-0005-0000-0000-000008D70000}"/>
    <cellStyle name="Nuovo 11 4" xfId="9427" xr:uid="{00000000-0005-0000-0000-000009D70000}"/>
    <cellStyle name="Nuovo 11 4 2" xfId="17454" xr:uid="{00000000-0005-0000-0000-00000AD70000}"/>
    <cellStyle name="Nuovo 11 4 2 2" xfId="18466" xr:uid="{00000000-0005-0000-0000-00000BD70000}"/>
    <cellStyle name="Nuovo 11 4 3" xfId="18465" xr:uid="{00000000-0005-0000-0000-00000CD70000}"/>
    <cellStyle name="Nuovo 11 4 4" xfId="17453" xr:uid="{00000000-0005-0000-0000-00000DD70000}"/>
    <cellStyle name="Nuovo 11 5" xfId="9428" xr:uid="{00000000-0005-0000-0000-00000ED70000}"/>
    <cellStyle name="Nuovo 11 6" xfId="51036" xr:uid="{00000000-0005-0000-0000-00000FD70000}"/>
    <cellStyle name="Nuovo 12" xfId="673" xr:uid="{00000000-0005-0000-0000-000010D70000}"/>
    <cellStyle name="Nuovo 12 2" xfId="674" xr:uid="{00000000-0005-0000-0000-000011D70000}"/>
    <cellStyle name="Nuovo 12 2 2" xfId="1403" xr:uid="{00000000-0005-0000-0000-000012D70000}"/>
    <cellStyle name="Nuovo 12 3" xfId="675" xr:uid="{00000000-0005-0000-0000-000013D70000}"/>
    <cellStyle name="Nuovo 12 3 2" xfId="676" xr:uid="{00000000-0005-0000-0000-000014D70000}"/>
    <cellStyle name="Nuovo 12 3 3" xfId="17456" xr:uid="{00000000-0005-0000-0000-000015D70000}"/>
    <cellStyle name="Nuovo 12 3 3 2" xfId="18468" xr:uid="{00000000-0005-0000-0000-000016D70000}"/>
    <cellStyle name="Nuovo 12 3 4" xfId="18467" xr:uid="{00000000-0005-0000-0000-000017D70000}"/>
    <cellStyle name="Nuovo 12 3 5" xfId="17455" xr:uid="{00000000-0005-0000-0000-000018D70000}"/>
    <cellStyle name="Nuovo 12 4" xfId="9429" xr:uid="{00000000-0005-0000-0000-000019D70000}"/>
    <cellStyle name="Nuovo 12 4 2" xfId="17458" xr:uid="{00000000-0005-0000-0000-00001AD70000}"/>
    <cellStyle name="Nuovo 12 4 2 2" xfId="18470" xr:uid="{00000000-0005-0000-0000-00001BD70000}"/>
    <cellStyle name="Nuovo 12 4 3" xfId="18469" xr:uid="{00000000-0005-0000-0000-00001CD70000}"/>
    <cellStyle name="Nuovo 12 4 4" xfId="17457" xr:uid="{00000000-0005-0000-0000-00001DD70000}"/>
    <cellStyle name="Nuovo 12 5" xfId="9430" xr:uid="{00000000-0005-0000-0000-00001ED70000}"/>
    <cellStyle name="Nuovo 12 6" xfId="51156" xr:uid="{00000000-0005-0000-0000-00001FD70000}"/>
    <cellStyle name="Nuovo 13" xfId="677" xr:uid="{00000000-0005-0000-0000-000020D70000}"/>
    <cellStyle name="Nuovo 13 2" xfId="678" xr:uid="{00000000-0005-0000-0000-000021D70000}"/>
    <cellStyle name="Nuovo 13 2 2" xfId="1404" xr:uid="{00000000-0005-0000-0000-000022D70000}"/>
    <cellStyle name="Nuovo 13 3" xfId="679" xr:uid="{00000000-0005-0000-0000-000023D70000}"/>
    <cellStyle name="Nuovo 13 3 2" xfId="680" xr:uid="{00000000-0005-0000-0000-000024D70000}"/>
    <cellStyle name="Nuovo 13 3 3" xfId="17460" xr:uid="{00000000-0005-0000-0000-000025D70000}"/>
    <cellStyle name="Nuovo 13 3 3 2" xfId="18472" xr:uid="{00000000-0005-0000-0000-000026D70000}"/>
    <cellStyle name="Nuovo 13 3 4" xfId="18471" xr:uid="{00000000-0005-0000-0000-000027D70000}"/>
    <cellStyle name="Nuovo 13 3 5" xfId="17459" xr:uid="{00000000-0005-0000-0000-000028D70000}"/>
    <cellStyle name="Nuovo 13 4" xfId="9431" xr:uid="{00000000-0005-0000-0000-000029D70000}"/>
    <cellStyle name="Nuovo 13 4 2" xfId="17462" xr:uid="{00000000-0005-0000-0000-00002AD70000}"/>
    <cellStyle name="Nuovo 13 4 2 2" xfId="18474" xr:uid="{00000000-0005-0000-0000-00002BD70000}"/>
    <cellStyle name="Nuovo 13 4 3" xfId="18473" xr:uid="{00000000-0005-0000-0000-00002CD70000}"/>
    <cellStyle name="Nuovo 13 4 4" xfId="17461" xr:uid="{00000000-0005-0000-0000-00002DD70000}"/>
    <cellStyle name="Nuovo 13 5" xfId="9432" xr:uid="{00000000-0005-0000-0000-00002ED70000}"/>
    <cellStyle name="Nuovo 13 6" xfId="51239" xr:uid="{00000000-0005-0000-0000-00002FD70000}"/>
    <cellStyle name="Nuovo 14" xfId="681" xr:uid="{00000000-0005-0000-0000-000030D70000}"/>
    <cellStyle name="Nuovo 14 2" xfId="682" xr:uid="{00000000-0005-0000-0000-000031D70000}"/>
    <cellStyle name="Nuovo 14 2 2" xfId="1405" xr:uid="{00000000-0005-0000-0000-000032D70000}"/>
    <cellStyle name="Nuovo 14 3" xfId="683" xr:uid="{00000000-0005-0000-0000-000033D70000}"/>
    <cellStyle name="Nuovo 14 3 2" xfId="684" xr:uid="{00000000-0005-0000-0000-000034D70000}"/>
    <cellStyle name="Nuovo 14 3 3" xfId="17464" xr:uid="{00000000-0005-0000-0000-000035D70000}"/>
    <cellStyle name="Nuovo 14 3 3 2" xfId="18476" xr:uid="{00000000-0005-0000-0000-000036D70000}"/>
    <cellStyle name="Nuovo 14 3 4" xfId="18475" xr:uid="{00000000-0005-0000-0000-000037D70000}"/>
    <cellStyle name="Nuovo 14 3 5" xfId="17463" xr:uid="{00000000-0005-0000-0000-000038D70000}"/>
    <cellStyle name="Nuovo 14 4" xfId="9433" xr:uid="{00000000-0005-0000-0000-000039D70000}"/>
    <cellStyle name="Nuovo 14 4 2" xfId="17466" xr:uid="{00000000-0005-0000-0000-00003AD70000}"/>
    <cellStyle name="Nuovo 14 4 2 2" xfId="18478" xr:uid="{00000000-0005-0000-0000-00003BD70000}"/>
    <cellStyle name="Nuovo 14 4 3" xfId="18477" xr:uid="{00000000-0005-0000-0000-00003CD70000}"/>
    <cellStyle name="Nuovo 14 4 4" xfId="17465" xr:uid="{00000000-0005-0000-0000-00003DD70000}"/>
    <cellStyle name="Nuovo 14 5" xfId="9434" xr:uid="{00000000-0005-0000-0000-00003ED70000}"/>
    <cellStyle name="Nuovo 14 6" xfId="50581" xr:uid="{00000000-0005-0000-0000-00003FD70000}"/>
    <cellStyle name="Nuovo 15" xfId="685" xr:uid="{00000000-0005-0000-0000-000040D70000}"/>
    <cellStyle name="Nuovo 15 2" xfId="686" xr:uid="{00000000-0005-0000-0000-000041D70000}"/>
    <cellStyle name="Nuovo 15 2 2" xfId="1406" xr:uid="{00000000-0005-0000-0000-000042D70000}"/>
    <cellStyle name="Nuovo 15 3" xfId="687" xr:uid="{00000000-0005-0000-0000-000043D70000}"/>
    <cellStyle name="Nuovo 15 3 2" xfId="688" xr:uid="{00000000-0005-0000-0000-000044D70000}"/>
    <cellStyle name="Nuovo 15 3 3" xfId="17468" xr:uid="{00000000-0005-0000-0000-000045D70000}"/>
    <cellStyle name="Nuovo 15 3 3 2" xfId="18480" xr:uid="{00000000-0005-0000-0000-000046D70000}"/>
    <cellStyle name="Nuovo 15 3 4" xfId="18479" xr:uid="{00000000-0005-0000-0000-000047D70000}"/>
    <cellStyle name="Nuovo 15 3 5" xfId="17467" xr:uid="{00000000-0005-0000-0000-000048D70000}"/>
    <cellStyle name="Nuovo 15 4" xfId="9435" xr:uid="{00000000-0005-0000-0000-000049D70000}"/>
    <cellStyle name="Nuovo 15 4 2" xfId="17470" xr:uid="{00000000-0005-0000-0000-00004AD70000}"/>
    <cellStyle name="Nuovo 15 4 2 2" xfId="18482" xr:uid="{00000000-0005-0000-0000-00004BD70000}"/>
    <cellStyle name="Nuovo 15 4 3" xfId="18481" xr:uid="{00000000-0005-0000-0000-00004CD70000}"/>
    <cellStyle name="Nuovo 15 4 4" xfId="17469" xr:uid="{00000000-0005-0000-0000-00004DD70000}"/>
    <cellStyle name="Nuovo 15 5" xfId="9436" xr:uid="{00000000-0005-0000-0000-00004ED70000}"/>
    <cellStyle name="Nuovo 15 6" xfId="50580" xr:uid="{00000000-0005-0000-0000-00004FD70000}"/>
    <cellStyle name="Nuovo 16" xfId="689" xr:uid="{00000000-0005-0000-0000-000050D70000}"/>
    <cellStyle name="Nuovo 16 2" xfId="690" xr:uid="{00000000-0005-0000-0000-000051D70000}"/>
    <cellStyle name="Nuovo 16 2 2" xfId="1407" xr:uid="{00000000-0005-0000-0000-000052D70000}"/>
    <cellStyle name="Nuovo 16 3" xfId="691" xr:uid="{00000000-0005-0000-0000-000053D70000}"/>
    <cellStyle name="Nuovo 16 3 2" xfId="692" xr:uid="{00000000-0005-0000-0000-000054D70000}"/>
    <cellStyle name="Nuovo 16 3 3" xfId="17472" xr:uid="{00000000-0005-0000-0000-000055D70000}"/>
    <cellStyle name="Nuovo 16 3 3 2" xfId="18484" xr:uid="{00000000-0005-0000-0000-000056D70000}"/>
    <cellStyle name="Nuovo 16 3 4" xfId="18483" xr:uid="{00000000-0005-0000-0000-000057D70000}"/>
    <cellStyle name="Nuovo 16 3 5" xfId="17471" xr:uid="{00000000-0005-0000-0000-000058D70000}"/>
    <cellStyle name="Nuovo 16 4" xfId="9437" xr:uid="{00000000-0005-0000-0000-000059D70000}"/>
    <cellStyle name="Nuovo 16 4 2" xfId="17474" xr:uid="{00000000-0005-0000-0000-00005AD70000}"/>
    <cellStyle name="Nuovo 16 4 2 2" xfId="18486" xr:uid="{00000000-0005-0000-0000-00005BD70000}"/>
    <cellStyle name="Nuovo 16 4 3" xfId="18485" xr:uid="{00000000-0005-0000-0000-00005CD70000}"/>
    <cellStyle name="Nuovo 16 4 4" xfId="17473" xr:uid="{00000000-0005-0000-0000-00005DD70000}"/>
    <cellStyle name="Nuovo 16 5" xfId="9438" xr:uid="{00000000-0005-0000-0000-00005ED70000}"/>
    <cellStyle name="Nuovo 16 6" xfId="50579" xr:uid="{00000000-0005-0000-0000-00005FD70000}"/>
    <cellStyle name="Nuovo 17" xfId="693" xr:uid="{00000000-0005-0000-0000-000060D70000}"/>
    <cellStyle name="Nuovo 17 2" xfId="694" xr:uid="{00000000-0005-0000-0000-000061D70000}"/>
    <cellStyle name="Nuovo 17 2 2" xfId="1408" xr:uid="{00000000-0005-0000-0000-000062D70000}"/>
    <cellStyle name="Nuovo 17 3" xfId="695" xr:uid="{00000000-0005-0000-0000-000063D70000}"/>
    <cellStyle name="Nuovo 17 3 2" xfId="696" xr:uid="{00000000-0005-0000-0000-000064D70000}"/>
    <cellStyle name="Nuovo 17 3 3" xfId="17476" xr:uid="{00000000-0005-0000-0000-000065D70000}"/>
    <cellStyle name="Nuovo 17 3 3 2" xfId="18488" xr:uid="{00000000-0005-0000-0000-000066D70000}"/>
    <cellStyle name="Nuovo 17 3 4" xfId="18487" xr:uid="{00000000-0005-0000-0000-000067D70000}"/>
    <cellStyle name="Nuovo 17 3 5" xfId="17475" xr:uid="{00000000-0005-0000-0000-000068D70000}"/>
    <cellStyle name="Nuovo 17 4" xfId="9439" xr:uid="{00000000-0005-0000-0000-000069D70000}"/>
    <cellStyle name="Nuovo 17 4 2" xfId="17478" xr:uid="{00000000-0005-0000-0000-00006AD70000}"/>
    <cellStyle name="Nuovo 17 4 2 2" xfId="18490" xr:uid="{00000000-0005-0000-0000-00006BD70000}"/>
    <cellStyle name="Nuovo 17 4 3" xfId="18489" xr:uid="{00000000-0005-0000-0000-00006CD70000}"/>
    <cellStyle name="Nuovo 17 4 4" xfId="17477" xr:uid="{00000000-0005-0000-0000-00006DD70000}"/>
    <cellStyle name="Nuovo 17 5" xfId="9440" xr:uid="{00000000-0005-0000-0000-00006ED70000}"/>
    <cellStyle name="Nuovo 17 6" xfId="50578" xr:uid="{00000000-0005-0000-0000-00006FD70000}"/>
    <cellStyle name="Nuovo 18" xfId="697" xr:uid="{00000000-0005-0000-0000-000070D70000}"/>
    <cellStyle name="Nuovo 18 2" xfId="698" xr:uid="{00000000-0005-0000-0000-000071D70000}"/>
    <cellStyle name="Nuovo 18 2 2" xfId="1409" xr:uid="{00000000-0005-0000-0000-000072D70000}"/>
    <cellStyle name="Nuovo 18 3" xfId="699" xr:uid="{00000000-0005-0000-0000-000073D70000}"/>
    <cellStyle name="Nuovo 18 3 2" xfId="700" xr:uid="{00000000-0005-0000-0000-000074D70000}"/>
    <cellStyle name="Nuovo 18 3 3" xfId="17480" xr:uid="{00000000-0005-0000-0000-000075D70000}"/>
    <cellStyle name="Nuovo 18 3 3 2" xfId="18492" xr:uid="{00000000-0005-0000-0000-000076D70000}"/>
    <cellStyle name="Nuovo 18 3 4" xfId="18491" xr:uid="{00000000-0005-0000-0000-000077D70000}"/>
    <cellStyle name="Nuovo 18 3 5" xfId="17479" xr:uid="{00000000-0005-0000-0000-000078D70000}"/>
    <cellStyle name="Nuovo 18 4" xfId="9441" xr:uid="{00000000-0005-0000-0000-000079D70000}"/>
    <cellStyle name="Nuovo 18 4 2" xfId="17482" xr:uid="{00000000-0005-0000-0000-00007AD70000}"/>
    <cellStyle name="Nuovo 18 4 2 2" xfId="18494" xr:uid="{00000000-0005-0000-0000-00007BD70000}"/>
    <cellStyle name="Nuovo 18 4 3" xfId="18493" xr:uid="{00000000-0005-0000-0000-00007CD70000}"/>
    <cellStyle name="Nuovo 18 4 4" xfId="17481" xr:uid="{00000000-0005-0000-0000-00007DD70000}"/>
    <cellStyle name="Nuovo 18 5" xfId="9442" xr:uid="{00000000-0005-0000-0000-00007ED70000}"/>
    <cellStyle name="Nuovo 18 6" xfId="50577" xr:uid="{00000000-0005-0000-0000-00007FD70000}"/>
    <cellStyle name="Nuovo 19" xfId="701" xr:uid="{00000000-0005-0000-0000-000080D70000}"/>
    <cellStyle name="Nuovo 19 2" xfId="702" xr:uid="{00000000-0005-0000-0000-000081D70000}"/>
    <cellStyle name="Nuovo 19 2 2" xfId="1410" xr:uid="{00000000-0005-0000-0000-000082D70000}"/>
    <cellStyle name="Nuovo 19 3" xfId="703" xr:uid="{00000000-0005-0000-0000-000083D70000}"/>
    <cellStyle name="Nuovo 19 3 2" xfId="704" xr:uid="{00000000-0005-0000-0000-000084D70000}"/>
    <cellStyle name="Nuovo 19 3 3" xfId="17484" xr:uid="{00000000-0005-0000-0000-000085D70000}"/>
    <cellStyle name="Nuovo 19 3 3 2" xfId="18496" xr:uid="{00000000-0005-0000-0000-000086D70000}"/>
    <cellStyle name="Nuovo 19 3 4" xfId="18495" xr:uid="{00000000-0005-0000-0000-000087D70000}"/>
    <cellStyle name="Nuovo 19 3 5" xfId="17483" xr:uid="{00000000-0005-0000-0000-000088D70000}"/>
    <cellStyle name="Nuovo 19 4" xfId="9443" xr:uid="{00000000-0005-0000-0000-000089D70000}"/>
    <cellStyle name="Nuovo 19 4 2" xfId="17486" xr:uid="{00000000-0005-0000-0000-00008AD70000}"/>
    <cellStyle name="Nuovo 19 4 2 2" xfId="18498" xr:uid="{00000000-0005-0000-0000-00008BD70000}"/>
    <cellStyle name="Nuovo 19 4 3" xfId="18497" xr:uid="{00000000-0005-0000-0000-00008CD70000}"/>
    <cellStyle name="Nuovo 19 4 4" xfId="17485" xr:uid="{00000000-0005-0000-0000-00008DD70000}"/>
    <cellStyle name="Nuovo 19 5" xfId="9444" xr:uid="{00000000-0005-0000-0000-00008ED70000}"/>
    <cellStyle name="Nuovo 19 6" xfId="50576" xr:uid="{00000000-0005-0000-0000-00008FD70000}"/>
    <cellStyle name="Nuovo 2" xfId="705" xr:uid="{00000000-0005-0000-0000-000090D70000}"/>
    <cellStyle name="Nuovo 2 2" xfId="706" xr:uid="{00000000-0005-0000-0000-000091D70000}"/>
    <cellStyle name="Nuovo 2 2 2" xfId="1411" xr:uid="{00000000-0005-0000-0000-000092D70000}"/>
    <cellStyle name="Nuovo 2 3" xfId="707" xr:uid="{00000000-0005-0000-0000-000093D70000}"/>
    <cellStyle name="Nuovo 2 3 2" xfId="708" xr:uid="{00000000-0005-0000-0000-000094D70000}"/>
    <cellStyle name="Nuovo 2 3 3" xfId="17488" xr:uid="{00000000-0005-0000-0000-000095D70000}"/>
    <cellStyle name="Nuovo 2 3 3 2" xfId="18500" xr:uid="{00000000-0005-0000-0000-000096D70000}"/>
    <cellStyle name="Nuovo 2 3 4" xfId="18499" xr:uid="{00000000-0005-0000-0000-000097D70000}"/>
    <cellStyle name="Nuovo 2 3 5" xfId="17487" xr:uid="{00000000-0005-0000-0000-000098D70000}"/>
    <cellStyle name="Nuovo 2 4" xfId="9445" xr:uid="{00000000-0005-0000-0000-000099D70000}"/>
    <cellStyle name="Nuovo 2 4 2" xfId="17490" xr:uid="{00000000-0005-0000-0000-00009AD70000}"/>
    <cellStyle name="Nuovo 2 4 2 2" xfId="18502" xr:uid="{00000000-0005-0000-0000-00009BD70000}"/>
    <cellStyle name="Nuovo 2 4 3" xfId="18501" xr:uid="{00000000-0005-0000-0000-00009CD70000}"/>
    <cellStyle name="Nuovo 2 4 4" xfId="17489" xr:uid="{00000000-0005-0000-0000-00009DD70000}"/>
    <cellStyle name="Nuovo 2 5" xfId="9446" xr:uid="{00000000-0005-0000-0000-00009ED70000}"/>
    <cellStyle name="Nuovo 2 6" xfId="51240" xr:uid="{00000000-0005-0000-0000-00009FD70000}"/>
    <cellStyle name="Nuovo 20" xfId="709" xr:uid="{00000000-0005-0000-0000-0000A0D70000}"/>
    <cellStyle name="Nuovo 20 2" xfId="710" xr:uid="{00000000-0005-0000-0000-0000A1D70000}"/>
    <cellStyle name="Nuovo 20 2 2" xfId="1412" xr:uid="{00000000-0005-0000-0000-0000A2D70000}"/>
    <cellStyle name="Nuovo 20 3" xfId="711" xr:uid="{00000000-0005-0000-0000-0000A3D70000}"/>
    <cellStyle name="Nuovo 20 3 2" xfId="712" xr:uid="{00000000-0005-0000-0000-0000A4D70000}"/>
    <cellStyle name="Nuovo 20 3 3" xfId="17492" xr:uid="{00000000-0005-0000-0000-0000A5D70000}"/>
    <cellStyle name="Nuovo 20 3 3 2" xfId="18504" xr:uid="{00000000-0005-0000-0000-0000A6D70000}"/>
    <cellStyle name="Nuovo 20 3 4" xfId="18503" xr:uid="{00000000-0005-0000-0000-0000A7D70000}"/>
    <cellStyle name="Nuovo 20 3 5" xfId="17491" xr:uid="{00000000-0005-0000-0000-0000A8D70000}"/>
    <cellStyle name="Nuovo 20 4" xfId="9447" xr:uid="{00000000-0005-0000-0000-0000A9D70000}"/>
    <cellStyle name="Nuovo 20 4 2" xfId="17494" xr:uid="{00000000-0005-0000-0000-0000AAD70000}"/>
    <cellStyle name="Nuovo 20 4 2 2" xfId="18506" xr:uid="{00000000-0005-0000-0000-0000ABD70000}"/>
    <cellStyle name="Nuovo 20 4 3" xfId="18505" xr:uid="{00000000-0005-0000-0000-0000ACD70000}"/>
    <cellStyle name="Nuovo 20 4 4" xfId="17493" xr:uid="{00000000-0005-0000-0000-0000ADD70000}"/>
    <cellStyle name="Nuovo 20 5" xfId="9448" xr:uid="{00000000-0005-0000-0000-0000AED70000}"/>
    <cellStyle name="Nuovo 20 6" xfId="51035" xr:uid="{00000000-0005-0000-0000-0000AFD70000}"/>
    <cellStyle name="Nuovo 21" xfId="713" xr:uid="{00000000-0005-0000-0000-0000B0D70000}"/>
    <cellStyle name="Nuovo 21 2" xfId="714" xr:uid="{00000000-0005-0000-0000-0000B1D70000}"/>
    <cellStyle name="Nuovo 21 2 2" xfId="1413" xr:uid="{00000000-0005-0000-0000-0000B2D70000}"/>
    <cellStyle name="Nuovo 21 3" xfId="715" xr:uid="{00000000-0005-0000-0000-0000B3D70000}"/>
    <cellStyle name="Nuovo 21 3 2" xfId="716" xr:uid="{00000000-0005-0000-0000-0000B4D70000}"/>
    <cellStyle name="Nuovo 21 3 3" xfId="17496" xr:uid="{00000000-0005-0000-0000-0000B5D70000}"/>
    <cellStyle name="Nuovo 21 3 3 2" xfId="18508" xr:uid="{00000000-0005-0000-0000-0000B6D70000}"/>
    <cellStyle name="Nuovo 21 3 4" xfId="18507" xr:uid="{00000000-0005-0000-0000-0000B7D70000}"/>
    <cellStyle name="Nuovo 21 3 5" xfId="17495" xr:uid="{00000000-0005-0000-0000-0000B8D70000}"/>
    <cellStyle name="Nuovo 21 4" xfId="9449" xr:uid="{00000000-0005-0000-0000-0000B9D70000}"/>
    <cellStyle name="Nuovo 21 4 2" xfId="17498" xr:uid="{00000000-0005-0000-0000-0000BAD70000}"/>
    <cellStyle name="Nuovo 21 4 2 2" xfId="18510" xr:uid="{00000000-0005-0000-0000-0000BBD70000}"/>
    <cellStyle name="Nuovo 21 4 3" xfId="18509" xr:uid="{00000000-0005-0000-0000-0000BCD70000}"/>
    <cellStyle name="Nuovo 21 4 4" xfId="17497" xr:uid="{00000000-0005-0000-0000-0000BDD70000}"/>
    <cellStyle name="Nuovo 21 5" xfId="9450" xr:uid="{00000000-0005-0000-0000-0000BED70000}"/>
    <cellStyle name="Nuovo 21 6" xfId="50575" xr:uid="{00000000-0005-0000-0000-0000BFD70000}"/>
    <cellStyle name="Nuovo 22" xfId="717" xr:uid="{00000000-0005-0000-0000-0000C0D70000}"/>
    <cellStyle name="Nuovo 22 2" xfId="718" xr:uid="{00000000-0005-0000-0000-0000C1D70000}"/>
    <cellStyle name="Nuovo 22 2 2" xfId="1414" xr:uid="{00000000-0005-0000-0000-0000C2D70000}"/>
    <cellStyle name="Nuovo 22 3" xfId="719" xr:uid="{00000000-0005-0000-0000-0000C3D70000}"/>
    <cellStyle name="Nuovo 22 3 2" xfId="720" xr:uid="{00000000-0005-0000-0000-0000C4D70000}"/>
    <cellStyle name="Nuovo 22 3 3" xfId="17500" xr:uid="{00000000-0005-0000-0000-0000C5D70000}"/>
    <cellStyle name="Nuovo 22 3 3 2" xfId="18512" xr:uid="{00000000-0005-0000-0000-0000C6D70000}"/>
    <cellStyle name="Nuovo 22 3 4" xfId="18511" xr:uid="{00000000-0005-0000-0000-0000C7D70000}"/>
    <cellStyle name="Nuovo 22 3 5" xfId="17499" xr:uid="{00000000-0005-0000-0000-0000C8D70000}"/>
    <cellStyle name="Nuovo 22 4" xfId="9451" xr:uid="{00000000-0005-0000-0000-0000C9D70000}"/>
    <cellStyle name="Nuovo 22 4 2" xfId="17502" xr:uid="{00000000-0005-0000-0000-0000CAD70000}"/>
    <cellStyle name="Nuovo 22 4 2 2" xfId="18514" xr:uid="{00000000-0005-0000-0000-0000CBD70000}"/>
    <cellStyle name="Nuovo 22 4 3" xfId="18513" xr:uid="{00000000-0005-0000-0000-0000CCD70000}"/>
    <cellStyle name="Nuovo 22 4 4" xfId="17501" xr:uid="{00000000-0005-0000-0000-0000CDD70000}"/>
    <cellStyle name="Nuovo 22 5" xfId="9452" xr:uid="{00000000-0005-0000-0000-0000CED70000}"/>
    <cellStyle name="Nuovo 22 6" xfId="50574" xr:uid="{00000000-0005-0000-0000-0000CFD70000}"/>
    <cellStyle name="Nuovo 23" xfId="721" xr:uid="{00000000-0005-0000-0000-0000D0D70000}"/>
    <cellStyle name="Nuovo 23 2" xfId="722" xr:uid="{00000000-0005-0000-0000-0000D1D70000}"/>
    <cellStyle name="Nuovo 23 2 2" xfId="1415" xr:uid="{00000000-0005-0000-0000-0000D2D70000}"/>
    <cellStyle name="Nuovo 23 3" xfId="723" xr:uid="{00000000-0005-0000-0000-0000D3D70000}"/>
    <cellStyle name="Nuovo 23 3 2" xfId="724" xr:uid="{00000000-0005-0000-0000-0000D4D70000}"/>
    <cellStyle name="Nuovo 23 3 3" xfId="17504" xr:uid="{00000000-0005-0000-0000-0000D5D70000}"/>
    <cellStyle name="Nuovo 23 3 3 2" xfId="18516" xr:uid="{00000000-0005-0000-0000-0000D6D70000}"/>
    <cellStyle name="Nuovo 23 3 4" xfId="18515" xr:uid="{00000000-0005-0000-0000-0000D7D70000}"/>
    <cellStyle name="Nuovo 23 3 5" xfId="17503" xr:uid="{00000000-0005-0000-0000-0000D8D70000}"/>
    <cellStyle name="Nuovo 23 4" xfId="9453" xr:uid="{00000000-0005-0000-0000-0000D9D70000}"/>
    <cellStyle name="Nuovo 23 4 2" xfId="17506" xr:uid="{00000000-0005-0000-0000-0000DAD70000}"/>
    <cellStyle name="Nuovo 23 4 2 2" xfId="18518" xr:uid="{00000000-0005-0000-0000-0000DBD70000}"/>
    <cellStyle name="Nuovo 23 4 3" xfId="18517" xr:uid="{00000000-0005-0000-0000-0000DCD70000}"/>
    <cellStyle name="Nuovo 23 4 4" xfId="17505" xr:uid="{00000000-0005-0000-0000-0000DDD70000}"/>
    <cellStyle name="Nuovo 23 5" xfId="9454" xr:uid="{00000000-0005-0000-0000-0000DED70000}"/>
    <cellStyle name="Nuovo 23 6" xfId="50573" xr:uid="{00000000-0005-0000-0000-0000DFD70000}"/>
    <cellStyle name="Nuovo 24" xfId="725" xr:uid="{00000000-0005-0000-0000-0000E0D70000}"/>
    <cellStyle name="Nuovo 24 2" xfId="726" xr:uid="{00000000-0005-0000-0000-0000E1D70000}"/>
    <cellStyle name="Nuovo 24 2 2" xfId="1416" xr:uid="{00000000-0005-0000-0000-0000E2D70000}"/>
    <cellStyle name="Nuovo 24 3" xfId="727" xr:uid="{00000000-0005-0000-0000-0000E3D70000}"/>
    <cellStyle name="Nuovo 24 3 2" xfId="728" xr:uid="{00000000-0005-0000-0000-0000E4D70000}"/>
    <cellStyle name="Nuovo 24 3 3" xfId="17508" xr:uid="{00000000-0005-0000-0000-0000E5D70000}"/>
    <cellStyle name="Nuovo 24 3 3 2" xfId="18520" xr:uid="{00000000-0005-0000-0000-0000E6D70000}"/>
    <cellStyle name="Nuovo 24 3 4" xfId="18519" xr:uid="{00000000-0005-0000-0000-0000E7D70000}"/>
    <cellStyle name="Nuovo 24 3 5" xfId="17507" xr:uid="{00000000-0005-0000-0000-0000E8D70000}"/>
    <cellStyle name="Nuovo 24 4" xfId="9455" xr:uid="{00000000-0005-0000-0000-0000E9D70000}"/>
    <cellStyle name="Nuovo 24 4 2" xfId="17510" xr:uid="{00000000-0005-0000-0000-0000EAD70000}"/>
    <cellStyle name="Nuovo 24 4 2 2" xfId="18522" xr:uid="{00000000-0005-0000-0000-0000EBD70000}"/>
    <cellStyle name="Nuovo 24 4 3" xfId="18521" xr:uid="{00000000-0005-0000-0000-0000ECD70000}"/>
    <cellStyle name="Nuovo 24 4 4" xfId="17509" xr:uid="{00000000-0005-0000-0000-0000EDD70000}"/>
    <cellStyle name="Nuovo 24 5" xfId="9456" xr:uid="{00000000-0005-0000-0000-0000EED70000}"/>
    <cellStyle name="Nuovo 24 6" xfId="50959" xr:uid="{00000000-0005-0000-0000-0000EFD70000}"/>
    <cellStyle name="Nuovo 25" xfId="729" xr:uid="{00000000-0005-0000-0000-0000F0D70000}"/>
    <cellStyle name="Nuovo 25 2" xfId="730" xr:uid="{00000000-0005-0000-0000-0000F1D70000}"/>
    <cellStyle name="Nuovo 25 2 2" xfId="1417" xr:uid="{00000000-0005-0000-0000-0000F2D70000}"/>
    <cellStyle name="Nuovo 25 3" xfId="731" xr:uid="{00000000-0005-0000-0000-0000F3D70000}"/>
    <cellStyle name="Nuovo 25 3 2" xfId="732" xr:uid="{00000000-0005-0000-0000-0000F4D70000}"/>
    <cellStyle name="Nuovo 25 3 3" xfId="17512" xr:uid="{00000000-0005-0000-0000-0000F5D70000}"/>
    <cellStyle name="Nuovo 25 3 3 2" xfId="18524" xr:uid="{00000000-0005-0000-0000-0000F6D70000}"/>
    <cellStyle name="Nuovo 25 3 4" xfId="18523" xr:uid="{00000000-0005-0000-0000-0000F7D70000}"/>
    <cellStyle name="Nuovo 25 3 5" xfId="17511" xr:uid="{00000000-0005-0000-0000-0000F8D70000}"/>
    <cellStyle name="Nuovo 25 4" xfId="9457" xr:uid="{00000000-0005-0000-0000-0000F9D70000}"/>
    <cellStyle name="Nuovo 25 4 2" xfId="17514" xr:uid="{00000000-0005-0000-0000-0000FAD70000}"/>
    <cellStyle name="Nuovo 25 4 2 2" xfId="18526" xr:uid="{00000000-0005-0000-0000-0000FBD70000}"/>
    <cellStyle name="Nuovo 25 4 3" xfId="18525" xr:uid="{00000000-0005-0000-0000-0000FCD70000}"/>
    <cellStyle name="Nuovo 25 4 4" xfId="17513" xr:uid="{00000000-0005-0000-0000-0000FDD70000}"/>
    <cellStyle name="Nuovo 25 5" xfId="9458" xr:uid="{00000000-0005-0000-0000-0000FED70000}"/>
    <cellStyle name="Nuovo 25 6" xfId="50572" xr:uid="{00000000-0005-0000-0000-0000FFD70000}"/>
    <cellStyle name="Nuovo 26" xfId="733" xr:uid="{00000000-0005-0000-0000-000000D80000}"/>
    <cellStyle name="Nuovo 26 2" xfId="734" xr:uid="{00000000-0005-0000-0000-000001D80000}"/>
    <cellStyle name="Nuovo 26 2 2" xfId="1418" xr:uid="{00000000-0005-0000-0000-000002D80000}"/>
    <cellStyle name="Nuovo 26 3" xfId="735" xr:uid="{00000000-0005-0000-0000-000003D80000}"/>
    <cellStyle name="Nuovo 26 3 2" xfId="736" xr:uid="{00000000-0005-0000-0000-000004D80000}"/>
    <cellStyle name="Nuovo 26 3 3" xfId="17516" xr:uid="{00000000-0005-0000-0000-000005D80000}"/>
    <cellStyle name="Nuovo 26 3 3 2" xfId="18528" xr:uid="{00000000-0005-0000-0000-000006D80000}"/>
    <cellStyle name="Nuovo 26 3 4" xfId="18527" xr:uid="{00000000-0005-0000-0000-000007D80000}"/>
    <cellStyle name="Nuovo 26 3 5" xfId="17515" xr:uid="{00000000-0005-0000-0000-000008D80000}"/>
    <cellStyle name="Nuovo 26 4" xfId="9459" xr:uid="{00000000-0005-0000-0000-000009D80000}"/>
    <cellStyle name="Nuovo 26 4 2" xfId="17518" xr:uid="{00000000-0005-0000-0000-00000AD80000}"/>
    <cellStyle name="Nuovo 26 4 2 2" xfId="18530" xr:uid="{00000000-0005-0000-0000-00000BD80000}"/>
    <cellStyle name="Nuovo 26 4 3" xfId="18529" xr:uid="{00000000-0005-0000-0000-00000CD80000}"/>
    <cellStyle name="Nuovo 26 4 4" xfId="17517" xr:uid="{00000000-0005-0000-0000-00000DD80000}"/>
    <cellStyle name="Nuovo 26 5" xfId="9460" xr:uid="{00000000-0005-0000-0000-00000ED80000}"/>
    <cellStyle name="Nuovo 26 6" xfId="50951" xr:uid="{00000000-0005-0000-0000-00000FD80000}"/>
    <cellStyle name="Nuovo 27" xfId="737" xr:uid="{00000000-0005-0000-0000-000010D80000}"/>
    <cellStyle name="Nuovo 27 2" xfId="738" xr:uid="{00000000-0005-0000-0000-000011D80000}"/>
    <cellStyle name="Nuovo 27 2 2" xfId="1419" xr:uid="{00000000-0005-0000-0000-000012D80000}"/>
    <cellStyle name="Nuovo 27 3" xfId="739" xr:uid="{00000000-0005-0000-0000-000013D80000}"/>
    <cellStyle name="Nuovo 27 3 2" xfId="740" xr:uid="{00000000-0005-0000-0000-000014D80000}"/>
    <cellStyle name="Nuovo 27 3 3" xfId="17520" xr:uid="{00000000-0005-0000-0000-000015D80000}"/>
    <cellStyle name="Nuovo 27 3 3 2" xfId="18532" xr:uid="{00000000-0005-0000-0000-000016D80000}"/>
    <cellStyle name="Nuovo 27 3 4" xfId="18531" xr:uid="{00000000-0005-0000-0000-000017D80000}"/>
    <cellStyle name="Nuovo 27 3 5" xfId="17519" xr:uid="{00000000-0005-0000-0000-000018D80000}"/>
    <cellStyle name="Nuovo 27 4" xfId="9461" xr:uid="{00000000-0005-0000-0000-000019D80000}"/>
    <cellStyle name="Nuovo 27 4 2" xfId="17522" xr:uid="{00000000-0005-0000-0000-00001AD80000}"/>
    <cellStyle name="Nuovo 27 4 2 2" xfId="18534" xr:uid="{00000000-0005-0000-0000-00001BD80000}"/>
    <cellStyle name="Nuovo 27 4 3" xfId="18533" xr:uid="{00000000-0005-0000-0000-00001CD80000}"/>
    <cellStyle name="Nuovo 27 4 4" xfId="17521" xr:uid="{00000000-0005-0000-0000-00001DD80000}"/>
    <cellStyle name="Nuovo 27 5" xfId="9462" xr:uid="{00000000-0005-0000-0000-00001ED80000}"/>
    <cellStyle name="Nuovo 27 6" xfId="50571" xr:uid="{00000000-0005-0000-0000-00001FD80000}"/>
    <cellStyle name="Nuovo 28" xfId="741" xr:uid="{00000000-0005-0000-0000-000020D80000}"/>
    <cellStyle name="Nuovo 28 2" xfId="742" xr:uid="{00000000-0005-0000-0000-000021D80000}"/>
    <cellStyle name="Nuovo 28 2 2" xfId="1420" xr:uid="{00000000-0005-0000-0000-000022D80000}"/>
    <cellStyle name="Nuovo 28 3" xfId="743" xr:uid="{00000000-0005-0000-0000-000023D80000}"/>
    <cellStyle name="Nuovo 28 3 2" xfId="744" xr:uid="{00000000-0005-0000-0000-000024D80000}"/>
    <cellStyle name="Nuovo 28 3 3" xfId="17524" xr:uid="{00000000-0005-0000-0000-000025D80000}"/>
    <cellStyle name="Nuovo 28 3 3 2" xfId="18536" xr:uid="{00000000-0005-0000-0000-000026D80000}"/>
    <cellStyle name="Nuovo 28 3 4" xfId="18535" xr:uid="{00000000-0005-0000-0000-000027D80000}"/>
    <cellStyle name="Nuovo 28 3 5" xfId="17523" xr:uid="{00000000-0005-0000-0000-000028D80000}"/>
    <cellStyle name="Nuovo 28 4" xfId="9463" xr:uid="{00000000-0005-0000-0000-000029D80000}"/>
    <cellStyle name="Nuovo 28 4 2" xfId="17526" xr:uid="{00000000-0005-0000-0000-00002AD80000}"/>
    <cellStyle name="Nuovo 28 4 2 2" xfId="18538" xr:uid="{00000000-0005-0000-0000-00002BD80000}"/>
    <cellStyle name="Nuovo 28 4 3" xfId="18537" xr:uid="{00000000-0005-0000-0000-00002CD80000}"/>
    <cellStyle name="Nuovo 28 4 4" xfId="17525" xr:uid="{00000000-0005-0000-0000-00002DD80000}"/>
    <cellStyle name="Nuovo 28 5" xfId="9464" xr:uid="{00000000-0005-0000-0000-00002ED80000}"/>
    <cellStyle name="Nuovo 28 6" xfId="50570" xr:uid="{00000000-0005-0000-0000-00002FD80000}"/>
    <cellStyle name="Nuovo 29" xfId="745" xr:uid="{00000000-0005-0000-0000-000030D80000}"/>
    <cellStyle name="Nuovo 29 2" xfId="746" xr:uid="{00000000-0005-0000-0000-000031D80000}"/>
    <cellStyle name="Nuovo 29 2 2" xfId="1421" xr:uid="{00000000-0005-0000-0000-000032D80000}"/>
    <cellStyle name="Nuovo 29 3" xfId="747" xr:uid="{00000000-0005-0000-0000-000033D80000}"/>
    <cellStyle name="Nuovo 29 3 2" xfId="748" xr:uid="{00000000-0005-0000-0000-000034D80000}"/>
    <cellStyle name="Nuovo 29 3 3" xfId="17528" xr:uid="{00000000-0005-0000-0000-000035D80000}"/>
    <cellStyle name="Nuovo 29 3 3 2" xfId="18540" xr:uid="{00000000-0005-0000-0000-000036D80000}"/>
    <cellStyle name="Nuovo 29 3 4" xfId="18539" xr:uid="{00000000-0005-0000-0000-000037D80000}"/>
    <cellStyle name="Nuovo 29 3 5" xfId="17527" xr:uid="{00000000-0005-0000-0000-000038D80000}"/>
    <cellStyle name="Nuovo 29 4" xfId="9465" xr:uid="{00000000-0005-0000-0000-000039D80000}"/>
    <cellStyle name="Nuovo 29 4 2" xfId="17530" xr:uid="{00000000-0005-0000-0000-00003AD80000}"/>
    <cellStyle name="Nuovo 29 4 2 2" xfId="18542" xr:uid="{00000000-0005-0000-0000-00003BD80000}"/>
    <cellStyle name="Nuovo 29 4 3" xfId="18541" xr:uid="{00000000-0005-0000-0000-00003CD80000}"/>
    <cellStyle name="Nuovo 29 4 4" xfId="17529" xr:uid="{00000000-0005-0000-0000-00003DD80000}"/>
    <cellStyle name="Nuovo 29 5" xfId="9466" xr:uid="{00000000-0005-0000-0000-00003ED80000}"/>
    <cellStyle name="Nuovo 29 6" xfId="50569" xr:uid="{00000000-0005-0000-0000-00003FD80000}"/>
    <cellStyle name="Nuovo 3" xfId="749" xr:uid="{00000000-0005-0000-0000-000040D80000}"/>
    <cellStyle name="Nuovo 3 2" xfId="750" xr:uid="{00000000-0005-0000-0000-000041D80000}"/>
    <cellStyle name="Nuovo 3 2 2" xfId="1422" xr:uid="{00000000-0005-0000-0000-000042D80000}"/>
    <cellStyle name="Nuovo 3 3" xfId="751" xr:uid="{00000000-0005-0000-0000-000043D80000}"/>
    <cellStyle name="Nuovo 3 3 2" xfId="752" xr:uid="{00000000-0005-0000-0000-000044D80000}"/>
    <cellStyle name="Nuovo 3 3 3" xfId="17532" xr:uid="{00000000-0005-0000-0000-000045D80000}"/>
    <cellStyle name="Nuovo 3 3 3 2" xfId="18544" xr:uid="{00000000-0005-0000-0000-000046D80000}"/>
    <cellStyle name="Nuovo 3 3 4" xfId="18543" xr:uid="{00000000-0005-0000-0000-000047D80000}"/>
    <cellStyle name="Nuovo 3 3 5" xfId="17531" xr:uid="{00000000-0005-0000-0000-000048D80000}"/>
    <cellStyle name="Nuovo 3 4" xfId="9467" xr:uid="{00000000-0005-0000-0000-000049D80000}"/>
    <cellStyle name="Nuovo 3 4 2" xfId="17534" xr:uid="{00000000-0005-0000-0000-00004AD80000}"/>
    <cellStyle name="Nuovo 3 4 2 2" xfId="18546" xr:uid="{00000000-0005-0000-0000-00004BD80000}"/>
    <cellStyle name="Nuovo 3 4 3" xfId="18545" xr:uid="{00000000-0005-0000-0000-00004CD80000}"/>
    <cellStyle name="Nuovo 3 4 4" xfId="17533" xr:uid="{00000000-0005-0000-0000-00004DD80000}"/>
    <cellStyle name="Nuovo 3 5" xfId="9468" xr:uid="{00000000-0005-0000-0000-00004ED80000}"/>
    <cellStyle name="Nuovo 3 6" xfId="50568" xr:uid="{00000000-0005-0000-0000-00004FD80000}"/>
    <cellStyle name="Nuovo 30" xfId="753" xr:uid="{00000000-0005-0000-0000-000050D80000}"/>
    <cellStyle name="Nuovo 30 2" xfId="754" xr:uid="{00000000-0005-0000-0000-000051D80000}"/>
    <cellStyle name="Nuovo 30 2 2" xfId="1423" xr:uid="{00000000-0005-0000-0000-000052D80000}"/>
    <cellStyle name="Nuovo 30 3" xfId="755" xr:uid="{00000000-0005-0000-0000-000053D80000}"/>
    <cellStyle name="Nuovo 30 3 2" xfId="756" xr:uid="{00000000-0005-0000-0000-000054D80000}"/>
    <cellStyle name="Nuovo 30 3 3" xfId="17536" xr:uid="{00000000-0005-0000-0000-000055D80000}"/>
    <cellStyle name="Nuovo 30 3 3 2" xfId="18548" xr:uid="{00000000-0005-0000-0000-000056D80000}"/>
    <cellStyle name="Nuovo 30 3 4" xfId="18547" xr:uid="{00000000-0005-0000-0000-000057D80000}"/>
    <cellStyle name="Nuovo 30 3 5" xfId="17535" xr:uid="{00000000-0005-0000-0000-000058D80000}"/>
    <cellStyle name="Nuovo 30 4" xfId="9469" xr:uid="{00000000-0005-0000-0000-000059D80000}"/>
    <cellStyle name="Nuovo 30 4 2" xfId="17538" xr:uid="{00000000-0005-0000-0000-00005AD80000}"/>
    <cellStyle name="Nuovo 30 4 2 2" xfId="18550" xr:uid="{00000000-0005-0000-0000-00005BD80000}"/>
    <cellStyle name="Nuovo 30 4 3" xfId="18549" xr:uid="{00000000-0005-0000-0000-00005CD80000}"/>
    <cellStyle name="Nuovo 30 4 4" xfId="17537" xr:uid="{00000000-0005-0000-0000-00005DD80000}"/>
    <cellStyle name="Nuovo 30 5" xfId="9470" xr:uid="{00000000-0005-0000-0000-00005ED80000}"/>
    <cellStyle name="Nuovo 30 6" xfId="51034" xr:uid="{00000000-0005-0000-0000-00005FD80000}"/>
    <cellStyle name="Nuovo 31" xfId="757" xr:uid="{00000000-0005-0000-0000-000060D80000}"/>
    <cellStyle name="Nuovo 31 2" xfId="758" xr:uid="{00000000-0005-0000-0000-000061D80000}"/>
    <cellStyle name="Nuovo 31 2 2" xfId="1424" xr:uid="{00000000-0005-0000-0000-000062D80000}"/>
    <cellStyle name="Nuovo 31 3" xfId="759" xr:uid="{00000000-0005-0000-0000-000063D80000}"/>
    <cellStyle name="Nuovo 31 3 2" xfId="760" xr:uid="{00000000-0005-0000-0000-000064D80000}"/>
    <cellStyle name="Nuovo 31 3 3" xfId="17540" xr:uid="{00000000-0005-0000-0000-000065D80000}"/>
    <cellStyle name="Nuovo 31 3 3 2" xfId="18552" xr:uid="{00000000-0005-0000-0000-000066D80000}"/>
    <cellStyle name="Nuovo 31 3 4" xfId="18551" xr:uid="{00000000-0005-0000-0000-000067D80000}"/>
    <cellStyle name="Nuovo 31 3 5" xfId="17539" xr:uid="{00000000-0005-0000-0000-000068D80000}"/>
    <cellStyle name="Nuovo 31 4" xfId="9471" xr:uid="{00000000-0005-0000-0000-000069D80000}"/>
    <cellStyle name="Nuovo 31 4 2" xfId="17542" xr:uid="{00000000-0005-0000-0000-00006AD80000}"/>
    <cellStyle name="Nuovo 31 4 2 2" xfId="18554" xr:uid="{00000000-0005-0000-0000-00006BD80000}"/>
    <cellStyle name="Nuovo 31 4 3" xfId="18553" xr:uid="{00000000-0005-0000-0000-00006CD80000}"/>
    <cellStyle name="Nuovo 31 4 4" xfId="17541" xr:uid="{00000000-0005-0000-0000-00006DD80000}"/>
    <cellStyle name="Nuovo 31 5" xfId="9472" xr:uid="{00000000-0005-0000-0000-00006ED80000}"/>
    <cellStyle name="Nuovo 31 6" xfId="50567" xr:uid="{00000000-0005-0000-0000-00006FD80000}"/>
    <cellStyle name="Nuovo 32" xfId="761" xr:uid="{00000000-0005-0000-0000-000070D80000}"/>
    <cellStyle name="Nuovo 32 2" xfId="762" xr:uid="{00000000-0005-0000-0000-000071D80000}"/>
    <cellStyle name="Nuovo 32 2 2" xfId="1425" xr:uid="{00000000-0005-0000-0000-000072D80000}"/>
    <cellStyle name="Nuovo 32 3" xfId="763" xr:uid="{00000000-0005-0000-0000-000073D80000}"/>
    <cellStyle name="Nuovo 32 3 2" xfId="764" xr:uid="{00000000-0005-0000-0000-000074D80000}"/>
    <cellStyle name="Nuovo 32 3 3" xfId="17544" xr:uid="{00000000-0005-0000-0000-000075D80000}"/>
    <cellStyle name="Nuovo 32 3 3 2" xfId="18556" xr:uid="{00000000-0005-0000-0000-000076D80000}"/>
    <cellStyle name="Nuovo 32 3 4" xfId="18555" xr:uid="{00000000-0005-0000-0000-000077D80000}"/>
    <cellStyle name="Nuovo 32 3 5" xfId="17543" xr:uid="{00000000-0005-0000-0000-000078D80000}"/>
    <cellStyle name="Nuovo 32 4" xfId="9473" xr:uid="{00000000-0005-0000-0000-000079D80000}"/>
    <cellStyle name="Nuovo 32 4 2" xfId="17546" xr:uid="{00000000-0005-0000-0000-00007AD80000}"/>
    <cellStyle name="Nuovo 32 4 2 2" xfId="18558" xr:uid="{00000000-0005-0000-0000-00007BD80000}"/>
    <cellStyle name="Nuovo 32 4 3" xfId="18557" xr:uid="{00000000-0005-0000-0000-00007CD80000}"/>
    <cellStyle name="Nuovo 32 4 4" xfId="17545" xr:uid="{00000000-0005-0000-0000-00007DD80000}"/>
    <cellStyle name="Nuovo 32 5" xfId="9474" xr:uid="{00000000-0005-0000-0000-00007ED80000}"/>
    <cellStyle name="Nuovo 32 6" xfId="50566" xr:uid="{00000000-0005-0000-0000-00007FD80000}"/>
    <cellStyle name="Nuovo 33" xfId="765" xr:uid="{00000000-0005-0000-0000-000080D80000}"/>
    <cellStyle name="Nuovo 33 2" xfId="766" xr:uid="{00000000-0005-0000-0000-000081D80000}"/>
    <cellStyle name="Nuovo 33 2 2" xfId="1426" xr:uid="{00000000-0005-0000-0000-000082D80000}"/>
    <cellStyle name="Nuovo 33 3" xfId="767" xr:uid="{00000000-0005-0000-0000-000083D80000}"/>
    <cellStyle name="Nuovo 33 3 2" xfId="768" xr:uid="{00000000-0005-0000-0000-000084D80000}"/>
    <cellStyle name="Nuovo 33 3 3" xfId="17548" xr:uid="{00000000-0005-0000-0000-000085D80000}"/>
    <cellStyle name="Nuovo 33 3 3 2" xfId="18560" xr:uid="{00000000-0005-0000-0000-000086D80000}"/>
    <cellStyle name="Nuovo 33 3 4" xfId="18559" xr:uid="{00000000-0005-0000-0000-000087D80000}"/>
    <cellStyle name="Nuovo 33 3 5" xfId="17547" xr:uid="{00000000-0005-0000-0000-000088D80000}"/>
    <cellStyle name="Nuovo 33 4" xfId="9475" xr:uid="{00000000-0005-0000-0000-000089D80000}"/>
    <cellStyle name="Nuovo 33 4 2" xfId="17550" xr:uid="{00000000-0005-0000-0000-00008AD80000}"/>
    <cellStyle name="Nuovo 33 4 2 2" xfId="18562" xr:uid="{00000000-0005-0000-0000-00008BD80000}"/>
    <cellStyle name="Nuovo 33 4 3" xfId="18561" xr:uid="{00000000-0005-0000-0000-00008CD80000}"/>
    <cellStyle name="Nuovo 33 4 4" xfId="17549" xr:uid="{00000000-0005-0000-0000-00008DD80000}"/>
    <cellStyle name="Nuovo 33 5" xfId="9476" xr:uid="{00000000-0005-0000-0000-00008ED80000}"/>
    <cellStyle name="Nuovo 33 6" xfId="50565" xr:uid="{00000000-0005-0000-0000-00008FD80000}"/>
    <cellStyle name="Nuovo 34" xfId="769" xr:uid="{00000000-0005-0000-0000-000090D80000}"/>
    <cellStyle name="Nuovo 34 2" xfId="770" xr:uid="{00000000-0005-0000-0000-000091D80000}"/>
    <cellStyle name="Nuovo 34 2 2" xfId="1427" xr:uid="{00000000-0005-0000-0000-000092D80000}"/>
    <cellStyle name="Nuovo 34 3" xfId="771" xr:uid="{00000000-0005-0000-0000-000093D80000}"/>
    <cellStyle name="Nuovo 34 3 2" xfId="772" xr:uid="{00000000-0005-0000-0000-000094D80000}"/>
    <cellStyle name="Nuovo 34 3 3" xfId="17552" xr:uid="{00000000-0005-0000-0000-000095D80000}"/>
    <cellStyle name="Nuovo 34 3 3 2" xfId="18564" xr:uid="{00000000-0005-0000-0000-000096D80000}"/>
    <cellStyle name="Nuovo 34 3 4" xfId="18563" xr:uid="{00000000-0005-0000-0000-000097D80000}"/>
    <cellStyle name="Nuovo 34 3 5" xfId="17551" xr:uid="{00000000-0005-0000-0000-000098D80000}"/>
    <cellStyle name="Nuovo 34 4" xfId="9477" xr:uid="{00000000-0005-0000-0000-000099D80000}"/>
    <cellStyle name="Nuovo 34 4 2" xfId="17554" xr:uid="{00000000-0005-0000-0000-00009AD80000}"/>
    <cellStyle name="Nuovo 34 4 2 2" xfId="18566" xr:uid="{00000000-0005-0000-0000-00009BD80000}"/>
    <cellStyle name="Nuovo 34 4 3" xfId="18565" xr:uid="{00000000-0005-0000-0000-00009CD80000}"/>
    <cellStyle name="Nuovo 34 4 4" xfId="17553" xr:uid="{00000000-0005-0000-0000-00009DD80000}"/>
    <cellStyle name="Nuovo 34 5" xfId="9478" xr:uid="{00000000-0005-0000-0000-00009ED80000}"/>
    <cellStyle name="Nuovo 34 6" xfId="50964" xr:uid="{00000000-0005-0000-0000-00009FD80000}"/>
    <cellStyle name="Nuovo 35" xfId="773" xr:uid="{00000000-0005-0000-0000-0000A0D80000}"/>
    <cellStyle name="Nuovo 35 2" xfId="774" xr:uid="{00000000-0005-0000-0000-0000A1D80000}"/>
    <cellStyle name="Nuovo 35 2 2" xfId="1428" xr:uid="{00000000-0005-0000-0000-0000A2D80000}"/>
    <cellStyle name="Nuovo 35 3" xfId="775" xr:uid="{00000000-0005-0000-0000-0000A3D80000}"/>
    <cellStyle name="Nuovo 35 3 2" xfId="776" xr:uid="{00000000-0005-0000-0000-0000A4D80000}"/>
    <cellStyle name="Nuovo 35 3 3" xfId="17556" xr:uid="{00000000-0005-0000-0000-0000A5D80000}"/>
    <cellStyle name="Nuovo 35 3 3 2" xfId="18568" xr:uid="{00000000-0005-0000-0000-0000A6D80000}"/>
    <cellStyle name="Nuovo 35 3 4" xfId="18567" xr:uid="{00000000-0005-0000-0000-0000A7D80000}"/>
    <cellStyle name="Nuovo 35 3 5" xfId="17555" xr:uid="{00000000-0005-0000-0000-0000A8D80000}"/>
    <cellStyle name="Nuovo 35 4" xfId="9479" xr:uid="{00000000-0005-0000-0000-0000A9D80000}"/>
    <cellStyle name="Nuovo 35 4 2" xfId="17558" xr:uid="{00000000-0005-0000-0000-0000AAD80000}"/>
    <cellStyle name="Nuovo 35 4 2 2" xfId="18570" xr:uid="{00000000-0005-0000-0000-0000ABD80000}"/>
    <cellStyle name="Nuovo 35 4 3" xfId="18569" xr:uid="{00000000-0005-0000-0000-0000ACD80000}"/>
    <cellStyle name="Nuovo 35 4 4" xfId="17557" xr:uid="{00000000-0005-0000-0000-0000ADD80000}"/>
    <cellStyle name="Nuovo 35 5" xfId="9480" xr:uid="{00000000-0005-0000-0000-0000AED80000}"/>
    <cellStyle name="Nuovo 35 6" xfId="50564" xr:uid="{00000000-0005-0000-0000-0000AFD80000}"/>
    <cellStyle name="Nuovo 36" xfId="777" xr:uid="{00000000-0005-0000-0000-0000B0D80000}"/>
    <cellStyle name="Nuovo 36 2" xfId="778" xr:uid="{00000000-0005-0000-0000-0000B1D80000}"/>
    <cellStyle name="Nuovo 36 2 2" xfId="1429" xr:uid="{00000000-0005-0000-0000-0000B2D80000}"/>
    <cellStyle name="Nuovo 36 3" xfId="779" xr:uid="{00000000-0005-0000-0000-0000B3D80000}"/>
    <cellStyle name="Nuovo 36 3 2" xfId="780" xr:uid="{00000000-0005-0000-0000-0000B4D80000}"/>
    <cellStyle name="Nuovo 36 3 3" xfId="17560" xr:uid="{00000000-0005-0000-0000-0000B5D80000}"/>
    <cellStyle name="Nuovo 36 3 3 2" xfId="18572" xr:uid="{00000000-0005-0000-0000-0000B6D80000}"/>
    <cellStyle name="Nuovo 36 3 4" xfId="18571" xr:uid="{00000000-0005-0000-0000-0000B7D80000}"/>
    <cellStyle name="Nuovo 36 3 5" xfId="17559" xr:uid="{00000000-0005-0000-0000-0000B8D80000}"/>
    <cellStyle name="Nuovo 36 4" xfId="9481" xr:uid="{00000000-0005-0000-0000-0000B9D80000}"/>
    <cellStyle name="Nuovo 36 4 2" xfId="17562" xr:uid="{00000000-0005-0000-0000-0000BAD80000}"/>
    <cellStyle name="Nuovo 36 4 2 2" xfId="18574" xr:uid="{00000000-0005-0000-0000-0000BBD80000}"/>
    <cellStyle name="Nuovo 36 4 3" xfId="18573" xr:uid="{00000000-0005-0000-0000-0000BCD80000}"/>
    <cellStyle name="Nuovo 36 4 4" xfId="17561" xr:uid="{00000000-0005-0000-0000-0000BDD80000}"/>
    <cellStyle name="Nuovo 36 5" xfId="9482" xr:uid="{00000000-0005-0000-0000-0000BED80000}"/>
    <cellStyle name="Nuovo 36 6" xfId="51241" xr:uid="{00000000-0005-0000-0000-0000BFD80000}"/>
    <cellStyle name="Nuovo 37" xfId="781" xr:uid="{00000000-0005-0000-0000-0000C0D80000}"/>
    <cellStyle name="Nuovo 37 2" xfId="782" xr:uid="{00000000-0005-0000-0000-0000C1D80000}"/>
    <cellStyle name="Nuovo 37 2 2" xfId="1430" xr:uid="{00000000-0005-0000-0000-0000C2D80000}"/>
    <cellStyle name="Nuovo 37 3" xfId="783" xr:uid="{00000000-0005-0000-0000-0000C3D80000}"/>
    <cellStyle name="Nuovo 37 3 2" xfId="784" xr:uid="{00000000-0005-0000-0000-0000C4D80000}"/>
    <cellStyle name="Nuovo 37 3 3" xfId="17564" xr:uid="{00000000-0005-0000-0000-0000C5D80000}"/>
    <cellStyle name="Nuovo 37 3 3 2" xfId="18576" xr:uid="{00000000-0005-0000-0000-0000C6D80000}"/>
    <cellStyle name="Nuovo 37 3 4" xfId="18575" xr:uid="{00000000-0005-0000-0000-0000C7D80000}"/>
    <cellStyle name="Nuovo 37 3 5" xfId="17563" xr:uid="{00000000-0005-0000-0000-0000C8D80000}"/>
    <cellStyle name="Nuovo 37 4" xfId="9483" xr:uid="{00000000-0005-0000-0000-0000C9D80000}"/>
    <cellStyle name="Nuovo 37 4 2" xfId="17566" xr:uid="{00000000-0005-0000-0000-0000CAD80000}"/>
    <cellStyle name="Nuovo 37 4 2 2" xfId="18578" xr:uid="{00000000-0005-0000-0000-0000CBD80000}"/>
    <cellStyle name="Nuovo 37 4 3" xfId="18577" xr:uid="{00000000-0005-0000-0000-0000CCD80000}"/>
    <cellStyle name="Nuovo 37 4 4" xfId="17565" xr:uid="{00000000-0005-0000-0000-0000CDD80000}"/>
    <cellStyle name="Nuovo 37 5" xfId="9484" xr:uid="{00000000-0005-0000-0000-0000CED80000}"/>
    <cellStyle name="Nuovo 37 6" xfId="51242" xr:uid="{00000000-0005-0000-0000-0000CFD80000}"/>
    <cellStyle name="Nuovo 38" xfId="785" xr:uid="{00000000-0005-0000-0000-0000D0D80000}"/>
    <cellStyle name="Nuovo 38 2" xfId="786" xr:uid="{00000000-0005-0000-0000-0000D1D80000}"/>
    <cellStyle name="Nuovo 38 2 2" xfId="1431" xr:uid="{00000000-0005-0000-0000-0000D2D80000}"/>
    <cellStyle name="Nuovo 38 3" xfId="787" xr:uid="{00000000-0005-0000-0000-0000D3D80000}"/>
    <cellStyle name="Nuovo 38 3 2" xfId="788" xr:uid="{00000000-0005-0000-0000-0000D4D80000}"/>
    <cellStyle name="Nuovo 38 3 3" xfId="17568" xr:uid="{00000000-0005-0000-0000-0000D5D80000}"/>
    <cellStyle name="Nuovo 38 3 3 2" xfId="18580" xr:uid="{00000000-0005-0000-0000-0000D6D80000}"/>
    <cellStyle name="Nuovo 38 3 4" xfId="18579" xr:uid="{00000000-0005-0000-0000-0000D7D80000}"/>
    <cellStyle name="Nuovo 38 3 5" xfId="17567" xr:uid="{00000000-0005-0000-0000-0000D8D80000}"/>
    <cellStyle name="Nuovo 38 4" xfId="9485" xr:uid="{00000000-0005-0000-0000-0000D9D80000}"/>
    <cellStyle name="Nuovo 38 4 2" xfId="17570" xr:uid="{00000000-0005-0000-0000-0000DAD80000}"/>
    <cellStyle name="Nuovo 38 4 2 2" xfId="18582" xr:uid="{00000000-0005-0000-0000-0000DBD80000}"/>
    <cellStyle name="Nuovo 38 4 3" xfId="18581" xr:uid="{00000000-0005-0000-0000-0000DCD80000}"/>
    <cellStyle name="Nuovo 38 4 4" xfId="17569" xr:uid="{00000000-0005-0000-0000-0000DDD80000}"/>
    <cellStyle name="Nuovo 38 5" xfId="9486" xr:uid="{00000000-0005-0000-0000-0000DED80000}"/>
    <cellStyle name="Nuovo 38 6" xfId="51033" xr:uid="{00000000-0005-0000-0000-0000DFD80000}"/>
    <cellStyle name="Nuovo 39" xfId="789" xr:uid="{00000000-0005-0000-0000-0000E0D80000}"/>
    <cellStyle name="Nuovo 39 2" xfId="790" xr:uid="{00000000-0005-0000-0000-0000E1D80000}"/>
    <cellStyle name="Nuovo 39 2 2" xfId="1432" xr:uid="{00000000-0005-0000-0000-0000E2D80000}"/>
    <cellStyle name="Nuovo 39 3" xfId="791" xr:uid="{00000000-0005-0000-0000-0000E3D80000}"/>
    <cellStyle name="Nuovo 39 3 2" xfId="792" xr:uid="{00000000-0005-0000-0000-0000E4D80000}"/>
    <cellStyle name="Nuovo 39 3 3" xfId="17572" xr:uid="{00000000-0005-0000-0000-0000E5D80000}"/>
    <cellStyle name="Nuovo 39 3 3 2" xfId="18584" xr:uid="{00000000-0005-0000-0000-0000E6D80000}"/>
    <cellStyle name="Nuovo 39 3 4" xfId="18583" xr:uid="{00000000-0005-0000-0000-0000E7D80000}"/>
    <cellStyle name="Nuovo 39 3 5" xfId="17571" xr:uid="{00000000-0005-0000-0000-0000E8D80000}"/>
    <cellStyle name="Nuovo 39 4" xfId="9487" xr:uid="{00000000-0005-0000-0000-0000E9D80000}"/>
    <cellStyle name="Nuovo 39 4 2" xfId="17574" xr:uid="{00000000-0005-0000-0000-0000EAD80000}"/>
    <cellStyle name="Nuovo 39 4 2 2" xfId="18586" xr:uid="{00000000-0005-0000-0000-0000EBD80000}"/>
    <cellStyle name="Nuovo 39 4 3" xfId="18585" xr:uid="{00000000-0005-0000-0000-0000ECD80000}"/>
    <cellStyle name="Nuovo 39 4 4" xfId="17573" xr:uid="{00000000-0005-0000-0000-0000EDD80000}"/>
    <cellStyle name="Nuovo 39 5" xfId="9488" xr:uid="{00000000-0005-0000-0000-0000EED80000}"/>
    <cellStyle name="Nuovo 39 6" xfId="50963" xr:uid="{00000000-0005-0000-0000-0000EFD80000}"/>
    <cellStyle name="Nuovo 4" xfId="793" xr:uid="{00000000-0005-0000-0000-0000F0D80000}"/>
    <cellStyle name="Nuovo 4 2" xfId="794" xr:uid="{00000000-0005-0000-0000-0000F1D80000}"/>
    <cellStyle name="Nuovo 4 2 2" xfId="1433" xr:uid="{00000000-0005-0000-0000-0000F2D80000}"/>
    <cellStyle name="Nuovo 4 3" xfId="795" xr:uid="{00000000-0005-0000-0000-0000F3D80000}"/>
    <cellStyle name="Nuovo 4 3 2" xfId="796" xr:uid="{00000000-0005-0000-0000-0000F4D80000}"/>
    <cellStyle name="Nuovo 4 3 3" xfId="17576" xr:uid="{00000000-0005-0000-0000-0000F5D80000}"/>
    <cellStyle name="Nuovo 4 3 3 2" xfId="18588" xr:uid="{00000000-0005-0000-0000-0000F6D80000}"/>
    <cellStyle name="Nuovo 4 3 4" xfId="18587" xr:uid="{00000000-0005-0000-0000-0000F7D80000}"/>
    <cellStyle name="Nuovo 4 3 5" xfId="17575" xr:uid="{00000000-0005-0000-0000-0000F8D80000}"/>
    <cellStyle name="Nuovo 4 4" xfId="9489" xr:uid="{00000000-0005-0000-0000-0000F9D80000}"/>
    <cellStyle name="Nuovo 4 4 2" xfId="17578" xr:uid="{00000000-0005-0000-0000-0000FAD80000}"/>
    <cellStyle name="Nuovo 4 4 2 2" xfId="18590" xr:uid="{00000000-0005-0000-0000-0000FBD80000}"/>
    <cellStyle name="Nuovo 4 4 3" xfId="18589" xr:uid="{00000000-0005-0000-0000-0000FCD80000}"/>
    <cellStyle name="Nuovo 4 4 4" xfId="17577" xr:uid="{00000000-0005-0000-0000-0000FDD80000}"/>
    <cellStyle name="Nuovo 4 5" xfId="9490" xr:uid="{00000000-0005-0000-0000-0000FED80000}"/>
    <cellStyle name="Nuovo 4 6" xfId="50563" xr:uid="{00000000-0005-0000-0000-0000FFD80000}"/>
    <cellStyle name="Nuovo 40" xfId="797" xr:uid="{00000000-0005-0000-0000-000000D90000}"/>
    <cellStyle name="Nuovo 40 2" xfId="798" xr:uid="{00000000-0005-0000-0000-000001D90000}"/>
    <cellStyle name="Nuovo 40 2 2" xfId="1434" xr:uid="{00000000-0005-0000-0000-000002D90000}"/>
    <cellStyle name="Nuovo 40 3" xfId="799" xr:uid="{00000000-0005-0000-0000-000003D90000}"/>
    <cellStyle name="Nuovo 40 3 2" xfId="800" xr:uid="{00000000-0005-0000-0000-000004D90000}"/>
    <cellStyle name="Nuovo 40 3 3" xfId="17580" xr:uid="{00000000-0005-0000-0000-000005D90000}"/>
    <cellStyle name="Nuovo 40 3 3 2" xfId="18592" xr:uid="{00000000-0005-0000-0000-000006D90000}"/>
    <cellStyle name="Nuovo 40 3 4" xfId="18591" xr:uid="{00000000-0005-0000-0000-000007D90000}"/>
    <cellStyle name="Nuovo 40 3 5" xfId="17579" xr:uid="{00000000-0005-0000-0000-000008D90000}"/>
    <cellStyle name="Nuovo 40 4" xfId="9491" xr:uid="{00000000-0005-0000-0000-000009D90000}"/>
    <cellStyle name="Nuovo 40 4 2" xfId="17582" xr:uid="{00000000-0005-0000-0000-00000AD90000}"/>
    <cellStyle name="Nuovo 40 4 2 2" xfId="18594" xr:uid="{00000000-0005-0000-0000-00000BD90000}"/>
    <cellStyle name="Nuovo 40 4 3" xfId="18593" xr:uid="{00000000-0005-0000-0000-00000CD90000}"/>
    <cellStyle name="Nuovo 40 4 4" xfId="17581" xr:uid="{00000000-0005-0000-0000-00000DD90000}"/>
    <cellStyle name="Nuovo 40 5" xfId="9492" xr:uid="{00000000-0005-0000-0000-00000ED90000}"/>
    <cellStyle name="Nuovo 40 6" xfId="50562" xr:uid="{00000000-0005-0000-0000-00000FD90000}"/>
    <cellStyle name="Nuovo 41" xfId="801" xr:uid="{00000000-0005-0000-0000-000010D90000}"/>
    <cellStyle name="Nuovo 41 2" xfId="802" xr:uid="{00000000-0005-0000-0000-000011D90000}"/>
    <cellStyle name="Nuovo 41 2 2" xfId="1435" xr:uid="{00000000-0005-0000-0000-000012D90000}"/>
    <cellStyle name="Nuovo 41 3" xfId="803" xr:uid="{00000000-0005-0000-0000-000013D90000}"/>
    <cellStyle name="Nuovo 41 3 2" xfId="804" xr:uid="{00000000-0005-0000-0000-000014D90000}"/>
    <cellStyle name="Nuovo 41 3 3" xfId="17584" xr:uid="{00000000-0005-0000-0000-000015D90000}"/>
    <cellStyle name="Nuovo 41 3 3 2" xfId="18596" xr:uid="{00000000-0005-0000-0000-000016D90000}"/>
    <cellStyle name="Nuovo 41 3 4" xfId="18595" xr:uid="{00000000-0005-0000-0000-000017D90000}"/>
    <cellStyle name="Nuovo 41 3 5" xfId="17583" xr:uid="{00000000-0005-0000-0000-000018D90000}"/>
    <cellStyle name="Nuovo 41 4" xfId="9493" xr:uid="{00000000-0005-0000-0000-000019D90000}"/>
    <cellStyle name="Nuovo 41 4 2" xfId="17586" xr:uid="{00000000-0005-0000-0000-00001AD90000}"/>
    <cellStyle name="Nuovo 41 4 2 2" xfId="18598" xr:uid="{00000000-0005-0000-0000-00001BD90000}"/>
    <cellStyle name="Nuovo 41 4 3" xfId="18597" xr:uid="{00000000-0005-0000-0000-00001CD90000}"/>
    <cellStyle name="Nuovo 41 4 4" xfId="17585" xr:uid="{00000000-0005-0000-0000-00001DD90000}"/>
    <cellStyle name="Nuovo 41 5" xfId="9494" xr:uid="{00000000-0005-0000-0000-00001ED90000}"/>
    <cellStyle name="Nuovo 41 6" xfId="50561" xr:uid="{00000000-0005-0000-0000-00001FD90000}"/>
    <cellStyle name="Nuovo 42" xfId="805" xr:uid="{00000000-0005-0000-0000-000020D90000}"/>
    <cellStyle name="Nuovo 42 2" xfId="806" xr:uid="{00000000-0005-0000-0000-000021D90000}"/>
    <cellStyle name="Nuovo 42 2 2" xfId="1436" xr:uid="{00000000-0005-0000-0000-000022D90000}"/>
    <cellStyle name="Nuovo 42 3" xfId="807" xr:uid="{00000000-0005-0000-0000-000023D90000}"/>
    <cellStyle name="Nuovo 42 3 2" xfId="808" xr:uid="{00000000-0005-0000-0000-000024D90000}"/>
    <cellStyle name="Nuovo 42 3 3" xfId="17588" xr:uid="{00000000-0005-0000-0000-000025D90000}"/>
    <cellStyle name="Nuovo 42 3 3 2" xfId="18600" xr:uid="{00000000-0005-0000-0000-000026D90000}"/>
    <cellStyle name="Nuovo 42 3 4" xfId="18599" xr:uid="{00000000-0005-0000-0000-000027D90000}"/>
    <cellStyle name="Nuovo 42 3 5" xfId="17587" xr:uid="{00000000-0005-0000-0000-000028D90000}"/>
    <cellStyle name="Nuovo 42 4" xfId="9495" xr:uid="{00000000-0005-0000-0000-000029D90000}"/>
    <cellStyle name="Nuovo 42 4 2" xfId="17590" xr:uid="{00000000-0005-0000-0000-00002AD90000}"/>
    <cellStyle name="Nuovo 42 4 2 2" xfId="18602" xr:uid="{00000000-0005-0000-0000-00002BD90000}"/>
    <cellStyle name="Nuovo 42 4 3" xfId="18601" xr:uid="{00000000-0005-0000-0000-00002CD90000}"/>
    <cellStyle name="Nuovo 42 4 4" xfId="17589" xr:uid="{00000000-0005-0000-0000-00002DD90000}"/>
    <cellStyle name="Nuovo 42 5" xfId="9496" xr:uid="{00000000-0005-0000-0000-00002ED90000}"/>
    <cellStyle name="Nuovo 42 6" xfId="50560" xr:uid="{00000000-0005-0000-0000-00002FD90000}"/>
    <cellStyle name="Nuovo 43" xfId="809" xr:uid="{00000000-0005-0000-0000-000030D90000}"/>
    <cellStyle name="Nuovo 43 2" xfId="810" xr:uid="{00000000-0005-0000-0000-000031D90000}"/>
    <cellStyle name="Nuovo 43 2 2" xfId="1437" xr:uid="{00000000-0005-0000-0000-000032D90000}"/>
    <cellStyle name="Nuovo 43 3" xfId="811" xr:uid="{00000000-0005-0000-0000-000033D90000}"/>
    <cellStyle name="Nuovo 43 3 2" xfId="812" xr:uid="{00000000-0005-0000-0000-000034D90000}"/>
    <cellStyle name="Nuovo 43 3 3" xfId="17592" xr:uid="{00000000-0005-0000-0000-000035D90000}"/>
    <cellStyle name="Nuovo 43 3 3 2" xfId="18604" xr:uid="{00000000-0005-0000-0000-000036D90000}"/>
    <cellStyle name="Nuovo 43 3 4" xfId="18603" xr:uid="{00000000-0005-0000-0000-000037D90000}"/>
    <cellStyle name="Nuovo 43 3 5" xfId="17591" xr:uid="{00000000-0005-0000-0000-000038D90000}"/>
    <cellStyle name="Nuovo 43 4" xfId="9497" xr:uid="{00000000-0005-0000-0000-000039D90000}"/>
    <cellStyle name="Nuovo 43 4 2" xfId="17594" xr:uid="{00000000-0005-0000-0000-00003AD90000}"/>
    <cellStyle name="Nuovo 43 4 2 2" xfId="18606" xr:uid="{00000000-0005-0000-0000-00003BD90000}"/>
    <cellStyle name="Nuovo 43 4 3" xfId="18605" xr:uid="{00000000-0005-0000-0000-00003CD90000}"/>
    <cellStyle name="Nuovo 43 4 4" xfId="17593" xr:uid="{00000000-0005-0000-0000-00003DD90000}"/>
    <cellStyle name="Nuovo 43 5" xfId="9498" xr:uid="{00000000-0005-0000-0000-00003ED90000}"/>
    <cellStyle name="Nuovo 43 6" xfId="50962" xr:uid="{00000000-0005-0000-0000-00003FD90000}"/>
    <cellStyle name="Nuovo 44" xfId="813" xr:uid="{00000000-0005-0000-0000-000040D90000}"/>
    <cellStyle name="Nuovo 44 2" xfId="814" xr:uid="{00000000-0005-0000-0000-000041D90000}"/>
    <cellStyle name="Nuovo 44 2 2" xfId="1438" xr:uid="{00000000-0005-0000-0000-000042D90000}"/>
    <cellStyle name="Nuovo 44 3" xfId="815" xr:uid="{00000000-0005-0000-0000-000043D90000}"/>
    <cellStyle name="Nuovo 44 3 2" xfId="816" xr:uid="{00000000-0005-0000-0000-000044D90000}"/>
    <cellStyle name="Nuovo 44 3 3" xfId="17596" xr:uid="{00000000-0005-0000-0000-000045D90000}"/>
    <cellStyle name="Nuovo 44 3 3 2" xfId="18608" xr:uid="{00000000-0005-0000-0000-000046D90000}"/>
    <cellStyle name="Nuovo 44 3 4" xfId="18607" xr:uid="{00000000-0005-0000-0000-000047D90000}"/>
    <cellStyle name="Nuovo 44 3 5" xfId="17595" xr:uid="{00000000-0005-0000-0000-000048D90000}"/>
    <cellStyle name="Nuovo 44 4" xfId="9499" xr:uid="{00000000-0005-0000-0000-000049D90000}"/>
    <cellStyle name="Nuovo 44 4 2" xfId="17598" xr:uid="{00000000-0005-0000-0000-00004AD90000}"/>
    <cellStyle name="Nuovo 44 4 2 2" xfId="18610" xr:uid="{00000000-0005-0000-0000-00004BD90000}"/>
    <cellStyle name="Nuovo 44 4 3" xfId="18609" xr:uid="{00000000-0005-0000-0000-00004CD90000}"/>
    <cellStyle name="Nuovo 44 4 4" xfId="17597" xr:uid="{00000000-0005-0000-0000-00004DD90000}"/>
    <cellStyle name="Nuovo 44 5" xfId="9500" xr:uid="{00000000-0005-0000-0000-00004ED90000}"/>
    <cellStyle name="Nuovo 44 6" xfId="51243" xr:uid="{00000000-0005-0000-0000-00004FD90000}"/>
    <cellStyle name="Nuovo 45" xfId="817" xr:uid="{00000000-0005-0000-0000-000050D90000}"/>
    <cellStyle name="Nuovo 45 2" xfId="1439" xr:uid="{00000000-0005-0000-0000-000051D90000}"/>
    <cellStyle name="Nuovo 46" xfId="818" xr:uid="{00000000-0005-0000-0000-000052D90000}"/>
    <cellStyle name="Nuovo 46 2" xfId="819" xr:uid="{00000000-0005-0000-0000-000053D90000}"/>
    <cellStyle name="Nuovo 46 3" xfId="17600" xr:uid="{00000000-0005-0000-0000-000054D90000}"/>
    <cellStyle name="Nuovo 46 3 2" xfId="18612" xr:uid="{00000000-0005-0000-0000-000055D90000}"/>
    <cellStyle name="Nuovo 46 4" xfId="18611" xr:uid="{00000000-0005-0000-0000-000056D90000}"/>
    <cellStyle name="Nuovo 46 5" xfId="17599" xr:uid="{00000000-0005-0000-0000-000057D90000}"/>
    <cellStyle name="Nuovo 47" xfId="9501" xr:uid="{00000000-0005-0000-0000-000058D90000}"/>
    <cellStyle name="Nuovo 47 2" xfId="17602" xr:uid="{00000000-0005-0000-0000-000059D90000}"/>
    <cellStyle name="Nuovo 47 2 2" xfId="18614" xr:uid="{00000000-0005-0000-0000-00005AD90000}"/>
    <cellStyle name="Nuovo 47 3" xfId="18613" xr:uid="{00000000-0005-0000-0000-00005BD90000}"/>
    <cellStyle name="Nuovo 47 4" xfId="17601" xr:uid="{00000000-0005-0000-0000-00005CD90000}"/>
    <cellStyle name="Nuovo 48" xfId="9502" xr:uid="{00000000-0005-0000-0000-00005DD90000}"/>
    <cellStyle name="Nuovo 49" xfId="51244" xr:uid="{00000000-0005-0000-0000-00005ED90000}"/>
    <cellStyle name="Nuovo 5" xfId="820" xr:uid="{00000000-0005-0000-0000-00005FD90000}"/>
    <cellStyle name="Nuovo 5 2" xfId="821" xr:uid="{00000000-0005-0000-0000-000060D90000}"/>
    <cellStyle name="Nuovo 5 2 2" xfId="1440" xr:uid="{00000000-0005-0000-0000-000061D90000}"/>
    <cellStyle name="Nuovo 5 3" xfId="822" xr:uid="{00000000-0005-0000-0000-000062D90000}"/>
    <cellStyle name="Nuovo 5 3 2" xfId="823" xr:uid="{00000000-0005-0000-0000-000063D90000}"/>
    <cellStyle name="Nuovo 5 3 3" xfId="17604" xr:uid="{00000000-0005-0000-0000-000064D90000}"/>
    <cellStyle name="Nuovo 5 3 3 2" xfId="18616" xr:uid="{00000000-0005-0000-0000-000065D90000}"/>
    <cellStyle name="Nuovo 5 3 4" xfId="18615" xr:uid="{00000000-0005-0000-0000-000066D90000}"/>
    <cellStyle name="Nuovo 5 3 5" xfId="17603" xr:uid="{00000000-0005-0000-0000-000067D90000}"/>
    <cellStyle name="Nuovo 5 4" xfId="9503" xr:uid="{00000000-0005-0000-0000-000068D90000}"/>
    <cellStyle name="Nuovo 5 4 2" xfId="17606" xr:uid="{00000000-0005-0000-0000-000069D90000}"/>
    <cellStyle name="Nuovo 5 4 2 2" xfId="18618" xr:uid="{00000000-0005-0000-0000-00006AD90000}"/>
    <cellStyle name="Nuovo 5 4 3" xfId="18617" xr:uid="{00000000-0005-0000-0000-00006BD90000}"/>
    <cellStyle name="Nuovo 5 4 4" xfId="17605" xr:uid="{00000000-0005-0000-0000-00006CD90000}"/>
    <cellStyle name="Nuovo 5 5" xfId="9504" xr:uid="{00000000-0005-0000-0000-00006DD90000}"/>
    <cellStyle name="Nuovo 5 6" xfId="50961" xr:uid="{00000000-0005-0000-0000-00006ED90000}"/>
    <cellStyle name="Nuovo 6" xfId="824" xr:uid="{00000000-0005-0000-0000-00006FD90000}"/>
    <cellStyle name="Nuovo 6 2" xfId="825" xr:uid="{00000000-0005-0000-0000-000070D90000}"/>
    <cellStyle name="Nuovo 6 2 2" xfId="1441" xr:uid="{00000000-0005-0000-0000-000071D90000}"/>
    <cellStyle name="Nuovo 6 3" xfId="826" xr:uid="{00000000-0005-0000-0000-000072D90000}"/>
    <cellStyle name="Nuovo 6 3 2" xfId="827" xr:uid="{00000000-0005-0000-0000-000073D90000}"/>
    <cellStyle name="Nuovo 6 3 3" xfId="17608" xr:uid="{00000000-0005-0000-0000-000074D90000}"/>
    <cellStyle name="Nuovo 6 3 3 2" xfId="18620" xr:uid="{00000000-0005-0000-0000-000075D90000}"/>
    <cellStyle name="Nuovo 6 3 4" xfId="18619" xr:uid="{00000000-0005-0000-0000-000076D90000}"/>
    <cellStyle name="Nuovo 6 3 5" xfId="17607" xr:uid="{00000000-0005-0000-0000-000077D90000}"/>
    <cellStyle name="Nuovo 6 4" xfId="9505" xr:uid="{00000000-0005-0000-0000-000078D90000}"/>
    <cellStyle name="Nuovo 6 4 2" xfId="17610" xr:uid="{00000000-0005-0000-0000-000079D90000}"/>
    <cellStyle name="Nuovo 6 4 2 2" xfId="18622" xr:uid="{00000000-0005-0000-0000-00007AD90000}"/>
    <cellStyle name="Nuovo 6 4 3" xfId="18621" xr:uid="{00000000-0005-0000-0000-00007BD90000}"/>
    <cellStyle name="Nuovo 6 4 4" xfId="17609" xr:uid="{00000000-0005-0000-0000-00007CD90000}"/>
    <cellStyle name="Nuovo 6 5" xfId="9506" xr:uid="{00000000-0005-0000-0000-00007DD90000}"/>
    <cellStyle name="Nuovo 6 6" xfId="50559" xr:uid="{00000000-0005-0000-0000-00007ED90000}"/>
    <cellStyle name="Nuovo 7" xfId="828" xr:uid="{00000000-0005-0000-0000-00007FD90000}"/>
    <cellStyle name="Nuovo 7 2" xfId="829" xr:uid="{00000000-0005-0000-0000-000080D90000}"/>
    <cellStyle name="Nuovo 7 2 2" xfId="1442" xr:uid="{00000000-0005-0000-0000-000081D90000}"/>
    <cellStyle name="Nuovo 7 3" xfId="830" xr:uid="{00000000-0005-0000-0000-000082D90000}"/>
    <cellStyle name="Nuovo 7 3 2" xfId="831" xr:uid="{00000000-0005-0000-0000-000083D90000}"/>
    <cellStyle name="Nuovo 7 3 3" xfId="17612" xr:uid="{00000000-0005-0000-0000-000084D90000}"/>
    <cellStyle name="Nuovo 7 3 3 2" xfId="18624" xr:uid="{00000000-0005-0000-0000-000085D90000}"/>
    <cellStyle name="Nuovo 7 3 4" xfId="18623" xr:uid="{00000000-0005-0000-0000-000086D90000}"/>
    <cellStyle name="Nuovo 7 3 5" xfId="17611" xr:uid="{00000000-0005-0000-0000-000087D90000}"/>
    <cellStyle name="Nuovo 7 4" xfId="9507" xr:uid="{00000000-0005-0000-0000-000088D90000}"/>
    <cellStyle name="Nuovo 7 4 2" xfId="17614" xr:uid="{00000000-0005-0000-0000-000089D90000}"/>
    <cellStyle name="Nuovo 7 4 2 2" xfId="18626" xr:uid="{00000000-0005-0000-0000-00008AD90000}"/>
    <cellStyle name="Nuovo 7 4 3" xfId="18625" xr:uid="{00000000-0005-0000-0000-00008BD90000}"/>
    <cellStyle name="Nuovo 7 4 4" xfId="17613" xr:uid="{00000000-0005-0000-0000-00008CD90000}"/>
    <cellStyle name="Nuovo 7 5" xfId="9508" xr:uid="{00000000-0005-0000-0000-00008DD90000}"/>
    <cellStyle name="Nuovo 7 6" xfId="50558" xr:uid="{00000000-0005-0000-0000-00008ED90000}"/>
    <cellStyle name="Nuovo 8" xfId="832" xr:uid="{00000000-0005-0000-0000-00008FD90000}"/>
    <cellStyle name="Nuovo 8 2" xfId="833" xr:uid="{00000000-0005-0000-0000-000090D90000}"/>
    <cellStyle name="Nuovo 8 2 2" xfId="1443" xr:uid="{00000000-0005-0000-0000-000091D90000}"/>
    <cellStyle name="Nuovo 8 3" xfId="834" xr:uid="{00000000-0005-0000-0000-000092D90000}"/>
    <cellStyle name="Nuovo 8 3 2" xfId="835" xr:uid="{00000000-0005-0000-0000-000093D90000}"/>
    <cellStyle name="Nuovo 8 3 3" xfId="17616" xr:uid="{00000000-0005-0000-0000-000094D90000}"/>
    <cellStyle name="Nuovo 8 3 3 2" xfId="18628" xr:uid="{00000000-0005-0000-0000-000095D90000}"/>
    <cellStyle name="Nuovo 8 3 4" xfId="18627" xr:uid="{00000000-0005-0000-0000-000096D90000}"/>
    <cellStyle name="Nuovo 8 3 5" xfId="17615" xr:uid="{00000000-0005-0000-0000-000097D90000}"/>
    <cellStyle name="Nuovo 8 4" xfId="9509" xr:uid="{00000000-0005-0000-0000-000098D90000}"/>
    <cellStyle name="Nuovo 8 4 2" xfId="17618" xr:uid="{00000000-0005-0000-0000-000099D90000}"/>
    <cellStyle name="Nuovo 8 4 2 2" xfId="18630" xr:uid="{00000000-0005-0000-0000-00009AD90000}"/>
    <cellStyle name="Nuovo 8 4 3" xfId="18629" xr:uid="{00000000-0005-0000-0000-00009BD90000}"/>
    <cellStyle name="Nuovo 8 4 4" xfId="17617" xr:uid="{00000000-0005-0000-0000-00009CD90000}"/>
    <cellStyle name="Nuovo 8 5" xfId="9510" xr:uid="{00000000-0005-0000-0000-00009DD90000}"/>
    <cellStyle name="Nuovo 8 6" xfId="50557" xr:uid="{00000000-0005-0000-0000-00009ED90000}"/>
    <cellStyle name="Nuovo 9" xfId="836" xr:uid="{00000000-0005-0000-0000-00009FD90000}"/>
    <cellStyle name="Nuovo 9 2" xfId="837" xr:uid="{00000000-0005-0000-0000-0000A0D90000}"/>
    <cellStyle name="Nuovo 9 2 2" xfId="1444" xr:uid="{00000000-0005-0000-0000-0000A1D90000}"/>
    <cellStyle name="Nuovo 9 3" xfId="838" xr:uid="{00000000-0005-0000-0000-0000A2D90000}"/>
    <cellStyle name="Nuovo 9 3 2" xfId="839" xr:uid="{00000000-0005-0000-0000-0000A3D90000}"/>
    <cellStyle name="Nuovo 9 3 3" xfId="17620" xr:uid="{00000000-0005-0000-0000-0000A4D90000}"/>
    <cellStyle name="Nuovo 9 3 3 2" xfId="18632" xr:uid="{00000000-0005-0000-0000-0000A5D90000}"/>
    <cellStyle name="Nuovo 9 3 4" xfId="18631" xr:uid="{00000000-0005-0000-0000-0000A6D90000}"/>
    <cellStyle name="Nuovo 9 3 5" xfId="17619" xr:uid="{00000000-0005-0000-0000-0000A7D90000}"/>
    <cellStyle name="Nuovo 9 4" xfId="9511" xr:uid="{00000000-0005-0000-0000-0000A8D90000}"/>
    <cellStyle name="Nuovo 9 4 2" xfId="17622" xr:uid="{00000000-0005-0000-0000-0000A9D90000}"/>
    <cellStyle name="Nuovo 9 4 2 2" xfId="18634" xr:uid="{00000000-0005-0000-0000-0000AAD90000}"/>
    <cellStyle name="Nuovo 9 4 3" xfId="18633" xr:uid="{00000000-0005-0000-0000-0000ABD90000}"/>
    <cellStyle name="Nuovo 9 4 4" xfId="17621" xr:uid="{00000000-0005-0000-0000-0000ACD90000}"/>
    <cellStyle name="Nuovo 9 5" xfId="9512" xr:uid="{00000000-0005-0000-0000-0000ADD90000}"/>
    <cellStyle name="Nuovo 9 6" xfId="50556" xr:uid="{00000000-0005-0000-0000-0000AED90000}"/>
    <cellStyle name="Output" xfId="840" builtinId="21" customBuiltin="1"/>
    <cellStyle name="Output 10" xfId="19292" xr:uid="{00000000-0005-0000-0000-0000B0D90000}"/>
    <cellStyle name="Output 11" xfId="52023" xr:uid="{00000000-0005-0000-0000-0000B1D90000}"/>
    <cellStyle name="Output 2" xfId="841" xr:uid="{00000000-0005-0000-0000-0000B2D90000}"/>
    <cellStyle name="Output 2 2" xfId="5178" xr:uid="{00000000-0005-0000-0000-0000B3D90000}"/>
    <cellStyle name="Output 2 2 2" xfId="53256" xr:uid="{00000000-0005-0000-0000-0000B4D90000}"/>
    <cellStyle name="Output 2 3" xfId="9989" xr:uid="{00000000-0005-0000-0000-0000B5D90000}"/>
    <cellStyle name="Output 2 3 2" xfId="26314" xr:uid="{00000000-0005-0000-0000-0000B6D90000}"/>
    <cellStyle name="Output 2 4" xfId="9647" xr:uid="{00000000-0005-0000-0000-0000B7D90000}"/>
    <cellStyle name="Output 2 4 2" xfId="25978" xr:uid="{00000000-0005-0000-0000-0000B8D90000}"/>
    <cellStyle name="Output 2 5" xfId="17624" xr:uid="{00000000-0005-0000-0000-0000B9D90000}"/>
    <cellStyle name="Output 2 6" xfId="52024" xr:uid="{00000000-0005-0000-0000-0000BAD90000}"/>
    <cellStyle name="Output 3" xfId="1163" xr:uid="{00000000-0005-0000-0000-0000BBD90000}"/>
    <cellStyle name="Output 3 2" xfId="5179" xr:uid="{00000000-0005-0000-0000-0000BCD90000}"/>
    <cellStyle name="Output 4" xfId="5180" xr:uid="{00000000-0005-0000-0000-0000BDD90000}"/>
    <cellStyle name="Output 5" xfId="5181" xr:uid="{00000000-0005-0000-0000-0000BED90000}"/>
    <cellStyle name="Output 5 2" xfId="8368" xr:uid="{00000000-0005-0000-0000-0000BFD90000}"/>
    <cellStyle name="Output 6" xfId="5318" xr:uid="{00000000-0005-0000-0000-0000C0D90000}"/>
    <cellStyle name="Output 7" xfId="5177" xr:uid="{00000000-0005-0000-0000-0000C1D90000}"/>
    <cellStyle name="Output 8" xfId="9988" xr:uid="{00000000-0005-0000-0000-0000C2D90000}"/>
    <cellStyle name="Output 8 2" xfId="26313" xr:uid="{00000000-0005-0000-0000-0000C3D90000}"/>
    <cellStyle name="Output 9" xfId="17623" xr:uid="{00000000-0005-0000-0000-0000C4D90000}"/>
    <cellStyle name="Overskrift 1 2" xfId="5183" xr:uid="{00000000-0005-0000-0000-0000C5D90000}"/>
    <cellStyle name="Overskrift 1 2 2" xfId="17625" xr:uid="{00000000-0005-0000-0000-0000C6D90000}"/>
    <cellStyle name="Overskrift 1 2 2 2" xfId="53258" xr:uid="{00000000-0005-0000-0000-0000C7D90000}"/>
    <cellStyle name="Overskrift 1 3" xfId="5184" xr:uid="{00000000-0005-0000-0000-0000C8D90000}"/>
    <cellStyle name="Overskrift 1 4" xfId="5185" xr:uid="{00000000-0005-0000-0000-0000C9D90000}"/>
    <cellStyle name="Overskrift 1 5" xfId="5186" xr:uid="{00000000-0005-0000-0000-0000CAD90000}"/>
    <cellStyle name="Overskrift 1 5 2" xfId="8188" xr:uid="{00000000-0005-0000-0000-0000CBD90000}"/>
    <cellStyle name="Overskrift 1 6" xfId="5310" xr:uid="{00000000-0005-0000-0000-0000CCD90000}"/>
    <cellStyle name="Overskrift 1 7" xfId="5182" xr:uid="{00000000-0005-0000-0000-0000CDD90000}"/>
    <cellStyle name="Overskrift 2 2" xfId="5188" xr:uid="{00000000-0005-0000-0000-0000CED90000}"/>
    <cellStyle name="Overskrift 2 2 2" xfId="17626" xr:uid="{00000000-0005-0000-0000-0000CFD90000}"/>
    <cellStyle name="Overskrift 2 2 2 2" xfId="53259" xr:uid="{00000000-0005-0000-0000-0000D0D90000}"/>
    <cellStyle name="Overskrift 2 3" xfId="5189" xr:uid="{00000000-0005-0000-0000-0000D1D90000}"/>
    <cellStyle name="Overskrift 2 4" xfId="5190" xr:uid="{00000000-0005-0000-0000-0000D2D90000}"/>
    <cellStyle name="Overskrift 2 5" xfId="5191" xr:uid="{00000000-0005-0000-0000-0000D3D90000}"/>
    <cellStyle name="Overskrift 2 5 2" xfId="6664" xr:uid="{00000000-0005-0000-0000-0000D4D90000}"/>
    <cellStyle name="Overskrift 2 6" xfId="5311" xr:uid="{00000000-0005-0000-0000-0000D5D90000}"/>
    <cellStyle name="Overskrift 2 7" xfId="5187" xr:uid="{00000000-0005-0000-0000-0000D6D90000}"/>
    <cellStyle name="Overskrift 3 2" xfId="5193" xr:uid="{00000000-0005-0000-0000-0000D7D90000}"/>
    <cellStyle name="Overskrift 3 2 2" xfId="17627" xr:uid="{00000000-0005-0000-0000-0000D8D90000}"/>
    <cellStyle name="Overskrift 3 2 2 2" xfId="53260" xr:uid="{00000000-0005-0000-0000-0000D9D90000}"/>
    <cellStyle name="Overskrift 3 3" xfId="5194" xr:uid="{00000000-0005-0000-0000-0000DAD90000}"/>
    <cellStyle name="Overskrift 3 4" xfId="5195" xr:uid="{00000000-0005-0000-0000-0000DBD90000}"/>
    <cellStyle name="Overskrift 3 5" xfId="5196" xr:uid="{00000000-0005-0000-0000-0000DCD90000}"/>
    <cellStyle name="Overskrift 3 5 2" xfId="6679" xr:uid="{00000000-0005-0000-0000-0000DDD90000}"/>
    <cellStyle name="Overskrift 3 6" xfId="5312" xr:uid="{00000000-0005-0000-0000-0000DED90000}"/>
    <cellStyle name="Overskrift 3 7" xfId="5192" xr:uid="{00000000-0005-0000-0000-0000DFD90000}"/>
    <cellStyle name="Overskrift 4 2" xfId="5198" xr:uid="{00000000-0005-0000-0000-0000E0D90000}"/>
    <cellStyle name="Overskrift 4 2 2" xfId="17628" xr:uid="{00000000-0005-0000-0000-0000E1D90000}"/>
    <cellStyle name="Overskrift 4 2 2 2" xfId="53261" xr:uid="{00000000-0005-0000-0000-0000E2D90000}"/>
    <cellStyle name="Overskrift 4 3" xfId="5199" xr:uid="{00000000-0005-0000-0000-0000E3D90000}"/>
    <cellStyle name="Overskrift 4 4" xfId="5200" xr:uid="{00000000-0005-0000-0000-0000E4D90000}"/>
    <cellStyle name="Overskrift 4 5" xfId="5201" xr:uid="{00000000-0005-0000-0000-0000E5D90000}"/>
    <cellStyle name="Overskrift 4 5 2" xfId="8468" xr:uid="{00000000-0005-0000-0000-0000E6D90000}"/>
    <cellStyle name="Overskrift 4 6" xfId="5313" xr:uid="{00000000-0005-0000-0000-0000E7D90000}"/>
    <cellStyle name="Overskrift 4 7" xfId="5197" xr:uid="{00000000-0005-0000-0000-0000E8D90000}"/>
    <cellStyle name="Pattern" xfId="842" xr:uid="{00000000-0005-0000-0000-0000E9D90000}"/>
    <cellStyle name="Pattern 2" xfId="9990" xr:uid="{00000000-0005-0000-0000-0000EAD90000}"/>
    <cellStyle name="Pattern 2 2" xfId="26315" xr:uid="{00000000-0005-0000-0000-0000EBD90000}"/>
    <cellStyle name="Pattern 3" xfId="19293" xr:uid="{00000000-0005-0000-0000-0000ECD90000}"/>
    <cellStyle name="Pattern 4" xfId="50039" xr:uid="{00000000-0005-0000-0000-0000EDD90000}"/>
    <cellStyle name="Percen - Type1" xfId="843" xr:uid="{00000000-0005-0000-0000-0000EED90000}"/>
    <cellStyle name="Percen - Typografi2" xfId="5202" xr:uid="{00000000-0005-0000-0000-0000EFD90000}"/>
    <cellStyle name="Percent" xfId="844" builtinId="5"/>
    <cellStyle name="Percent 10" xfId="50543" xr:uid="{00000000-0005-0000-0000-0000F1D90000}"/>
    <cellStyle name="Percent 2" xfId="845" xr:uid="{00000000-0005-0000-0000-0000F2D90000}"/>
    <cellStyle name="Percent 2 2" xfId="1445" xr:uid="{00000000-0005-0000-0000-0000F3D90000}"/>
    <cellStyle name="Percent 2 2 2" xfId="53186" xr:uid="{00000000-0005-0000-0000-0000F4D90000}"/>
    <cellStyle name="Percent 2 2 2 2" xfId="56392" xr:uid="{00000000-0005-0000-0000-0000F5D90000}"/>
    <cellStyle name="Percent 3" xfId="846" xr:uid="{00000000-0005-0000-0000-0000F6D90000}"/>
    <cellStyle name="Percent 3 2" xfId="847" xr:uid="{00000000-0005-0000-0000-0000F7D90000}"/>
    <cellStyle name="Percent 3 2 2" xfId="55032" xr:uid="{00000000-0005-0000-0000-0000F8D90000}"/>
    <cellStyle name="Percent 3 2 3" xfId="54652" xr:uid="{00000000-0005-0000-0000-0000F9D90000}"/>
    <cellStyle name="Percent 3 3" xfId="848" xr:uid="{00000000-0005-0000-0000-0000FAD90000}"/>
    <cellStyle name="Percent 3 3 2" xfId="849" xr:uid="{00000000-0005-0000-0000-0000FBD90000}"/>
    <cellStyle name="Percent 3 3 3" xfId="17630" xr:uid="{00000000-0005-0000-0000-0000FCD90000}"/>
    <cellStyle name="Percent 3 3 3 2" xfId="18636" xr:uid="{00000000-0005-0000-0000-0000FDD90000}"/>
    <cellStyle name="Percent 3 3 4" xfId="18635" xr:uid="{00000000-0005-0000-0000-0000FED90000}"/>
    <cellStyle name="Percent 3 3 5" xfId="17629" xr:uid="{00000000-0005-0000-0000-0000FFD90000}"/>
    <cellStyle name="Percent 3 4" xfId="9515" xr:uid="{00000000-0005-0000-0000-000000DA0000}"/>
    <cellStyle name="Percent 3 5" xfId="9514" xr:uid="{00000000-0005-0000-0000-000001DA0000}"/>
    <cellStyle name="Percent 3 5 2" xfId="18637" xr:uid="{00000000-0005-0000-0000-000002DA0000}"/>
    <cellStyle name="Percent 3 6" xfId="55031" xr:uid="{00000000-0005-0000-0000-000003DA0000}"/>
    <cellStyle name="Percent 4" xfId="850" xr:uid="{00000000-0005-0000-0000-000004DA0000}"/>
    <cellStyle name="Percent 4 10" xfId="50040" xr:uid="{00000000-0005-0000-0000-000005DA0000}"/>
    <cellStyle name="Percent 4 11" xfId="50445" xr:uid="{00000000-0005-0000-0000-000006DA0000}"/>
    <cellStyle name="Percent 4 12" xfId="50950" xr:uid="{00000000-0005-0000-0000-000007DA0000}"/>
    <cellStyle name="Percent 4 13" xfId="51606" xr:uid="{00000000-0005-0000-0000-000008DA0000}"/>
    <cellStyle name="Percent 4 14" xfId="51705" xr:uid="{00000000-0005-0000-0000-000009DA0000}"/>
    <cellStyle name="Percent 4 15" xfId="52025" xr:uid="{00000000-0005-0000-0000-00000ADA0000}"/>
    <cellStyle name="Percent 4 2" xfId="1446" xr:uid="{00000000-0005-0000-0000-00000BDA0000}"/>
    <cellStyle name="Percent 4 2 10" xfId="50538" xr:uid="{00000000-0005-0000-0000-00000CDA0000}"/>
    <cellStyle name="Percent 4 2 11" xfId="51152" xr:uid="{00000000-0005-0000-0000-00000DDA0000}"/>
    <cellStyle name="Percent 4 2 12" xfId="51699" xr:uid="{00000000-0005-0000-0000-00000EDA0000}"/>
    <cellStyle name="Percent 4 2 13" xfId="52121" xr:uid="{00000000-0005-0000-0000-00000FDA0000}"/>
    <cellStyle name="Percent 4 2 2" xfId="8901" xr:uid="{00000000-0005-0000-0000-000010DA0000}"/>
    <cellStyle name="Percent 4 2 2 2" xfId="16675" xr:uid="{00000000-0005-0000-0000-000011DA0000}"/>
    <cellStyle name="Percent 4 2 2 2 2" xfId="32989" xr:uid="{00000000-0005-0000-0000-000012DA0000}"/>
    <cellStyle name="Percent 4 2 2 2 3" xfId="47953" xr:uid="{00000000-0005-0000-0000-000013DA0000}"/>
    <cellStyle name="Percent 4 2 2 3" xfId="18639" xr:uid="{00000000-0005-0000-0000-000014DA0000}"/>
    <cellStyle name="Percent 4 2 2 4" xfId="25967" xr:uid="{00000000-0005-0000-0000-000015DA0000}"/>
    <cellStyle name="Percent 4 2 2 5" xfId="40954" xr:uid="{00000000-0005-0000-0000-000016DA0000}"/>
    <cellStyle name="Percent 4 2 3" xfId="10079" xr:uid="{00000000-0005-0000-0000-000017DA0000}"/>
    <cellStyle name="Percent 4 2 3 2" xfId="26400" xr:uid="{00000000-0005-0000-0000-000018DA0000}"/>
    <cellStyle name="Percent 4 2 3 3" xfId="41366" xr:uid="{00000000-0005-0000-0000-000019DA0000}"/>
    <cellStyle name="Percent 4 2 4" xfId="17631" xr:uid="{00000000-0005-0000-0000-00001ADA0000}"/>
    <cellStyle name="Percent 4 2 5" xfId="19377" xr:uid="{00000000-0005-0000-0000-00001BDA0000}"/>
    <cellStyle name="Percent 4 2 6" xfId="34367" xr:uid="{00000000-0005-0000-0000-00001CDA0000}"/>
    <cellStyle name="Percent 4 2 7" xfId="49319" xr:uid="{00000000-0005-0000-0000-00001DDA0000}"/>
    <cellStyle name="Percent 4 2 8" xfId="49724" xr:uid="{00000000-0005-0000-0000-00001EDA0000}"/>
    <cellStyle name="Percent 4 2 9" xfId="50133" xr:uid="{00000000-0005-0000-0000-00001FDA0000}"/>
    <cellStyle name="Percent 4 3" xfId="8868" xr:uid="{00000000-0005-0000-0000-000020DA0000}"/>
    <cellStyle name="Percent 4 3 2" xfId="16644" xr:uid="{00000000-0005-0000-0000-000021DA0000}"/>
    <cellStyle name="Percent 4 3 2 2" xfId="32958" xr:uid="{00000000-0005-0000-0000-000022DA0000}"/>
    <cellStyle name="Percent 4 3 2 3" xfId="47922" xr:uid="{00000000-0005-0000-0000-000023DA0000}"/>
    <cellStyle name="Percent 4 3 3" xfId="18638" xr:uid="{00000000-0005-0000-0000-000024DA0000}"/>
    <cellStyle name="Percent 4 3 4" xfId="25936" xr:uid="{00000000-0005-0000-0000-000025DA0000}"/>
    <cellStyle name="Percent 4 3 5" xfId="40923" xr:uid="{00000000-0005-0000-0000-000026DA0000}"/>
    <cellStyle name="Percent 4 4" xfId="9516" xr:uid="{00000000-0005-0000-0000-000027DA0000}"/>
    <cellStyle name="Percent 4 5" xfId="9991" xr:uid="{00000000-0005-0000-0000-000028DA0000}"/>
    <cellStyle name="Percent 4 5 2" xfId="26316" xr:uid="{00000000-0005-0000-0000-000029DA0000}"/>
    <cellStyle name="Percent 4 5 3" xfId="41285" xr:uid="{00000000-0005-0000-0000-00002ADA0000}"/>
    <cellStyle name="Percent 4 6" xfId="19295" xr:uid="{00000000-0005-0000-0000-00002BDA0000}"/>
    <cellStyle name="Percent 4 7" xfId="34286" xr:uid="{00000000-0005-0000-0000-00002CDA0000}"/>
    <cellStyle name="Percent 4 8" xfId="49226" xr:uid="{00000000-0005-0000-0000-00002DDA0000}"/>
    <cellStyle name="Percent 4 9" xfId="49631" xr:uid="{00000000-0005-0000-0000-00002EDA0000}"/>
    <cellStyle name="Percent 5" xfId="851" xr:uid="{00000000-0005-0000-0000-00002FDA0000}"/>
    <cellStyle name="Percent 5 2" xfId="9517" xr:uid="{00000000-0005-0000-0000-000030DA0000}"/>
    <cellStyle name="Percent 5 2 2" xfId="51032" xr:uid="{00000000-0005-0000-0000-000031DA0000}"/>
    <cellStyle name="Percent 5 2 3" xfId="53118" xr:uid="{00000000-0005-0000-0000-000032DA0000}"/>
    <cellStyle name="Percent 5 3" xfId="9992" xr:uid="{00000000-0005-0000-0000-000033DA0000}"/>
    <cellStyle name="Percent 6" xfId="8780" xr:uid="{00000000-0005-0000-0000-000034DA0000}"/>
    <cellStyle name="Percent 6 2" xfId="16630" xr:uid="{00000000-0005-0000-0000-000035DA0000}"/>
    <cellStyle name="Percent 6 2 2" xfId="32945" xr:uid="{00000000-0005-0000-0000-000036DA0000}"/>
    <cellStyle name="Percent 6 2 3" xfId="47909" xr:uid="{00000000-0005-0000-0000-000037DA0000}"/>
    <cellStyle name="Percent 6 3" xfId="25923" xr:uid="{00000000-0005-0000-0000-000038DA0000}"/>
    <cellStyle name="Percent 6 4" xfId="40910" xr:uid="{00000000-0005-0000-0000-000039DA0000}"/>
    <cellStyle name="Percent 6 5" xfId="50555" xr:uid="{00000000-0005-0000-0000-00003ADA0000}"/>
    <cellStyle name="Percent 6 6" xfId="54588" xr:uid="{00000000-0005-0000-0000-00003BDA0000}"/>
    <cellStyle name="Percent 7" xfId="9513" xr:uid="{00000000-0005-0000-0000-00003CDA0000}"/>
    <cellStyle name="Percent 7 2" xfId="16683" xr:uid="{00000000-0005-0000-0000-00003DDA0000}"/>
    <cellStyle name="Percent 7 2 2" xfId="32997" xr:uid="{00000000-0005-0000-0000-00003EDA0000}"/>
    <cellStyle name="Percent 7 2 3" xfId="47958" xr:uid="{00000000-0005-0000-0000-00003FDA0000}"/>
    <cellStyle name="Percent 7 3" xfId="25973" xr:uid="{00000000-0005-0000-0000-000040DA0000}"/>
    <cellStyle name="Percent 7 4" xfId="40959" xr:uid="{00000000-0005-0000-0000-000041DA0000}"/>
    <cellStyle name="Percent 8" xfId="9653" xr:uid="{00000000-0005-0000-0000-000042DA0000}"/>
    <cellStyle name="Percent 8 2" xfId="25984" xr:uid="{00000000-0005-0000-0000-000043DA0000}"/>
    <cellStyle name="Percent 8 3" xfId="40964" xr:uid="{00000000-0005-0000-0000-000044DA0000}"/>
    <cellStyle name="Percent 9" xfId="19294" xr:uid="{00000000-0005-0000-0000-000045DA0000}"/>
    <cellStyle name="Percentuale 10" xfId="852" xr:uid="{00000000-0005-0000-0000-000046DA0000}"/>
    <cellStyle name="Percentuale 10 2" xfId="853" xr:uid="{00000000-0005-0000-0000-000047DA0000}"/>
    <cellStyle name="Percentuale 10 2 2" xfId="1447" xr:uid="{00000000-0005-0000-0000-000048DA0000}"/>
    <cellStyle name="Percentuale 10 3" xfId="854" xr:uid="{00000000-0005-0000-0000-000049DA0000}"/>
    <cellStyle name="Percentuale 10 3 2" xfId="855" xr:uid="{00000000-0005-0000-0000-00004ADA0000}"/>
    <cellStyle name="Percentuale 10 3 3" xfId="17633" xr:uid="{00000000-0005-0000-0000-00004BDA0000}"/>
    <cellStyle name="Percentuale 10 3 3 2" xfId="18641" xr:uid="{00000000-0005-0000-0000-00004CDA0000}"/>
    <cellStyle name="Percentuale 10 3 4" xfId="18640" xr:uid="{00000000-0005-0000-0000-00004DDA0000}"/>
    <cellStyle name="Percentuale 10 3 5" xfId="17632" xr:uid="{00000000-0005-0000-0000-00004EDA0000}"/>
    <cellStyle name="Percentuale 10 4" xfId="9518" xr:uid="{00000000-0005-0000-0000-00004FDA0000}"/>
    <cellStyle name="Percentuale 10 4 2" xfId="17635" xr:uid="{00000000-0005-0000-0000-000050DA0000}"/>
    <cellStyle name="Percentuale 10 4 2 2" xfId="18643" xr:uid="{00000000-0005-0000-0000-000051DA0000}"/>
    <cellStyle name="Percentuale 10 4 3" xfId="18642" xr:uid="{00000000-0005-0000-0000-000052DA0000}"/>
    <cellStyle name="Percentuale 10 4 4" xfId="17634" xr:uid="{00000000-0005-0000-0000-000053DA0000}"/>
    <cellStyle name="Percentuale 10 5" xfId="9519" xr:uid="{00000000-0005-0000-0000-000054DA0000}"/>
    <cellStyle name="Percentuale 10 6" xfId="51245" xr:uid="{00000000-0005-0000-0000-000055DA0000}"/>
    <cellStyle name="Percentuale 11" xfId="856" xr:uid="{00000000-0005-0000-0000-000056DA0000}"/>
    <cellStyle name="Percentuale 11 2" xfId="857" xr:uid="{00000000-0005-0000-0000-000057DA0000}"/>
    <cellStyle name="Percentuale 11 2 2" xfId="1448" xr:uid="{00000000-0005-0000-0000-000058DA0000}"/>
    <cellStyle name="Percentuale 11 3" xfId="858" xr:uid="{00000000-0005-0000-0000-000059DA0000}"/>
    <cellStyle name="Percentuale 11 3 2" xfId="859" xr:uid="{00000000-0005-0000-0000-00005ADA0000}"/>
    <cellStyle name="Percentuale 11 3 3" xfId="17637" xr:uid="{00000000-0005-0000-0000-00005BDA0000}"/>
    <cellStyle name="Percentuale 11 3 3 2" xfId="18645" xr:uid="{00000000-0005-0000-0000-00005CDA0000}"/>
    <cellStyle name="Percentuale 11 3 4" xfId="18644" xr:uid="{00000000-0005-0000-0000-00005DDA0000}"/>
    <cellStyle name="Percentuale 11 3 5" xfId="17636" xr:uid="{00000000-0005-0000-0000-00005EDA0000}"/>
    <cellStyle name="Percentuale 11 4" xfId="9520" xr:uid="{00000000-0005-0000-0000-00005FDA0000}"/>
    <cellStyle name="Percentuale 11 4 2" xfId="17639" xr:uid="{00000000-0005-0000-0000-000060DA0000}"/>
    <cellStyle name="Percentuale 11 4 2 2" xfId="18647" xr:uid="{00000000-0005-0000-0000-000061DA0000}"/>
    <cellStyle name="Percentuale 11 4 3" xfId="18646" xr:uid="{00000000-0005-0000-0000-000062DA0000}"/>
    <cellStyle name="Percentuale 11 4 4" xfId="17638" xr:uid="{00000000-0005-0000-0000-000063DA0000}"/>
    <cellStyle name="Percentuale 11 5" xfId="9521" xr:uid="{00000000-0005-0000-0000-000064DA0000}"/>
    <cellStyle name="Percentuale 11 6" xfId="51246" xr:uid="{00000000-0005-0000-0000-000065DA0000}"/>
    <cellStyle name="Percentuale 12" xfId="860" xr:uid="{00000000-0005-0000-0000-000066DA0000}"/>
    <cellStyle name="Percentuale 12 2" xfId="861" xr:uid="{00000000-0005-0000-0000-000067DA0000}"/>
    <cellStyle name="Percentuale 12 2 2" xfId="1449" xr:uid="{00000000-0005-0000-0000-000068DA0000}"/>
    <cellStyle name="Percentuale 12 3" xfId="862" xr:uid="{00000000-0005-0000-0000-000069DA0000}"/>
    <cellStyle name="Percentuale 12 3 2" xfId="863" xr:uid="{00000000-0005-0000-0000-00006ADA0000}"/>
    <cellStyle name="Percentuale 12 3 3" xfId="17641" xr:uid="{00000000-0005-0000-0000-00006BDA0000}"/>
    <cellStyle name="Percentuale 12 3 3 2" xfId="18649" xr:uid="{00000000-0005-0000-0000-00006CDA0000}"/>
    <cellStyle name="Percentuale 12 3 4" xfId="18648" xr:uid="{00000000-0005-0000-0000-00006DDA0000}"/>
    <cellStyle name="Percentuale 12 3 5" xfId="17640" xr:uid="{00000000-0005-0000-0000-00006EDA0000}"/>
    <cellStyle name="Percentuale 12 4" xfId="9522" xr:uid="{00000000-0005-0000-0000-00006FDA0000}"/>
    <cellStyle name="Percentuale 12 4 2" xfId="17643" xr:uid="{00000000-0005-0000-0000-000070DA0000}"/>
    <cellStyle name="Percentuale 12 4 2 2" xfId="18651" xr:uid="{00000000-0005-0000-0000-000071DA0000}"/>
    <cellStyle name="Percentuale 12 4 3" xfId="18650" xr:uid="{00000000-0005-0000-0000-000072DA0000}"/>
    <cellStyle name="Percentuale 12 4 4" xfId="17642" xr:uid="{00000000-0005-0000-0000-000073DA0000}"/>
    <cellStyle name="Percentuale 12 5" xfId="9523" xr:uid="{00000000-0005-0000-0000-000074DA0000}"/>
    <cellStyle name="Percentuale 12 6" xfId="50547" xr:uid="{00000000-0005-0000-0000-000075DA0000}"/>
    <cellStyle name="Percentuale 13" xfId="864" xr:uid="{00000000-0005-0000-0000-000076DA0000}"/>
    <cellStyle name="Percentuale 13 2" xfId="865" xr:uid="{00000000-0005-0000-0000-000077DA0000}"/>
    <cellStyle name="Percentuale 13 2 2" xfId="1450" xr:uid="{00000000-0005-0000-0000-000078DA0000}"/>
    <cellStyle name="Percentuale 13 3" xfId="866" xr:uid="{00000000-0005-0000-0000-000079DA0000}"/>
    <cellStyle name="Percentuale 13 3 2" xfId="867" xr:uid="{00000000-0005-0000-0000-00007ADA0000}"/>
    <cellStyle name="Percentuale 13 3 3" xfId="17645" xr:uid="{00000000-0005-0000-0000-00007BDA0000}"/>
    <cellStyle name="Percentuale 13 3 3 2" xfId="18653" xr:uid="{00000000-0005-0000-0000-00007CDA0000}"/>
    <cellStyle name="Percentuale 13 3 4" xfId="18652" xr:uid="{00000000-0005-0000-0000-00007DDA0000}"/>
    <cellStyle name="Percentuale 13 3 5" xfId="17644" xr:uid="{00000000-0005-0000-0000-00007EDA0000}"/>
    <cellStyle name="Percentuale 13 4" xfId="9524" xr:uid="{00000000-0005-0000-0000-00007FDA0000}"/>
    <cellStyle name="Percentuale 13 4 2" xfId="17647" xr:uid="{00000000-0005-0000-0000-000080DA0000}"/>
    <cellStyle name="Percentuale 13 4 2 2" xfId="18655" xr:uid="{00000000-0005-0000-0000-000081DA0000}"/>
    <cellStyle name="Percentuale 13 4 3" xfId="18654" xr:uid="{00000000-0005-0000-0000-000082DA0000}"/>
    <cellStyle name="Percentuale 13 4 4" xfId="17646" xr:uid="{00000000-0005-0000-0000-000083DA0000}"/>
    <cellStyle name="Percentuale 13 5" xfId="9525" xr:uid="{00000000-0005-0000-0000-000084DA0000}"/>
    <cellStyle name="Percentuale 13 6" xfId="51174" xr:uid="{00000000-0005-0000-0000-000085DA0000}"/>
    <cellStyle name="Percentuale 14" xfId="868" xr:uid="{00000000-0005-0000-0000-000086DA0000}"/>
    <cellStyle name="Percentuale 14 2" xfId="869" xr:uid="{00000000-0005-0000-0000-000087DA0000}"/>
    <cellStyle name="Percentuale 14 2 2" xfId="1451" xr:uid="{00000000-0005-0000-0000-000088DA0000}"/>
    <cellStyle name="Percentuale 14 3" xfId="870" xr:uid="{00000000-0005-0000-0000-000089DA0000}"/>
    <cellStyle name="Percentuale 14 3 2" xfId="871" xr:uid="{00000000-0005-0000-0000-00008ADA0000}"/>
    <cellStyle name="Percentuale 14 3 3" xfId="17649" xr:uid="{00000000-0005-0000-0000-00008BDA0000}"/>
    <cellStyle name="Percentuale 14 3 3 2" xfId="18657" xr:uid="{00000000-0005-0000-0000-00008CDA0000}"/>
    <cellStyle name="Percentuale 14 3 4" xfId="18656" xr:uid="{00000000-0005-0000-0000-00008DDA0000}"/>
    <cellStyle name="Percentuale 14 3 5" xfId="17648" xr:uid="{00000000-0005-0000-0000-00008EDA0000}"/>
    <cellStyle name="Percentuale 14 4" xfId="9526" xr:uid="{00000000-0005-0000-0000-00008FDA0000}"/>
    <cellStyle name="Percentuale 14 4 2" xfId="17651" xr:uid="{00000000-0005-0000-0000-000090DA0000}"/>
    <cellStyle name="Percentuale 14 4 2 2" xfId="18659" xr:uid="{00000000-0005-0000-0000-000091DA0000}"/>
    <cellStyle name="Percentuale 14 4 3" xfId="18658" xr:uid="{00000000-0005-0000-0000-000092DA0000}"/>
    <cellStyle name="Percentuale 14 4 4" xfId="17650" xr:uid="{00000000-0005-0000-0000-000093DA0000}"/>
    <cellStyle name="Percentuale 14 5" xfId="9527" xr:uid="{00000000-0005-0000-0000-000094DA0000}"/>
    <cellStyle name="Percentuale 14 6" xfId="51006" xr:uid="{00000000-0005-0000-0000-000095DA0000}"/>
    <cellStyle name="Percentuale 15" xfId="872" xr:uid="{00000000-0005-0000-0000-000096DA0000}"/>
    <cellStyle name="Percentuale 15 2" xfId="873" xr:uid="{00000000-0005-0000-0000-000097DA0000}"/>
    <cellStyle name="Percentuale 15 2 2" xfId="1452" xr:uid="{00000000-0005-0000-0000-000098DA0000}"/>
    <cellStyle name="Percentuale 15 3" xfId="874" xr:uid="{00000000-0005-0000-0000-000099DA0000}"/>
    <cellStyle name="Percentuale 15 3 2" xfId="875" xr:uid="{00000000-0005-0000-0000-00009ADA0000}"/>
    <cellStyle name="Percentuale 15 3 3" xfId="17653" xr:uid="{00000000-0005-0000-0000-00009BDA0000}"/>
    <cellStyle name="Percentuale 15 3 3 2" xfId="18661" xr:uid="{00000000-0005-0000-0000-00009CDA0000}"/>
    <cellStyle name="Percentuale 15 3 4" xfId="18660" xr:uid="{00000000-0005-0000-0000-00009DDA0000}"/>
    <cellStyle name="Percentuale 15 3 5" xfId="17652" xr:uid="{00000000-0005-0000-0000-00009EDA0000}"/>
    <cellStyle name="Percentuale 15 4" xfId="9528" xr:uid="{00000000-0005-0000-0000-00009FDA0000}"/>
    <cellStyle name="Percentuale 15 4 2" xfId="17655" xr:uid="{00000000-0005-0000-0000-0000A0DA0000}"/>
    <cellStyle name="Percentuale 15 4 2 2" xfId="18663" xr:uid="{00000000-0005-0000-0000-0000A1DA0000}"/>
    <cellStyle name="Percentuale 15 4 3" xfId="18662" xr:uid="{00000000-0005-0000-0000-0000A2DA0000}"/>
    <cellStyle name="Percentuale 15 4 4" xfId="17654" xr:uid="{00000000-0005-0000-0000-0000A3DA0000}"/>
    <cellStyle name="Percentuale 15 5" xfId="9529" xr:uid="{00000000-0005-0000-0000-0000A4DA0000}"/>
    <cellStyle name="Percentuale 15 6" xfId="50957" xr:uid="{00000000-0005-0000-0000-0000A5DA0000}"/>
    <cellStyle name="Percentuale 16" xfId="876" xr:uid="{00000000-0005-0000-0000-0000A6DA0000}"/>
    <cellStyle name="Percentuale 16 2" xfId="877" xr:uid="{00000000-0005-0000-0000-0000A7DA0000}"/>
    <cellStyle name="Percentuale 16 2 2" xfId="1453" xr:uid="{00000000-0005-0000-0000-0000A8DA0000}"/>
    <cellStyle name="Percentuale 16 3" xfId="878" xr:uid="{00000000-0005-0000-0000-0000A9DA0000}"/>
    <cellStyle name="Percentuale 16 3 2" xfId="879" xr:uid="{00000000-0005-0000-0000-0000AADA0000}"/>
    <cellStyle name="Percentuale 16 3 3" xfId="17657" xr:uid="{00000000-0005-0000-0000-0000ABDA0000}"/>
    <cellStyle name="Percentuale 16 3 3 2" xfId="18665" xr:uid="{00000000-0005-0000-0000-0000ACDA0000}"/>
    <cellStyle name="Percentuale 16 3 4" xfId="18664" xr:uid="{00000000-0005-0000-0000-0000ADDA0000}"/>
    <cellStyle name="Percentuale 16 3 5" xfId="17656" xr:uid="{00000000-0005-0000-0000-0000AEDA0000}"/>
    <cellStyle name="Percentuale 16 4" xfId="9530" xr:uid="{00000000-0005-0000-0000-0000AFDA0000}"/>
    <cellStyle name="Percentuale 16 4 2" xfId="17659" xr:uid="{00000000-0005-0000-0000-0000B0DA0000}"/>
    <cellStyle name="Percentuale 16 4 2 2" xfId="18667" xr:uid="{00000000-0005-0000-0000-0000B1DA0000}"/>
    <cellStyle name="Percentuale 16 4 3" xfId="18666" xr:uid="{00000000-0005-0000-0000-0000B2DA0000}"/>
    <cellStyle name="Percentuale 16 4 4" xfId="17658" xr:uid="{00000000-0005-0000-0000-0000B3DA0000}"/>
    <cellStyle name="Percentuale 16 5" xfId="9531" xr:uid="{00000000-0005-0000-0000-0000B4DA0000}"/>
    <cellStyle name="Percentuale 16 6" xfId="51247" xr:uid="{00000000-0005-0000-0000-0000B5DA0000}"/>
    <cellStyle name="Percentuale 17" xfId="880" xr:uid="{00000000-0005-0000-0000-0000B6DA0000}"/>
    <cellStyle name="Percentuale 17 2" xfId="881" xr:uid="{00000000-0005-0000-0000-0000B7DA0000}"/>
    <cellStyle name="Percentuale 17 2 2" xfId="1454" xr:uid="{00000000-0005-0000-0000-0000B8DA0000}"/>
    <cellStyle name="Percentuale 17 3" xfId="882" xr:uid="{00000000-0005-0000-0000-0000B9DA0000}"/>
    <cellStyle name="Percentuale 17 3 2" xfId="883" xr:uid="{00000000-0005-0000-0000-0000BADA0000}"/>
    <cellStyle name="Percentuale 17 3 3" xfId="17661" xr:uid="{00000000-0005-0000-0000-0000BBDA0000}"/>
    <cellStyle name="Percentuale 17 3 3 2" xfId="18669" xr:uid="{00000000-0005-0000-0000-0000BCDA0000}"/>
    <cellStyle name="Percentuale 17 3 4" xfId="18668" xr:uid="{00000000-0005-0000-0000-0000BDDA0000}"/>
    <cellStyle name="Percentuale 17 3 5" xfId="17660" xr:uid="{00000000-0005-0000-0000-0000BEDA0000}"/>
    <cellStyle name="Percentuale 17 4" xfId="9532" xr:uid="{00000000-0005-0000-0000-0000BFDA0000}"/>
    <cellStyle name="Percentuale 17 4 2" xfId="17663" xr:uid="{00000000-0005-0000-0000-0000C0DA0000}"/>
    <cellStyle name="Percentuale 17 4 2 2" xfId="18671" xr:uid="{00000000-0005-0000-0000-0000C1DA0000}"/>
    <cellStyle name="Percentuale 17 4 3" xfId="18670" xr:uid="{00000000-0005-0000-0000-0000C2DA0000}"/>
    <cellStyle name="Percentuale 17 4 4" xfId="17662" xr:uid="{00000000-0005-0000-0000-0000C3DA0000}"/>
    <cellStyle name="Percentuale 17 5" xfId="9533" xr:uid="{00000000-0005-0000-0000-0000C4DA0000}"/>
    <cellStyle name="Percentuale 17 6" xfId="51013" xr:uid="{00000000-0005-0000-0000-0000C5DA0000}"/>
    <cellStyle name="Percentuale 18" xfId="884" xr:uid="{00000000-0005-0000-0000-0000C6DA0000}"/>
    <cellStyle name="Percentuale 18 2" xfId="885" xr:uid="{00000000-0005-0000-0000-0000C7DA0000}"/>
    <cellStyle name="Percentuale 18 2 2" xfId="1455" xr:uid="{00000000-0005-0000-0000-0000C8DA0000}"/>
    <cellStyle name="Percentuale 18 3" xfId="886" xr:uid="{00000000-0005-0000-0000-0000C9DA0000}"/>
    <cellStyle name="Percentuale 18 3 2" xfId="887" xr:uid="{00000000-0005-0000-0000-0000CADA0000}"/>
    <cellStyle name="Percentuale 18 3 3" xfId="17665" xr:uid="{00000000-0005-0000-0000-0000CBDA0000}"/>
    <cellStyle name="Percentuale 18 3 3 2" xfId="18673" xr:uid="{00000000-0005-0000-0000-0000CCDA0000}"/>
    <cellStyle name="Percentuale 18 3 4" xfId="18672" xr:uid="{00000000-0005-0000-0000-0000CDDA0000}"/>
    <cellStyle name="Percentuale 18 3 5" xfId="17664" xr:uid="{00000000-0005-0000-0000-0000CEDA0000}"/>
    <cellStyle name="Percentuale 18 4" xfId="9534" xr:uid="{00000000-0005-0000-0000-0000CFDA0000}"/>
    <cellStyle name="Percentuale 18 4 2" xfId="17667" xr:uid="{00000000-0005-0000-0000-0000D0DA0000}"/>
    <cellStyle name="Percentuale 18 4 2 2" xfId="18675" xr:uid="{00000000-0005-0000-0000-0000D1DA0000}"/>
    <cellStyle name="Percentuale 18 4 3" xfId="18674" xr:uid="{00000000-0005-0000-0000-0000D2DA0000}"/>
    <cellStyle name="Percentuale 18 4 4" xfId="17666" xr:uid="{00000000-0005-0000-0000-0000D3DA0000}"/>
    <cellStyle name="Percentuale 18 5" xfId="9535" xr:uid="{00000000-0005-0000-0000-0000D4DA0000}"/>
    <cellStyle name="Percentuale 18 6" xfId="51155" xr:uid="{00000000-0005-0000-0000-0000D5DA0000}"/>
    <cellStyle name="Percentuale 19" xfId="888" xr:uid="{00000000-0005-0000-0000-0000D6DA0000}"/>
    <cellStyle name="Percentuale 19 2" xfId="889" xr:uid="{00000000-0005-0000-0000-0000D7DA0000}"/>
    <cellStyle name="Percentuale 19 2 2" xfId="1456" xr:uid="{00000000-0005-0000-0000-0000D8DA0000}"/>
    <cellStyle name="Percentuale 19 3" xfId="890" xr:uid="{00000000-0005-0000-0000-0000D9DA0000}"/>
    <cellStyle name="Percentuale 19 3 2" xfId="891" xr:uid="{00000000-0005-0000-0000-0000DADA0000}"/>
    <cellStyle name="Percentuale 19 3 3" xfId="17669" xr:uid="{00000000-0005-0000-0000-0000DBDA0000}"/>
    <cellStyle name="Percentuale 19 3 3 2" xfId="18677" xr:uid="{00000000-0005-0000-0000-0000DCDA0000}"/>
    <cellStyle name="Percentuale 19 3 4" xfId="18676" xr:uid="{00000000-0005-0000-0000-0000DDDA0000}"/>
    <cellStyle name="Percentuale 19 3 5" xfId="17668" xr:uid="{00000000-0005-0000-0000-0000DEDA0000}"/>
    <cellStyle name="Percentuale 19 4" xfId="9536" xr:uid="{00000000-0005-0000-0000-0000DFDA0000}"/>
    <cellStyle name="Percentuale 19 4 2" xfId="17671" xr:uid="{00000000-0005-0000-0000-0000E0DA0000}"/>
    <cellStyle name="Percentuale 19 4 2 2" xfId="18679" xr:uid="{00000000-0005-0000-0000-0000E1DA0000}"/>
    <cellStyle name="Percentuale 19 4 3" xfId="18678" xr:uid="{00000000-0005-0000-0000-0000E2DA0000}"/>
    <cellStyle name="Percentuale 19 4 4" xfId="17670" xr:uid="{00000000-0005-0000-0000-0000E3DA0000}"/>
    <cellStyle name="Percentuale 19 5" xfId="9537" xr:uid="{00000000-0005-0000-0000-0000E4DA0000}"/>
    <cellStyle name="Percentuale 19 6" xfId="50956" xr:uid="{00000000-0005-0000-0000-0000E5DA0000}"/>
    <cellStyle name="Percentuale 2" xfId="892" xr:uid="{00000000-0005-0000-0000-0000E6DA0000}"/>
    <cellStyle name="Percentuale 2 2" xfId="893" xr:uid="{00000000-0005-0000-0000-0000E7DA0000}"/>
    <cellStyle name="Percentuale 2 2 2" xfId="1457" xr:uid="{00000000-0005-0000-0000-0000E8DA0000}"/>
    <cellStyle name="Percentuale 2 3" xfId="894" xr:uid="{00000000-0005-0000-0000-0000E9DA0000}"/>
    <cellStyle name="Percentuale 2 3 2" xfId="895" xr:uid="{00000000-0005-0000-0000-0000EADA0000}"/>
    <cellStyle name="Percentuale 2 3 3" xfId="17673" xr:uid="{00000000-0005-0000-0000-0000EBDA0000}"/>
    <cellStyle name="Percentuale 2 3 3 2" xfId="18681" xr:uid="{00000000-0005-0000-0000-0000ECDA0000}"/>
    <cellStyle name="Percentuale 2 3 4" xfId="18680" xr:uid="{00000000-0005-0000-0000-0000EDDA0000}"/>
    <cellStyle name="Percentuale 2 3 5" xfId="17672" xr:uid="{00000000-0005-0000-0000-0000EEDA0000}"/>
    <cellStyle name="Percentuale 2 4" xfId="9538" xr:uid="{00000000-0005-0000-0000-0000EFDA0000}"/>
    <cellStyle name="Percentuale 2 4 2" xfId="17675" xr:uid="{00000000-0005-0000-0000-0000F0DA0000}"/>
    <cellStyle name="Percentuale 2 4 2 2" xfId="18683" xr:uid="{00000000-0005-0000-0000-0000F1DA0000}"/>
    <cellStyle name="Percentuale 2 4 3" xfId="18682" xr:uid="{00000000-0005-0000-0000-0000F2DA0000}"/>
    <cellStyle name="Percentuale 2 4 4" xfId="17674" xr:uid="{00000000-0005-0000-0000-0000F3DA0000}"/>
    <cellStyle name="Percentuale 2 5" xfId="9539" xr:uid="{00000000-0005-0000-0000-0000F4DA0000}"/>
    <cellStyle name="Percentuale 2 6" xfId="50546" xr:uid="{00000000-0005-0000-0000-0000F5DA0000}"/>
    <cellStyle name="Percentuale 20" xfId="896" xr:uid="{00000000-0005-0000-0000-0000F6DA0000}"/>
    <cellStyle name="Percentuale 20 2" xfId="897" xr:uid="{00000000-0005-0000-0000-0000F7DA0000}"/>
    <cellStyle name="Percentuale 20 2 2" xfId="1458" xr:uid="{00000000-0005-0000-0000-0000F8DA0000}"/>
    <cellStyle name="Percentuale 20 3" xfId="898" xr:uid="{00000000-0005-0000-0000-0000F9DA0000}"/>
    <cellStyle name="Percentuale 20 3 2" xfId="899" xr:uid="{00000000-0005-0000-0000-0000FADA0000}"/>
    <cellStyle name="Percentuale 20 3 3" xfId="17677" xr:uid="{00000000-0005-0000-0000-0000FBDA0000}"/>
    <cellStyle name="Percentuale 20 3 3 2" xfId="18685" xr:uid="{00000000-0005-0000-0000-0000FCDA0000}"/>
    <cellStyle name="Percentuale 20 3 4" xfId="18684" xr:uid="{00000000-0005-0000-0000-0000FDDA0000}"/>
    <cellStyle name="Percentuale 20 3 5" xfId="17676" xr:uid="{00000000-0005-0000-0000-0000FEDA0000}"/>
    <cellStyle name="Percentuale 20 4" xfId="9540" xr:uid="{00000000-0005-0000-0000-0000FFDA0000}"/>
    <cellStyle name="Percentuale 20 4 2" xfId="17679" xr:uid="{00000000-0005-0000-0000-000000DB0000}"/>
    <cellStyle name="Percentuale 20 4 2 2" xfId="18687" xr:uid="{00000000-0005-0000-0000-000001DB0000}"/>
    <cellStyle name="Percentuale 20 4 3" xfId="18686" xr:uid="{00000000-0005-0000-0000-000002DB0000}"/>
    <cellStyle name="Percentuale 20 4 4" xfId="17678" xr:uid="{00000000-0005-0000-0000-000003DB0000}"/>
    <cellStyle name="Percentuale 20 5" xfId="9541" xr:uid="{00000000-0005-0000-0000-000004DB0000}"/>
    <cellStyle name="Percentuale 20 6" xfId="50954" xr:uid="{00000000-0005-0000-0000-000005DB0000}"/>
    <cellStyle name="Percentuale 21" xfId="900" xr:uid="{00000000-0005-0000-0000-000006DB0000}"/>
    <cellStyle name="Percentuale 21 2" xfId="901" xr:uid="{00000000-0005-0000-0000-000007DB0000}"/>
    <cellStyle name="Percentuale 21 2 2" xfId="1459" xr:uid="{00000000-0005-0000-0000-000008DB0000}"/>
    <cellStyle name="Percentuale 21 3" xfId="902" xr:uid="{00000000-0005-0000-0000-000009DB0000}"/>
    <cellStyle name="Percentuale 21 3 2" xfId="903" xr:uid="{00000000-0005-0000-0000-00000ADB0000}"/>
    <cellStyle name="Percentuale 21 3 3" xfId="17681" xr:uid="{00000000-0005-0000-0000-00000BDB0000}"/>
    <cellStyle name="Percentuale 21 3 3 2" xfId="18689" xr:uid="{00000000-0005-0000-0000-00000CDB0000}"/>
    <cellStyle name="Percentuale 21 3 4" xfId="18688" xr:uid="{00000000-0005-0000-0000-00000DDB0000}"/>
    <cellStyle name="Percentuale 21 3 5" xfId="17680" xr:uid="{00000000-0005-0000-0000-00000EDB0000}"/>
    <cellStyle name="Percentuale 21 4" xfId="9542" xr:uid="{00000000-0005-0000-0000-00000FDB0000}"/>
    <cellStyle name="Percentuale 21 4 2" xfId="17683" xr:uid="{00000000-0005-0000-0000-000010DB0000}"/>
    <cellStyle name="Percentuale 21 4 2 2" xfId="18691" xr:uid="{00000000-0005-0000-0000-000011DB0000}"/>
    <cellStyle name="Percentuale 21 4 3" xfId="18690" xr:uid="{00000000-0005-0000-0000-000012DB0000}"/>
    <cellStyle name="Percentuale 21 4 4" xfId="17682" xr:uid="{00000000-0005-0000-0000-000013DB0000}"/>
    <cellStyle name="Percentuale 21 5" xfId="9543" xr:uid="{00000000-0005-0000-0000-000014DB0000}"/>
    <cellStyle name="Percentuale 21 6" xfId="51248" xr:uid="{00000000-0005-0000-0000-000015DB0000}"/>
    <cellStyle name="Percentuale 22" xfId="904" xr:uid="{00000000-0005-0000-0000-000016DB0000}"/>
    <cellStyle name="Percentuale 22 2" xfId="905" xr:uid="{00000000-0005-0000-0000-000017DB0000}"/>
    <cellStyle name="Percentuale 22 2 2" xfId="1460" xr:uid="{00000000-0005-0000-0000-000018DB0000}"/>
    <cellStyle name="Percentuale 22 3" xfId="906" xr:uid="{00000000-0005-0000-0000-000019DB0000}"/>
    <cellStyle name="Percentuale 22 3 2" xfId="907" xr:uid="{00000000-0005-0000-0000-00001ADB0000}"/>
    <cellStyle name="Percentuale 22 3 3" xfId="17685" xr:uid="{00000000-0005-0000-0000-00001BDB0000}"/>
    <cellStyle name="Percentuale 22 3 3 2" xfId="18693" xr:uid="{00000000-0005-0000-0000-00001CDB0000}"/>
    <cellStyle name="Percentuale 22 3 4" xfId="18692" xr:uid="{00000000-0005-0000-0000-00001DDB0000}"/>
    <cellStyle name="Percentuale 22 3 5" xfId="17684" xr:uid="{00000000-0005-0000-0000-00001EDB0000}"/>
    <cellStyle name="Percentuale 22 4" xfId="9544" xr:uid="{00000000-0005-0000-0000-00001FDB0000}"/>
    <cellStyle name="Percentuale 22 4 2" xfId="17687" xr:uid="{00000000-0005-0000-0000-000020DB0000}"/>
    <cellStyle name="Percentuale 22 4 2 2" xfId="18695" xr:uid="{00000000-0005-0000-0000-000021DB0000}"/>
    <cellStyle name="Percentuale 22 4 3" xfId="18694" xr:uid="{00000000-0005-0000-0000-000022DB0000}"/>
    <cellStyle name="Percentuale 22 4 4" xfId="17686" xr:uid="{00000000-0005-0000-0000-000023DB0000}"/>
    <cellStyle name="Percentuale 22 5" xfId="9545" xr:uid="{00000000-0005-0000-0000-000024DB0000}"/>
    <cellStyle name="Percentuale 22 6" xfId="50955" xr:uid="{00000000-0005-0000-0000-000025DB0000}"/>
    <cellStyle name="Percentuale 23" xfId="908" xr:uid="{00000000-0005-0000-0000-000026DB0000}"/>
    <cellStyle name="Percentuale 23 2" xfId="909" xr:uid="{00000000-0005-0000-0000-000027DB0000}"/>
    <cellStyle name="Percentuale 23 2 2" xfId="1461" xr:uid="{00000000-0005-0000-0000-000028DB0000}"/>
    <cellStyle name="Percentuale 23 3" xfId="910" xr:uid="{00000000-0005-0000-0000-000029DB0000}"/>
    <cellStyle name="Percentuale 23 3 2" xfId="911" xr:uid="{00000000-0005-0000-0000-00002ADB0000}"/>
    <cellStyle name="Percentuale 23 3 3" xfId="17689" xr:uid="{00000000-0005-0000-0000-00002BDB0000}"/>
    <cellStyle name="Percentuale 23 3 3 2" xfId="18697" xr:uid="{00000000-0005-0000-0000-00002CDB0000}"/>
    <cellStyle name="Percentuale 23 3 4" xfId="18696" xr:uid="{00000000-0005-0000-0000-00002DDB0000}"/>
    <cellStyle name="Percentuale 23 3 5" xfId="17688" xr:uid="{00000000-0005-0000-0000-00002EDB0000}"/>
    <cellStyle name="Percentuale 23 4" xfId="9546" xr:uid="{00000000-0005-0000-0000-00002FDB0000}"/>
    <cellStyle name="Percentuale 23 4 2" xfId="17691" xr:uid="{00000000-0005-0000-0000-000030DB0000}"/>
    <cellStyle name="Percentuale 23 4 2 2" xfId="18699" xr:uid="{00000000-0005-0000-0000-000031DB0000}"/>
    <cellStyle name="Percentuale 23 4 3" xfId="18698" xr:uid="{00000000-0005-0000-0000-000032DB0000}"/>
    <cellStyle name="Percentuale 23 4 4" xfId="17690" xr:uid="{00000000-0005-0000-0000-000033DB0000}"/>
    <cellStyle name="Percentuale 23 5" xfId="9547" xr:uid="{00000000-0005-0000-0000-000034DB0000}"/>
    <cellStyle name="Percentuale 23 6" xfId="50545" xr:uid="{00000000-0005-0000-0000-000035DB0000}"/>
    <cellStyle name="Percentuale 24" xfId="912" xr:uid="{00000000-0005-0000-0000-000036DB0000}"/>
    <cellStyle name="Percentuale 24 2" xfId="913" xr:uid="{00000000-0005-0000-0000-000037DB0000}"/>
    <cellStyle name="Percentuale 24 2 2" xfId="1462" xr:uid="{00000000-0005-0000-0000-000038DB0000}"/>
    <cellStyle name="Percentuale 24 3" xfId="914" xr:uid="{00000000-0005-0000-0000-000039DB0000}"/>
    <cellStyle name="Percentuale 24 3 2" xfId="915" xr:uid="{00000000-0005-0000-0000-00003ADB0000}"/>
    <cellStyle name="Percentuale 24 3 3" xfId="17693" xr:uid="{00000000-0005-0000-0000-00003BDB0000}"/>
    <cellStyle name="Percentuale 24 3 3 2" xfId="18701" xr:uid="{00000000-0005-0000-0000-00003CDB0000}"/>
    <cellStyle name="Percentuale 24 3 4" xfId="18700" xr:uid="{00000000-0005-0000-0000-00003DDB0000}"/>
    <cellStyle name="Percentuale 24 3 5" xfId="17692" xr:uid="{00000000-0005-0000-0000-00003EDB0000}"/>
    <cellStyle name="Percentuale 24 4" xfId="9548" xr:uid="{00000000-0005-0000-0000-00003FDB0000}"/>
    <cellStyle name="Percentuale 24 4 2" xfId="17695" xr:uid="{00000000-0005-0000-0000-000040DB0000}"/>
    <cellStyle name="Percentuale 24 4 2 2" xfId="18703" xr:uid="{00000000-0005-0000-0000-000041DB0000}"/>
    <cellStyle name="Percentuale 24 4 3" xfId="18702" xr:uid="{00000000-0005-0000-0000-000042DB0000}"/>
    <cellStyle name="Percentuale 24 4 4" xfId="17694" xr:uid="{00000000-0005-0000-0000-000043DB0000}"/>
    <cellStyle name="Percentuale 24 5" xfId="9549" xr:uid="{00000000-0005-0000-0000-000044DB0000}"/>
    <cellStyle name="Percentuale 24 6" xfId="50953" xr:uid="{00000000-0005-0000-0000-000045DB0000}"/>
    <cellStyle name="Percentuale 25" xfId="916" xr:uid="{00000000-0005-0000-0000-000046DB0000}"/>
    <cellStyle name="Percentuale 25 2" xfId="917" xr:uid="{00000000-0005-0000-0000-000047DB0000}"/>
    <cellStyle name="Percentuale 25 2 2" xfId="1463" xr:uid="{00000000-0005-0000-0000-000048DB0000}"/>
    <cellStyle name="Percentuale 25 3" xfId="918" xr:uid="{00000000-0005-0000-0000-000049DB0000}"/>
    <cellStyle name="Percentuale 25 3 2" xfId="919" xr:uid="{00000000-0005-0000-0000-00004ADB0000}"/>
    <cellStyle name="Percentuale 25 3 3" xfId="17697" xr:uid="{00000000-0005-0000-0000-00004BDB0000}"/>
    <cellStyle name="Percentuale 25 3 3 2" xfId="18705" xr:uid="{00000000-0005-0000-0000-00004CDB0000}"/>
    <cellStyle name="Percentuale 25 3 4" xfId="18704" xr:uid="{00000000-0005-0000-0000-00004DDB0000}"/>
    <cellStyle name="Percentuale 25 3 5" xfId="17696" xr:uid="{00000000-0005-0000-0000-00004EDB0000}"/>
    <cellStyle name="Percentuale 25 4" xfId="9550" xr:uid="{00000000-0005-0000-0000-00004FDB0000}"/>
    <cellStyle name="Percentuale 25 4 2" xfId="17699" xr:uid="{00000000-0005-0000-0000-000050DB0000}"/>
    <cellStyle name="Percentuale 25 4 2 2" xfId="18707" xr:uid="{00000000-0005-0000-0000-000051DB0000}"/>
    <cellStyle name="Percentuale 25 4 3" xfId="18706" xr:uid="{00000000-0005-0000-0000-000052DB0000}"/>
    <cellStyle name="Percentuale 25 4 4" xfId="17698" xr:uid="{00000000-0005-0000-0000-000053DB0000}"/>
    <cellStyle name="Percentuale 25 5" xfId="9551" xr:uid="{00000000-0005-0000-0000-000054DB0000}"/>
    <cellStyle name="Percentuale 25 6" xfId="51249" xr:uid="{00000000-0005-0000-0000-000055DB0000}"/>
    <cellStyle name="Percentuale 26" xfId="920" xr:uid="{00000000-0005-0000-0000-000056DB0000}"/>
    <cellStyle name="Percentuale 26 2" xfId="921" xr:uid="{00000000-0005-0000-0000-000057DB0000}"/>
    <cellStyle name="Percentuale 26 2 2" xfId="1464" xr:uid="{00000000-0005-0000-0000-000058DB0000}"/>
    <cellStyle name="Percentuale 26 3" xfId="922" xr:uid="{00000000-0005-0000-0000-000059DB0000}"/>
    <cellStyle name="Percentuale 26 3 2" xfId="923" xr:uid="{00000000-0005-0000-0000-00005ADB0000}"/>
    <cellStyle name="Percentuale 26 3 3" xfId="17701" xr:uid="{00000000-0005-0000-0000-00005BDB0000}"/>
    <cellStyle name="Percentuale 26 3 3 2" xfId="18709" xr:uid="{00000000-0005-0000-0000-00005CDB0000}"/>
    <cellStyle name="Percentuale 26 3 4" xfId="18708" xr:uid="{00000000-0005-0000-0000-00005DDB0000}"/>
    <cellStyle name="Percentuale 26 3 5" xfId="17700" xr:uid="{00000000-0005-0000-0000-00005EDB0000}"/>
    <cellStyle name="Percentuale 26 4" xfId="9552" xr:uid="{00000000-0005-0000-0000-00005FDB0000}"/>
    <cellStyle name="Percentuale 26 4 2" xfId="17703" xr:uid="{00000000-0005-0000-0000-000060DB0000}"/>
    <cellStyle name="Percentuale 26 4 2 2" xfId="18711" xr:uid="{00000000-0005-0000-0000-000061DB0000}"/>
    <cellStyle name="Percentuale 26 4 3" xfId="18710" xr:uid="{00000000-0005-0000-0000-000062DB0000}"/>
    <cellStyle name="Percentuale 26 4 4" xfId="17702" xr:uid="{00000000-0005-0000-0000-000063DB0000}"/>
    <cellStyle name="Percentuale 26 5" xfId="9553" xr:uid="{00000000-0005-0000-0000-000064DB0000}"/>
    <cellStyle name="Percentuale 26 6" xfId="51250" xr:uid="{00000000-0005-0000-0000-000065DB0000}"/>
    <cellStyle name="Percentuale 27" xfId="924" xr:uid="{00000000-0005-0000-0000-000066DB0000}"/>
    <cellStyle name="Percentuale 27 2" xfId="925" xr:uid="{00000000-0005-0000-0000-000067DB0000}"/>
    <cellStyle name="Percentuale 27 2 2" xfId="1465" xr:uid="{00000000-0005-0000-0000-000068DB0000}"/>
    <cellStyle name="Percentuale 27 3" xfId="926" xr:uid="{00000000-0005-0000-0000-000069DB0000}"/>
    <cellStyle name="Percentuale 27 3 2" xfId="927" xr:uid="{00000000-0005-0000-0000-00006ADB0000}"/>
    <cellStyle name="Percentuale 27 3 3" xfId="17705" xr:uid="{00000000-0005-0000-0000-00006BDB0000}"/>
    <cellStyle name="Percentuale 27 3 3 2" xfId="18713" xr:uid="{00000000-0005-0000-0000-00006CDB0000}"/>
    <cellStyle name="Percentuale 27 3 4" xfId="18712" xr:uid="{00000000-0005-0000-0000-00006DDB0000}"/>
    <cellStyle name="Percentuale 27 3 5" xfId="17704" xr:uid="{00000000-0005-0000-0000-00006EDB0000}"/>
    <cellStyle name="Percentuale 27 4" xfId="9554" xr:uid="{00000000-0005-0000-0000-00006FDB0000}"/>
    <cellStyle name="Percentuale 27 4 2" xfId="17707" xr:uid="{00000000-0005-0000-0000-000070DB0000}"/>
    <cellStyle name="Percentuale 27 4 2 2" xfId="18715" xr:uid="{00000000-0005-0000-0000-000071DB0000}"/>
    <cellStyle name="Percentuale 27 4 3" xfId="18714" xr:uid="{00000000-0005-0000-0000-000072DB0000}"/>
    <cellStyle name="Percentuale 27 4 4" xfId="17706" xr:uid="{00000000-0005-0000-0000-000073DB0000}"/>
    <cellStyle name="Percentuale 27 5" xfId="9555" xr:uid="{00000000-0005-0000-0000-000074DB0000}"/>
    <cellStyle name="Percentuale 27 6" xfId="51251" xr:uid="{00000000-0005-0000-0000-000075DB0000}"/>
    <cellStyle name="Percentuale 28" xfId="928" xr:uid="{00000000-0005-0000-0000-000076DB0000}"/>
    <cellStyle name="Percentuale 28 2" xfId="929" xr:uid="{00000000-0005-0000-0000-000077DB0000}"/>
    <cellStyle name="Percentuale 28 2 2" xfId="1466" xr:uid="{00000000-0005-0000-0000-000078DB0000}"/>
    <cellStyle name="Percentuale 28 3" xfId="930" xr:uid="{00000000-0005-0000-0000-000079DB0000}"/>
    <cellStyle name="Percentuale 28 3 2" xfId="931" xr:uid="{00000000-0005-0000-0000-00007ADB0000}"/>
    <cellStyle name="Percentuale 28 3 3" xfId="17709" xr:uid="{00000000-0005-0000-0000-00007BDB0000}"/>
    <cellStyle name="Percentuale 28 3 3 2" xfId="18717" xr:uid="{00000000-0005-0000-0000-00007CDB0000}"/>
    <cellStyle name="Percentuale 28 3 4" xfId="18716" xr:uid="{00000000-0005-0000-0000-00007DDB0000}"/>
    <cellStyle name="Percentuale 28 3 5" xfId="17708" xr:uid="{00000000-0005-0000-0000-00007EDB0000}"/>
    <cellStyle name="Percentuale 28 4" xfId="9556" xr:uid="{00000000-0005-0000-0000-00007FDB0000}"/>
    <cellStyle name="Percentuale 28 4 2" xfId="17711" xr:uid="{00000000-0005-0000-0000-000080DB0000}"/>
    <cellStyle name="Percentuale 28 4 2 2" xfId="18719" xr:uid="{00000000-0005-0000-0000-000081DB0000}"/>
    <cellStyle name="Percentuale 28 4 3" xfId="18718" xr:uid="{00000000-0005-0000-0000-000082DB0000}"/>
    <cellStyle name="Percentuale 28 4 4" xfId="17710" xr:uid="{00000000-0005-0000-0000-000083DB0000}"/>
    <cellStyle name="Percentuale 28 5" xfId="9557" xr:uid="{00000000-0005-0000-0000-000084DB0000}"/>
    <cellStyle name="Percentuale 28 6" xfId="51252" xr:uid="{00000000-0005-0000-0000-000085DB0000}"/>
    <cellStyle name="Percentuale 29" xfId="932" xr:uid="{00000000-0005-0000-0000-000086DB0000}"/>
    <cellStyle name="Percentuale 29 2" xfId="933" xr:uid="{00000000-0005-0000-0000-000087DB0000}"/>
    <cellStyle name="Percentuale 29 2 2" xfId="1467" xr:uid="{00000000-0005-0000-0000-000088DB0000}"/>
    <cellStyle name="Percentuale 29 3" xfId="934" xr:uid="{00000000-0005-0000-0000-000089DB0000}"/>
    <cellStyle name="Percentuale 29 3 2" xfId="935" xr:uid="{00000000-0005-0000-0000-00008ADB0000}"/>
    <cellStyle name="Percentuale 29 3 3" xfId="17713" xr:uid="{00000000-0005-0000-0000-00008BDB0000}"/>
    <cellStyle name="Percentuale 29 3 3 2" xfId="18721" xr:uid="{00000000-0005-0000-0000-00008CDB0000}"/>
    <cellStyle name="Percentuale 29 3 4" xfId="18720" xr:uid="{00000000-0005-0000-0000-00008DDB0000}"/>
    <cellStyle name="Percentuale 29 3 5" xfId="17712" xr:uid="{00000000-0005-0000-0000-00008EDB0000}"/>
    <cellStyle name="Percentuale 29 4" xfId="9558" xr:uid="{00000000-0005-0000-0000-00008FDB0000}"/>
    <cellStyle name="Percentuale 29 4 2" xfId="17715" xr:uid="{00000000-0005-0000-0000-000090DB0000}"/>
    <cellStyle name="Percentuale 29 4 2 2" xfId="18723" xr:uid="{00000000-0005-0000-0000-000091DB0000}"/>
    <cellStyle name="Percentuale 29 4 3" xfId="18722" xr:uid="{00000000-0005-0000-0000-000092DB0000}"/>
    <cellStyle name="Percentuale 29 4 4" xfId="17714" xr:uid="{00000000-0005-0000-0000-000093DB0000}"/>
    <cellStyle name="Percentuale 29 5" xfId="9559" xr:uid="{00000000-0005-0000-0000-000094DB0000}"/>
    <cellStyle name="Percentuale 29 6" xfId="51253" xr:uid="{00000000-0005-0000-0000-000095DB0000}"/>
    <cellStyle name="Percentuale 3" xfId="936" xr:uid="{00000000-0005-0000-0000-000096DB0000}"/>
    <cellStyle name="Percentuale 3 2" xfId="937" xr:uid="{00000000-0005-0000-0000-000097DB0000}"/>
    <cellStyle name="Percentuale 3 2 2" xfId="1468" xr:uid="{00000000-0005-0000-0000-000098DB0000}"/>
    <cellStyle name="Percentuale 3 3" xfId="938" xr:uid="{00000000-0005-0000-0000-000099DB0000}"/>
    <cellStyle name="Percentuale 3 3 2" xfId="939" xr:uid="{00000000-0005-0000-0000-00009ADB0000}"/>
    <cellStyle name="Percentuale 3 3 3" xfId="17717" xr:uid="{00000000-0005-0000-0000-00009BDB0000}"/>
    <cellStyle name="Percentuale 3 3 3 2" xfId="18725" xr:uid="{00000000-0005-0000-0000-00009CDB0000}"/>
    <cellStyle name="Percentuale 3 3 4" xfId="18724" xr:uid="{00000000-0005-0000-0000-00009DDB0000}"/>
    <cellStyle name="Percentuale 3 3 5" xfId="17716" xr:uid="{00000000-0005-0000-0000-00009EDB0000}"/>
    <cellStyle name="Percentuale 3 4" xfId="9560" xr:uid="{00000000-0005-0000-0000-00009FDB0000}"/>
    <cellStyle name="Percentuale 3 4 2" xfId="17719" xr:uid="{00000000-0005-0000-0000-0000A0DB0000}"/>
    <cellStyle name="Percentuale 3 4 2 2" xfId="18727" xr:uid="{00000000-0005-0000-0000-0000A1DB0000}"/>
    <cellStyle name="Percentuale 3 4 3" xfId="18726" xr:uid="{00000000-0005-0000-0000-0000A2DB0000}"/>
    <cellStyle name="Percentuale 3 4 4" xfId="17718" xr:uid="{00000000-0005-0000-0000-0000A3DB0000}"/>
    <cellStyle name="Percentuale 3 5" xfId="9561" xr:uid="{00000000-0005-0000-0000-0000A4DB0000}"/>
    <cellStyle name="Percentuale 3 6" xfId="51254" xr:uid="{00000000-0005-0000-0000-0000A5DB0000}"/>
    <cellStyle name="Percentuale 30" xfId="940" xr:uid="{00000000-0005-0000-0000-0000A6DB0000}"/>
    <cellStyle name="Percentuale 30 2" xfId="941" xr:uid="{00000000-0005-0000-0000-0000A7DB0000}"/>
    <cellStyle name="Percentuale 30 2 2" xfId="1469" xr:uid="{00000000-0005-0000-0000-0000A8DB0000}"/>
    <cellStyle name="Percentuale 30 3" xfId="942" xr:uid="{00000000-0005-0000-0000-0000A9DB0000}"/>
    <cellStyle name="Percentuale 30 3 2" xfId="943" xr:uid="{00000000-0005-0000-0000-0000AADB0000}"/>
    <cellStyle name="Percentuale 30 3 3" xfId="17721" xr:uid="{00000000-0005-0000-0000-0000ABDB0000}"/>
    <cellStyle name="Percentuale 30 3 3 2" xfId="18729" xr:uid="{00000000-0005-0000-0000-0000ACDB0000}"/>
    <cellStyle name="Percentuale 30 3 4" xfId="18728" xr:uid="{00000000-0005-0000-0000-0000ADDB0000}"/>
    <cellStyle name="Percentuale 30 3 5" xfId="17720" xr:uid="{00000000-0005-0000-0000-0000AEDB0000}"/>
    <cellStyle name="Percentuale 30 4" xfId="9562" xr:uid="{00000000-0005-0000-0000-0000AFDB0000}"/>
    <cellStyle name="Percentuale 30 4 2" xfId="17723" xr:uid="{00000000-0005-0000-0000-0000B0DB0000}"/>
    <cellStyle name="Percentuale 30 4 2 2" xfId="18731" xr:uid="{00000000-0005-0000-0000-0000B1DB0000}"/>
    <cellStyle name="Percentuale 30 4 3" xfId="18730" xr:uid="{00000000-0005-0000-0000-0000B2DB0000}"/>
    <cellStyle name="Percentuale 30 4 4" xfId="17722" xr:uid="{00000000-0005-0000-0000-0000B3DB0000}"/>
    <cellStyle name="Percentuale 30 5" xfId="9563" xr:uid="{00000000-0005-0000-0000-0000B4DB0000}"/>
    <cellStyle name="Percentuale 30 6" xfId="51255" xr:uid="{00000000-0005-0000-0000-0000B5DB0000}"/>
    <cellStyle name="Percentuale 31" xfId="944" xr:uid="{00000000-0005-0000-0000-0000B6DB0000}"/>
    <cellStyle name="Percentuale 31 2" xfId="945" xr:uid="{00000000-0005-0000-0000-0000B7DB0000}"/>
    <cellStyle name="Percentuale 31 2 2" xfId="1470" xr:uid="{00000000-0005-0000-0000-0000B8DB0000}"/>
    <cellStyle name="Percentuale 31 3" xfId="946" xr:uid="{00000000-0005-0000-0000-0000B9DB0000}"/>
    <cellStyle name="Percentuale 31 3 2" xfId="947" xr:uid="{00000000-0005-0000-0000-0000BADB0000}"/>
    <cellStyle name="Percentuale 31 3 3" xfId="17725" xr:uid="{00000000-0005-0000-0000-0000BBDB0000}"/>
    <cellStyle name="Percentuale 31 3 3 2" xfId="18733" xr:uid="{00000000-0005-0000-0000-0000BCDB0000}"/>
    <cellStyle name="Percentuale 31 3 4" xfId="18732" xr:uid="{00000000-0005-0000-0000-0000BDDB0000}"/>
    <cellStyle name="Percentuale 31 3 5" xfId="17724" xr:uid="{00000000-0005-0000-0000-0000BEDB0000}"/>
    <cellStyle name="Percentuale 31 4" xfId="9564" xr:uid="{00000000-0005-0000-0000-0000BFDB0000}"/>
    <cellStyle name="Percentuale 31 4 2" xfId="17727" xr:uid="{00000000-0005-0000-0000-0000C0DB0000}"/>
    <cellStyle name="Percentuale 31 4 2 2" xfId="18735" xr:uid="{00000000-0005-0000-0000-0000C1DB0000}"/>
    <cellStyle name="Percentuale 31 4 3" xfId="18734" xr:uid="{00000000-0005-0000-0000-0000C2DB0000}"/>
    <cellStyle name="Percentuale 31 4 4" xfId="17726" xr:uid="{00000000-0005-0000-0000-0000C3DB0000}"/>
    <cellStyle name="Percentuale 31 5" xfId="9565" xr:uid="{00000000-0005-0000-0000-0000C4DB0000}"/>
    <cellStyle name="Percentuale 31 6" xfId="51256" xr:uid="{00000000-0005-0000-0000-0000C5DB0000}"/>
    <cellStyle name="Percentuale 32" xfId="948" xr:uid="{00000000-0005-0000-0000-0000C6DB0000}"/>
    <cellStyle name="Percentuale 32 2" xfId="949" xr:uid="{00000000-0005-0000-0000-0000C7DB0000}"/>
    <cellStyle name="Percentuale 32 2 2" xfId="1471" xr:uid="{00000000-0005-0000-0000-0000C8DB0000}"/>
    <cellStyle name="Percentuale 32 3" xfId="950" xr:uid="{00000000-0005-0000-0000-0000C9DB0000}"/>
    <cellStyle name="Percentuale 32 3 2" xfId="951" xr:uid="{00000000-0005-0000-0000-0000CADB0000}"/>
    <cellStyle name="Percentuale 32 3 3" xfId="17729" xr:uid="{00000000-0005-0000-0000-0000CBDB0000}"/>
    <cellStyle name="Percentuale 32 3 3 2" xfId="18737" xr:uid="{00000000-0005-0000-0000-0000CCDB0000}"/>
    <cellStyle name="Percentuale 32 3 4" xfId="18736" xr:uid="{00000000-0005-0000-0000-0000CDDB0000}"/>
    <cellStyle name="Percentuale 32 3 5" xfId="17728" xr:uid="{00000000-0005-0000-0000-0000CEDB0000}"/>
    <cellStyle name="Percentuale 32 4" xfId="9566" xr:uid="{00000000-0005-0000-0000-0000CFDB0000}"/>
    <cellStyle name="Percentuale 32 4 2" xfId="17731" xr:uid="{00000000-0005-0000-0000-0000D0DB0000}"/>
    <cellStyle name="Percentuale 32 4 2 2" xfId="18739" xr:uid="{00000000-0005-0000-0000-0000D1DB0000}"/>
    <cellStyle name="Percentuale 32 4 3" xfId="18738" xr:uid="{00000000-0005-0000-0000-0000D2DB0000}"/>
    <cellStyle name="Percentuale 32 4 4" xfId="17730" xr:uid="{00000000-0005-0000-0000-0000D3DB0000}"/>
    <cellStyle name="Percentuale 32 5" xfId="9567" xr:uid="{00000000-0005-0000-0000-0000D4DB0000}"/>
    <cellStyle name="Percentuale 32 6" xfId="51257" xr:uid="{00000000-0005-0000-0000-0000D5DB0000}"/>
    <cellStyle name="Percentuale 33" xfId="952" xr:uid="{00000000-0005-0000-0000-0000D6DB0000}"/>
    <cellStyle name="Percentuale 33 2" xfId="953" xr:uid="{00000000-0005-0000-0000-0000D7DB0000}"/>
    <cellStyle name="Percentuale 33 2 2" xfId="1472" xr:uid="{00000000-0005-0000-0000-0000D8DB0000}"/>
    <cellStyle name="Percentuale 33 3" xfId="954" xr:uid="{00000000-0005-0000-0000-0000D9DB0000}"/>
    <cellStyle name="Percentuale 33 3 2" xfId="955" xr:uid="{00000000-0005-0000-0000-0000DADB0000}"/>
    <cellStyle name="Percentuale 33 3 3" xfId="17733" xr:uid="{00000000-0005-0000-0000-0000DBDB0000}"/>
    <cellStyle name="Percentuale 33 3 3 2" xfId="18741" xr:uid="{00000000-0005-0000-0000-0000DCDB0000}"/>
    <cellStyle name="Percentuale 33 3 4" xfId="18740" xr:uid="{00000000-0005-0000-0000-0000DDDB0000}"/>
    <cellStyle name="Percentuale 33 3 5" xfId="17732" xr:uid="{00000000-0005-0000-0000-0000DEDB0000}"/>
    <cellStyle name="Percentuale 33 4" xfId="9568" xr:uid="{00000000-0005-0000-0000-0000DFDB0000}"/>
    <cellStyle name="Percentuale 33 4 2" xfId="17735" xr:uid="{00000000-0005-0000-0000-0000E0DB0000}"/>
    <cellStyle name="Percentuale 33 4 2 2" xfId="18743" xr:uid="{00000000-0005-0000-0000-0000E1DB0000}"/>
    <cellStyle name="Percentuale 33 4 3" xfId="18742" xr:uid="{00000000-0005-0000-0000-0000E2DB0000}"/>
    <cellStyle name="Percentuale 33 4 4" xfId="17734" xr:uid="{00000000-0005-0000-0000-0000E3DB0000}"/>
    <cellStyle name="Percentuale 33 5" xfId="9569" xr:uid="{00000000-0005-0000-0000-0000E4DB0000}"/>
    <cellStyle name="Percentuale 33 6" xfId="51258" xr:uid="{00000000-0005-0000-0000-0000E5DB0000}"/>
    <cellStyle name="Percentuale 34" xfId="956" xr:uid="{00000000-0005-0000-0000-0000E6DB0000}"/>
    <cellStyle name="Percentuale 34 2" xfId="957" xr:uid="{00000000-0005-0000-0000-0000E7DB0000}"/>
    <cellStyle name="Percentuale 34 2 2" xfId="1473" xr:uid="{00000000-0005-0000-0000-0000E8DB0000}"/>
    <cellStyle name="Percentuale 34 3" xfId="958" xr:uid="{00000000-0005-0000-0000-0000E9DB0000}"/>
    <cellStyle name="Percentuale 34 3 2" xfId="959" xr:uid="{00000000-0005-0000-0000-0000EADB0000}"/>
    <cellStyle name="Percentuale 34 3 3" xfId="17737" xr:uid="{00000000-0005-0000-0000-0000EBDB0000}"/>
    <cellStyle name="Percentuale 34 3 3 2" xfId="18745" xr:uid="{00000000-0005-0000-0000-0000ECDB0000}"/>
    <cellStyle name="Percentuale 34 3 4" xfId="18744" xr:uid="{00000000-0005-0000-0000-0000EDDB0000}"/>
    <cellStyle name="Percentuale 34 3 5" xfId="17736" xr:uid="{00000000-0005-0000-0000-0000EEDB0000}"/>
    <cellStyle name="Percentuale 34 4" xfId="9570" xr:uid="{00000000-0005-0000-0000-0000EFDB0000}"/>
    <cellStyle name="Percentuale 34 4 2" xfId="17739" xr:uid="{00000000-0005-0000-0000-0000F0DB0000}"/>
    <cellStyle name="Percentuale 34 4 2 2" xfId="18747" xr:uid="{00000000-0005-0000-0000-0000F1DB0000}"/>
    <cellStyle name="Percentuale 34 4 3" xfId="18746" xr:uid="{00000000-0005-0000-0000-0000F2DB0000}"/>
    <cellStyle name="Percentuale 34 4 4" xfId="17738" xr:uid="{00000000-0005-0000-0000-0000F3DB0000}"/>
    <cellStyle name="Percentuale 34 5" xfId="9571" xr:uid="{00000000-0005-0000-0000-0000F4DB0000}"/>
    <cellStyle name="Percentuale 34 6" xfId="51259" xr:uid="{00000000-0005-0000-0000-0000F5DB0000}"/>
    <cellStyle name="Percentuale 35" xfId="960" xr:uid="{00000000-0005-0000-0000-0000F6DB0000}"/>
    <cellStyle name="Percentuale 35 2" xfId="961" xr:uid="{00000000-0005-0000-0000-0000F7DB0000}"/>
    <cellStyle name="Percentuale 35 2 2" xfId="1474" xr:uid="{00000000-0005-0000-0000-0000F8DB0000}"/>
    <cellStyle name="Percentuale 35 3" xfId="962" xr:uid="{00000000-0005-0000-0000-0000F9DB0000}"/>
    <cellStyle name="Percentuale 35 3 2" xfId="963" xr:uid="{00000000-0005-0000-0000-0000FADB0000}"/>
    <cellStyle name="Percentuale 35 3 3" xfId="17741" xr:uid="{00000000-0005-0000-0000-0000FBDB0000}"/>
    <cellStyle name="Percentuale 35 3 3 2" xfId="18749" xr:uid="{00000000-0005-0000-0000-0000FCDB0000}"/>
    <cellStyle name="Percentuale 35 3 4" xfId="18748" xr:uid="{00000000-0005-0000-0000-0000FDDB0000}"/>
    <cellStyle name="Percentuale 35 3 5" xfId="17740" xr:uid="{00000000-0005-0000-0000-0000FEDB0000}"/>
    <cellStyle name="Percentuale 35 4" xfId="9572" xr:uid="{00000000-0005-0000-0000-0000FFDB0000}"/>
    <cellStyle name="Percentuale 35 4 2" xfId="17743" xr:uid="{00000000-0005-0000-0000-000000DC0000}"/>
    <cellStyle name="Percentuale 35 4 2 2" xfId="18751" xr:uid="{00000000-0005-0000-0000-000001DC0000}"/>
    <cellStyle name="Percentuale 35 4 3" xfId="18750" xr:uid="{00000000-0005-0000-0000-000002DC0000}"/>
    <cellStyle name="Percentuale 35 4 4" xfId="17742" xr:uid="{00000000-0005-0000-0000-000003DC0000}"/>
    <cellStyle name="Percentuale 35 5" xfId="9573" xr:uid="{00000000-0005-0000-0000-000004DC0000}"/>
    <cellStyle name="Percentuale 35 6" xfId="51260" xr:uid="{00000000-0005-0000-0000-000005DC0000}"/>
    <cellStyle name="Percentuale 36" xfId="964" xr:uid="{00000000-0005-0000-0000-000006DC0000}"/>
    <cellStyle name="Percentuale 36 2" xfId="965" xr:uid="{00000000-0005-0000-0000-000007DC0000}"/>
    <cellStyle name="Percentuale 36 2 2" xfId="1475" xr:uid="{00000000-0005-0000-0000-000008DC0000}"/>
    <cellStyle name="Percentuale 36 3" xfId="966" xr:uid="{00000000-0005-0000-0000-000009DC0000}"/>
    <cellStyle name="Percentuale 36 3 2" xfId="967" xr:uid="{00000000-0005-0000-0000-00000ADC0000}"/>
    <cellStyle name="Percentuale 36 3 3" xfId="17745" xr:uid="{00000000-0005-0000-0000-00000BDC0000}"/>
    <cellStyle name="Percentuale 36 3 3 2" xfId="18753" xr:uid="{00000000-0005-0000-0000-00000CDC0000}"/>
    <cellStyle name="Percentuale 36 3 4" xfId="18752" xr:uid="{00000000-0005-0000-0000-00000DDC0000}"/>
    <cellStyle name="Percentuale 36 3 5" xfId="17744" xr:uid="{00000000-0005-0000-0000-00000EDC0000}"/>
    <cellStyle name="Percentuale 36 4" xfId="9574" xr:uid="{00000000-0005-0000-0000-00000FDC0000}"/>
    <cellStyle name="Percentuale 36 4 2" xfId="17747" xr:uid="{00000000-0005-0000-0000-000010DC0000}"/>
    <cellStyle name="Percentuale 36 4 2 2" xfId="18755" xr:uid="{00000000-0005-0000-0000-000011DC0000}"/>
    <cellStyle name="Percentuale 36 4 3" xfId="18754" xr:uid="{00000000-0005-0000-0000-000012DC0000}"/>
    <cellStyle name="Percentuale 36 4 4" xfId="17746" xr:uid="{00000000-0005-0000-0000-000013DC0000}"/>
    <cellStyle name="Percentuale 36 5" xfId="9575" xr:uid="{00000000-0005-0000-0000-000014DC0000}"/>
    <cellStyle name="Percentuale 36 6" xfId="51261" xr:uid="{00000000-0005-0000-0000-000015DC0000}"/>
    <cellStyle name="Percentuale 37" xfId="968" xr:uid="{00000000-0005-0000-0000-000016DC0000}"/>
    <cellStyle name="Percentuale 37 2" xfId="969" xr:uid="{00000000-0005-0000-0000-000017DC0000}"/>
    <cellStyle name="Percentuale 37 2 2" xfId="1476" xr:uid="{00000000-0005-0000-0000-000018DC0000}"/>
    <cellStyle name="Percentuale 37 3" xfId="970" xr:uid="{00000000-0005-0000-0000-000019DC0000}"/>
    <cellStyle name="Percentuale 37 3 2" xfId="971" xr:uid="{00000000-0005-0000-0000-00001ADC0000}"/>
    <cellStyle name="Percentuale 37 3 3" xfId="17749" xr:uid="{00000000-0005-0000-0000-00001BDC0000}"/>
    <cellStyle name="Percentuale 37 3 3 2" xfId="18757" xr:uid="{00000000-0005-0000-0000-00001CDC0000}"/>
    <cellStyle name="Percentuale 37 3 4" xfId="18756" xr:uid="{00000000-0005-0000-0000-00001DDC0000}"/>
    <cellStyle name="Percentuale 37 3 5" xfId="17748" xr:uid="{00000000-0005-0000-0000-00001EDC0000}"/>
    <cellStyle name="Percentuale 37 4" xfId="9576" xr:uid="{00000000-0005-0000-0000-00001FDC0000}"/>
    <cellStyle name="Percentuale 37 4 2" xfId="17751" xr:uid="{00000000-0005-0000-0000-000020DC0000}"/>
    <cellStyle name="Percentuale 37 4 2 2" xfId="18759" xr:uid="{00000000-0005-0000-0000-000021DC0000}"/>
    <cellStyle name="Percentuale 37 4 3" xfId="18758" xr:uid="{00000000-0005-0000-0000-000022DC0000}"/>
    <cellStyle name="Percentuale 37 4 4" xfId="17750" xr:uid="{00000000-0005-0000-0000-000023DC0000}"/>
    <cellStyle name="Percentuale 37 5" xfId="9577" xr:uid="{00000000-0005-0000-0000-000024DC0000}"/>
    <cellStyle name="Percentuale 37 6" xfId="51262" xr:uid="{00000000-0005-0000-0000-000025DC0000}"/>
    <cellStyle name="Percentuale 38" xfId="972" xr:uid="{00000000-0005-0000-0000-000026DC0000}"/>
    <cellStyle name="Percentuale 38 2" xfId="973" xr:uid="{00000000-0005-0000-0000-000027DC0000}"/>
    <cellStyle name="Percentuale 38 2 2" xfId="1477" xr:uid="{00000000-0005-0000-0000-000028DC0000}"/>
    <cellStyle name="Percentuale 38 3" xfId="974" xr:uid="{00000000-0005-0000-0000-000029DC0000}"/>
    <cellStyle name="Percentuale 38 3 2" xfId="975" xr:uid="{00000000-0005-0000-0000-00002ADC0000}"/>
    <cellStyle name="Percentuale 38 3 3" xfId="17753" xr:uid="{00000000-0005-0000-0000-00002BDC0000}"/>
    <cellStyle name="Percentuale 38 3 3 2" xfId="18761" xr:uid="{00000000-0005-0000-0000-00002CDC0000}"/>
    <cellStyle name="Percentuale 38 3 4" xfId="18760" xr:uid="{00000000-0005-0000-0000-00002DDC0000}"/>
    <cellStyle name="Percentuale 38 3 5" xfId="17752" xr:uid="{00000000-0005-0000-0000-00002EDC0000}"/>
    <cellStyle name="Percentuale 38 4" xfId="9578" xr:uid="{00000000-0005-0000-0000-00002FDC0000}"/>
    <cellStyle name="Percentuale 38 4 2" xfId="17755" xr:uid="{00000000-0005-0000-0000-000030DC0000}"/>
    <cellStyle name="Percentuale 38 4 2 2" xfId="18763" xr:uid="{00000000-0005-0000-0000-000031DC0000}"/>
    <cellStyle name="Percentuale 38 4 3" xfId="18762" xr:uid="{00000000-0005-0000-0000-000032DC0000}"/>
    <cellStyle name="Percentuale 38 4 4" xfId="17754" xr:uid="{00000000-0005-0000-0000-000033DC0000}"/>
    <cellStyle name="Percentuale 38 5" xfId="9579" xr:uid="{00000000-0005-0000-0000-000034DC0000}"/>
    <cellStyle name="Percentuale 38 6" xfId="51263" xr:uid="{00000000-0005-0000-0000-000035DC0000}"/>
    <cellStyle name="Percentuale 39" xfId="976" xr:uid="{00000000-0005-0000-0000-000036DC0000}"/>
    <cellStyle name="Percentuale 39 2" xfId="977" xr:uid="{00000000-0005-0000-0000-000037DC0000}"/>
    <cellStyle name="Percentuale 39 2 2" xfId="1478" xr:uid="{00000000-0005-0000-0000-000038DC0000}"/>
    <cellStyle name="Percentuale 39 3" xfId="978" xr:uid="{00000000-0005-0000-0000-000039DC0000}"/>
    <cellStyle name="Percentuale 39 3 2" xfId="979" xr:uid="{00000000-0005-0000-0000-00003ADC0000}"/>
    <cellStyle name="Percentuale 39 3 3" xfId="17757" xr:uid="{00000000-0005-0000-0000-00003BDC0000}"/>
    <cellStyle name="Percentuale 39 3 3 2" xfId="18765" xr:uid="{00000000-0005-0000-0000-00003CDC0000}"/>
    <cellStyle name="Percentuale 39 3 4" xfId="18764" xr:uid="{00000000-0005-0000-0000-00003DDC0000}"/>
    <cellStyle name="Percentuale 39 3 5" xfId="17756" xr:uid="{00000000-0005-0000-0000-00003EDC0000}"/>
    <cellStyle name="Percentuale 39 4" xfId="9580" xr:uid="{00000000-0005-0000-0000-00003FDC0000}"/>
    <cellStyle name="Percentuale 39 4 2" xfId="17759" xr:uid="{00000000-0005-0000-0000-000040DC0000}"/>
    <cellStyle name="Percentuale 39 4 2 2" xfId="18767" xr:uid="{00000000-0005-0000-0000-000041DC0000}"/>
    <cellStyle name="Percentuale 39 4 3" xfId="18766" xr:uid="{00000000-0005-0000-0000-000042DC0000}"/>
    <cellStyle name="Percentuale 39 4 4" xfId="17758" xr:uid="{00000000-0005-0000-0000-000043DC0000}"/>
    <cellStyle name="Percentuale 39 5" xfId="9581" xr:uid="{00000000-0005-0000-0000-000044DC0000}"/>
    <cellStyle name="Percentuale 39 6" xfId="51264" xr:uid="{00000000-0005-0000-0000-000045DC0000}"/>
    <cellStyle name="Percentuale 4" xfId="980" xr:uid="{00000000-0005-0000-0000-000046DC0000}"/>
    <cellStyle name="Percentuale 4 2" xfId="981" xr:uid="{00000000-0005-0000-0000-000047DC0000}"/>
    <cellStyle name="Percentuale 4 2 2" xfId="1479" xr:uid="{00000000-0005-0000-0000-000048DC0000}"/>
    <cellStyle name="Percentuale 4 3" xfId="982" xr:uid="{00000000-0005-0000-0000-000049DC0000}"/>
    <cellStyle name="Percentuale 4 3 2" xfId="983" xr:uid="{00000000-0005-0000-0000-00004ADC0000}"/>
    <cellStyle name="Percentuale 4 3 3" xfId="17761" xr:uid="{00000000-0005-0000-0000-00004BDC0000}"/>
    <cellStyle name="Percentuale 4 3 3 2" xfId="18769" xr:uid="{00000000-0005-0000-0000-00004CDC0000}"/>
    <cellStyle name="Percentuale 4 3 4" xfId="18768" xr:uid="{00000000-0005-0000-0000-00004DDC0000}"/>
    <cellStyle name="Percentuale 4 3 5" xfId="17760" xr:uid="{00000000-0005-0000-0000-00004EDC0000}"/>
    <cellStyle name="Percentuale 4 4" xfId="9582" xr:uid="{00000000-0005-0000-0000-00004FDC0000}"/>
    <cellStyle name="Percentuale 4 4 2" xfId="17763" xr:uid="{00000000-0005-0000-0000-000050DC0000}"/>
    <cellStyle name="Percentuale 4 4 2 2" xfId="18771" xr:uid="{00000000-0005-0000-0000-000051DC0000}"/>
    <cellStyle name="Percentuale 4 4 3" xfId="18770" xr:uid="{00000000-0005-0000-0000-000052DC0000}"/>
    <cellStyle name="Percentuale 4 4 4" xfId="17762" xr:uid="{00000000-0005-0000-0000-000053DC0000}"/>
    <cellStyle name="Percentuale 4 5" xfId="9583" xr:uid="{00000000-0005-0000-0000-000054DC0000}"/>
    <cellStyle name="Percentuale 4 6" xfId="51265" xr:uid="{00000000-0005-0000-0000-000055DC0000}"/>
    <cellStyle name="Percentuale 40" xfId="984" xr:uid="{00000000-0005-0000-0000-000056DC0000}"/>
    <cellStyle name="Percentuale 40 2" xfId="985" xr:uid="{00000000-0005-0000-0000-000057DC0000}"/>
    <cellStyle name="Percentuale 40 2 2" xfId="1480" xr:uid="{00000000-0005-0000-0000-000058DC0000}"/>
    <cellStyle name="Percentuale 40 3" xfId="986" xr:uid="{00000000-0005-0000-0000-000059DC0000}"/>
    <cellStyle name="Percentuale 40 3 2" xfId="987" xr:uid="{00000000-0005-0000-0000-00005ADC0000}"/>
    <cellStyle name="Percentuale 40 3 3" xfId="17765" xr:uid="{00000000-0005-0000-0000-00005BDC0000}"/>
    <cellStyle name="Percentuale 40 3 3 2" xfId="18773" xr:uid="{00000000-0005-0000-0000-00005CDC0000}"/>
    <cellStyle name="Percentuale 40 3 4" xfId="18772" xr:uid="{00000000-0005-0000-0000-00005DDC0000}"/>
    <cellStyle name="Percentuale 40 3 5" xfId="17764" xr:uid="{00000000-0005-0000-0000-00005EDC0000}"/>
    <cellStyle name="Percentuale 40 4" xfId="9584" xr:uid="{00000000-0005-0000-0000-00005FDC0000}"/>
    <cellStyle name="Percentuale 40 4 2" xfId="17767" xr:uid="{00000000-0005-0000-0000-000060DC0000}"/>
    <cellStyle name="Percentuale 40 4 2 2" xfId="18775" xr:uid="{00000000-0005-0000-0000-000061DC0000}"/>
    <cellStyle name="Percentuale 40 4 3" xfId="18774" xr:uid="{00000000-0005-0000-0000-000062DC0000}"/>
    <cellStyle name="Percentuale 40 4 4" xfId="17766" xr:uid="{00000000-0005-0000-0000-000063DC0000}"/>
    <cellStyle name="Percentuale 40 5" xfId="9585" xr:uid="{00000000-0005-0000-0000-000064DC0000}"/>
    <cellStyle name="Percentuale 40 6" xfId="51266" xr:uid="{00000000-0005-0000-0000-000065DC0000}"/>
    <cellStyle name="Percentuale 41" xfId="988" xr:uid="{00000000-0005-0000-0000-000066DC0000}"/>
    <cellStyle name="Percentuale 41 2" xfId="989" xr:uid="{00000000-0005-0000-0000-000067DC0000}"/>
    <cellStyle name="Percentuale 41 2 2" xfId="1481" xr:uid="{00000000-0005-0000-0000-000068DC0000}"/>
    <cellStyle name="Percentuale 41 3" xfId="990" xr:uid="{00000000-0005-0000-0000-000069DC0000}"/>
    <cellStyle name="Percentuale 41 3 2" xfId="991" xr:uid="{00000000-0005-0000-0000-00006ADC0000}"/>
    <cellStyle name="Percentuale 41 3 3" xfId="17769" xr:uid="{00000000-0005-0000-0000-00006BDC0000}"/>
    <cellStyle name="Percentuale 41 3 3 2" xfId="18777" xr:uid="{00000000-0005-0000-0000-00006CDC0000}"/>
    <cellStyle name="Percentuale 41 3 4" xfId="18776" xr:uid="{00000000-0005-0000-0000-00006DDC0000}"/>
    <cellStyle name="Percentuale 41 3 5" xfId="17768" xr:uid="{00000000-0005-0000-0000-00006EDC0000}"/>
    <cellStyle name="Percentuale 41 4" xfId="9586" xr:uid="{00000000-0005-0000-0000-00006FDC0000}"/>
    <cellStyle name="Percentuale 41 4 2" xfId="17771" xr:uid="{00000000-0005-0000-0000-000070DC0000}"/>
    <cellStyle name="Percentuale 41 4 2 2" xfId="18779" xr:uid="{00000000-0005-0000-0000-000071DC0000}"/>
    <cellStyle name="Percentuale 41 4 3" xfId="18778" xr:uid="{00000000-0005-0000-0000-000072DC0000}"/>
    <cellStyle name="Percentuale 41 4 4" xfId="17770" xr:uid="{00000000-0005-0000-0000-000073DC0000}"/>
    <cellStyle name="Percentuale 41 5" xfId="9587" xr:uid="{00000000-0005-0000-0000-000074DC0000}"/>
    <cellStyle name="Percentuale 41 6" xfId="51267" xr:uid="{00000000-0005-0000-0000-000075DC0000}"/>
    <cellStyle name="Percentuale 42" xfId="992" xr:uid="{00000000-0005-0000-0000-000076DC0000}"/>
    <cellStyle name="Percentuale 42 2" xfId="993" xr:uid="{00000000-0005-0000-0000-000077DC0000}"/>
    <cellStyle name="Percentuale 42 2 2" xfId="1482" xr:uid="{00000000-0005-0000-0000-000078DC0000}"/>
    <cellStyle name="Percentuale 42 3" xfId="994" xr:uid="{00000000-0005-0000-0000-000079DC0000}"/>
    <cellStyle name="Percentuale 42 3 2" xfId="995" xr:uid="{00000000-0005-0000-0000-00007ADC0000}"/>
    <cellStyle name="Percentuale 42 3 3" xfId="17773" xr:uid="{00000000-0005-0000-0000-00007BDC0000}"/>
    <cellStyle name="Percentuale 42 3 3 2" xfId="18781" xr:uid="{00000000-0005-0000-0000-00007CDC0000}"/>
    <cellStyle name="Percentuale 42 3 4" xfId="18780" xr:uid="{00000000-0005-0000-0000-00007DDC0000}"/>
    <cellStyle name="Percentuale 42 3 5" xfId="17772" xr:uid="{00000000-0005-0000-0000-00007EDC0000}"/>
    <cellStyle name="Percentuale 42 4" xfId="9588" xr:uid="{00000000-0005-0000-0000-00007FDC0000}"/>
    <cellStyle name="Percentuale 42 4 2" xfId="17775" xr:uid="{00000000-0005-0000-0000-000080DC0000}"/>
    <cellStyle name="Percentuale 42 4 2 2" xfId="18783" xr:uid="{00000000-0005-0000-0000-000081DC0000}"/>
    <cellStyle name="Percentuale 42 4 3" xfId="18782" xr:uid="{00000000-0005-0000-0000-000082DC0000}"/>
    <cellStyle name="Percentuale 42 4 4" xfId="17774" xr:uid="{00000000-0005-0000-0000-000083DC0000}"/>
    <cellStyle name="Percentuale 42 5" xfId="9589" xr:uid="{00000000-0005-0000-0000-000084DC0000}"/>
    <cellStyle name="Percentuale 42 6" xfId="51268" xr:uid="{00000000-0005-0000-0000-000085DC0000}"/>
    <cellStyle name="Percentuale 43" xfId="996" xr:uid="{00000000-0005-0000-0000-000086DC0000}"/>
    <cellStyle name="Percentuale 43 2" xfId="997" xr:uid="{00000000-0005-0000-0000-000087DC0000}"/>
    <cellStyle name="Percentuale 43 2 2" xfId="1483" xr:uid="{00000000-0005-0000-0000-000088DC0000}"/>
    <cellStyle name="Percentuale 43 3" xfId="998" xr:uid="{00000000-0005-0000-0000-000089DC0000}"/>
    <cellStyle name="Percentuale 43 3 2" xfId="999" xr:uid="{00000000-0005-0000-0000-00008ADC0000}"/>
    <cellStyle name="Percentuale 43 3 3" xfId="17777" xr:uid="{00000000-0005-0000-0000-00008BDC0000}"/>
    <cellStyle name="Percentuale 43 3 3 2" xfId="18785" xr:uid="{00000000-0005-0000-0000-00008CDC0000}"/>
    <cellStyle name="Percentuale 43 3 4" xfId="18784" xr:uid="{00000000-0005-0000-0000-00008DDC0000}"/>
    <cellStyle name="Percentuale 43 3 5" xfId="17776" xr:uid="{00000000-0005-0000-0000-00008EDC0000}"/>
    <cellStyle name="Percentuale 43 4" xfId="9590" xr:uid="{00000000-0005-0000-0000-00008FDC0000}"/>
    <cellStyle name="Percentuale 43 4 2" xfId="17779" xr:uid="{00000000-0005-0000-0000-000090DC0000}"/>
    <cellStyle name="Percentuale 43 4 2 2" xfId="18787" xr:uid="{00000000-0005-0000-0000-000091DC0000}"/>
    <cellStyle name="Percentuale 43 4 3" xfId="18786" xr:uid="{00000000-0005-0000-0000-000092DC0000}"/>
    <cellStyle name="Percentuale 43 4 4" xfId="17778" xr:uid="{00000000-0005-0000-0000-000093DC0000}"/>
    <cellStyle name="Percentuale 43 5" xfId="9591" xr:uid="{00000000-0005-0000-0000-000094DC0000}"/>
    <cellStyle name="Percentuale 43 6" xfId="51269" xr:uid="{00000000-0005-0000-0000-000095DC0000}"/>
    <cellStyle name="Percentuale 44" xfId="1000" xr:uid="{00000000-0005-0000-0000-000096DC0000}"/>
    <cellStyle name="Percentuale 44 2" xfId="1001" xr:uid="{00000000-0005-0000-0000-000097DC0000}"/>
    <cellStyle name="Percentuale 44 2 2" xfId="1484" xr:uid="{00000000-0005-0000-0000-000098DC0000}"/>
    <cellStyle name="Percentuale 44 3" xfId="1002" xr:uid="{00000000-0005-0000-0000-000099DC0000}"/>
    <cellStyle name="Percentuale 44 3 2" xfId="1003" xr:uid="{00000000-0005-0000-0000-00009ADC0000}"/>
    <cellStyle name="Percentuale 44 3 3" xfId="17781" xr:uid="{00000000-0005-0000-0000-00009BDC0000}"/>
    <cellStyle name="Percentuale 44 3 3 2" xfId="18789" xr:uid="{00000000-0005-0000-0000-00009CDC0000}"/>
    <cellStyle name="Percentuale 44 3 4" xfId="18788" xr:uid="{00000000-0005-0000-0000-00009DDC0000}"/>
    <cellStyle name="Percentuale 44 3 5" xfId="17780" xr:uid="{00000000-0005-0000-0000-00009EDC0000}"/>
    <cellStyle name="Percentuale 44 4" xfId="9592" xr:uid="{00000000-0005-0000-0000-00009FDC0000}"/>
    <cellStyle name="Percentuale 44 4 2" xfId="17783" xr:uid="{00000000-0005-0000-0000-0000A0DC0000}"/>
    <cellStyle name="Percentuale 44 4 2 2" xfId="18791" xr:uid="{00000000-0005-0000-0000-0000A1DC0000}"/>
    <cellStyle name="Percentuale 44 4 3" xfId="18790" xr:uid="{00000000-0005-0000-0000-0000A2DC0000}"/>
    <cellStyle name="Percentuale 44 4 4" xfId="17782" xr:uid="{00000000-0005-0000-0000-0000A3DC0000}"/>
    <cellStyle name="Percentuale 44 5" xfId="9593" xr:uid="{00000000-0005-0000-0000-0000A4DC0000}"/>
    <cellStyle name="Percentuale 44 6" xfId="51270" xr:uid="{00000000-0005-0000-0000-0000A5DC0000}"/>
    <cellStyle name="Percentuale 45" xfId="1004" xr:uid="{00000000-0005-0000-0000-0000A6DC0000}"/>
    <cellStyle name="Percentuale 45 2" xfId="1005" xr:uid="{00000000-0005-0000-0000-0000A7DC0000}"/>
    <cellStyle name="Percentuale 45 2 2" xfId="1485" xr:uid="{00000000-0005-0000-0000-0000A8DC0000}"/>
    <cellStyle name="Percentuale 45 3" xfId="1006" xr:uid="{00000000-0005-0000-0000-0000A9DC0000}"/>
    <cellStyle name="Percentuale 45 3 2" xfId="1007" xr:uid="{00000000-0005-0000-0000-0000AADC0000}"/>
    <cellStyle name="Percentuale 45 3 3" xfId="17785" xr:uid="{00000000-0005-0000-0000-0000ABDC0000}"/>
    <cellStyle name="Percentuale 45 3 3 2" xfId="18793" xr:uid="{00000000-0005-0000-0000-0000ACDC0000}"/>
    <cellStyle name="Percentuale 45 3 4" xfId="18792" xr:uid="{00000000-0005-0000-0000-0000ADDC0000}"/>
    <cellStyle name="Percentuale 45 3 5" xfId="17784" xr:uid="{00000000-0005-0000-0000-0000AEDC0000}"/>
    <cellStyle name="Percentuale 45 4" xfId="9594" xr:uid="{00000000-0005-0000-0000-0000AFDC0000}"/>
    <cellStyle name="Percentuale 45 4 2" xfId="17787" xr:uid="{00000000-0005-0000-0000-0000B0DC0000}"/>
    <cellStyle name="Percentuale 45 4 2 2" xfId="18795" xr:uid="{00000000-0005-0000-0000-0000B1DC0000}"/>
    <cellStyle name="Percentuale 45 4 3" xfId="18794" xr:uid="{00000000-0005-0000-0000-0000B2DC0000}"/>
    <cellStyle name="Percentuale 45 4 4" xfId="17786" xr:uid="{00000000-0005-0000-0000-0000B3DC0000}"/>
    <cellStyle name="Percentuale 45 5" xfId="9595" xr:uid="{00000000-0005-0000-0000-0000B4DC0000}"/>
    <cellStyle name="Percentuale 45 6" xfId="51271" xr:uid="{00000000-0005-0000-0000-0000B5DC0000}"/>
    <cellStyle name="Percentuale 46" xfId="1008" xr:uid="{00000000-0005-0000-0000-0000B6DC0000}"/>
    <cellStyle name="Percentuale 46 2" xfId="1009" xr:uid="{00000000-0005-0000-0000-0000B7DC0000}"/>
    <cellStyle name="Percentuale 46 2 2" xfId="1486" xr:uid="{00000000-0005-0000-0000-0000B8DC0000}"/>
    <cellStyle name="Percentuale 46 3" xfId="1010" xr:uid="{00000000-0005-0000-0000-0000B9DC0000}"/>
    <cellStyle name="Percentuale 46 3 2" xfId="1011" xr:uid="{00000000-0005-0000-0000-0000BADC0000}"/>
    <cellStyle name="Percentuale 46 3 3" xfId="17789" xr:uid="{00000000-0005-0000-0000-0000BBDC0000}"/>
    <cellStyle name="Percentuale 46 3 3 2" xfId="18797" xr:uid="{00000000-0005-0000-0000-0000BCDC0000}"/>
    <cellStyle name="Percentuale 46 3 4" xfId="18796" xr:uid="{00000000-0005-0000-0000-0000BDDC0000}"/>
    <cellStyle name="Percentuale 46 3 5" xfId="17788" xr:uid="{00000000-0005-0000-0000-0000BEDC0000}"/>
    <cellStyle name="Percentuale 46 4" xfId="9596" xr:uid="{00000000-0005-0000-0000-0000BFDC0000}"/>
    <cellStyle name="Percentuale 46 4 2" xfId="17791" xr:uid="{00000000-0005-0000-0000-0000C0DC0000}"/>
    <cellStyle name="Percentuale 46 4 2 2" xfId="18799" xr:uid="{00000000-0005-0000-0000-0000C1DC0000}"/>
    <cellStyle name="Percentuale 46 4 3" xfId="18798" xr:uid="{00000000-0005-0000-0000-0000C2DC0000}"/>
    <cellStyle name="Percentuale 46 4 4" xfId="17790" xr:uid="{00000000-0005-0000-0000-0000C3DC0000}"/>
    <cellStyle name="Percentuale 46 5" xfId="9597" xr:uid="{00000000-0005-0000-0000-0000C4DC0000}"/>
    <cellStyle name="Percentuale 46 6" xfId="51272" xr:uid="{00000000-0005-0000-0000-0000C5DC0000}"/>
    <cellStyle name="Percentuale 47" xfId="1012" xr:uid="{00000000-0005-0000-0000-0000C6DC0000}"/>
    <cellStyle name="Percentuale 47 2" xfId="1013" xr:uid="{00000000-0005-0000-0000-0000C7DC0000}"/>
    <cellStyle name="Percentuale 47 2 2" xfId="1487" xr:uid="{00000000-0005-0000-0000-0000C8DC0000}"/>
    <cellStyle name="Percentuale 47 3" xfId="1014" xr:uid="{00000000-0005-0000-0000-0000C9DC0000}"/>
    <cellStyle name="Percentuale 47 3 2" xfId="1015" xr:uid="{00000000-0005-0000-0000-0000CADC0000}"/>
    <cellStyle name="Percentuale 47 3 3" xfId="17793" xr:uid="{00000000-0005-0000-0000-0000CBDC0000}"/>
    <cellStyle name="Percentuale 47 3 3 2" xfId="18801" xr:uid="{00000000-0005-0000-0000-0000CCDC0000}"/>
    <cellStyle name="Percentuale 47 3 4" xfId="18800" xr:uid="{00000000-0005-0000-0000-0000CDDC0000}"/>
    <cellStyle name="Percentuale 47 3 5" xfId="17792" xr:uid="{00000000-0005-0000-0000-0000CEDC0000}"/>
    <cellStyle name="Percentuale 47 4" xfId="9598" xr:uid="{00000000-0005-0000-0000-0000CFDC0000}"/>
    <cellStyle name="Percentuale 47 4 2" xfId="17795" xr:uid="{00000000-0005-0000-0000-0000D0DC0000}"/>
    <cellStyle name="Percentuale 47 4 2 2" xfId="18803" xr:uid="{00000000-0005-0000-0000-0000D1DC0000}"/>
    <cellStyle name="Percentuale 47 4 3" xfId="18802" xr:uid="{00000000-0005-0000-0000-0000D2DC0000}"/>
    <cellStyle name="Percentuale 47 4 4" xfId="17794" xr:uid="{00000000-0005-0000-0000-0000D3DC0000}"/>
    <cellStyle name="Percentuale 47 5" xfId="9599" xr:uid="{00000000-0005-0000-0000-0000D4DC0000}"/>
    <cellStyle name="Percentuale 47 6" xfId="51273" xr:uid="{00000000-0005-0000-0000-0000D5DC0000}"/>
    <cellStyle name="Percentuale 48" xfId="1016" xr:uid="{00000000-0005-0000-0000-0000D6DC0000}"/>
    <cellStyle name="Percentuale 48 2" xfId="1017" xr:uid="{00000000-0005-0000-0000-0000D7DC0000}"/>
    <cellStyle name="Percentuale 48 2 2" xfId="1488" xr:uid="{00000000-0005-0000-0000-0000D8DC0000}"/>
    <cellStyle name="Percentuale 48 3" xfId="1018" xr:uid="{00000000-0005-0000-0000-0000D9DC0000}"/>
    <cellStyle name="Percentuale 48 3 2" xfId="1019" xr:uid="{00000000-0005-0000-0000-0000DADC0000}"/>
    <cellStyle name="Percentuale 48 3 3" xfId="17797" xr:uid="{00000000-0005-0000-0000-0000DBDC0000}"/>
    <cellStyle name="Percentuale 48 3 3 2" xfId="18805" xr:uid="{00000000-0005-0000-0000-0000DCDC0000}"/>
    <cellStyle name="Percentuale 48 3 4" xfId="18804" xr:uid="{00000000-0005-0000-0000-0000DDDC0000}"/>
    <cellStyle name="Percentuale 48 3 5" xfId="17796" xr:uid="{00000000-0005-0000-0000-0000DEDC0000}"/>
    <cellStyle name="Percentuale 48 4" xfId="9600" xr:uid="{00000000-0005-0000-0000-0000DFDC0000}"/>
    <cellStyle name="Percentuale 48 4 2" xfId="17799" xr:uid="{00000000-0005-0000-0000-0000E0DC0000}"/>
    <cellStyle name="Percentuale 48 4 2 2" xfId="18807" xr:uid="{00000000-0005-0000-0000-0000E1DC0000}"/>
    <cellStyle name="Percentuale 48 4 3" xfId="18806" xr:uid="{00000000-0005-0000-0000-0000E2DC0000}"/>
    <cellStyle name="Percentuale 48 4 4" xfId="17798" xr:uid="{00000000-0005-0000-0000-0000E3DC0000}"/>
    <cellStyle name="Percentuale 48 5" xfId="9601" xr:uid="{00000000-0005-0000-0000-0000E4DC0000}"/>
    <cellStyle name="Percentuale 48 6" xfId="51274" xr:uid="{00000000-0005-0000-0000-0000E5DC0000}"/>
    <cellStyle name="Percentuale 49" xfId="1020" xr:uid="{00000000-0005-0000-0000-0000E6DC0000}"/>
    <cellStyle name="Percentuale 49 2" xfId="1021" xr:uid="{00000000-0005-0000-0000-0000E7DC0000}"/>
    <cellStyle name="Percentuale 49 2 2" xfId="1489" xr:uid="{00000000-0005-0000-0000-0000E8DC0000}"/>
    <cellStyle name="Percentuale 49 3" xfId="1022" xr:uid="{00000000-0005-0000-0000-0000E9DC0000}"/>
    <cellStyle name="Percentuale 49 3 2" xfId="1023" xr:uid="{00000000-0005-0000-0000-0000EADC0000}"/>
    <cellStyle name="Percentuale 49 3 3" xfId="17801" xr:uid="{00000000-0005-0000-0000-0000EBDC0000}"/>
    <cellStyle name="Percentuale 49 3 3 2" xfId="18809" xr:uid="{00000000-0005-0000-0000-0000ECDC0000}"/>
    <cellStyle name="Percentuale 49 3 4" xfId="18808" xr:uid="{00000000-0005-0000-0000-0000EDDC0000}"/>
    <cellStyle name="Percentuale 49 3 5" xfId="17800" xr:uid="{00000000-0005-0000-0000-0000EEDC0000}"/>
    <cellStyle name="Percentuale 49 4" xfId="9602" xr:uid="{00000000-0005-0000-0000-0000EFDC0000}"/>
    <cellStyle name="Percentuale 49 4 2" xfId="17803" xr:uid="{00000000-0005-0000-0000-0000F0DC0000}"/>
    <cellStyle name="Percentuale 49 4 2 2" xfId="18811" xr:uid="{00000000-0005-0000-0000-0000F1DC0000}"/>
    <cellStyle name="Percentuale 49 4 3" xfId="18810" xr:uid="{00000000-0005-0000-0000-0000F2DC0000}"/>
    <cellStyle name="Percentuale 49 4 4" xfId="17802" xr:uid="{00000000-0005-0000-0000-0000F3DC0000}"/>
    <cellStyle name="Percentuale 49 5" xfId="9603" xr:uid="{00000000-0005-0000-0000-0000F4DC0000}"/>
    <cellStyle name="Percentuale 49 6" xfId="51275" xr:uid="{00000000-0005-0000-0000-0000F5DC0000}"/>
    <cellStyle name="Percentuale 5" xfId="1024" xr:uid="{00000000-0005-0000-0000-0000F6DC0000}"/>
    <cellStyle name="Percentuale 5 2" xfId="1025" xr:uid="{00000000-0005-0000-0000-0000F7DC0000}"/>
    <cellStyle name="Percentuale 5 2 2" xfId="1490" xr:uid="{00000000-0005-0000-0000-0000F8DC0000}"/>
    <cellStyle name="Percentuale 5 3" xfId="1026" xr:uid="{00000000-0005-0000-0000-0000F9DC0000}"/>
    <cellStyle name="Percentuale 5 3 2" xfId="1027" xr:uid="{00000000-0005-0000-0000-0000FADC0000}"/>
    <cellStyle name="Percentuale 5 3 3" xfId="17805" xr:uid="{00000000-0005-0000-0000-0000FBDC0000}"/>
    <cellStyle name="Percentuale 5 3 3 2" xfId="18813" xr:uid="{00000000-0005-0000-0000-0000FCDC0000}"/>
    <cellStyle name="Percentuale 5 3 4" xfId="18812" xr:uid="{00000000-0005-0000-0000-0000FDDC0000}"/>
    <cellStyle name="Percentuale 5 3 5" xfId="17804" xr:uid="{00000000-0005-0000-0000-0000FEDC0000}"/>
    <cellStyle name="Percentuale 5 4" xfId="9604" xr:uid="{00000000-0005-0000-0000-0000FFDC0000}"/>
    <cellStyle name="Percentuale 5 4 2" xfId="17807" xr:uid="{00000000-0005-0000-0000-000000DD0000}"/>
    <cellStyle name="Percentuale 5 4 2 2" xfId="18815" xr:uid="{00000000-0005-0000-0000-000001DD0000}"/>
    <cellStyle name="Percentuale 5 4 3" xfId="18814" xr:uid="{00000000-0005-0000-0000-000002DD0000}"/>
    <cellStyle name="Percentuale 5 4 4" xfId="17806" xr:uid="{00000000-0005-0000-0000-000003DD0000}"/>
    <cellStyle name="Percentuale 5 5" xfId="9605" xr:uid="{00000000-0005-0000-0000-000004DD0000}"/>
    <cellStyle name="Percentuale 5 6" xfId="51276" xr:uid="{00000000-0005-0000-0000-000005DD0000}"/>
    <cellStyle name="Percentuale 50" xfId="1028" xr:uid="{00000000-0005-0000-0000-000006DD0000}"/>
    <cellStyle name="Percentuale 50 2" xfId="1029" xr:uid="{00000000-0005-0000-0000-000007DD0000}"/>
    <cellStyle name="Percentuale 50 2 2" xfId="1491" xr:uid="{00000000-0005-0000-0000-000008DD0000}"/>
    <cellStyle name="Percentuale 50 3" xfId="1030" xr:uid="{00000000-0005-0000-0000-000009DD0000}"/>
    <cellStyle name="Percentuale 50 3 2" xfId="1031" xr:uid="{00000000-0005-0000-0000-00000ADD0000}"/>
    <cellStyle name="Percentuale 50 3 3" xfId="17809" xr:uid="{00000000-0005-0000-0000-00000BDD0000}"/>
    <cellStyle name="Percentuale 50 3 3 2" xfId="18817" xr:uid="{00000000-0005-0000-0000-00000CDD0000}"/>
    <cellStyle name="Percentuale 50 3 4" xfId="18816" xr:uid="{00000000-0005-0000-0000-00000DDD0000}"/>
    <cellStyle name="Percentuale 50 3 5" xfId="17808" xr:uid="{00000000-0005-0000-0000-00000EDD0000}"/>
    <cellStyle name="Percentuale 50 4" xfId="9606" xr:uid="{00000000-0005-0000-0000-00000FDD0000}"/>
    <cellStyle name="Percentuale 50 4 2" xfId="17811" xr:uid="{00000000-0005-0000-0000-000010DD0000}"/>
    <cellStyle name="Percentuale 50 4 2 2" xfId="18819" xr:uid="{00000000-0005-0000-0000-000011DD0000}"/>
    <cellStyle name="Percentuale 50 4 3" xfId="18818" xr:uid="{00000000-0005-0000-0000-000012DD0000}"/>
    <cellStyle name="Percentuale 50 4 4" xfId="17810" xr:uid="{00000000-0005-0000-0000-000013DD0000}"/>
    <cellStyle name="Percentuale 50 5" xfId="9607" xr:uid="{00000000-0005-0000-0000-000014DD0000}"/>
    <cellStyle name="Percentuale 50 6" xfId="51277" xr:uid="{00000000-0005-0000-0000-000015DD0000}"/>
    <cellStyle name="Percentuale 51" xfId="1032" xr:uid="{00000000-0005-0000-0000-000016DD0000}"/>
    <cellStyle name="Percentuale 51 2" xfId="1033" xr:uid="{00000000-0005-0000-0000-000017DD0000}"/>
    <cellStyle name="Percentuale 51 2 2" xfId="1492" xr:uid="{00000000-0005-0000-0000-000018DD0000}"/>
    <cellStyle name="Percentuale 51 3" xfId="1034" xr:uid="{00000000-0005-0000-0000-000019DD0000}"/>
    <cellStyle name="Percentuale 51 3 2" xfId="1035" xr:uid="{00000000-0005-0000-0000-00001ADD0000}"/>
    <cellStyle name="Percentuale 51 3 3" xfId="17813" xr:uid="{00000000-0005-0000-0000-00001BDD0000}"/>
    <cellStyle name="Percentuale 51 3 3 2" xfId="18821" xr:uid="{00000000-0005-0000-0000-00001CDD0000}"/>
    <cellStyle name="Percentuale 51 3 4" xfId="18820" xr:uid="{00000000-0005-0000-0000-00001DDD0000}"/>
    <cellStyle name="Percentuale 51 3 5" xfId="17812" xr:uid="{00000000-0005-0000-0000-00001EDD0000}"/>
    <cellStyle name="Percentuale 51 4" xfId="9608" xr:uid="{00000000-0005-0000-0000-00001FDD0000}"/>
    <cellStyle name="Percentuale 51 4 2" xfId="17815" xr:uid="{00000000-0005-0000-0000-000020DD0000}"/>
    <cellStyle name="Percentuale 51 4 2 2" xfId="18823" xr:uid="{00000000-0005-0000-0000-000021DD0000}"/>
    <cellStyle name="Percentuale 51 4 3" xfId="18822" xr:uid="{00000000-0005-0000-0000-000022DD0000}"/>
    <cellStyle name="Percentuale 51 4 4" xfId="17814" xr:uid="{00000000-0005-0000-0000-000023DD0000}"/>
    <cellStyle name="Percentuale 51 5" xfId="9609" xr:uid="{00000000-0005-0000-0000-000024DD0000}"/>
    <cellStyle name="Percentuale 51 6" xfId="51278" xr:uid="{00000000-0005-0000-0000-000025DD0000}"/>
    <cellStyle name="Percentuale 52" xfId="1036" xr:uid="{00000000-0005-0000-0000-000026DD0000}"/>
    <cellStyle name="Percentuale 52 2" xfId="1037" xr:uid="{00000000-0005-0000-0000-000027DD0000}"/>
    <cellStyle name="Percentuale 52 2 2" xfId="1493" xr:uid="{00000000-0005-0000-0000-000028DD0000}"/>
    <cellStyle name="Percentuale 52 3" xfId="1038" xr:uid="{00000000-0005-0000-0000-000029DD0000}"/>
    <cellStyle name="Percentuale 52 3 2" xfId="1039" xr:uid="{00000000-0005-0000-0000-00002ADD0000}"/>
    <cellStyle name="Percentuale 52 3 3" xfId="17817" xr:uid="{00000000-0005-0000-0000-00002BDD0000}"/>
    <cellStyle name="Percentuale 52 3 3 2" xfId="18825" xr:uid="{00000000-0005-0000-0000-00002CDD0000}"/>
    <cellStyle name="Percentuale 52 3 4" xfId="18824" xr:uid="{00000000-0005-0000-0000-00002DDD0000}"/>
    <cellStyle name="Percentuale 52 3 5" xfId="17816" xr:uid="{00000000-0005-0000-0000-00002EDD0000}"/>
    <cellStyle name="Percentuale 52 4" xfId="9610" xr:uid="{00000000-0005-0000-0000-00002FDD0000}"/>
    <cellStyle name="Percentuale 52 4 2" xfId="17819" xr:uid="{00000000-0005-0000-0000-000030DD0000}"/>
    <cellStyle name="Percentuale 52 4 2 2" xfId="18827" xr:uid="{00000000-0005-0000-0000-000031DD0000}"/>
    <cellStyle name="Percentuale 52 4 3" xfId="18826" xr:uid="{00000000-0005-0000-0000-000032DD0000}"/>
    <cellStyle name="Percentuale 52 4 4" xfId="17818" xr:uid="{00000000-0005-0000-0000-000033DD0000}"/>
    <cellStyle name="Percentuale 52 5" xfId="9611" xr:uid="{00000000-0005-0000-0000-000034DD0000}"/>
    <cellStyle name="Percentuale 52 6" xfId="51279" xr:uid="{00000000-0005-0000-0000-000035DD0000}"/>
    <cellStyle name="Percentuale 53" xfId="1040" xr:uid="{00000000-0005-0000-0000-000036DD0000}"/>
    <cellStyle name="Percentuale 53 2" xfId="1041" xr:uid="{00000000-0005-0000-0000-000037DD0000}"/>
    <cellStyle name="Percentuale 53 2 2" xfId="1494" xr:uid="{00000000-0005-0000-0000-000038DD0000}"/>
    <cellStyle name="Percentuale 53 3" xfId="1042" xr:uid="{00000000-0005-0000-0000-000039DD0000}"/>
    <cellStyle name="Percentuale 53 3 2" xfId="1043" xr:uid="{00000000-0005-0000-0000-00003ADD0000}"/>
    <cellStyle name="Percentuale 53 3 3" xfId="17821" xr:uid="{00000000-0005-0000-0000-00003BDD0000}"/>
    <cellStyle name="Percentuale 53 3 3 2" xfId="18829" xr:uid="{00000000-0005-0000-0000-00003CDD0000}"/>
    <cellStyle name="Percentuale 53 3 4" xfId="18828" xr:uid="{00000000-0005-0000-0000-00003DDD0000}"/>
    <cellStyle name="Percentuale 53 3 5" xfId="17820" xr:uid="{00000000-0005-0000-0000-00003EDD0000}"/>
    <cellStyle name="Percentuale 53 4" xfId="9612" xr:uid="{00000000-0005-0000-0000-00003FDD0000}"/>
    <cellStyle name="Percentuale 53 4 2" xfId="17823" xr:uid="{00000000-0005-0000-0000-000040DD0000}"/>
    <cellStyle name="Percentuale 53 4 2 2" xfId="18831" xr:uid="{00000000-0005-0000-0000-000041DD0000}"/>
    <cellStyle name="Percentuale 53 4 3" xfId="18830" xr:uid="{00000000-0005-0000-0000-000042DD0000}"/>
    <cellStyle name="Percentuale 53 4 4" xfId="17822" xr:uid="{00000000-0005-0000-0000-000043DD0000}"/>
    <cellStyle name="Percentuale 53 5" xfId="9613" xr:uid="{00000000-0005-0000-0000-000044DD0000}"/>
    <cellStyle name="Percentuale 53 6" xfId="51280" xr:uid="{00000000-0005-0000-0000-000045DD0000}"/>
    <cellStyle name="Percentuale 54" xfId="1044" xr:uid="{00000000-0005-0000-0000-000046DD0000}"/>
    <cellStyle name="Percentuale 54 2" xfId="1045" xr:uid="{00000000-0005-0000-0000-000047DD0000}"/>
    <cellStyle name="Percentuale 54 2 2" xfId="1495" xr:uid="{00000000-0005-0000-0000-000048DD0000}"/>
    <cellStyle name="Percentuale 54 3" xfId="1046" xr:uid="{00000000-0005-0000-0000-000049DD0000}"/>
    <cellStyle name="Percentuale 54 3 2" xfId="1047" xr:uid="{00000000-0005-0000-0000-00004ADD0000}"/>
    <cellStyle name="Percentuale 54 3 3" xfId="17825" xr:uid="{00000000-0005-0000-0000-00004BDD0000}"/>
    <cellStyle name="Percentuale 54 3 3 2" xfId="18833" xr:uid="{00000000-0005-0000-0000-00004CDD0000}"/>
    <cellStyle name="Percentuale 54 3 4" xfId="18832" xr:uid="{00000000-0005-0000-0000-00004DDD0000}"/>
    <cellStyle name="Percentuale 54 3 5" xfId="17824" xr:uid="{00000000-0005-0000-0000-00004EDD0000}"/>
    <cellStyle name="Percentuale 54 4" xfId="9614" xr:uid="{00000000-0005-0000-0000-00004FDD0000}"/>
    <cellStyle name="Percentuale 54 4 2" xfId="17827" xr:uid="{00000000-0005-0000-0000-000050DD0000}"/>
    <cellStyle name="Percentuale 54 4 2 2" xfId="18835" xr:uid="{00000000-0005-0000-0000-000051DD0000}"/>
    <cellStyle name="Percentuale 54 4 3" xfId="18834" xr:uid="{00000000-0005-0000-0000-000052DD0000}"/>
    <cellStyle name="Percentuale 54 4 4" xfId="17826" xr:uid="{00000000-0005-0000-0000-000053DD0000}"/>
    <cellStyle name="Percentuale 54 5" xfId="9615" xr:uid="{00000000-0005-0000-0000-000054DD0000}"/>
    <cellStyle name="Percentuale 54 6" xfId="51281" xr:uid="{00000000-0005-0000-0000-000055DD0000}"/>
    <cellStyle name="Percentuale 55" xfId="1048" xr:uid="{00000000-0005-0000-0000-000056DD0000}"/>
    <cellStyle name="Percentuale 55 2" xfId="1049" xr:uid="{00000000-0005-0000-0000-000057DD0000}"/>
    <cellStyle name="Percentuale 55 2 2" xfId="1496" xr:uid="{00000000-0005-0000-0000-000058DD0000}"/>
    <cellStyle name="Percentuale 55 3" xfId="1050" xr:uid="{00000000-0005-0000-0000-000059DD0000}"/>
    <cellStyle name="Percentuale 55 3 2" xfId="1051" xr:uid="{00000000-0005-0000-0000-00005ADD0000}"/>
    <cellStyle name="Percentuale 55 3 3" xfId="17829" xr:uid="{00000000-0005-0000-0000-00005BDD0000}"/>
    <cellStyle name="Percentuale 55 3 3 2" xfId="18837" xr:uid="{00000000-0005-0000-0000-00005CDD0000}"/>
    <cellStyle name="Percentuale 55 3 4" xfId="18836" xr:uid="{00000000-0005-0000-0000-00005DDD0000}"/>
    <cellStyle name="Percentuale 55 3 5" xfId="17828" xr:uid="{00000000-0005-0000-0000-00005EDD0000}"/>
    <cellStyle name="Percentuale 55 4" xfId="9616" xr:uid="{00000000-0005-0000-0000-00005FDD0000}"/>
    <cellStyle name="Percentuale 55 4 2" xfId="17831" xr:uid="{00000000-0005-0000-0000-000060DD0000}"/>
    <cellStyle name="Percentuale 55 4 2 2" xfId="18839" xr:uid="{00000000-0005-0000-0000-000061DD0000}"/>
    <cellStyle name="Percentuale 55 4 3" xfId="18838" xr:uid="{00000000-0005-0000-0000-000062DD0000}"/>
    <cellStyle name="Percentuale 55 4 4" xfId="17830" xr:uid="{00000000-0005-0000-0000-000063DD0000}"/>
    <cellStyle name="Percentuale 55 5" xfId="9617" xr:uid="{00000000-0005-0000-0000-000064DD0000}"/>
    <cellStyle name="Percentuale 55 6" xfId="51282" xr:uid="{00000000-0005-0000-0000-000065DD0000}"/>
    <cellStyle name="Percentuale 56" xfId="1052" xr:uid="{00000000-0005-0000-0000-000066DD0000}"/>
    <cellStyle name="Percentuale 56 2" xfId="1053" xr:uid="{00000000-0005-0000-0000-000067DD0000}"/>
    <cellStyle name="Percentuale 56 2 2" xfId="1497" xr:uid="{00000000-0005-0000-0000-000068DD0000}"/>
    <cellStyle name="Percentuale 56 3" xfId="1054" xr:uid="{00000000-0005-0000-0000-000069DD0000}"/>
    <cellStyle name="Percentuale 56 3 2" xfId="1055" xr:uid="{00000000-0005-0000-0000-00006ADD0000}"/>
    <cellStyle name="Percentuale 56 3 3" xfId="17833" xr:uid="{00000000-0005-0000-0000-00006BDD0000}"/>
    <cellStyle name="Percentuale 56 3 3 2" xfId="18841" xr:uid="{00000000-0005-0000-0000-00006CDD0000}"/>
    <cellStyle name="Percentuale 56 3 4" xfId="18840" xr:uid="{00000000-0005-0000-0000-00006DDD0000}"/>
    <cellStyle name="Percentuale 56 3 5" xfId="17832" xr:uid="{00000000-0005-0000-0000-00006EDD0000}"/>
    <cellStyle name="Percentuale 56 4" xfId="9618" xr:uid="{00000000-0005-0000-0000-00006FDD0000}"/>
    <cellStyle name="Percentuale 56 4 2" xfId="17835" xr:uid="{00000000-0005-0000-0000-000070DD0000}"/>
    <cellStyle name="Percentuale 56 4 2 2" xfId="18843" xr:uid="{00000000-0005-0000-0000-000071DD0000}"/>
    <cellStyle name="Percentuale 56 4 3" xfId="18842" xr:uid="{00000000-0005-0000-0000-000072DD0000}"/>
    <cellStyle name="Percentuale 56 4 4" xfId="17834" xr:uid="{00000000-0005-0000-0000-000073DD0000}"/>
    <cellStyle name="Percentuale 56 5" xfId="9619" xr:uid="{00000000-0005-0000-0000-000074DD0000}"/>
    <cellStyle name="Percentuale 56 6" xfId="51283" xr:uid="{00000000-0005-0000-0000-000075DD0000}"/>
    <cellStyle name="Percentuale 57" xfId="1056" xr:uid="{00000000-0005-0000-0000-000076DD0000}"/>
    <cellStyle name="Percentuale 57 2" xfId="1057" xr:uid="{00000000-0005-0000-0000-000077DD0000}"/>
    <cellStyle name="Percentuale 57 2 2" xfId="1498" xr:uid="{00000000-0005-0000-0000-000078DD0000}"/>
    <cellStyle name="Percentuale 57 3" xfId="1058" xr:uid="{00000000-0005-0000-0000-000079DD0000}"/>
    <cellStyle name="Percentuale 57 3 2" xfId="1059" xr:uid="{00000000-0005-0000-0000-00007ADD0000}"/>
    <cellStyle name="Percentuale 57 3 3" xfId="17837" xr:uid="{00000000-0005-0000-0000-00007BDD0000}"/>
    <cellStyle name="Percentuale 57 3 3 2" xfId="18845" xr:uid="{00000000-0005-0000-0000-00007CDD0000}"/>
    <cellStyle name="Percentuale 57 3 4" xfId="18844" xr:uid="{00000000-0005-0000-0000-00007DDD0000}"/>
    <cellStyle name="Percentuale 57 3 5" xfId="17836" xr:uid="{00000000-0005-0000-0000-00007EDD0000}"/>
    <cellStyle name="Percentuale 57 4" xfId="9620" xr:uid="{00000000-0005-0000-0000-00007FDD0000}"/>
    <cellStyle name="Percentuale 57 4 2" xfId="17839" xr:uid="{00000000-0005-0000-0000-000080DD0000}"/>
    <cellStyle name="Percentuale 57 4 2 2" xfId="18847" xr:uid="{00000000-0005-0000-0000-000081DD0000}"/>
    <cellStyle name="Percentuale 57 4 3" xfId="18846" xr:uid="{00000000-0005-0000-0000-000082DD0000}"/>
    <cellStyle name="Percentuale 57 4 4" xfId="17838" xr:uid="{00000000-0005-0000-0000-000083DD0000}"/>
    <cellStyle name="Percentuale 57 5" xfId="9621" xr:uid="{00000000-0005-0000-0000-000084DD0000}"/>
    <cellStyle name="Percentuale 57 6" xfId="51284" xr:uid="{00000000-0005-0000-0000-000085DD0000}"/>
    <cellStyle name="Percentuale 58" xfId="1060" xr:uid="{00000000-0005-0000-0000-000086DD0000}"/>
    <cellStyle name="Percentuale 58 2" xfId="1061" xr:uid="{00000000-0005-0000-0000-000087DD0000}"/>
    <cellStyle name="Percentuale 58 2 2" xfId="1499" xr:uid="{00000000-0005-0000-0000-000088DD0000}"/>
    <cellStyle name="Percentuale 58 3" xfId="1062" xr:uid="{00000000-0005-0000-0000-000089DD0000}"/>
    <cellStyle name="Percentuale 58 3 2" xfId="1063" xr:uid="{00000000-0005-0000-0000-00008ADD0000}"/>
    <cellStyle name="Percentuale 58 3 3" xfId="17841" xr:uid="{00000000-0005-0000-0000-00008BDD0000}"/>
    <cellStyle name="Percentuale 58 3 3 2" xfId="18849" xr:uid="{00000000-0005-0000-0000-00008CDD0000}"/>
    <cellStyle name="Percentuale 58 3 4" xfId="18848" xr:uid="{00000000-0005-0000-0000-00008DDD0000}"/>
    <cellStyle name="Percentuale 58 3 5" xfId="17840" xr:uid="{00000000-0005-0000-0000-00008EDD0000}"/>
    <cellStyle name="Percentuale 58 4" xfId="9622" xr:uid="{00000000-0005-0000-0000-00008FDD0000}"/>
    <cellStyle name="Percentuale 58 4 2" xfId="17843" xr:uid="{00000000-0005-0000-0000-000090DD0000}"/>
    <cellStyle name="Percentuale 58 4 2 2" xfId="18851" xr:uid="{00000000-0005-0000-0000-000091DD0000}"/>
    <cellStyle name="Percentuale 58 4 3" xfId="18850" xr:uid="{00000000-0005-0000-0000-000092DD0000}"/>
    <cellStyle name="Percentuale 58 4 4" xfId="17842" xr:uid="{00000000-0005-0000-0000-000093DD0000}"/>
    <cellStyle name="Percentuale 58 5" xfId="9623" xr:uid="{00000000-0005-0000-0000-000094DD0000}"/>
    <cellStyle name="Percentuale 58 6" xfId="51285" xr:uid="{00000000-0005-0000-0000-000095DD0000}"/>
    <cellStyle name="Percentuale 59" xfId="1064" xr:uid="{00000000-0005-0000-0000-000096DD0000}"/>
    <cellStyle name="Percentuale 59 2" xfId="1065" xr:uid="{00000000-0005-0000-0000-000097DD0000}"/>
    <cellStyle name="Percentuale 59 2 2" xfId="1500" xr:uid="{00000000-0005-0000-0000-000098DD0000}"/>
    <cellStyle name="Percentuale 59 3" xfId="1066" xr:uid="{00000000-0005-0000-0000-000099DD0000}"/>
    <cellStyle name="Percentuale 59 3 2" xfId="1067" xr:uid="{00000000-0005-0000-0000-00009ADD0000}"/>
    <cellStyle name="Percentuale 59 3 3" xfId="17845" xr:uid="{00000000-0005-0000-0000-00009BDD0000}"/>
    <cellStyle name="Percentuale 59 3 3 2" xfId="18853" xr:uid="{00000000-0005-0000-0000-00009CDD0000}"/>
    <cellStyle name="Percentuale 59 3 4" xfId="18852" xr:uid="{00000000-0005-0000-0000-00009DDD0000}"/>
    <cellStyle name="Percentuale 59 3 5" xfId="17844" xr:uid="{00000000-0005-0000-0000-00009EDD0000}"/>
    <cellStyle name="Percentuale 59 4" xfId="9624" xr:uid="{00000000-0005-0000-0000-00009FDD0000}"/>
    <cellStyle name="Percentuale 59 4 2" xfId="17847" xr:uid="{00000000-0005-0000-0000-0000A0DD0000}"/>
    <cellStyle name="Percentuale 59 4 2 2" xfId="18855" xr:uid="{00000000-0005-0000-0000-0000A1DD0000}"/>
    <cellStyle name="Percentuale 59 4 3" xfId="18854" xr:uid="{00000000-0005-0000-0000-0000A2DD0000}"/>
    <cellStyle name="Percentuale 59 4 4" xfId="17846" xr:uid="{00000000-0005-0000-0000-0000A3DD0000}"/>
    <cellStyle name="Percentuale 59 5" xfId="9625" xr:uid="{00000000-0005-0000-0000-0000A4DD0000}"/>
    <cellStyle name="Percentuale 59 6" xfId="51286" xr:uid="{00000000-0005-0000-0000-0000A5DD0000}"/>
    <cellStyle name="Percentuale 6" xfId="1068" xr:uid="{00000000-0005-0000-0000-0000A6DD0000}"/>
    <cellStyle name="Percentuale 6 2" xfId="1069" xr:uid="{00000000-0005-0000-0000-0000A7DD0000}"/>
    <cellStyle name="Percentuale 6 2 2" xfId="1501" xr:uid="{00000000-0005-0000-0000-0000A8DD0000}"/>
    <cellStyle name="Percentuale 6 3" xfId="1070" xr:uid="{00000000-0005-0000-0000-0000A9DD0000}"/>
    <cellStyle name="Percentuale 6 3 2" xfId="1071" xr:uid="{00000000-0005-0000-0000-0000AADD0000}"/>
    <cellStyle name="Percentuale 6 3 3" xfId="17850" xr:uid="{00000000-0005-0000-0000-0000ABDD0000}"/>
    <cellStyle name="Percentuale 6 3 3 2" xfId="18857" xr:uid="{00000000-0005-0000-0000-0000ACDD0000}"/>
    <cellStyle name="Percentuale 6 3 4" xfId="18856" xr:uid="{00000000-0005-0000-0000-0000ADDD0000}"/>
    <cellStyle name="Percentuale 6 3 5" xfId="17848" xr:uid="{00000000-0005-0000-0000-0000AEDD0000}"/>
    <cellStyle name="Percentuale 6 4" xfId="9626" xr:uid="{00000000-0005-0000-0000-0000AFDD0000}"/>
    <cellStyle name="Percentuale 6 4 2" xfId="17852" xr:uid="{00000000-0005-0000-0000-0000B0DD0000}"/>
    <cellStyle name="Percentuale 6 4 2 2" xfId="18859" xr:uid="{00000000-0005-0000-0000-0000B1DD0000}"/>
    <cellStyle name="Percentuale 6 4 3" xfId="18858" xr:uid="{00000000-0005-0000-0000-0000B2DD0000}"/>
    <cellStyle name="Percentuale 6 4 4" xfId="17851" xr:uid="{00000000-0005-0000-0000-0000B3DD0000}"/>
    <cellStyle name="Percentuale 6 5" xfId="9627" xr:uid="{00000000-0005-0000-0000-0000B4DD0000}"/>
    <cellStyle name="Percentuale 6 6" xfId="51287" xr:uid="{00000000-0005-0000-0000-0000B5DD0000}"/>
    <cellStyle name="Percentuale 60" xfId="1072" xr:uid="{00000000-0005-0000-0000-0000B6DD0000}"/>
    <cellStyle name="Percentuale 60 2" xfId="1073" xr:uid="{00000000-0005-0000-0000-0000B7DD0000}"/>
    <cellStyle name="Percentuale 60 2 2" xfId="1502" xr:uid="{00000000-0005-0000-0000-0000B8DD0000}"/>
    <cellStyle name="Percentuale 60 3" xfId="1074" xr:uid="{00000000-0005-0000-0000-0000B9DD0000}"/>
    <cellStyle name="Percentuale 60 3 2" xfId="1075" xr:uid="{00000000-0005-0000-0000-0000BADD0000}"/>
    <cellStyle name="Percentuale 60 3 3" xfId="17854" xr:uid="{00000000-0005-0000-0000-0000BBDD0000}"/>
    <cellStyle name="Percentuale 60 3 3 2" xfId="18861" xr:uid="{00000000-0005-0000-0000-0000BCDD0000}"/>
    <cellStyle name="Percentuale 60 3 4" xfId="18860" xr:uid="{00000000-0005-0000-0000-0000BDDD0000}"/>
    <cellStyle name="Percentuale 60 3 5" xfId="17853" xr:uid="{00000000-0005-0000-0000-0000BEDD0000}"/>
    <cellStyle name="Percentuale 60 4" xfId="9628" xr:uid="{00000000-0005-0000-0000-0000BFDD0000}"/>
    <cellStyle name="Percentuale 60 4 2" xfId="17856" xr:uid="{00000000-0005-0000-0000-0000C0DD0000}"/>
    <cellStyle name="Percentuale 60 4 2 2" xfId="18863" xr:uid="{00000000-0005-0000-0000-0000C1DD0000}"/>
    <cellStyle name="Percentuale 60 4 3" xfId="18862" xr:uid="{00000000-0005-0000-0000-0000C2DD0000}"/>
    <cellStyle name="Percentuale 60 4 4" xfId="17855" xr:uid="{00000000-0005-0000-0000-0000C3DD0000}"/>
    <cellStyle name="Percentuale 60 5" xfId="9629" xr:uid="{00000000-0005-0000-0000-0000C4DD0000}"/>
    <cellStyle name="Percentuale 60 6" xfId="51288" xr:uid="{00000000-0005-0000-0000-0000C5DD0000}"/>
    <cellStyle name="Percentuale 61" xfId="1076" xr:uid="{00000000-0005-0000-0000-0000C6DD0000}"/>
    <cellStyle name="Percentuale 61 2" xfId="1077" xr:uid="{00000000-0005-0000-0000-0000C7DD0000}"/>
    <cellStyle name="Percentuale 61 2 2" xfId="1503" xr:uid="{00000000-0005-0000-0000-0000C8DD0000}"/>
    <cellStyle name="Percentuale 61 3" xfId="1078" xr:uid="{00000000-0005-0000-0000-0000C9DD0000}"/>
    <cellStyle name="Percentuale 61 3 2" xfId="1079" xr:uid="{00000000-0005-0000-0000-0000CADD0000}"/>
    <cellStyle name="Percentuale 61 3 3" xfId="17858" xr:uid="{00000000-0005-0000-0000-0000CBDD0000}"/>
    <cellStyle name="Percentuale 61 3 3 2" xfId="18865" xr:uid="{00000000-0005-0000-0000-0000CCDD0000}"/>
    <cellStyle name="Percentuale 61 3 4" xfId="18864" xr:uid="{00000000-0005-0000-0000-0000CDDD0000}"/>
    <cellStyle name="Percentuale 61 3 5" xfId="17857" xr:uid="{00000000-0005-0000-0000-0000CEDD0000}"/>
    <cellStyle name="Percentuale 61 4" xfId="9630" xr:uid="{00000000-0005-0000-0000-0000CFDD0000}"/>
    <cellStyle name="Percentuale 61 4 2" xfId="17860" xr:uid="{00000000-0005-0000-0000-0000D0DD0000}"/>
    <cellStyle name="Percentuale 61 4 2 2" xfId="18867" xr:uid="{00000000-0005-0000-0000-0000D1DD0000}"/>
    <cellStyle name="Percentuale 61 4 3" xfId="18866" xr:uid="{00000000-0005-0000-0000-0000D2DD0000}"/>
    <cellStyle name="Percentuale 61 4 4" xfId="17859" xr:uid="{00000000-0005-0000-0000-0000D3DD0000}"/>
    <cellStyle name="Percentuale 61 5" xfId="9631" xr:uid="{00000000-0005-0000-0000-0000D4DD0000}"/>
    <cellStyle name="Percentuale 61 6" xfId="51289" xr:uid="{00000000-0005-0000-0000-0000D5DD0000}"/>
    <cellStyle name="Percentuale 62" xfId="1080" xr:uid="{00000000-0005-0000-0000-0000D6DD0000}"/>
    <cellStyle name="Percentuale 62 2" xfId="1504" xr:uid="{00000000-0005-0000-0000-0000D7DD0000}"/>
    <cellStyle name="Percentuale 63" xfId="1081" xr:uid="{00000000-0005-0000-0000-0000D8DD0000}"/>
    <cellStyle name="Percentuale 63 2" xfId="1505" xr:uid="{00000000-0005-0000-0000-0000D9DD0000}"/>
    <cellStyle name="Percentuale 64" xfId="1082" xr:uid="{00000000-0005-0000-0000-0000DADD0000}"/>
    <cellStyle name="Percentuale 64 2" xfId="1506" xr:uid="{00000000-0005-0000-0000-0000DBDD0000}"/>
    <cellStyle name="Percentuale 65" xfId="1083" xr:uid="{00000000-0005-0000-0000-0000DCDD0000}"/>
    <cellStyle name="Percentuale 65 2" xfId="1507" xr:uid="{00000000-0005-0000-0000-0000DDDD0000}"/>
    <cellStyle name="Percentuale 66" xfId="1084" xr:uid="{00000000-0005-0000-0000-0000DEDD0000}"/>
    <cellStyle name="Percentuale 66 2" xfId="1508" xr:uid="{00000000-0005-0000-0000-0000DFDD0000}"/>
    <cellStyle name="Percentuale 67" xfId="1085" xr:uid="{00000000-0005-0000-0000-0000E0DD0000}"/>
    <cellStyle name="Percentuale 67 2" xfId="1509" xr:uid="{00000000-0005-0000-0000-0000E1DD0000}"/>
    <cellStyle name="Percentuale 68" xfId="1086" xr:uid="{00000000-0005-0000-0000-0000E2DD0000}"/>
    <cellStyle name="Percentuale 68 2" xfId="1087" xr:uid="{00000000-0005-0000-0000-0000E3DD0000}"/>
    <cellStyle name="Percentuale 68 2 2" xfId="1510" xr:uid="{00000000-0005-0000-0000-0000E4DD0000}"/>
    <cellStyle name="Percentuale 68 3" xfId="1088" xr:uid="{00000000-0005-0000-0000-0000E5DD0000}"/>
    <cellStyle name="Percentuale 68 3 2" xfId="1089" xr:uid="{00000000-0005-0000-0000-0000E6DD0000}"/>
    <cellStyle name="Percentuale 68 3 3" xfId="17862" xr:uid="{00000000-0005-0000-0000-0000E7DD0000}"/>
    <cellStyle name="Percentuale 68 3 3 2" xfId="18869" xr:uid="{00000000-0005-0000-0000-0000E8DD0000}"/>
    <cellStyle name="Percentuale 68 3 4" xfId="18868" xr:uid="{00000000-0005-0000-0000-0000E9DD0000}"/>
    <cellStyle name="Percentuale 68 3 5" xfId="17861" xr:uid="{00000000-0005-0000-0000-0000EADD0000}"/>
    <cellStyle name="Percentuale 68 4" xfId="9632" xr:uid="{00000000-0005-0000-0000-0000EBDD0000}"/>
    <cellStyle name="Percentuale 68 4 2" xfId="17864" xr:uid="{00000000-0005-0000-0000-0000ECDD0000}"/>
    <cellStyle name="Percentuale 68 4 2 2" xfId="18871" xr:uid="{00000000-0005-0000-0000-0000EDDD0000}"/>
    <cellStyle name="Percentuale 68 4 3" xfId="18870" xr:uid="{00000000-0005-0000-0000-0000EEDD0000}"/>
    <cellStyle name="Percentuale 68 4 4" xfId="17863" xr:uid="{00000000-0005-0000-0000-0000EFDD0000}"/>
    <cellStyle name="Percentuale 68 5" xfId="9633" xr:uid="{00000000-0005-0000-0000-0000F0DD0000}"/>
    <cellStyle name="Percentuale 68 6" xfId="51290" xr:uid="{00000000-0005-0000-0000-0000F1DD0000}"/>
    <cellStyle name="Percentuale 69" xfId="1090" xr:uid="{00000000-0005-0000-0000-0000F2DD0000}"/>
    <cellStyle name="Percentuale 69 2" xfId="1091" xr:uid="{00000000-0005-0000-0000-0000F3DD0000}"/>
    <cellStyle name="Percentuale 69 2 2" xfId="1511" xr:uid="{00000000-0005-0000-0000-0000F4DD0000}"/>
    <cellStyle name="Percentuale 69 3" xfId="1092" xr:uid="{00000000-0005-0000-0000-0000F5DD0000}"/>
    <cellStyle name="Percentuale 69 3 2" xfId="1093" xr:uid="{00000000-0005-0000-0000-0000F6DD0000}"/>
    <cellStyle name="Percentuale 69 3 3" xfId="17866" xr:uid="{00000000-0005-0000-0000-0000F7DD0000}"/>
    <cellStyle name="Percentuale 69 3 3 2" xfId="18873" xr:uid="{00000000-0005-0000-0000-0000F8DD0000}"/>
    <cellStyle name="Percentuale 69 3 4" xfId="18872" xr:uid="{00000000-0005-0000-0000-0000F9DD0000}"/>
    <cellStyle name="Percentuale 69 3 5" xfId="17865" xr:uid="{00000000-0005-0000-0000-0000FADD0000}"/>
    <cellStyle name="Percentuale 69 4" xfId="9634" xr:uid="{00000000-0005-0000-0000-0000FBDD0000}"/>
    <cellStyle name="Percentuale 69 4 2" xfId="17868" xr:uid="{00000000-0005-0000-0000-0000FCDD0000}"/>
    <cellStyle name="Percentuale 69 4 2 2" xfId="18875" xr:uid="{00000000-0005-0000-0000-0000FDDD0000}"/>
    <cellStyle name="Percentuale 69 4 3" xfId="18874" xr:uid="{00000000-0005-0000-0000-0000FEDD0000}"/>
    <cellStyle name="Percentuale 69 4 4" xfId="17867" xr:uid="{00000000-0005-0000-0000-0000FFDD0000}"/>
    <cellStyle name="Percentuale 69 5" xfId="9635" xr:uid="{00000000-0005-0000-0000-000000DE0000}"/>
    <cellStyle name="Percentuale 69 6" xfId="51291" xr:uid="{00000000-0005-0000-0000-000001DE0000}"/>
    <cellStyle name="Percentuale 7" xfId="1094" xr:uid="{00000000-0005-0000-0000-000002DE0000}"/>
    <cellStyle name="Percentuale 7 2" xfId="1095" xr:uid="{00000000-0005-0000-0000-000003DE0000}"/>
    <cellStyle name="Percentuale 7 2 2" xfId="1512" xr:uid="{00000000-0005-0000-0000-000004DE0000}"/>
    <cellStyle name="Percentuale 7 3" xfId="1096" xr:uid="{00000000-0005-0000-0000-000005DE0000}"/>
    <cellStyle name="Percentuale 7 3 2" xfId="1097" xr:uid="{00000000-0005-0000-0000-000006DE0000}"/>
    <cellStyle name="Percentuale 7 3 3" xfId="17870" xr:uid="{00000000-0005-0000-0000-000007DE0000}"/>
    <cellStyle name="Percentuale 7 3 3 2" xfId="18877" xr:uid="{00000000-0005-0000-0000-000008DE0000}"/>
    <cellStyle name="Percentuale 7 3 4" xfId="18876" xr:uid="{00000000-0005-0000-0000-000009DE0000}"/>
    <cellStyle name="Percentuale 7 3 5" xfId="17869" xr:uid="{00000000-0005-0000-0000-00000ADE0000}"/>
    <cellStyle name="Percentuale 7 4" xfId="9636" xr:uid="{00000000-0005-0000-0000-00000BDE0000}"/>
    <cellStyle name="Percentuale 7 4 2" xfId="17872" xr:uid="{00000000-0005-0000-0000-00000CDE0000}"/>
    <cellStyle name="Percentuale 7 4 2 2" xfId="18879" xr:uid="{00000000-0005-0000-0000-00000DDE0000}"/>
    <cellStyle name="Percentuale 7 4 3" xfId="18878" xr:uid="{00000000-0005-0000-0000-00000EDE0000}"/>
    <cellStyle name="Percentuale 7 4 4" xfId="17871" xr:uid="{00000000-0005-0000-0000-00000FDE0000}"/>
    <cellStyle name="Percentuale 7 5" xfId="9637" xr:uid="{00000000-0005-0000-0000-000010DE0000}"/>
    <cellStyle name="Percentuale 7 6" xfId="51292" xr:uid="{00000000-0005-0000-0000-000011DE0000}"/>
    <cellStyle name="Percentuale 8" xfId="1098" xr:uid="{00000000-0005-0000-0000-000012DE0000}"/>
    <cellStyle name="Percentuale 8 2" xfId="1099" xr:uid="{00000000-0005-0000-0000-000013DE0000}"/>
    <cellStyle name="Percentuale 8 2 2" xfId="1513" xr:uid="{00000000-0005-0000-0000-000014DE0000}"/>
    <cellStyle name="Percentuale 8 3" xfId="1100" xr:uid="{00000000-0005-0000-0000-000015DE0000}"/>
    <cellStyle name="Percentuale 8 3 2" xfId="1101" xr:uid="{00000000-0005-0000-0000-000016DE0000}"/>
    <cellStyle name="Percentuale 8 3 3" xfId="17874" xr:uid="{00000000-0005-0000-0000-000017DE0000}"/>
    <cellStyle name="Percentuale 8 3 3 2" xfId="18881" xr:uid="{00000000-0005-0000-0000-000018DE0000}"/>
    <cellStyle name="Percentuale 8 3 4" xfId="18880" xr:uid="{00000000-0005-0000-0000-000019DE0000}"/>
    <cellStyle name="Percentuale 8 3 5" xfId="17873" xr:uid="{00000000-0005-0000-0000-00001ADE0000}"/>
    <cellStyle name="Percentuale 8 4" xfId="9638" xr:uid="{00000000-0005-0000-0000-00001BDE0000}"/>
    <cellStyle name="Percentuale 8 4 2" xfId="17876" xr:uid="{00000000-0005-0000-0000-00001CDE0000}"/>
    <cellStyle name="Percentuale 8 4 2 2" xfId="18883" xr:uid="{00000000-0005-0000-0000-00001DDE0000}"/>
    <cellStyle name="Percentuale 8 4 3" xfId="18882" xr:uid="{00000000-0005-0000-0000-00001EDE0000}"/>
    <cellStyle name="Percentuale 8 4 4" xfId="17875" xr:uid="{00000000-0005-0000-0000-00001FDE0000}"/>
    <cellStyle name="Percentuale 8 5" xfId="9639" xr:uid="{00000000-0005-0000-0000-000020DE0000}"/>
    <cellStyle name="Percentuale 8 6" xfId="51293" xr:uid="{00000000-0005-0000-0000-000021DE0000}"/>
    <cellStyle name="Percentuale 9" xfId="1102" xr:uid="{00000000-0005-0000-0000-000022DE0000}"/>
    <cellStyle name="Percentuale 9 2" xfId="1103" xr:uid="{00000000-0005-0000-0000-000023DE0000}"/>
    <cellStyle name="Percentuale 9 2 2" xfId="1514" xr:uid="{00000000-0005-0000-0000-000024DE0000}"/>
    <cellStyle name="Percentuale 9 3" xfId="1104" xr:uid="{00000000-0005-0000-0000-000025DE0000}"/>
    <cellStyle name="Percentuale 9 3 2" xfId="1105" xr:uid="{00000000-0005-0000-0000-000026DE0000}"/>
    <cellStyle name="Percentuale 9 3 3" xfId="17878" xr:uid="{00000000-0005-0000-0000-000027DE0000}"/>
    <cellStyle name="Percentuale 9 3 3 2" xfId="18885" xr:uid="{00000000-0005-0000-0000-000028DE0000}"/>
    <cellStyle name="Percentuale 9 3 4" xfId="18884" xr:uid="{00000000-0005-0000-0000-000029DE0000}"/>
    <cellStyle name="Percentuale 9 3 5" xfId="17877" xr:uid="{00000000-0005-0000-0000-00002ADE0000}"/>
    <cellStyle name="Percentuale 9 4" xfId="9640" xr:uid="{00000000-0005-0000-0000-00002BDE0000}"/>
    <cellStyle name="Percentuale 9 4 2" xfId="17880" xr:uid="{00000000-0005-0000-0000-00002CDE0000}"/>
    <cellStyle name="Percentuale 9 4 2 2" xfId="18887" xr:uid="{00000000-0005-0000-0000-00002DDE0000}"/>
    <cellStyle name="Percentuale 9 4 3" xfId="18886" xr:uid="{00000000-0005-0000-0000-00002EDE0000}"/>
    <cellStyle name="Percentuale 9 4 4" xfId="17879" xr:uid="{00000000-0005-0000-0000-00002FDE0000}"/>
    <cellStyle name="Percentuale 9 5" xfId="9641" xr:uid="{00000000-0005-0000-0000-000030DE0000}"/>
    <cellStyle name="Percentuale 9 6" xfId="51294" xr:uid="{00000000-0005-0000-0000-000031DE0000}"/>
    <cellStyle name="Preliminary data" xfId="1178" xr:uid="{00000000-0005-0000-0000-000032DE0000}"/>
    <cellStyle name="Preliminary data 2" xfId="10006" xr:uid="{00000000-0005-0000-0000-000033DE0000}"/>
    <cellStyle name="Preliminary data 3" xfId="52049" xr:uid="{00000000-0005-0000-0000-000034DE0000}"/>
    <cellStyle name="Procent 10" xfId="5204" xr:uid="{00000000-0005-0000-0000-000035DE0000}"/>
    <cellStyle name="Procent 10 2" xfId="53730" xr:uid="{00000000-0005-0000-0000-000036DE0000}"/>
    <cellStyle name="Procent 10 2 2" xfId="54354" xr:uid="{00000000-0005-0000-0000-000037DE0000}"/>
    <cellStyle name="Procent 10 2 2 2" xfId="57521" xr:uid="{00000000-0005-0000-0000-000038DE0000}"/>
    <cellStyle name="Procent 10 2 3" xfId="56897" xr:uid="{00000000-0005-0000-0000-000039DE0000}"/>
    <cellStyle name="Procent 10 3" xfId="53731" xr:uid="{00000000-0005-0000-0000-00003ADE0000}"/>
    <cellStyle name="Procent 10 3 2" xfId="54355" xr:uid="{00000000-0005-0000-0000-00003BDE0000}"/>
    <cellStyle name="Procent 10 3 2 2" xfId="57522" xr:uid="{00000000-0005-0000-0000-00003CDE0000}"/>
    <cellStyle name="Procent 10 3 3" xfId="56898" xr:uid="{00000000-0005-0000-0000-00003DDE0000}"/>
    <cellStyle name="Procent 10 4" xfId="53732" xr:uid="{00000000-0005-0000-0000-00003EDE0000}"/>
    <cellStyle name="Procent 10 4 2" xfId="54356" xr:uid="{00000000-0005-0000-0000-00003FDE0000}"/>
    <cellStyle name="Procent 10 4 2 2" xfId="57523" xr:uid="{00000000-0005-0000-0000-000040DE0000}"/>
    <cellStyle name="Procent 10 4 3" xfId="56899" xr:uid="{00000000-0005-0000-0000-000041DE0000}"/>
    <cellStyle name="Procent 10 5" xfId="54353" xr:uid="{00000000-0005-0000-0000-000042DE0000}"/>
    <cellStyle name="Procent 10 5 2" xfId="57520" xr:uid="{00000000-0005-0000-0000-000043DE0000}"/>
    <cellStyle name="Procent 10 6" xfId="56896" xr:uid="{00000000-0005-0000-0000-000044DE0000}"/>
    <cellStyle name="Procent 10 7" xfId="53729" xr:uid="{00000000-0005-0000-0000-000045DE0000}"/>
    <cellStyle name="Procent 11" xfId="5205" xr:uid="{00000000-0005-0000-0000-000046DE0000}"/>
    <cellStyle name="Procent 11 2" xfId="54357" xr:uid="{00000000-0005-0000-0000-000047DE0000}"/>
    <cellStyle name="Procent 11 2 2" xfId="57524" xr:uid="{00000000-0005-0000-0000-000048DE0000}"/>
    <cellStyle name="Procent 11 3" xfId="56900" xr:uid="{00000000-0005-0000-0000-000049DE0000}"/>
    <cellStyle name="Procent 11 4" xfId="53733" xr:uid="{00000000-0005-0000-0000-00004ADE0000}"/>
    <cellStyle name="Procent 12" xfId="5206" xr:uid="{00000000-0005-0000-0000-00004BDE0000}"/>
    <cellStyle name="Procent 12 2" xfId="5207" xr:uid="{00000000-0005-0000-0000-00004CDE0000}"/>
    <cellStyle name="Procent 12 2 2" xfId="57050" xr:uid="{00000000-0005-0000-0000-00004DDE0000}"/>
    <cellStyle name="Procent 12 2 3" xfId="53883" xr:uid="{00000000-0005-0000-0000-00004EDE0000}"/>
    <cellStyle name="Procent 12 3" xfId="56439" xr:uid="{00000000-0005-0000-0000-00004FDE0000}"/>
    <cellStyle name="Procent 12 4" xfId="53247" xr:uid="{00000000-0005-0000-0000-000050DE0000}"/>
    <cellStyle name="Procent 13" xfId="5208" xr:uid="{00000000-0005-0000-0000-000051DE0000}"/>
    <cellStyle name="Procent 13 2" xfId="54458" xr:uid="{00000000-0005-0000-0000-000052DE0000}"/>
    <cellStyle name="Procent 14" xfId="5209" xr:uid="{00000000-0005-0000-0000-000053DE0000}"/>
    <cellStyle name="Procent 15" xfId="5203" xr:uid="{00000000-0005-0000-0000-000054DE0000}"/>
    <cellStyle name="Procent 16" xfId="1520" xr:uid="{00000000-0005-0000-0000-000055DE0000}"/>
    <cellStyle name="Procent 16 2" xfId="8860" xr:uid="{00000000-0005-0000-0000-000056DE0000}"/>
    <cellStyle name="Procent 17" xfId="8784" xr:uid="{00000000-0005-0000-0000-000057DE0000}"/>
    <cellStyle name="Procent 2" xfId="1177" xr:uid="{00000000-0005-0000-0000-000058DE0000}"/>
    <cellStyle name="Procent 2 10" xfId="53734" xr:uid="{00000000-0005-0000-0000-000059DE0000}"/>
    <cellStyle name="Procent 2 10 2" xfId="53735" xr:uid="{00000000-0005-0000-0000-00005ADE0000}"/>
    <cellStyle name="Procent 2 10 2 2" xfId="54359" xr:uid="{00000000-0005-0000-0000-00005BDE0000}"/>
    <cellStyle name="Procent 2 10 2 2 2" xfId="57526" xr:uid="{00000000-0005-0000-0000-00005CDE0000}"/>
    <cellStyle name="Procent 2 10 2 3" xfId="56902" xr:uid="{00000000-0005-0000-0000-00005DDE0000}"/>
    <cellStyle name="Procent 2 10 3" xfId="54358" xr:uid="{00000000-0005-0000-0000-00005EDE0000}"/>
    <cellStyle name="Procent 2 10 3 2" xfId="57525" xr:uid="{00000000-0005-0000-0000-00005FDE0000}"/>
    <cellStyle name="Procent 2 10 4" xfId="56901" xr:uid="{00000000-0005-0000-0000-000060DE0000}"/>
    <cellStyle name="Procent 2 11" xfId="53736" xr:uid="{00000000-0005-0000-0000-000061DE0000}"/>
    <cellStyle name="Procent 2 11 2" xfId="54360" xr:uid="{00000000-0005-0000-0000-000062DE0000}"/>
    <cellStyle name="Procent 2 11 2 2" xfId="57527" xr:uid="{00000000-0005-0000-0000-000063DE0000}"/>
    <cellStyle name="Procent 2 11 3" xfId="56903" xr:uid="{00000000-0005-0000-0000-000064DE0000}"/>
    <cellStyle name="Procent 2 12" xfId="53737" xr:uid="{00000000-0005-0000-0000-000065DE0000}"/>
    <cellStyle name="Procent 2 12 2" xfId="54361" xr:uid="{00000000-0005-0000-0000-000066DE0000}"/>
    <cellStyle name="Procent 2 12 2 2" xfId="57528" xr:uid="{00000000-0005-0000-0000-000067DE0000}"/>
    <cellStyle name="Procent 2 12 3" xfId="56904" xr:uid="{00000000-0005-0000-0000-000068DE0000}"/>
    <cellStyle name="Procent 2 13" xfId="53738" xr:uid="{00000000-0005-0000-0000-000069DE0000}"/>
    <cellStyle name="Procent 2 13 2" xfId="54362" xr:uid="{00000000-0005-0000-0000-00006ADE0000}"/>
    <cellStyle name="Procent 2 13 2 2" xfId="57529" xr:uid="{00000000-0005-0000-0000-00006BDE0000}"/>
    <cellStyle name="Procent 2 13 3" xfId="56905" xr:uid="{00000000-0005-0000-0000-00006CDE0000}"/>
    <cellStyle name="Procent 2 14" xfId="53244" xr:uid="{00000000-0005-0000-0000-00006DDE0000}"/>
    <cellStyle name="Procent 2 14 2" xfId="53880" xr:uid="{00000000-0005-0000-0000-00006EDE0000}"/>
    <cellStyle name="Procent 2 14 2 2" xfId="57047" xr:uid="{00000000-0005-0000-0000-00006FDE0000}"/>
    <cellStyle name="Procent 2 14 3" xfId="56436" xr:uid="{00000000-0005-0000-0000-000070DE0000}"/>
    <cellStyle name="Procent 2 15" xfId="53837" xr:uid="{00000000-0005-0000-0000-000071DE0000}"/>
    <cellStyle name="Procent 2 15 2" xfId="57004" xr:uid="{00000000-0005-0000-0000-000072DE0000}"/>
    <cellStyle name="Procent 2 16" xfId="53187" xr:uid="{00000000-0005-0000-0000-000073DE0000}"/>
    <cellStyle name="Procent 2 16 2" xfId="56393" xr:uid="{00000000-0005-0000-0000-000074DE0000}"/>
    <cellStyle name="Procent 2 2" xfId="1191" xr:uid="{00000000-0005-0000-0000-000075DE0000}"/>
    <cellStyle name="Procent 2 2 10" xfId="49655" xr:uid="{00000000-0005-0000-0000-000076DE0000}"/>
    <cellStyle name="Procent 2 2 11" xfId="50064" xr:uid="{00000000-0005-0000-0000-000077DE0000}"/>
    <cellStyle name="Procent 2 2 12" xfId="50469" xr:uid="{00000000-0005-0000-0000-000078DE0000}"/>
    <cellStyle name="Procent 2 2 13" xfId="51029" xr:uid="{00000000-0005-0000-0000-000079DE0000}"/>
    <cellStyle name="Procent 2 2 14" xfId="51630" xr:uid="{00000000-0005-0000-0000-00007ADE0000}"/>
    <cellStyle name="Procent 2 2 15" xfId="52051" xr:uid="{00000000-0005-0000-0000-00007BDE0000}"/>
    <cellStyle name="Procent 2 2 2" xfId="8777" xr:uid="{00000000-0005-0000-0000-00007CDE0000}"/>
    <cellStyle name="Procent 2 2 2 2" xfId="16627" xr:uid="{00000000-0005-0000-0000-00007DDE0000}"/>
    <cellStyle name="Procent 2 2 2 2 2" xfId="32942" xr:uid="{00000000-0005-0000-0000-00007EDE0000}"/>
    <cellStyle name="Procent 2 2 2 2 2 2" xfId="57532" xr:uid="{00000000-0005-0000-0000-00007FDE0000}"/>
    <cellStyle name="Procent 2 2 2 2 2 3" xfId="54365" xr:uid="{00000000-0005-0000-0000-000080DE0000}"/>
    <cellStyle name="Procent 2 2 2 2 3" xfId="47906" xr:uid="{00000000-0005-0000-0000-000081DE0000}"/>
    <cellStyle name="Procent 2 2 2 2 3 2" xfId="56908" xr:uid="{00000000-0005-0000-0000-000082DE0000}"/>
    <cellStyle name="Procent 2 2 2 2 4" xfId="53741" xr:uid="{00000000-0005-0000-0000-000083DE0000}"/>
    <cellStyle name="Procent 2 2 2 3" xfId="25920" xr:uid="{00000000-0005-0000-0000-000084DE0000}"/>
    <cellStyle name="Procent 2 2 2 3 2" xfId="54366" xr:uid="{00000000-0005-0000-0000-000085DE0000}"/>
    <cellStyle name="Procent 2 2 2 3 2 2" xfId="57533" xr:uid="{00000000-0005-0000-0000-000086DE0000}"/>
    <cellStyle name="Procent 2 2 2 3 3" xfId="56909" xr:uid="{00000000-0005-0000-0000-000087DE0000}"/>
    <cellStyle name="Procent 2 2 2 3 4" xfId="53742" xr:uid="{00000000-0005-0000-0000-000088DE0000}"/>
    <cellStyle name="Procent 2 2 2 4" xfId="40907" xr:uid="{00000000-0005-0000-0000-000089DE0000}"/>
    <cellStyle name="Procent 2 2 2 4 2" xfId="54367" xr:uid="{00000000-0005-0000-0000-00008ADE0000}"/>
    <cellStyle name="Procent 2 2 2 4 2 2" xfId="57534" xr:uid="{00000000-0005-0000-0000-00008BDE0000}"/>
    <cellStyle name="Procent 2 2 2 4 3" xfId="56910" xr:uid="{00000000-0005-0000-0000-00008CDE0000}"/>
    <cellStyle name="Procent 2 2 2 4 4" xfId="53743" xr:uid="{00000000-0005-0000-0000-00008DDE0000}"/>
    <cellStyle name="Procent 2 2 2 5" xfId="53740" xr:uid="{00000000-0005-0000-0000-00008EDE0000}"/>
    <cellStyle name="Procent 2 2 2 5 2" xfId="54364" xr:uid="{00000000-0005-0000-0000-00008FDE0000}"/>
    <cellStyle name="Procent 2 2 2 5 2 2" xfId="57531" xr:uid="{00000000-0005-0000-0000-000090DE0000}"/>
    <cellStyle name="Procent 2 2 2 5 3" xfId="56907" xr:uid="{00000000-0005-0000-0000-000091DE0000}"/>
    <cellStyle name="Procent 2 2 2 6" xfId="53861" xr:uid="{00000000-0005-0000-0000-000092DE0000}"/>
    <cellStyle name="Procent 2 2 2 6 2" xfId="57028" xr:uid="{00000000-0005-0000-0000-000093DE0000}"/>
    <cellStyle name="Procent 2 2 2 7" xfId="56417" xr:uid="{00000000-0005-0000-0000-000094DE0000}"/>
    <cellStyle name="Procent 2 2 2 8" xfId="53215" xr:uid="{00000000-0005-0000-0000-000095DE0000}"/>
    <cellStyle name="Procent 2 2 3" xfId="5211" xr:uid="{00000000-0005-0000-0000-000096DE0000}"/>
    <cellStyle name="Procent 2 2 3 2" xfId="53744" xr:uid="{00000000-0005-0000-0000-000097DE0000}"/>
    <cellStyle name="Procent 2 2 3 2 2" xfId="54368" xr:uid="{00000000-0005-0000-0000-000098DE0000}"/>
    <cellStyle name="Procent 2 2 3 2 2 2" xfId="57535" xr:uid="{00000000-0005-0000-0000-000099DE0000}"/>
    <cellStyle name="Procent 2 2 3 2 3" xfId="56911" xr:uid="{00000000-0005-0000-0000-00009ADE0000}"/>
    <cellStyle name="Procent 2 2 3 3" xfId="53877" xr:uid="{00000000-0005-0000-0000-00009BDE0000}"/>
    <cellStyle name="Procent 2 2 3 3 2" xfId="57044" xr:uid="{00000000-0005-0000-0000-00009CDE0000}"/>
    <cellStyle name="Procent 2 2 3 4" xfId="56433" xr:uid="{00000000-0005-0000-0000-00009DDE0000}"/>
    <cellStyle name="Procent 2 2 3 5" xfId="53231" xr:uid="{00000000-0005-0000-0000-00009EDE0000}"/>
    <cellStyle name="Procent 2 2 4" xfId="8894" xr:uid="{00000000-0005-0000-0000-00009FDE0000}"/>
    <cellStyle name="Procent 2 2 4 2" xfId="16668" xr:uid="{00000000-0005-0000-0000-0000A0DE0000}"/>
    <cellStyle name="Procent 2 2 4 2 2" xfId="32982" xr:uid="{00000000-0005-0000-0000-0000A1DE0000}"/>
    <cellStyle name="Procent 2 2 4 2 2 2" xfId="57536" xr:uid="{00000000-0005-0000-0000-0000A2DE0000}"/>
    <cellStyle name="Procent 2 2 4 2 3" xfId="47946" xr:uid="{00000000-0005-0000-0000-0000A3DE0000}"/>
    <cellStyle name="Procent 2 2 4 2 4" xfId="54369" xr:uid="{00000000-0005-0000-0000-0000A4DE0000}"/>
    <cellStyle name="Procent 2 2 4 3" xfId="25960" xr:uid="{00000000-0005-0000-0000-0000A5DE0000}"/>
    <cellStyle name="Procent 2 2 4 3 2" xfId="56912" xr:uid="{00000000-0005-0000-0000-0000A6DE0000}"/>
    <cellStyle name="Procent 2 2 4 4" xfId="40947" xr:uid="{00000000-0005-0000-0000-0000A7DE0000}"/>
    <cellStyle name="Procent 2 2 4 5" xfId="53745" xr:uid="{00000000-0005-0000-0000-0000A8DE0000}"/>
    <cellStyle name="Procent 2 2 5" xfId="10008" xr:uid="{00000000-0005-0000-0000-0000A9DE0000}"/>
    <cellStyle name="Procent 2 2 5 2" xfId="26329" xr:uid="{00000000-0005-0000-0000-0000AADE0000}"/>
    <cellStyle name="Procent 2 2 5 2 2" xfId="57537" xr:uid="{00000000-0005-0000-0000-0000ABDE0000}"/>
    <cellStyle name="Procent 2 2 5 2 3" xfId="54370" xr:uid="{00000000-0005-0000-0000-0000ACDE0000}"/>
    <cellStyle name="Procent 2 2 5 3" xfId="41297" xr:uid="{00000000-0005-0000-0000-0000ADDE0000}"/>
    <cellStyle name="Procent 2 2 5 3 2" xfId="56913" xr:uid="{00000000-0005-0000-0000-0000AEDE0000}"/>
    <cellStyle name="Procent 2 2 5 4" xfId="53746" xr:uid="{00000000-0005-0000-0000-0000AFDE0000}"/>
    <cellStyle name="Procent 2 2 6" xfId="18888" xr:uid="{00000000-0005-0000-0000-0000B0DE0000}"/>
    <cellStyle name="Procent 2 2 6 2" xfId="54371" xr:uid="{00000000-0005-0000-0000-0000B1DE0000}"/>
    <cellStyle name="Procent 2 2 6 2 2" xfId="57538" xr:uid="{00000000-0005-0000-0000-0000B2DE0000}"/>
    <cellStyle name="Procent 2 2 6 3" xfId="56914" xr:uid="{00000000-0005-0000-0000-0000B3DE0000}"/>
    <cellStyle name="Procent 2 2 6 4" xfId="53747" xr:uid="{00000000-0005-0000-0000-0000B4DE0000}"/>
    <cellStyle name="Procent 2 2 7" xfId="19308" xr:uid="{00000000-0005-0000-0000-0000B5DE0000}"/>
    <cellStyle name="Procent 2 2 7 2" xfId="54363" xr:uid="{00000000-0005-0000-0000-0000B6DE0000}"/>
    <cellStyle name="Procent 2 2 7 2 2" xfId="57530" xr:uid="{00000000-0005-0000-0000-0000B7DE0000}"/>
    <cellStyle name="Procent 2 2 7 3" xfId="56906" xr:uid="{00000000-0005-0000-0000-0000B8DE0000}"/>
    <cellStyle name="Procent 2 2 7 4" xfId="53739" xr:uid="{00000000-0005-0000-0000-0000B9DE0000}"/>
    <cellStyle name="Procent 2 2 8" xfId="34298" xr:uid="{00000000-0005-0000-0000-0000BADE0000}"/>
    <cellStyle name="Procent 2 2 8 2" xfId="57012" xr:uid="{00000000-0005-0000-0000-0000BBDE0000}"/>
    <cellStyle name="Procent 2 2 8 3" xfId="53845" xr:uid="{00000000-0005-0000-0000-0000BCDE0000}"/>
    <cellStyle name="Procent 2 2 9" xfId="49250" xr:uid="{00000000-0005-0000-0000-0000BDDE0000}"/>
    <cellStyle name="Procent 2 2 9 2" xfId="56401" xr:uid="{00000000-0005-0000-0000-0000BEDE0000}"/>
    <cellStyle name="Procent 2 2 9 3" xfId="53199" xr:uid="{00000000-0005-0000-0000-0000BFDE0000}"/>
    <cellStyle name="Procent 2 3" xfId="5212" xr:uid="{00000000-0005-0000-0000-0000C0DE0000}"/>
    <cellStyle name="Procent 2 3 10" xfId="53207" xr:uid="{00000000-0005-0000-0000-0000C1DE0000}"/>
    <cellStyle name="Procent 2 3 2" xfId="53749" xr:uid="{00000000-0005-0000-0000-0000C2DE0000}"/>
    <cellStyle name="Procent 2 3 2 2" xfId="53750" xr:uid="{00000000-0005-0000-0000-0000C3DE0000}"/>
    <cellStyle name="Procent 2 3 2 2 2" xfId="54374" xr:uid="{00000000-0005-0000-0000-0000C4DE0000}"/>
    <cellStyle name="Procent 2 3 2 2 2 2" xfId="57541" xr:uid="{00000000-0005-0000-0000-0000C5DE0000}"/>
    <cellStyle name="Procent 2 3 2 2 3" xfId="56917" xr:uid="{00000000-0005-0000-0000-0000C6DE0000}"/>
    <cellStyle name="Procent 2 3 2 3" xfId="53751" xr:uid="{00000000-0005-0000-0000-0000C7DE0000}"/>
    <cellStyle name="Procent 2 3 2 3 2" xfId="54375" xr:uid="{00000000-0005-0000-0000-0000C8DE0000}"/>
    <cellStyle name="Procent 2 3 2 3 2 2" xfId="57542" xr:uid="{00000000-0005-0000-0000-0000C9DE0000}"/>
    <cellStyle name="Procent 2 3 2 3 3" xfId="56918" xr:uid="{00000000-0005-0000-0000-0000CADE0000}"/>
    <cellStyle name="Procent 2 3 2 4" xfId="54373" xr:uid="{00000000-0005-0000-0000-0000CBDE0000}"/>
    <cellStyle name="Procent 2 3 2 4 2" xfId="57540" xr:uid="{00000000-0005-0000-0000-0000CCDE0000}"/>
    <cellStyle name="Procent 2 3 2 5" xfId="56916" xr:uid="{00000000-0005-0000-0000-0000CDDE0000}"/>
    <cellStyle name="Procent 2 3 3" xfId="53752" xr:uid="{00000000-0005-0000-0000-0000CEDE0000}"/>
    <cellStyle name="Procent 2 3 3 2" xfId="54376" xr:uid="{00000000-0005-0000-0000-0000CFDE0000}"/>
    <cellStyle name="Procent 2 3 3 2 2" xfId="57543" xr:uid="{00000000-0005-0000-0000-0000D0DE0000}"/>
    <cellStyle name="Procent 2 3 3 3" xfId="56919" xr:uid="{00000000-0005-0000-0000-0000D1DE0000}"/>
    <cellStyle name="Procent 2 3 4" xfId="53753" xr:uid="{00000000-0005-0000-0000-0000D2DE0000}"/>
    <cellStyle name="Procent 2 3 4 2" xfId="54377" xr:uid="{00000000-0005-0000-0000-0000D3DE0000}"/>
    <cellStyle name="Procent 2 3 4 2 2" xfId="57544" xr:uid="{00000000-0005-0000-0000-0000D4DE0000}"/>
    <cellStyle name="Procent 2 3 4 3" xfId="56920" xr:uid="{00000000-0005-0000-0000-0000D5DE0000}"/>
    <cellStyle name="Procent 2 3 5" xfId="53754" xr:uid="{00000000-0005-0000-0000-0000D6DE0000}"/>
    <cellStyle name="Procent 2 3 5 2" xfId="54378" xr:uid="{00000000-0005-0000-0000-0000D7DE0000}"/>
    <cellStyle name="Procent 2 3 5 2 2" xfId="57545" xr:uid="{00000000-0005-0000-0000-0000D8DE0000}"/>
    <cellStyle name="Procent 2 3 5 3" xfId="56921" xr:uid="{00000000-0005-0000-0000-0000D9DE0000}"/>
    <cellStyle name="Procent 2 3 6" xfId="53755" xr:uid="{00000000-0005-0000-0000-0000DADE0000}"/>
    <cellStyle name="Procent 2 3 6 2" xfId="54379" xr:uid="{00000000-0005-0000-0000-0000DBDE0000}"/>
    <cellStyle name="Procent 2 3 6 2 2" xfId="57546" xr:uid="{00000000-0005-0000-0000-0000DCDE0000}"/>
    <cellStyle name="Procent 2 3 6 3" xfId="56922" xr:uid="{00000000-0005-0000-0000-0000DDDE0000}"/>
    <cellStyle name="Procent 2 3 7" xfId="53748" xr:uid="{00000000-0005-0000-0000-0000DEDE0000}"/>
    <cellStyle name="Procent 2 3 7 2" xfId="54372" xr:uid="{00000000-0005-0000-0000-0000DFDE0000}"/>
    <cellStyle name="Procent 2 3 7 2 2" xfId="57539" xr:uid="{00000000-0005-0000-0000-0000E0DE0000}"/>
    <cellStyle name="Procent 2 3 7 3" xfId="56915" xr:uid="{00000000-0005-0000-0000-0000E1DE0000}"/>
    <cellStyle name="Procent 2 3 8" xfId="53853" xr:uid="{00000000-0005-0000-0000-0000E2DE0000}"/>
    <cellStyle name="Procent 2 3 8 2" xfId="57020" xr:uid="{00000000-0005-0000-0000-0000E3DE0000}"/>
    <cellStyle name="Procent 2 3 9" xfId="56409" xr:uid="{00000000-0005-0000-0000-0000E4DE0000}"/>
    <cellStyle name="Procent 2 4" xfId="5213" xr:uid="{00000000-0005-0000-0000-0000E5DE0000}"/>
    <cellStyle name="Procent 2 4 10" xfId="53223" xr:uid="{00000000-0005-0000-0000-0000E6DE0000}"/>
    <cellStyle name="Procent 2 4 2" xfId="5214" xr:uid="{00000000-0005-0000-0000-0000E7DE0000}"/>
    <cellStyle name="Procent 2 4 2 2" xfId="53758" xr:uid="{00000000-0005-0000-0000-0000E8DE0000}"/>
    <cellStyle name="Procent 2 4 2 2 2" xfId="54382" xr:uid="{00000000-0005-0000-0000-0000E9DE0000}"/>
    <cellStyle name="Procent 2 4 2 2 2 2" xfId="57549" xr:uid="{00000000-0005-0000-0000-0000EADE0000}"/>
    <cellStyle name="Procent 2 4 2 2 3" xfId="56925" xr:uid="{00000000-0005-0000-0000-0000EBDE0000}"/>
    <cellStyle name="Procent 2 4 2 3" xfId="53759" xr:uid="{00000000-0005-0000-0000-0000ECDE0000}"/>
    <cellStyle name="Procent 2 4 2 3 2" xfId="54383" xr:uid="{00000000-0005-0000-0000-0000EDDE0000}"/>
    <cellStyle name="Procent 2 4 2 3 2 2" xfId="57550" xr:uid="{00000000-0005-0000-0000-0000EEDE0000}"/>
    <cellStyle name="Procent 2 4 2 3 3" xfId="56926" xr:uid="{00000000-0005-0000-0000-0000EFDE0000}"/>
    <cellStyle name="Procent 2 4 2 4" xfId="54381" xr:uid="{00000000-0005-0000-0000-0000F0DE0000}"/>
    <cellStyle name="Procent 2 4 2 4 2" xfId="57548" xr:uid="{00000000-0005-0000-0000-0000F1DE0000}"/>
    <cellStyle name="Procent 2 4 2 5" xfId="56924" xr:uid="{00000000-0005-0000-0000-0000F2DE0000}"/>
    <cellStyle name="Procent 2 4 2 6" xfId="53757" xr:uid="{00000000-0005-0000-0000-0000F3DE0000}"/>
    <cellStyle name="Procent 2 4 3" xfId="53760" xr:uid="{00000000-0005-0000-0000-0000F4DE0000}"/>
    <cellStyle name="Procent 2 4 3 2" xfId="54384" xr:uid="{00000000-0005-0000-0000-0000F5DE0000}"/>
    <cellStyle name="Procent 2 4 3 2 2" xfId="57551" xr:uid="{00000000-0005-0000-0000-0000F6DE0000}"/>
    <cellStyle name="Procent 2 4 3 3" xfId="56927" xr:uid="{00000000-0005-0000-0000-0000F7DE0000}"/>
    <cellStyle name="Procent 2 4 4" xfId="53761" xr:uid="{00000000-0005-0000-0000-0000F8DE0000}"/>
    <cellStyle name="Procent 2 4 4 2" xfId="54385" xr:uid="{00000000-0005-0000-0000-0000F9DE0000}"/>
    <cellStyle name="Procent 2 4 4 2 2" xfId="57552" xr:uid="{00000000-0005-0000-0000-0000FADE0000}"/>
    <cellStyle name="Procent 2 4 4 3" xfId="56928" xr:uid="{00000000-0005-0000-0000-0000FBDE0000}"/>
    <cellStyle name="Procent 2 4 5" xfId="53762" xr:uid="{00000000-0005-0000-0000-0000FCDE0000}"/>
    <cellStyle name="Procent 2 4 5 2" xfId="54386" xr:uid="{00000000-0005-0000-0000-0000FDDE0000}"/>
    <cellStyle name="Procent 2 4 5 2 2" xfId="57553" xr:uid="{00000000-0005-0000-0000-0000FEDE0000}"/>
    <cellStyle name="Procent 2 4 5 3" xfId="56929" xr:uid="{00000000-0005-0000-0000-0000FFDE0000}"/>
    <cellStyle name="Procent 2 4 6" xfId="53763" xr:uid="{00000000-0005-0000-0000-000000DF0000}"/>
    <cellStyle name="Procent 2 4 6 2" xfId="54387" xr:uid="{00000000-0005-0000-0000-000001DF0000}"/>
    <cellStyle name="Procent 2 4 6 2 2" xfId="57554" xr:uid="{00000000-0005-0000-0000-000002DF0000}"/>
    <cellStyle name="Procent 2 4 6 3" xfId="56930" xr:uid="{00000000-0005-0000-0000-000003DF0000}"/>
    <cellStyle name="Procent 2 4 7" xfId="53756" xr:uid="{00000000-0005-0000-0000-000004DF0000}"/>
    <cellStyle name="Procent 2 4 7 2" xfId="54380" xr:uid="{00000000-0005-0000-0000-000005DF0000}"/>
    <cellStyle name="Procent 2 4 7 2 2" xfId="57547" xr:uid="{00000000-0005-0000-0000-000006DF0000}"/>
    <cellStyle name="Procent 2 4 7 3" xfId="56923" xr:uid="{00000000-0005-0000-0000-000007DF0000}"/>
    <cellStyle name="Procent 2 4 8" xfId="53869" xr:uid="{00000000-0005-0000-0000-000008DF0000}"/>
    <cellStyle name="Procent 2 4 8 2" xfId="57036" xr:uid="{00000000-0005-0000-0000-000009DF0000}"/>
    <cellStyle name="Procent 2 4 9" xfId="56425" xr:uid="{00000000-0005-0000-0000-00000ADF0000}"/>
    <cellStyle name="Procent 2 5" xfId="5210" xr:uid="{00000000-0005-0000-0000-00000BDF0000}"/>
    <cellStyle name="Procent 2 5 2" xfId="8830" xr:uid="{00000000-0005-0000-0000-00000CDF0000}"/>
    <cellStyle name="Procent 2 5 2 2" xfId="53766" xr:uid="{00000000-0005-0000-0000-00000DDF0000}"/>
    <cellStyle name="Procent 2 5 2 2 2" xfId="54390" xr:uid="{00000000-0005-0000-0000-00000EDF0000}"/>
    <cellStyle name="Procent 2 5 2 2 2 2" xfId="57557" xr:uid="{00000000-0005-0000-0000-00000FDF0000}"/>
    <cellStyle name="Procent 2 5 2 2 3" xfId="56933" xr:uid="{00000000-0005-0000-0000-000010DF0000}"/>
    <cellStyle name="Procent 2 5 2 3" xfId="53767" xr:uid="{00000000-0005-0000-0000-000011DF0000}"/>
    <cellStyle name="Procent 2 5 2 3 2" xfId="54391" xr:uid="{00000000-0005-0000-0000-000012DF0000}"/>
    <cellStyle name="Procent 2 5 2 3 2 2" xfId="57558" xr:uid="{00000000-0005-0000-0000-000013DF0000}"/>
    <cellStyle name="Procent 2 5 2 3 3" xfId="56934" xr:uid="{00000000-0005-0000-0000-000014DF0000}"/>
    <cellStyle name="Procent 2 5 2 4" xfId="54389" xr:uid="{00000000-0005-0000-0000-000015DF0000}"/>
    <cellStyle name="Procent 2 5 2 4 2" xfId="57556" xr:uid="{00000000-0005-0000-0000-000016DF0000}"/>
    <cellStyle name="Procent 2 5 2 5" xfId="56932" xr:uid="{00000000-0005-0000-0000-000017DF0000}"/>
    <cellStyle name="Procent 2 5 2 6" xfId="53765" xr:uid="{00000000-0005-0000-0000-000018DF0000}"/>
    <cellStyle name="Procent 2 5 3" xfId="53768" xr:uid="{00000000-0005-0000-0000-000019DF0000}"/>
    <cellStyle name="Procent 2 5 3 2" xfId="54392" xr:uid="{00000000-0005-0000-0000-00001ADF0000}"/>
    <cellStyle name="Procent 2 5 3 2 2" xfId="57559" xr:uid="{00000000-0005-0000-0000-00001BDF0000}"/>
    <cellStyle name="Procent 2 5 3 3" xfId="56935" xr:uid="{00000000-0005-0000-0000-00001CDF0000}"/>
    <cellStyle name="Procent 2 5 4" xfId="53769" xr:uid="{00000000-0005-0000-0000-00001DDF0000}"/>
    <cellStyle name="Procent 2 5 4 2" xfId="54393" xr:uid="{00000000-0005-0000-0000-00001EDF0000}"/>
    <cellStyle name="Procent 2 5 4 2 2" xfId="57560" xr:uid="{00000000-0005-0000-0000-00001FDF0000}"/>
    <cellStyle name="Procent 2 5 4 3" xfId="56936" xr:uid="{00000000-0005-0000-0000-000020DF0000}"/>
    <cellStyle name="Procent 2 5 5" xfId="53770" xr:uid="{00000000-0005-0000-0000-000021DF0000}"/>
    <cellStyle name="Procent 2 5 5 2" xfId="54394" xr:uid="{00000000-0005-0000-0000-000022DF0000}"/>
    <cellStyle name="Procent 2 5 5 2 2" xfId="57561" xr:uid="{00000000-0005-0000-0000-000023DF0000}"/>
    <cellStyle name="Procent 2 5 5 3" xfId="56937" xr:uid="{00000000-0005-0000-0000-000024DF0000}"/>
    <cellStyle name="Procent 2 5 6" xfId="53764" xr:uid="{00000000-0005-0000-0000-000025DF0000}"/>
    <cellStyle name="Procent 2 5 6 2" xfId="54388" xr:uid="{00000000-0005-0000-0000-000026DF0000}"/>
    <cellStyle name="Procent 2 5 6 2 2" xfId="57555" xr:uid="{00000000-0005-0000-0000-000027DF0000}"/>
    <cellStyle name="Procent 2 5 6 3" xfId="56931" xr:uid="{00000000-0005-0000-0000-000028DF0000}"/>
    <cellStyle name="Procent 2 6" xfId="1524" xr:uid="{00000000-0005-0000-0000-000029DF0000}"/>
    <cellStyle name="Procent 2 6 2" xfId="10086" xr:uid="{00000000-0005-0000-0000-00002ADF0000}"/>
    <cellStyle name="Procent 2 6 2 2" xfId="26406" xr:uid="{00000000-0005-0000-0000-00002BDF0000}"/>
    <cellStyle name="Procent 2 6 2 2 2" xfId="54397" xr:uid="{00000000-0005-0000-0000-00002CDF0000}"/>
    <cellStyle name="Procent 2 6 2 2 2 2" xfId="57564" xr:uid="{00000000-0005-0000-0000-00002DDF0000}"/>
    <cellStyle name="Procent 2 6 2 2 3" xfId="56940" xr:uid="{00000000-0005-0000-0000-00002EDF0000}"/>
    <cellStyle name="Procent 2 6 2 2 4" xfId="53773" xr:uid="{00000000-0005-0000-0000-00002FDF0000}"/>
    <cellStyle name="Procent 2 6 2 3" xfId="41372" xr:uid="{00000000-0005-0000-0000-000030DF0000}"/>
    <cellStyle name="Procent 2 6 2 3 2" xfId="54398" xr:uid="{00000000-0005-0000-0000-000031DF0000}"/>
    <cellStyle name="Procent 2 6 2 3 2 2" xfId="57565" xr:uid="{00000000-0005-0000-0000-000032DF0000}"/>
    <cellStyle name="Procent 2 6 2 3 3" xfId="56941" xr:uid="{00000000-0005-0000-0000-000033DF0000}"/>
    <cellStyle name="Procent 2 6 2 3 4" xfId="53774" xr:uid="{00000000-0005-0000-0000-000034DF0000}"/>
    <cellStyle name="Procent 2 6 2 4" xfId="54396" xr:uid="{00000000-0005-0000-0000-000035DF0000}"/>
    <cellStyle name="Procent 2 6 2 4 2" xfId="57563" xr:uid="{00000000-0005-0000-0000-000036DF0000}"/>
    <cellStyle name="Procent 2 6 2 5" xfId="56939" xr:uid="{00000000-0005-0000-0000-000037DF0000}"/>
    <cellStyle name="Procent 2 6 2 6" xfId="53772" xr:uid="{00000000-0005-0000-0000-000038DF0000}"/>
    <cellStyle name="Procent 2 6 3" xfId="19384" xr:uid="{00000000-0005-0000-0000-000039DF0000}"/>
    <cellStyle name="Procent 2 6 3 2" xfId="54399" xr:uid="{00000000-0005-0000-0000-00003ADF0000}"/>
    <cellStyle name="Procent 2 6 3 2 2" xfId="57566" xr:uid="{00000000-0005-0000-0000-00003BDF0000}"/>
    <cellStyle name="Procent 2 6 3 3" xfId="56942" xr:uid="{00000000-0005-0000-0000-00003CDF0000}"/>
    <cellStyle name="Procent 2 6 3 4" xfId="53775" xr:uid="{00000000-0005-0000-0000-00003DDF0000}"/>
    <cellStyle name="Procent 2 6 4" xfId="34373" xr:uid="{00000000-0005-0000-0000-00003EDF0000}"/>
    <cellStyle name="Procent 2 6 4 2" xfId="54400" xr:uid="{00000000-0005-0000-0000-00003FDF0000}"/>
    <cellStyle name="Procent 2 6 4 2 2" xfId="57567" xr:uid="{00000000-0005-0000-0000-000040DF0000}"/>
    <cellStyle name="Procent 2 6 4 3" xfId="56943" xr:uid="{00000000-0005-0000-0000-000041DF0000}"/>
    <cellStyle name="Procent 2 6 4 4" xfId="53776" xr:uid="{00000000-0005-0000-0000-000042DF0000}"/>
    <cellStyle name="Procent 2 6 5" xfId="53777" xr:uid="{00000000-0005-0000-0000-000043DF0000}"/>
    <cellStyle name="Procent 2 6 5 2" xfId="54401" xr:uid="{00000000-0005-0000-0000-000044DF0000}"/>
    <cellStyle name="Procent 2 6 5 2 2" xfId="57568" xr:uid="{00000000-0005-0000-0000-000045DF0000}"/>
    <cellStyle name="Procent 2 6 5 3" xfId="56944" xr:uid="{00000000-0005-0000-0000-000046DF0000}"/>
    <cellStyle name="Procent 2 6 6" xfId="54395" xr:uid="{00000000-0005-0000-0000-000047DF0000}"/>
    <cellStyle name="Procent 2 6 6 2" xfId="57562" xr:uid="{00000000-0005-0000-0000-000048DF0000}"/>
    <cellStyle name="Procent 2 6 7" xfId="56938" xr:uid="{00000000-0005-0000-0000-000049DF0000}"/>
    <cellStyle name="Procent 2 6 8" xfId="53771" xr:uid="{00000000-0005-0000-0000-00004ADF0000}"/>
    <cellStyle name="Procent 2 7" xfId="53778" xr:uid="{00000000-0005-0000-0000-00004BDF0000}"/>
    <cellStyle name="Procent 2 7 2" xfId="53779" xr:uid="{00000000-0005-0000-0000-00004CDF0000}"/>
    <cellStyle name="Procent 2 7 2 2" xfId="53780" xr:uid="{00000000-0005-0000-0000-00004DDF0000}"/>
    <cellStyle name="Procent 2 7 2 2 2" xfId="54404" xr:uid="{00000000-0005-0000-0000-00004EDF0000}"/>
    <cellStyle name="Procent 2 7 2 2 2 2" xfId="57571" xr:uid="{00000000-0005-0000-0000-00004FDF0000}"/>
    <cellStyle name="Procent 2 7 2 2 3" xfId="56947" xr:uid="{00000000-0005-0000-0000-000050DF0000}"/>
    <cellStyle name="Procent 2 7 2 3" xfId="53781" xr:uid="{00000000-0005-0000-0000-000051DF0000}"/>
    <cellStyle name="Procent 2 7 2 3 2" xfId="54405" xr:uid="{00000000-0005-0000-0000-000052DF0000}"/>
    <cellStyle name="Procent 2 7 2 3 2 2" xfId="57572" xr:uid="{00000000-0005-0000-0000-000053DF0000}"/>
    <cellStyle name="Procent 2 7 2 3 3" xfId="56948" xr:uid="{00000000-0005-0000-0000-000054DF0000}"/>
    <cellStyle name="Procent 2 7 2 4" xfId="54403" xr:uid="{00000000-0005-0000-0000-000055DF0000}"/>
    <cellStyle name="Procent 2 7 2 4 2" xfId="57570" xr:uid="{00000000-0005-0000-0000-000056DF0000}"/>
    <cellStyle name="Procent 2 7 2 5" xfId="56946" xr:uid="{00000000-0005-0000-0000-000057DF0000}"/>
    <cellStyle name="Procent 2 7 3" xfId="53782" xr:uid="{00000000-0005-0000-0000-000058DF0000}"/>
    <cellStyle name="Procent 2 7 3 2" xfId="54406" xr:uid="{00000000-0005-0000-0000-000059DF0000}"/>
    <cellStyle name="Procent 2 7 3 2 2" xfId="57573" xr:uid="{00000000-0005-0000-0000-00005ADF0000}"/>
    <cellStyle name="Procent 2 7 3 3" xfId="56949" xr:uid="{00000000-0005-0000-0000-00005BDF0000}"/>
    <cellStyle name="Procent 2 7 4" xfId="53783" xr:uid="{00000000-0005-0000-0000-00005CDF0000}"/>
    <cellStyle name="Procent 2 7 4 2" xfId="54407" xr:uid="{00000000-0005-0000-0000-00005DDF0000}"/>
    <cellStyle name="Procent 2 7 4 2 2" xfId="57574" xr:uid="{00000000-0005-0000-0000-00005EDF0000}"/>
    <cellStyle name="Procent 2 7 4 3" xfId="56950" xr:uid="{00000000-0005-0000-0000-00005FDF0000}"/>
    <cellStyle name="Procent 2 7 5" xfId="53784" xr:uid="{00000000-0005-0000-0000-000060DF0000}"/>
    <cellStyle name="Procent 2 7 5 2" xfId="54408" xr:uid="{00000000-0005-0000-0000-000061DF0000}"/>
    <cellStyle name="Procent 2 7 5 2 2" xfId="57575" xr:uid="{00000000-0005-0000-0000-000062DF0000}"/>
    <cellStyle name="Procent 2 7 5 3" xfId="56951" xr:uid="{00000000-0005-0000-0000-000063DF0000}"/>
    <cellStyle name="Procent 2 7 6" xfId="54402" xr:uid="{00000000-0005-0000-0000-000064DF0000}"/>
    <cellStyle name="Procent 2 7 6 2" xfId="57569" xr:uid="{00000000-0005-0000-0000-000065DF0000}"/>
    <cellStyle name="Procent 2 7 7" xfId="56945" xr:uid="{00000000-0005-0000-0000-000066DF0000}"/>
    <cellStyle name="Procent 2 8" xfId="53785" xr:uid="{00000000-0005-0000-0000-000067DF0000}"/>
    <cellStyle name="Procent 2 8 2" xfId="53786" xr:uid="{00000000-0005-0000-0000-000068DF0000}"/>
    <cellStyle name="Procent 2 8 2 2" xfId="53787" xr:uid="{00000000-0005-0000-0000-000069DF0000}"/>
    <cellStyle name="Procent 2 8 2 2 2" xfId="54411" xr:uid="{00000000-0005-0000-0000-00006ADF0000}"/>
    <cellStyle name="Procent 2 8 2 2 2 2" xfId="57578" xr:uid="{00000000-0005-0000-0000-00006BDF0000}"/>
    <cellStyle name="Procent 2 8 2 2 3" xfId="56954" xr:uid="{00000000-0005-0000-0000-00006CDF0000}"/>
    <cellStyle name="Procent 2 8 2 3" xfId="53788" xr:uid="{00000000-0005-0000-0000-00006DDF0000}"/>
    <cellStyle name="Procent 2 8 2 3 2" xfId="54412" xr:uid="{00000000-0005-0000-0000-00006EDF0000}"/>
    <cellStyle name="Procent 2 8 2 3 2 2" xfId="57579" xr:uid="{00000000-0005-0000-0000-00006FDF0000}"/>
    <cellStyle name="Procent 2 8 2 3 3" xfId="56955" xr:uid="{00000000-0005-0000-0000-000070DF0000}"/>
    <cellStyle name="Procent 2 8 2 4" xfId="54410" xr:uid="{00000000-0005-0000-0000-000071DF0000}"/>
    <cellStyle name="Procent 2 8 2 4 2" xfId="57577" xr:uid="{00000000-0005-0000-0000-000072DF0000}"/>
    <cellStyle name="Procent 2 8 2 5" xfId="56953" xr:uid="{00000000-0005-0000-0000-000073DF0000}"/>
    <cellStyle name="Procent 2 8 3" xfId="53789" xr:uid="{00000000-0005-0000-0000-000074DF0000}"/>
    <cellStyle name="Procent 2 8 3 2" xfId="54413" xr:uid="{00000000-0005-0000-0000-000075DF0000}"/>
    <cellStyle name="Procent 2 8 3 2 2" xfId="57580" xr:uid="{00000000-0005-0000-0000-000076DF0000}"/>
    <cellStyle name="Procent 2 8 3 3" xfId="56956" xr:uid="{00000000-0005-0000-0000-000077DF0000}"/>
    <cellStyle name="Procent 2 8 4" xfId="53790" xr:uid="{00000000-0005-0000-0000-000078DF0000}"/>
    <cellStyle name="Procent 2 8 4 2" xfId="54414" xr:uid="{00000000-0005-0000-0000-000079DF0000}"/>
    <cellStyle name="Procent 2 8 4 2 2" xfId="57581" xr:uid="{00000000-0005-0000-0000-00007ADF0000}"/>
    <cellStyle name="Procent 2 8 4 3" xfId="56957" xr:uid="{00000000-0005-0000-0000-00007BDF0000}"/>
    <cellStyle name="Procent 2 8 5" xfId="53791" xr:uid="{00000000-0005-0000-0000-00007CDF0000}"/>
    <cellStyle name="Procent 2 8 5 2" xfId="54415" xr:uid="{00000000-0005-0000-0000-00007DDF0000}"/>
    <cellStyle name="Procent 2 8 5 2 2" xfId="57582" xr:uid="{00000000-0005-0000-0000-00007EDF0000}"/>
    <cellStyle name="Procent 2 8 5 3" xfId="56958" xr:uid="{00000000-0005-0000-0000-00007FDF0000}"/>
    <cellStyle name="Procent 2 8 6" xfId="54409" xr:uid="{00000000-0005-0000-0000-000080DF0000}"/>
    <cellStyle name="Procent 2 8 6 2" xfId="57576" xr:uid="{00000000-0005-0000-0000-000081DF0000}"/>
    <cellStyle name="Procent 2 8 7" xfId="56952" xr:uid="{00000000-0005-0000-0000-000082DF0000}"/>
    <cellStyle name="Procent 2 9" xfId="53792" xr:uid="{00000000-0005-0000-0000-000083DF0000}"/>
    <cellStyle name="Procent 2 9 2" xfId="53793" xr:uid="{00000000-0005-0000-0000-000084DF0000}"/>
    <cellStyle name="Procent 2 9 2 2" xfId="54417" xr:uid="{00000000-0005-0000-0000-000085DF0000}"/>
    <cellStyle name="Procent 2 9 2 2 2" xfId="57584" xr:uid="{00000000-0005-0000-0000-000086DF0000}"/>
    <cellStyle name="Procent 2 9 2 3" xfId="56960" xr:uid="{00000000-0005-0000-0000-000087DF0000}"/>
    <cellStyle name="Procent 2 9 3" xfId="53794" xr:uid="{00000000-0005-0000-0000-000088DF0000}"/>
    <cellStyle name="Procent 2 9 3 2" xfId="54418" xr:uid="{00000000-0005-0000-0000-000089DF0000}"/>
    <cellStyle name="Procent 2 9 3 2 2" xfId="57585" xr:uid="{00000000-0005-0000-0000-00008ADF0000}"/>
    <cellStyle name="Procent 2 9 3 3" xfId="56961" xr:uid="{00000000-0005-0000-0000-00008BDF0000}"/>
    <cellStyle name="Procent 2 9 4" xfId="54416" xr:uid="{00000000-0005-0000-0000-00008CDF0000}"/>
    <cellStyle name="Procent 2 9 4 2" xfId="57583" xr:uid="{00000000-0005-0000-0000-00008DDF0000}"/>
    <cellStyle name="Procent 2 9 5" xfId="56959" xr:uid="{00000000-0005-0000-0000-00008EDF0000}"/>
    <cellStyle name="Procent 3" xfId="1181" xr:uid="{00000000-0005-0000-0000-00008FDF0000}"/>
    <cellStyle name="Procent 3 2" xfId="5216" xr:uid="{00000000-0005-0000-0000-000090DF0000}"/>
    <cellStyle name="Procent 3 2 2" xfId="17882" xr:uid="{00000000-0005-0000-0000-000091DF0000}"/>
    <cellStyle name="Procent 3 2 2 2" xfId="53858" xr:uid="{00000000-0005-0000-0000-000092DF0000}"/>
    <cellStyle name="Procent 3 2 2 2 2" xfId="57025" xr:uid="{00000000-0005-0000-0000-000093DF0000}"/>
    <cellStyle name="Procent 3 2 2 3" xfId="56414" xr:uid="{00000000-0005-0000-0000-000094DF0000}"/>
    <cellStyle name="Procent 3 2 2 4" xfId="53212" xr:uid="{00000000-0005-0000-0000-000095DF0000}"/>
    <cellStyle name="Procent 3 2 3" xfId="53228" xr:uid="{00000000-0005-0000-0000-000096DF0000}"/>
    <cellStyle name="Procent 3 2 3 2" xfId="53874" xr:uid="{00000000-0005-0000-0000-000097DF0000}"/>
    <cellStyle name="Procent 3 2 3 2 2" xfId="57041" xr:uid="{00000000-0005-0000-0000-000098DF0000}"/>
    <cellStyle name="Procent 3 2 3 3" xfId="56430" xr:uid="{00000000-0005-0000-0000-000099DF0000}"/>
    <cellStyle name="Procent 3 2 4" xfId="53842" xr:uid="{00000000-0005-0000-0000-00009ADF0000}"/>
    <cellStyle name="Procent 3 2 4 2" xfId="57009" xr:uid="{00000000-0005-0000-0000-00009BDF0000}"/>
    <cellStyle name="Procent 3 2 5" xfId="53196" xr:uid="{00000000-0005-0000-0000-00009CDF0000}"/>
    <cellStyle name="Procent 3 2 5 2" xfId="56398" xr:uid="{00000000-0005-0000-0000-00009DDF0000}"/>
    <cellStyle name="Procent 3 3" xfId="5215" xr:uid="{00000000-0005-0000-0000-00009EDF0000}"/>
    <cellStyle name="Procent 3 3 2" xfId="53850" xr:uid="{00000000-0005-0000-0000-00009FDF0000}"/>
    <cellStyle name="Procent 3 3 2 2" xfId="57017" xr:uid="{00000000-0005-0000-0000-0000A0DF0000}"/>
    <cellStyle name="Procent 3 3 3" xfId="56406" xr:uid="{00000000-0005-0000-0000-0000A1DF0000}"/>
    <cellStyle name="Procent 3 3 4" xfId="53204" xr:uid="{00000000-0005-0000-0000-0000A2DF0000}"/>
    <cellStyle name="Procent 3 4" xfId="17881" xr:uid="{00000000-0005-0000-0000-0000A3DF0000}"/>
    <cellStyle name="Procent 3 4 2" xfId="53866" xr:uid="{00000000-0005-0000-0000-0000A4DF0000}"/>
    <cellStyle name="Procent 3 4 2 2" xfId="57033" xr:uid="{00000000-0005-0000-0000-0000A5DF0000}"/>
    <cellStyle name="Procent 3 4 3" xfId="56422" xr:uid="{00000000-0005-0000-0000-0000A6DF0000}"/>
    <cellStyle name="Procent 3 4 4" xfId="53220" xr:uid="{00000000-0005-0000-0000-0000A7DF0000}"/>
    <cellStyle name="Procent 3 5" xfId="53241" xr:uid="{00000000-0005-0000-0000-0000A8DF0000}"/>
    <cellStyle name="Procent 3 6" xfId="53834" xr:uid="{00000000-0005-0000-0000-0000A9DF0000}"/>
    <cellStyle name="Procent 3 6 2" xfId="57001" xr:uid="{00000000-0005-0000-0000-0000AADF0000}"/>
    <cellStyle name="Procent 3 7" xfId="53122" xr:uid="{00000000-0005-0000-0000-0000ABDF0000}"/>
    <cellStyle name="Procent 3 7 2" xfId="56382" xr:uid="{00000000-0005-0000-0000-0000ACDF0000}"/>
    <cellStyle name="Procent 4" xfId="5217" xr:uid="{00000000-0005-0000-0000-0000ADDF0000}"/>
    <cellStyle name="Procent 4 10" xfId="52678" xr:uid="{00000000-0005-0000-0000-0000AEDF0000}"/>
    <cellStyle name="Procent 4 2" xfId="5218" xr:uid="{00000000-0005-0000-0000-0000AFDF0000}"/>
    <cellStyle name="Procent 4 2 2" xfId="5219" xr:uid="{00000000-0005-0000-0000-0000B0DF0000}"/>
    <cellStyle name="Procent 4 2 2 2" xfId="7784" xr:uid="{00000000-0005-0000-0000-0000B1DF0000}"/>
    <cellStyle name="Procent 4 2 2 2 2" xfId="15686" xr:uid="{00000000-0005-0000-0000-0000B2DF0000}"/>
    <cellStyle name="Procent 4 2 2 2 2 2" xfId="32001" xr:uid="{00000000-0005-0000-0000-0000B3DF0000}"/>
    <cellStyle name="Procent 4 2 2 2 2 3" xfId="46965" xr:uid="{00000000-0005-0000-0000-0000B4DF0000}"/>
    <cellStyle name="Procent 4 2 2 2 2 4" xfId="57588" xr:uid="{00000000-0005-0000-0000-0000B5DF0000}"/>
    <cellStyle name="Procent 4 2 2 2 3" xfId="24979" xr:uid="{00000000-0005-0000-0000-0000B6DF0000}"/>
    <cellStyle name="Procent 4 2 2 2 4" xfId="39966" xr:uid="{00000000-0005-0000-0000-0000B7DF0000}"/>
    <cellStyle name="Procent 4 2 2 2 5" xfId="54421" xr:uid="{00000000-0005-0000-0000-0000B8DF0000}"/>
    <cellStyle name="Procent 4 2 2 3" xfId="18936" xr:uid="{00000000-0005-0000-0000-0000B9DF0000}"/>
    <cellStyle name="Procent 4 2 2 3 2" xfId="33937" xr:uid="{00000000-0005-0000-0000-0000BADF0000}"/>
    <cellStyle name="Procent 4 2 2 3 2 2" xfId="56964" xr:uid="{00000000-0005-0000-0000-0000BBDF0000}"/>
    <cellStyle name="Procent 4 2 2 3 3" xfId="48898" xr:uid="{00000000-0005-0000-0000-0000BCDF0000}"/>
    <cellStyle name="Procent 4 2 2 3 4" xfId="53797" xr:uid="{00000000-0005-0000-0000-0000BDDF0000}"/>
    <cellStyle name="Procent 4 2 2 4" xfId="56345" xr:uid="{00000000-0005-0000-0000-0000BEDF0000}"/>
    <cellStyle name="Procent 4 2 2 5" xfId="53071" xr:uid="{00000000-0005-0000-0000-0000BFDF0000}"/>
    <cellStyle name="Procent 4 2 3" xfId="18889" xr:uid="{00000000-0005-0000-0000-0000C0DF0000}"/>
    <cellStyle name="Procent 4 2 3 2" xfId="33917" xr:uid="{00000000-0005-0000-0000-0000C1DF0000}"/>
    <cellStyle name="Procent 4 2 3 2 2" xfId="57589" xr:uid="{00000000-0005-0000-0000-0000C2DF0000}"/>
    <cellStyle name="Procent 4 2 3 2 3" xfId="54422" xr:uid="{00000000-0005-0000-0000-0000C3DF0000}"/>
    <cellStyle name="Procent 4 2 3 3" xfId="48878" xr:uid="{00000000-0005-0000-0000-0000C4DF0000}"/>
    <cellStyle name="Procent 4 2 3 3 2" xfId="56965" xr:uid="{00000000-0005-0000-0000-0000C5DF0000}"/>
    <cellStyle name="Procent 4 2 3 4" xfId="53798" xr:uid="{00000000-0005-0000-0000-0000C6DF0000}"/>
    <cellStyle name="Procent 4 2 4" xfId="54420" xr:uid="{00000000-0005-0000-0000-0000C7DF0000}"/>
    <cellStyle name="Procent 4 2 4 2" xfId="57587" xr:uid="{00000000-0005-0000-0000-0000C8DF0000}"/>
    <cellStyle name="Procent 4 2 5" xfId="53796" xr:uid="{00000000-0005-0000-0000-0000C9DF0000}"/>
    <cellStyle name="Procent 4 2 5 2" xfId="56963" xr:uid="{00000000-0005-0000-0000-0000CADF0000}"/>
    <cellStyle name="Procent 4 2 6" xfId="55402" xr:uid="{00000000-0005-0000-0000-0000CBDF0000}"/>
    <cellStyle name="Procent 4 2 7" xfId="56324" xr:uid="{00000000-0005-0000-0000-0000CCDF0000}"/>
    <cellStyle name="Procent 4 2 8" xfId="53051" xr:uid="{00000000-0005-0000-0000-0000CDDF0000}"/>
    <cellStyle name="Procent 4 3" xfId="5220" xr:uid="{00000000-0005-0000-0000-0000CEDF0000}"/>
    <cellStyle name="Procent 4 3 2" xfId="5221" xr:uid="{00000000-0005-0000-0000-0000CFDF0000}"/>
    <cellStyle name="Procent 4 3 2 2" xfId="8685" xr:uid="{00000000-0005-0000-0000-0000D0DF0000}"/>
    <cellStyle name="Procent 4 3 2 2 2" xfId="16565" xr:uid="{00000000-0005-0000-0000-0000D1DF0000}"/>
    <cellStyle name="Procent 4 3 2 2 2 2" xfId="32880" xr:uid="{00000000-0005-0000-0000-0000D2DF0000}"/>
    <cellStyle name="Procent 4 3 2 2 2 3" xfId="47844" xr:uid="{00000000-0005-0000-0000-0000D3DF0000}"/>
    <cellStyle name="Procent 4 3 2 2 3" xfId="25858" xr:uid="{00000000-0005-0000-0000-0000D4DF0000}"/>
    <cellStyle name="Procent 4 3 2 2 4" xfId="40845" xr:uid="{00000000-0005-0000-0000-0000D5DF0000}"/>
    <cellStyle name="Procent 4 3 2 2 5" xfId="57590" xr:uid="{00000000-0005-0000-0000-0000D6DF0000}"/>
    <cellStyle name="Procent 4 3 2 3" xfId="54423" xr:uid="{00000000-0005-0000-0000-0000D7DF0000}"/>
    <cellStyle name="Procent 4 3 3" xfId="6331" xr:uid="{00000000-0005-0000-0000-0000D8DF0000}"/>
    <cellStyle name="Procent 4 3 3 2" xfId="14246" xr:uid="{00000000-0005-0000-0000-0000D9DF0000}"/>
    <cellStyle name="Procent 4 3 3 2 2" xfId="30561" xr:uid="{00000000-0005-0000-0000-0000DADF0000}"/>
    <cellStyle name="Procent 4 3 3 2 3" xfId="45525" xr:uid="{00000000-0005-0000-0000-0000DBDF0000}"/>
    <cellStyle name="Procent 4 3 3 2 4" xfId="56966" xr:uid="{00000000-0005-0000-0000-0000DCDF0000}"/>
    <cellStyle name="Procent 4 3 3 3" xfId="23539" xr:uid="{00000000-0005-0000-0000-0000DDDF0000}"/>
    <cellStyle name="Procent 4 3 3 4" xfId="38526" xr:uid="{00000000-0005-0000-0000-0000DEDF0000}"/>
    <cellStyle name="Procent 4 3 3 5" xfId="53799" xr:uid="{00000000-0005-0000-0000-0000DFDF0000}"/>
    <cellStyle name="Procent 4 3 4" xfId="18917" xr:uid="{00000000-0005-0000-0000-0000E0DF0000}"/>
    <cellStyle name="Procent 4 3 4 2" xfId="33927" xr:uid="{00000000-0005-0000-0000-0000E1DF0000}"/>
    <cellStyle name="Procent 4 3 4 3" xfId="48888" xr:uid="{00000000-0005-0000-0000-0000E2DF0000}"/>
    <cellStyle name="Procent 4 3 4 4" xfId="56335" xr:uid="{00000000-0005-0000-0000-0000E3DF0000}"/>
    <cellStyle name="Procent 4 3 5" xfId="53061" xr:uid="{00000000-0005-0000-0000-0000E4DF0000}"/>
    <cellStyle name="Procent 4 4" xfId="5222" xr:uid="{00000000-0005-0000-0000-0000E5DF0000}"/>
    <cellStyle name="Procent 4 4 2" xfId="7026" xr:uid="{00000000-0005-0000-0000-0000E6DF0000}"/>
    <cellStyle name="Procent 4 4 2 2" xfId="14938" xr:uid="{00000000-0005-0000-0000-0000E7DF0000}"/>
    <cellStyle name="Procent 4 4 2 2 2" xfId="31253" xr:uid="{00000000-0005-0000-0000-0000E8DF0000}"/>
    <cellStyle name="Procent 4 4 2 2 3" xfId="46217" xr:uid="{00000000-0005-0000-0000-0000E9DF0000}"/>
    <cellStyle name="Procent 4 4 2 2 4" xfId="57591" xr:uid="{00000000-0005-0000-0000-0000EADF0000}"/>
    <cellStyle name="Procent 4 4 2 3" xfId="24231" xr:uid="{00000000-0005-0000-0000-0000EBDF0000}"/>
    <cellStyle name="Procent 4 4 2 4" xfId="39218" xr:uid="{00000000-0005-0000-0000-0000ECDF0000}"/>
    <cellStyle name="Procent 4 4 2 5" xfId="54424" xr:uid="{00000000-0005-0000-0000-0000EDDF0000}"/>
    <cellStyle name="Procent 4 4 3" xfId="56967" xr:uid="{00000000-0005-0000-0000-0000EEDF0000}"/>
    <cellStyle name="Procent 4 4 4" xfId="53800" xr:uid="{00000000-0005-0000-0000-0000EFDF0000}"/>
    <cellStyle name="Procent 4 5" xfId="17883" xr:uid="{00000000-0005-0000-0000-0000F0DF0000}"/>
    <cellStyle name="Procent 4 5 2" xfId="33548" xr:uid="{00000000-0005-0000-0000-0000F1DF0000}"/>
    <cellStyle name="Procent 4 5 2 2" xfId="57592" xr:uid="{00000000-0005-0000-0000-0000F2DF0000}"/>
    <cellStyle name="Procent 4 5 2 3" xfId="54425" xr:uid="{00000000-0005-0000-0000-0000F3DF0000}"/>
    <cellStyle name="Procent 4 5 3" xfId="48509" xr:uid="{00000000-0005-0000-0000-0000F4DF0000}"/>
    <cellStyle name="Procent 4 5 3 2" xfId="56968" xr:uid="{00000000-0005-0000-0000-0000F5DF0000}"/>
    <cellStyle name="Procent 4 5 4" xfId="53801" xr:uid="{00000000-0005-0000-0000-0000F6DF0000}"/>
    <cellStyle name="Procent 4 6" xfId="54419" xr:uid="{00000000-0005-0000-0000-0000F7DF0000}"/>
    <cellStyle name="Procent 4 6 2" xfId="57586" xr:uid="{00000000-0005-0000-0000-0000F8DF0000}"/>
    <cellStyle name="Procent 4 7" xfId="53795" xr:uid="{00000000-0005-0000-0000-0000F9DF0000}"/>
    <cellStyle name="Procent 4 7 2" xfId="56962" xr:uid="{00000000-0005-0000-0000-0000FADF0000}"/>
    <cellStyle name="Procent 4 8" xfId="55033" xr:uid="{00000000-0005-0000-0000-0000FBDF0000}"/>
    <cellStyle name="Procent 4 9" xfId="55955" xr:uid="{00000000-0005-0000-0000-0000FCDF0000}"/>
    <cellStyle name="Procent 5" xfId="5223" xr:uid="{00000000-0005-0000-0000-0000FDDF0000}"/>
    <cellStyle name="Procent 5 2" xfId="8831" xr:uid="{00000000-0005-0000-0000-0000FEDF0000}"/>
    <cellStyle name="Procent 5 2 2" xfId="53804" xr:uid="{00000000-0005-0000-0000-0000FFDF0000}"/>
    <cellStyle name="Procent 5 2 2 2" xfId="54428" xr:uid="{00000000-0005-0000-0000-000000E00000}"/>
    <cellStyle name="Procent 5 2 2 2 2" xfId="57595" xr:uid="{00000000-0005-0000-0000-000001E00000}"/>
    <cellStyle name="Procent 5 2 2 3" xfId="56971" xr:uid="{00000000-0005-0000-0000-000002E00000}"/>
    <cellStyle name="Procent 5 2 3" xfId="53805" xr:uid="{00000000-0005-0000-0000-000003E00000}"/>
    <cellStyle name="Procent 5 2 3 2" xfId="54429" xr:uid="{00000000-0005-0000-0000-000004E00000}"/>
    <cellStyle name="Procent 5 2 3 2 2" xfId="57596" xr:uid="{00000000-0005-0000-0000-000005E00000}"/>
    <cellStyle name="Procent 5 2 3 3" xfId="56972" xr:uid="{00000000-0005-0000-0000-000006E00000}"/>
    <cellStyle name="Procent 5 2 4" xfId="54427" xr:uid="{00000000-0005-0000-0000-000007E00000}"/>
    <cellStyle name="Procent 5 2 4 2" xfId="57594" xr:uid="{00000000-0005-0000-0000-000008E00000}"/>
    <cellStyle name="Procent 5 2 5" xfId="56970" xr:uid="{00000000-0005-0000-0000-000009E00000}"/>
    <cellStyle name="Procent 5 2 6" xfId="53803" xr:uid="{00000000-0005-0000-0000-00000AE00000}"/>
    <cellStyle name="Procent 5 3" xfId="18940" xr:uid="{00000000-0005-0000-0000-00000BE00000}"/>
    <cellStyle name="Procent 5 3 2" xfId="33941" xr:uid="{00000000-0005-0000-0000-00000CE00000}"/>
    <cellStyle name="Procent 5 3 2 2" xfId="57597" xr:uid="{00000000-0005-0000-0000-00000DE00000}"/>
    <cellStyle name="Procent 5 3 2 3" xfId="54430" xr:uid="{00000000-0005-0000-0000-00000EE00000}"/>
    <cellStyle name="Procent 5 3 3" xfId="48902" xr:uid="{00000000-0005-0000-0000-00000FE00000}"/>
    <cellStyle name="Procent 5 3 3 2" xfId="56973" xr:uid="{00000000-0005-0000-0000-000010E00000}"/>
    <cellStyle name="Procent 5 3 4" xfId="53806" xr:uid="{00000000-0005-0000-0000-000011E00000}"/>
    <cellStyle name="Procent 5 4" xfId="53807" xr:uid="{00000000-0005-0000-0000-000012E00000}"/>
    <cellStyle name="Procent 5 4 2" xfId="54431" xr:uid="{00000000-0005-0000-0000-000013E00000}"/>
    <cellStyle name="Procent 5 4 2 2" xfId="57598" xr:uid="{00000000-0005-0000-0000-000014E00000}"/>
    <cellStyle name="Procent 5 4 3" xfId="56974" xr:uid="{00000000-0005-0000-0000-000015E00000}"/>
    <cellStyle name="Procent 5 5" xfId="53808" xr:uid="{00000000-0005-0000-0000-000016E00000}"/>
    <cellStyle name="Procent 5 5 2" xfId="54432" xr:uid="{00000000-0005-0000-0000-000017E00000}"/>
    <cellStyle name="Procent 5 5 2 2" xfId="57599" xr:uid="{00000000-0005-0000-0000-000018E00000}"/>
    <cellStyle name="Procent 5 5 3" xfId="56975" xr:uid="{00000000-0005-0000-0000-000019E00000}"/>
    <cellStyle name="Procent 5 6" xfId="54426" xr:uid="{00000000-0005-0000-0000-00001AE00000}"/>
    <cellStyle name="Procent 5 6 2" xfId="57593" xr:uid="{00000000-0005-0000-0000-00001BE00000}"/>
    <cellStyle name="Procent 5 7" xfId="53802" xr:uid="{00000000-0005-0000-0000-00001CE00000}"/>
    <cellStyle name="Procent 5 7 2" xfId="56969" xr:uid="{00000000-0005-0000-0000-00001DE00000}"/>
    <cellStyle name="Procent 5 8" xfId="56349" xr:uid="{00000000-0005-0000-0000-00001EE00000}"/>
    <cellStyle name="Procent 5 9" xfId="53075" xr:uid="{00000000-0005-0000-0000-00001FE00000}"/>
    <cellStyle name="Procent 6" xfId="5224" xr:uid="{00000000-0005-0000-0000-000020E00000}"/>
    <cellStyle name="Procent 6 2" xfId="8832" xr:uid="{00000000-0005-0000-0000-000021E00000}"/>
    <cellStyle name="Procent 6 2 2" xfId="53810" xr:uid="{00000000-0005-0000-0000-000022E00000}"/>
    <cellStyle name="Procent 6 2 2 2" xfId="54435" xr:uid="{00000000-0005-0000-0000-000023E00000}"/>
    <cellStyle name="Procent 6 2 2 2 2" xfId="57602" xr:uid="{00000000-0005-0000-0000-000024E00000}"/>
    <cellStyle name="Procent 6 2 2 3" xfId="56977" xr:uid="{00000000-0005-0000-0000-000025E00000}"/>
    <cellStyle name="Procent 6 2 3" xfId="53811" xr:uid="{00000000-0005-0000-0000-000026E00000}"/>
    <cellStyle name="Procent 6 2 3 2" xfId="54436" xr:uid="{00000000-0005-0000-0000-000027E00000}"/>
    <cellStyle name="Procent 6 2 3 2 2" xfId="57603" xr:uid="{00000000-0005-0000-0000-000028E00000}"/>
    <cellStyle name="Procent 6 2 3 3" xfId="56978" xr:uid="{00000000-0005-0000-0000-000029E00000}"/>
    <cellStyle name="Procent 6 2 4" xfId="54434" xr:uid="{00000000-0005-0000-0000-00002AE00000}"/>
    <cellStyle name="Procent 6 2 4 2" xfId="57601" xr:uid="{00000000-0005-0000-0000-00002BE00000}"/>
    <cellStyle name="Procent 6 2 5" xfId="56976" xr:uid="{00000000-0005-0000-0000-00002CE00000}"/>
    <cellStyle name="Procent 6 2 6" xfId="53809" xr:uid="{00000000-0005-0000-0000-00002DE00000}"/>
    <cellStyle name="Procent 6 3" xfId="53812" xr:uid="{00000000-0005-0000-0000-00002EE00000}"/>
    <cellStyle name="Procent 6 3 2" xfId="54437" xr:uid="{00000000-0005-0000-0000-00002FE00000}"/>
    <cellStyle name="Procent 6 3 2 2" xfId="57604" xr:uid="{00000000-0005-0000-0000-000030E00000}"/>
    <cellStyle name="Procent 6 3 3" xfId="56979" xr:uid="{00000000-0005-0000-0000-000031E00000}"/>
    <cellStyle name="Procent 6 4" xfId="53813" xr:uid="{00000000-0005-0000-0000-000032E00000}"/>
    <cellStyle name="Procent 6 4 2" xfId="54438" xr:uid="{00000000-0005-0000-0000-000033E00000}"/>
    <cellStyle name="Procent 6 4 2 2" xfId="57605" xr:uid="{00000000-0005-0000-0000-000034E00000}"/>
    <cellStyle name="Procent 6 4 3" xfId="56980" xr:uid="{00000000-0005-0000-0000-000035E00000}"/>
    <cellStyle name="Procent 6 5" xfId="53814" xr:uid="{00000000-0005-0000-0000-000036E00000}"/>
    <cellStyle name="Procent 6 5 2" xfId="54439" xr:uid="{00000000-0005-0000-0000-000037E00000}"/>
    <cellStyle name="Procent 6 5 2 2" xfId="57606" xr:uid="{00000000-0005-0000-0000-000038E00000}"/>
    <cellStyle name="Procent 6 5 3" xfId="56981" xr:uid="{00000000-0005-0000-0000-000039E00000}"/>
    <cellStyle name="Procent 6 6" xfId="54433" xr:uid="{00000000-0005-0000-0000-00003AE00000}"/>
    <cellStyle name="Procent 6 6 2" xfId="57600" xr:uid="{00000000-0005-0000-0000-00003BE00000}"/>
    <cellStyle name="Procent 6 7" xfId="56375" xr:uid="{00000000-0005-0000-0000-00003CE00000}"/>
    <cellStyle name="Procent 6 8" xfId="53101" xr:uid="{00000000-0005-0000-0000-00003DE00000}"/>
    <cellStyle name="Procent 7" xfId="5225" xr:uid="{00000000-0005-0000-0000-00003EE00000}"/>
    <cellStyle name="Procent 7 2" xfId="5226" xr:uid="{00000000-0005-0000-0000-00003FE00000}"/>
    <cellStyle name="Procent 7 2 2" xfId="8834" xr:uid="{00000000-0005-0000-0000-000040E00000}"/>
    <cellStyle name="Procent 7 2 2 2" xfId="54442" xr:uid="{00000000-0005-0000-0000-000041E00000}"/>
    <cellStyle name="Procent 7 2 2 2 2" xfId="57609" xr:uid="{00000000-0005-0000-0000-000042E00000}"/>
    <cellStyle name="Procent 7 2 2 3" xfId="56984" xr:uid="{00000000-0005-0000-0000-000043E00000}"/>
    <cellStyle name="Procent 7 2 2 4" xfId="53817" xr:uid="{00000000-0005-0000-0000-000044E00000}"/>
    <cellStyle name="Procent 7 2 3" xfId="53818" xr:uid="{00000000-0005-0000-0000-000045E00000}"/>
    <cellStyle name="Procent 7 2 3 2" xfId="54443" xr:uid="{00000000-0005-0000-0000-000046E00000}"/>
    <cellStyle name="Procent 7 2 3 2 2" xfId="57610" xr:uid="{00000000-0005-0000-0000-000047E00000}"/>
    <cellStyle name="Procent 7 2 3 3" xfId="56985" xr:uid="{00000000-0005-0000-0000-000048E00000}"/>
    <cellStyle name="Procent 7 2 4" xfId="54441" xr:uid="{00000000-0005-0000-0000-000049E00000}"/>
    <cellStyle name="Procent 7 2 4 2" xfId="57608" xr:uid="{00000000-0005-0000-0000-00004AE00000}"/>
    <cellStyle name="Procent 7 2 5" xfId="56983" xr:uid="{00000000-0005-0000-0000-00004BE00000}"/>
    <cellStyle name="Procent 7 2 6" xfId="53816" xr:uid="{00000000-0005-0000-0000-00004CE00000}"/>
    <cellStyle name="Procent 7 3" xfId="8833" xr:uid="{00000000-0005-0000-0000-00004DE00000}"/>
    <cellStyle name="Procent 7 3 2" xfId="54444" xr:uid="{00000000-0005-0000-0000-00004EE00000}"/>
    <cellStyle name="Procent 7 3 2 2" xfId="57611" xr:uid="{00000000-0005-0000-0000-00004FE00000}"/>
    <cellStyle name="Procent 7 3 3" xfId="56986" xr:uid="{00000000-0005-0000-0000-000050E00000}"/>
    <cellStyle name="Procent 7 3 4" xfId="53819" xr:uid="{00000000-0005-0000-0000-000051E00000}"/>
    <cellStyle name="Procent 7 4" xfId="53820" xr:uid="{00000000-0005-0000-0000-000052E00000}"/>
    <cellStyle name="Procent 7 4 2" xfId="54445" xr:uid="{00000000-0005-0000-0000-000053E00000}"/>
    <cellStyle name="Procent 7 4 2 2" xfId="57612" xr:uid="{00000000-0005-0000-0000-000054E00000}"/>
    <cellStyle name="Procent 7 4 3" xfId="56987" xr:uid="{00000000-0005-0000-0000-000055E00000}"/>
    <cellStyle name="Procent 7 5" xfId="53821" xr:uid="{00000000-0005-0000-0000-000056E00000}"/>
    <cellStyle name="Procent 7 5 2" xfId="54446" xr:uid="{00000000-0005-0000-0000-000057E00000}"/>
    <cellStyle name="Procent 7 5 2 2" xfId="57613" xr:uid="{00000000-0005-0000-0000-000058E00000}"/>
    <cellStyle name="Procent 7 5 3" xfId="56988" xr:uid="{00000000-0005-0000-0000-000059E00000}"/>
    <cellStyle name="Procent 7 6" xfId="54440" xr:uid="{00000000-0005-0000-0000-00005AE00000}"/>
    <cellStyle name="Procent 7 6 2" xfId="57607" xr:uid="{00000000-0005-0000-0000-00005BE00000}"/>
    <cellStyle name="Procent 7 7" xfId="56982" xr:uid="{00000000-0005-0000-0000-00005CE00000}"/>
    <cellStyle name="Procent 7 8" xfId="53815" xr:uid="{00000000-0005-0000-0000-00005DE00000}"/>
    <cellStyle name="Procent 8" xfId="5227" xr:uid="{00000000-0005-0000-0000-00005EE00000}"/>
    <cellStyle name="Procent 8 2" xfId="5228" xr:uid="{00000000-0005-0000-0000-00005FE00000}"/>
    <cellStyle name="Procent 8 2 2" xfId="7424" xr:uid="{00000000-0005-0000-0000-000060E00000}"/>
    <cellStyle name="Procent 8 2 2 2" xfId="54449" xr:uid="{00000000-0005-0000-0000-000061E00000}"/>
    <cellStyle name="Procent 8 2 2 2 2" xfId="57616" xr:uid="{00000000-0005-0000-0000-000062E00000}"/>
    <cellStyle name="Procent 8 2 2 3" xfId="56991" xr:uid="{00000000-0005-0000-0000-000063E00000}"/>
    <cellStyle name="Procent 8 2 2 4" xfId="53824" xr:uid="{00000000-0005-0000-0000-000064E00000}"/>
    <cellStyle name="Procent 8 2 3" xfId="53825" xr:uid="{00000000-0005-0000-0000-000065E00000}"/>
    <cellStyle name="Procent 8 2 3 2" xfId="54450" xr:uid="{00000000-0005-0000-0000-000066E00000}"/>
    <cellStyle name="Procent 8 2 3 2 2" xfId="57617" xr:uid="{00000000-0005-0000-0000-000067E00000}"/>
    <cellStyle name="Procent 8 2 3 3" xfId="56992" xr:uid="{00000000-0005-0000-0000-000068E00000}"/>
    <cellStyle name="Procent 8 2 4" xfId="54448" xr:uid="{00000000-0005-0000-0000-000069E00000}"/>
    <cellStyle name="Procent 8 2 4 2" xfId="57615" xr:uid="{00000000-0005-0000-0000-00006AE00000}"/>
    <cellStyle name="Procent 8 2 5" xfId="56990" xr:uid="{00000000-0005-0000-0000-00006BE00000}"/>
    <cellStyle name="Procent 8 2 6" xfId="53823" xr:uid="{00000000-0005-0000-0000-00006CE00000}"/>
    <cellStyle name="Procent 8 3" xfId="53826" xr:uid="{00000000-0005-0000-0000-00006DE00000}"/>
    <cellStyle name="Procent 8 3 2" xfId="54451" xr:uid="{00000000-0005-0000-0000-00006EE00000}"/>
    <cellStyle name="Procent 8 3 2 2" xfId="57618" xr:uid="{00000000-0005-0000-0000-00006FE00000}"/>
    <cellStyle name="Procent 8 3 3" xfId="56993" xr:uid="{00000000-0005-0000-0000-000070E00000}"/>
    <cellStyle name="Procent 8 4" xfId="53827" xr:uid="{00000000-0005-0000-0000-000071E00000}"/>
    <cellStyle name="Procent 8 4 2" xfId="54452" xr:uid="{00000000-0005-0000-0000-000072E00000}"/>
    <cellStyle name="Procent 8 4 2 2" xfId="57619" xr:uid="{00000000-0005-0000-0000-000073E00000}"/>
    <cellStyle name="Procent 8 4 3" xfId="56994" xr:uid="{00000000-0005-0000-0000-000074E00000}"/>
    <cellStyle name="Procent 8 5" xfId="54447" xr:uid="{00000000-0005-0000-0000-000075E00000}"/>
    <cellStyle name="Procent 8 5 2" xfId="57614" xr:uid="{00000000-0005-0000-0000-000076E00000}"/>
    <cellStyle name="Procent 8 6" xfId="56989" xr:uid="{00000000-0005-0000-0000-000077E00000}"/>
    <cellStyle name="Procent 8 7" xfId="53822" xr:uid="{00000000-0005-0000-0000-000078E00000}"/>
    <cellStyle name="Procent 9" xfId="5229" xr:uid="{00000000-0005-0000-0000-000079E00000}"/>
    <cellStyle name="Procent 9 2" xfId="5230" xr:uid="{00000000-0005-0000-0000-00007AE00000}"/>
    <cellStyle name="Procent 9 2 2" xfId="54454" xr:uid="{00000000-0005-0000-0000-00007BE00000}"/>
    <cellStyle name="Procent 9 2 2 2" xfId="57621" xr:uid="{00000000-0005-0000-0000-00007CE00000}"/>
    <cellStyle name="Procent 9 2 3" xfId="56996" xr:uid="{00000000-0005-0000-0000-00007DE00000}"/>
    <cellStyle name="Procent 9 2 4" xfId="53829" xr:uid="{00000000-0005-0000-0000-00007EE00000}"/>
    <cellStyle name="Procent 9 3" xfId="5231" xr:uid="{00000000-0005-0000-0000-00007FE00000}"/>
    <cellStyle name="Procent 9 3 2" xfId="54455" xr:uid="{00000000-0005-0000-0000-000080E00000}"/>
    <cellStyle name="Procent 9 3 2 2" xfId="57622" xr:uid="{00000000-0005-0000-0000-000081E00000}"/>
    <cellStyle name="Procent 9 3 3" xfId="56997" xr:uid="{00000000-0005-0000-0000-000082E00000}"/>
    <cellStyle name="Procent 9 3 4" xfId="53830" xr:uid="{00000000-0005-0000-0000-000083E00000}"/>
    <cellStyle name="Procent 9 4" xfId="54453" xr:uid="{00000000-0005-0000-0000-000084E00000}"/>
    <cellStyle name="Procent 9 4 2" xfId="57620" xr:uid="{00000000-0005-0000-0000-000085E00000}"/>
    <cellStyle name="Procent 9 5" xfId="56995" xr:uid="{00000000-0005-0000-0000-000086E00000}"/>
    <cellStyle name="Procent 9 6" xfId="53828" xr:uid="{00000000-0005-0000-0000-000087E00000}"/>
    <cellStyle name="Sammenkædet celle 2" xfId="5233" xr:uid="{00000000-0005-0000-0000-000088E00000}"/>
    <cellStyle name="Sammenkædet celle 2 2" xfId="5234" xr:uid="{00000000-0005-0000-0000-000089E00000}"/>
    <cellStyle name="Sammenkædet celle 3" xfId="5235" xr:uid="{00000000-0005-0000-0000-00008AE00000}"/>
    <cellStyle name="Sammenkædet celle 3 2" xfId="5236" xr:uid="{00000000-0005-0000-0000-00008BE00000}"/>
    <cellStyle name="Sammenkædet celle 4" xfId="5237" xr:uid="{00000000-0005-0000-0000-00008CE00000}"/>
    <cellStyle name="Sammenkædet celle 5" xfId="5238" xr:uid="{00000000-0005-0000-0000-00008DE00000}"/>
    <cellStyle name="Sammenkædet celle 5 2" xfId="8326" xr:uid="{00000000-0005-0000-0000-00008EE00000}"/>
    <cellStyle name="Sammenkædet celle 6" xfId="5320" xr:uid="{00000000-0005-0000-0000-00008FE00000}"/>
    <cellStyle name="Sammenkædet celle 7" xfId="5232" xr:uid="{00000000-0005-0000-0000-000090E00000}"/>
    <cellStyle name="SAPBEXaggData" xfId="5239" xr:uid="{00000000-0005-0000-0000-000091E00000}"/>
    <cellStyle name="SAPBEXaggDataEmph" xfId="5240" xr:uid="{00000000-0005-0000-0000-000092E00000}"/>
    <cellStyle name="SAPBEXaggItem" xfId="5241" xr:uid="{00000000-0005-0000-0000-000093E00000}"/>
    <cellStyle name="SAPBEXaggItemX" xfId="5242" xr:uid="{00000000-0005-0000-0000-000094E00000}"/>
    <cellStyle name="SAPBEXaggItemX 2" xfId="8835" xr:uid="{00000000-0005-0000-0000-000095E00000}"/>
    <cellStyle name="SAPBEXchaText" xfId="5243" xr:uid="{00000000-0005-0000-0000-000096E00000}"/>
    <cellStyle name="SAPBEXexcBad" xfId="5244" xr:uid="{00000000-0005-0000-0000-000097E00000}"/>
    <cellStyle name="SAPBEXexcBad7" xfId="5245" xr:uid="{00000000-0005-0000-0000-000098E00000}"/>
    <cellStyle name="SAPBEXexcBad7 2" xfId="8836" xr:uid="{00000000-0005-0000-0000-000099E00000}"/>
    <cellStyle name="SAPBEXexcBad8" xfId="5246" xr:uid="{00000000-0005-0000-0000-00009AE00000}"/>
    <cellStyle name="SAPBEXexcBad8 2" xfId="8837" xr:uid="{00000000-0005-0000-0000-00009BE00000}"/>
    <cellStyle name="SAPBEXexcBad9" xfId="5247" xr:uid="{00000000-0005-0000-0000-00009CE00000}"/>
    <cellStyle name="SAPBEXexcBad9 2" xfId="8838" xr:uid="{00000000-0005-0000-0000-00009DE00000}"/>
    <cellStyle name="SAPBEXexcCritical" xfId="5248" xr:uid="{00000000-0005-0000-0000-00009EE00000}"/>
    <cellStyle name="SAPBEXexcCritical4" xfId="5249" xr:uid="{00000000-0005-0000-0000-00009FE00000}"/>
    <cellStyle name="SAPBEXexcCritical4 2" xfId="8839" xr:uid="{00000000-0005-0000-0000-0000A0E00000}"/>
    <cellStyle name="SAPBEXexcCritical5" xfId="5250" xr:uid="{00000000-0005-0000-0000-0000A1E00000}"/>
    <cellStyle name="SAPBEXexcCritical5 2" xfId="8840" xr:uid="{00000000-0005-0000-0000-0000A2E00000}"/>
    <cellStyle name="SAPBEXexcCritical6" xfId="5251" xr:uid="{00000000-0005-0000-0000-0000A3E00000}"/>
    <cellStyle name="SAPBEXexcCritical6 2" xfId="8841" xr:uid="{00000000-0005-0000-0000-0000A4E00000}"/>
    <cellStyle name="SAPBEXexcGood" xfId="5252" xr:uid="{00000000-0005-0000-0000-0000A5E00000}"/>
    <cellStyle name="SAPBEXexcGood1" xfId="5253" xr:uid="{00000000-0005-0000-0000-0000A6E00000}"/>
    <cellStyle name="SAPBEXexcGood1 2" xfId="8842" xr:uid="{00000000-0005-0000-0000-0000A7E00000}"/>
    <cellStyle name="SAPBEXexcGood2" xfId="5254" xr:uid="{00000000-0005-0000-0000-0000A8E00000}"/>
    <cellStyle name="SAPBEXexcGood2 2" xfId="8843" xr:uid="{00000000-0005-0000-0000-0000A9E00000}"/>
    <cellStyle name="SAPBEXexcGood3" xfId="5255" xr:uid="{00000000-0005-0000-0000-0000AAE00000}"/>
    <cellStyle name="SAPBEXexcGood3 2" xfId="8844" xr:uid="{00000000-0005-0000-0000-0000ABE00000}"/>
    <cellStyle name="SAPBEXexcVeryBad" xfId="5256" xr:uid="{00000000-0005-0000-0000-0000ACE00000}"/>
    <cellStyle name="SAPBEXfilterDrill" xfId="5257" xr:uid="{00000000-0005-0000-0000-0000ADE00000}"/>
    <cellStyle name="SAPBEXfilterItem" xfId="5258" xr:uid="{00000000-0005-0000-0000-0000AEE00000}"/>
    <cellStyle name="SAPBEXfilterText" xfId="5259" xr:uid="{00000000-0005-0000-0000-0000AFE00000}"/>
    <cellStyle name="SAPBEXformats" xfId="5260" xr:uid="{00000000-0005-0000-0000-0000B0E00000}"/>
    <cellStyle name="SAPBEXheaderData" xfId="5261" xr:uid="{00000000-0005-0000-0000-0000B1E00000}"/>
    <cellStyle name="SAPBEXheaderItem" xfId="5262" xr:uid="{00000000-0005-0000-0000-0000B2E00000}"/>
    <cellStyle name="SAPBEXheaderText" xfId="5263" xr:uid="{00000000-0005-0000-0000-0000B3E00000}"/>
    <cellStyle name="SAPBEXHLevel0" xfId="5264" xr:uid="{00000000-0005-0000-0000-0000B4E00000}"/>
    <cellStyle name="SAPBEXHLevel0 2" xfId="8845" xr:uid="{00000000-0005-0000-0000-0000B5E00000}"/>
    <cellStyle name="SAPBEXHLevel0X" xfId="5265" xr:uid="{00000000-0005-0000-0000-0000B6E00000}"/>
    <cellStyle name="SAPBEXHLevel0X 2" xfId="8846" xr:uid="{00000000-0005-0000-0000-0000B7E00000}"/>
    <cellStyle name="SAPBEXHLevel1" xfId="5266" xr:uid="{00000000-0005-0000-0000-0000B8E00000}"/>
    <cellStyle name="SAPBEXHLevel1 2" xfId="8847" xr:uid="{00000000-0005-0000-0000-0000B9E00000}"/>
    <cellStyle name="SAPBEXHLevel1X" xfId="5267" xr:uid="{00000000-0005-0000-0000-0000BAE00000}"/>
    <cellStyle name="SAPBEXHLevel1X 2" xfId="8848" xr:uid="{00000000-0005-0000-0000-0000BBE00000}"/>
    <cellStyle name="SAPBEXHLevel2" xfId="5268" xr:uid="{00000000-0005-0000-0000-0000BCE00000}"/>
    <cellStyle name="SAPBEXHLevel2 2" xfId="8849" xr:uid="{00000000-0005-0000-0000-0000BDE00000}"/>
    <cellStyle name="SAPBEXHLevel2X" xfId="5269" xr:uid="{00000000-0005-0000-0000-0000BEE00000}"/>
    <cellStyle name="SAPBEXHLevel2X 2" xfId="8850" xr:uid="{00000000-0005-0000-0000-0000BFE00000}"/>
    <cellStyle name="SAPBEXHLevel3" xfId="5270" xr:uid="{00000000-0005-0000-0000-0000C0E00000}"/>
    <cellStyle name="SAPBEXHLevel3 2" xfId="8851" xr:uid="{00000000-0005-0000-0000-0000C1E00000}"/>
    <cellStyle name="SAPBEXHLevel3X" xfId="5271" xr:uid="{00000000-0005-0000-0000-0000C2E00000}"/>
    <cellStyle name="SAPBEXHLevel3X 2" xfId="8852" xr:uid="{00000000-0005-0000-0000-0000C3E00000}"/>
    <cellStyle name="SAPBEXinputData" xfId="5272" xr:uid="{00000000-0005-0000-0000-0000C4E00000}"/>
    <cellStyle name="SAPBEXinputData 2" xfId="8853" xr:uid="{00000000-0005-0000-0000-0000C5E00000}"/>
    <cellStyle name="SAPBEXresData" xfId="5273" xr:uid="{00000000-0005-0000-0000-0000C6E00000}"/>
    <cellStyle name="SAPBEXresDataEmph" xfId="5274" xr:uid="{00000000-0005-0000-0000-0000C7E00000}"/>
    <cellStyle name="SAPBEXresItem" xfId="5275" xr:uid="{00000000-0005-0000-0000-0000C8E00000}"/>
    <cellStyle name="SAPBEXresItemX" xfId="5276" xr:uid="{00000000-0005-0000-0000-0000C9E00000}"/>
    <cellStyle name="SAPBEXresItemX 2" xfId="8854" xr:uid="{00000000-0005-0000-0000-0000CAE00000}"/>
    <cellStyle name="SAPBEXstdData" xfId="5277" xr:uid="{00000000-0005-0000-0000-0000CBE00000}"/>
    <cellStyle name="SAPBEXstdDataEmph" xfId="5278" xr:uid="{00000000-0005-0000-0000-0000CCE00000}"/>
    <cellStyle name="SAPBEXstdItem" xfId="5279" xr:uid="{00000000-0005-0000-0000-0000CDE00000}"/>
    <cellStyle name="SAPBEXstdItemX" xfId="5280" xr:uid="{00000000-0005-0000-0000-0000CEE00000}"/>
    <cellStyle name="SAPBEXstdItemX 2" xfId="8855" xr:uid="{00000000-0005-0000-0000-0000CFE00000}"/>
    <cellStyle name="SAPBEXsubData" xfId="5281" xr:uid="{00000000-0005-0000-0000-0000D0E00000}"/>
    <cellStyle name="SAPBEXsubDataEmph" xfId="5282" xr:uid="{00000000-0005-0000-0000-0000D1E00000}"/>
    <cellStyle name="SAPBEXsubItem" xfId="5283" xr:uid="{00000000-0005-0000-0000-0000D2E00000}"/>
    <cellStyle name="SAPBEXtitle" xfId="5284" xr:uid="{00000000-0005-0000-0000-0000D3E00000}"/>
    <cellStyle name="SAPBEXundefined" xfId="5285" xr:uid="{00000000-0005-0000-0000-0000D4E00000}"/>
    <cellStyle name="Standard_ENR_REF" xfId="5286" xr:uid="{00000000-0005-0000-0000-0000D5E00000}"/>
    <cellStyle name="Testo avviso" xfId="1106" xr:uid="{00000000-0005-0000-0000-0000D6E00000}"/>
    <cellStyle name="Testo descrittivo" xfId="1107" xr:uid="{00000000-0005-0000-0000-0000D7E00000}"/>
    <cellStyle name="Titel 2" xfId="5288" xr:uid="{00000000-0005-0000-0000-0000D8E00000}"/>
    <cellStyle name="Titel 2 2" xfId="53188" xr:uid="{00000000-0005-0000-0000-0000D9E00000}"/>
    <cellStyle name="Titel 3" xfId="5289" xr:uid="{00000000-0005-0000-0000-0000DAE00000}"/>
    <cellStyle name="Titel 4" xfId="5290" xr:uid="{00000000-0005-0000-0000-0000DBE00000}"/>
    <cellStyle name="Titel 5" xfId="5291" xr:uid="{00000000-0005-0000-0000-0000DCE00000}"/>
    <cellStyle name="Titel 5 2" xfId="8536" xr:uid="{00000000-0005-0000-0000-0000DDE00000}"/>
    <cellStyle name="Titel 6" xfId="5309" xr:uid="{00000000-0005-0000-0000-0000DEE00000}"/>
    <cellStyle name="Titel 7" xfId="5287" xr:uid="{00000000-0005-0000-0000-0000DFE00000}"/>
    <cellStyle name="Title" xfId="1119" builtinId="15" customBuiltin="1"/>
    <cellStyle name="Title 2" xfId="19296" xr:uid="{00000000-0005-0000-0000-0000E1E00000}"/>
    <cellStyle name="Title 2 2" xfId="53189" xr:uid="{00000000-0005-0000-0000-0000E2E00000}"/>
    <cellStyle name="Titolo" xfId="1108" xr:uid="{00000000-0005-0000-0000-0000E3E00000}"/>
    <cellStyle name="Titolo 1" xfId="1109" xr:uid="{00000000-0005-0000-0000-0000E4E00000}"/>
    <cellStyle name="Titolo 2" xfId="1110" xr:uid="{00000000-0005-0000-0000-0000E5E00000}"/>
    <cellStyle name="Titolo 3" xfId="1111" xr:uid="{00000000-0005-0000-0000-0000E6E00000}"/>
    <cellStyle name="Titolo 4" xfId="1112" xr:uid="{00000000-0005-0000-0000-0000E7E00000}"/>
    <cellStyle name="Total" xfId="1130" builtinId="25" customBuiltin="1"/>
    <cellStyle name="Total 2" xfId="5293" xr:uid="{00000000-0005-0000-0000-0000E9E00000}"/>
    <cellStyle name="Total 2 2" xfId="5294" xr:uid="{00000000-0005-0000-0000-0000EAE00000}"/>
    <cellStyle name="Total 2 2 2" xfId="7425" xr:uid="{00000000-0005-0000-0000-0000EBE00000}"/>
    <cellStyle name="Total 2 2 3" xfId="53257" xr:uid="{00000000-0005-0000-0000-0000ECE00000}"/>
    <cellStyle name="Total 2 3" xfId="13248" xr:uid="{00000000-0005-0000-0000-0000EDE00000}"/>
    <cellStyle name="Total 2 4" xfId="53190" xr:uid="{00000000-0005-0000-0000-0000EEE00000}"/>
    <cellStyle name="Total 3" xfId="5295" xr:uid="{00000000-0005-0000-0000-0000EFE00000}"/>
    <cellStyle name="Total 3 2" xfId="13249" xr:uid="{00000000-0005-0000-0000-0000F0E00000}"/>
    <cellStyle name="Total 4" xfId="5296" xr:uid="{00000000-0005-0000-0000-0000F1E00000}"/>
    <cellStyle name="Total 4 2" xfId="13250" xr:uid="{00000000-0005-0000-0000-0000F2E00000}"/>
    <cellStyle name="Total 5" xfId="5297" xr:uid="{00000000-0005-0000-0000-0000F3E00000}"/>
    <cellStyle name="Total 5 2" xfId="8555" xr:uid="{00000000-0005-0000-0000-0000F4E00000}"/>
    <cellStyle name="Total 5 3" xfId="13251" xr:uid="{00000000-0005-0000-0000-0000F5E00000}"/>
    <cellStyle name="Total 6" xfId="5321" xr:uid="{00000000-0005-0000-0000-0000F6E00000}"/>
    <cellStyle name="Total 7" xfId="5292" xr:uid="{00000000-0005-0000-0000-0000F7E00000}"/>
    <cellStyle name="Total 7 2" xfId="13247" xr:uid="{00000000-0005-0000-0000-0000F8E00000}"/>
    <cellStyle name="Totale" xfId="1113" xr:uid="{00000000-0005-0000-0000-0000F9E00000}"/>
    <cellStyle name="Totale 2" xfId="9993" xr:uid="{00000000-0005-0000-0000-0000FAE00000}"/>
    <cellStyle name="Totale 2 2" xfId="26317" xr:uid="{00000000-0005-0000-0000-0000FBE00000}"/>
    <cellStyle name="Totale 3" xfId="16677" xr:uid="{00000000-0005-0000-0000-0000FCE00000}"/>
    <cellStyle name="Totale 3 2" xfId="32991" xr:uid="{00000000-0005-0000-0000-0000FDE00000}"/>
    <cellStyle name="Totale 4" xfId="17884" xr:uid="{00000000-0005-0000-0000-0000FEE00000}"/>
    <cellStyle name="Totale 5" xfId="52026" xr:uid="{00000000-0005-0000-0000-0000FFE00000}"/>
    <cellStyle name="Udgår måske?" xfId="1176" xr:uid="{00000000-0005-0000-0000-000000E10000}"/>
    <cellStyle name="Ugyldig 2" xfId="5299" xr:uid="{00000000-0005-0000-0000-000001E10000}"/>
    <cellStyle name="Ugyldig 2 2" xfId="18945" xr:uid="{00000000-0005-0000-0000-000002E10000}"/>
    <cellStyle name="Ugyldig 3" xfId="5300" xr:uid="{00000000-0005-0000-0000-000003E10000}"/>
    <cellStyle name="Ugyldig 4" xfId="5301" xr:uid="{00000000-0005-0000-0000-000004E10000}"/>
    <cellStyle name="Ugyldig 5" xfId="5302" xr:uid="{00000000-0005-0000-0000-000005E10000}"/>
    <cellStyle name="Ugyldig 5 2" xfId="8414" xr:uid="{00000000-0005-0000-0000-000006E10000}"/>
    <cellStyle name="Ugyldig 6" xfId="5315" xr:uid="{00000000-0005-0000-0000-000007E10000}"/>
    <cellStyle name="Ugyldig 7" xfId="5298" xr:uid="{00000000-0005-0000-0000-000008E10000}"/>
    <cellStyle name="Uncertain" xfId="17885" xr:uid="{00000000-0005-0000-0000-000009E10000}"/>
    <cellStyle name="Valore non valido" xfId="1114" xr:uid="{00000000-0005-0000-0000-00000AE10000}"/>
    <cellStyle name="Valore valido" xfId="1115" xr:uid="{00000000-0005-0000-0000-00000BE10000}"/>
    <cellStyle name="Valuta 2" xfId="5304" xr:uid="{00000000-0005-0000-0000-00000CE10000}"/>
    <cellStyle name="Valuta 3" xfId="5305" xr:uid="{00000000-0005-0000-0000-00000DE10000}"/>
    <cellStyle name="Valuta 4" xfId="5306" xr:uid="{00000000-0005-0000-0000-00000EE10000}"/>
    <cellStyle name="Valuta 5" xfId="5307" xr:uid="{00000000-0005-0000-0000-00000FE10000}"/>
    <cellStyle name="Valuta 6" xfId="5303" xr:uid="{00000000-0005-0000-0000-000010E10000}"/>
    <cellStyle name="Warning Text" xfId="1129" builtinId="11" customBuiltin="1"/>
    <cellStyle name="Warning Text 2" xfId="53191" xr:uid="{00000000-0005-0000-0000-000012E10000}"/>
    <cellStyle name="X08_Total Oil" xfId="1521" xr:uid="{00000000-0005-0000-0000-000013E10000}"/>
    <cellStyle name="X12_Total Figs 1 dec" xfId="1522" xr:uid="{00000000-0005-0000-0000-000014E10000}"/>
    <cellStyle name="Year" xfId="1116" xr:uid="{00000000-0005-0000-0000-000015E10000}"/>
    <cellStyle name="Years" xfId="17886" xr:uid="{00000000-0005-0000-0000-000016E10000}"/>
    <cellStyle name="Βασικό_Φύλλο1" xfId="5308" xr:uid="{00000000-0005-0000-0000-000017E10000}"/>
    <cellStyle name="Обычный_CRF2002 (1)" xfId="1117" xr:uid="{00000000-0005-0000-0000-000018E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marker>
            <c:symbol val="none"/>
          </c:marker>
          <c:xVal>
            <c:numRef>
              <c:f>Cars!$BJ$13:$CX$13</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xVal>
          <c:yVal>
            <c:numRef>
              <c:f>Cars!$BJ$14:$CX$14</c:f>
              <c:numCache>
                <c:formatCode>0.0000_ ;[Red]\-0.0000\ </c:formatCode>
                <c:ptCount val="41"/>
                <c:pt idx="0">
                  <c:v>1</c:v>
                </c:pt>
                <c:pt idx="1">
                  <c:v>0.99991410860612417</c:v>
                </c:pt>
                <c:pt idx="2">
                  <c:v>0.9992195361566989</c:v>
                </c:pt>
                <c:pt idx="3">
                  <c:v>0.99716453669151872</c:v>
                </c:pt>
                <c:pt idx="4">
                  <c:v>0.99292809940492943</c:v>
                </c:pt>
                <c:pt idx="5">
                  <c:v>0.98566065581078033</c:v>
                </c:pt>
                <c:pt idx="6">
                  <c:v>0.9745198552529365</c:v>
                </c:pt>
                <c:pt idx="7">
                  <c:v>0.95870994801252296</c:v>
                </c:pt>
                <c:pt idx="8">
                  <c:v>0.93752627799089538</c:v>
                </c:pt>
                <c:pt idx="9">
                  <c:v>0.91040389563683743</c:v>
                </c:pt>
                <c:pt idx="10">
                  <c:v>0.87696761424636627</c:v>
                </c:pt>
                <c:pt idx="11">
                  <c:v>0.83707945545245599</c:v>
                </c:pt>
                <c:pt idx="12">
                  <c:v>0.79087838346939432</c:v>
                </c:pt>
                <c:pt idx="13">
                  <c:v>0.73880668372977898</c:v>
                </c:pt>
                <c:pt idx="14">
                  <c:v>0.68161750830146905</c:v>
                </c:pt>
                <c:pt idx="15">
                  <c:v>0.6203591582718655</c:v>
                </c:pt>
                <c:pt idx="16">
                  <c:v>0.55633366542933571</c:v>
                </c:pt>
                <c:pt idx="17">
                  <c:v>0.4910300689339831</c:v>
                </c:pt>
                <c:pt idx="18">
                  <c:v>0.42603615357492164</c:v>
                </c:pt>
                <c:pt idx="19">
                  <c:v>0.36293582918014178</c:v>
                </c:pt>
                <c:pt idx="20">
                  <c:v>0.30320216224398971</c:v>
                </c:pt>
                <c:pt idx="21">
                  <c:v>0.24809768696079504</c:v>
                </c:pt>
                <c:pt idx="22">
                  <c:v>0.19859353171072761</c:v>
                </c:pt>
                <c:pt idx="23">
                  <c:v>0.15531689885966579</c:v>
                </c:pt>
                <c:pt idx="24">
                  <c:v>0.11853272373571756</c:v>
                </c:pt>
                <c:pt idx="25">
                  <c:v>8.8160508412827715E-2</c:v>
                </c:pt>
                <c:pt idx="26">
                  <c:v>6.3822272629914814E-2</c:v>
                </c:pt>
                <c:pt idx="27">
                  <c:v>4.4913281734575435E-2</c:v>
                </c:pt>
                <c:pt idx="28">
                  <c:v>3.0684544353199485E-2</c:v>
                </c:pt>
                <c:pt idx="29">
                  <c:v>2.032549364454133E-2</c:v>
                </c:pt>
                <c:pt idx="30">
                  <c:v>1.3036754644380326E-2</c:v>
                </c:pt>
                <c:pt idx="31">
                  <c:v>8.085961133918634E-3</c:v>
                </c:pt>
                <c:pt idx="32">
                  <c:v>4.8434056398182074E-3</c:v>
                </c:pt>
                <c:pt idx="33">
                  <c:v>2.7979947970093503E-3</c:v>
                </c:pt>
                <c:pt idx="34">
                  <c:v>1.5568124870497775E-3</c:v>
                </c:pt>
                <c:pt idx="35">
                  <c:v>8.3316739348158423E-4</c:v>
                </c:pt>
                <c:pt idx="36">
                  <c:v>4.2829677132559313E-4</c:v>
                </c:pt>
                <c:pt idx="37">
                  <c:v>2.111936319669825E-4</c:v>
                </c:pt>
                <c:pt idx="38">
                  <c:v>9.9757184505159361E-5</c:v>
                </c:pt>
                <c:pt idx="39">
                  <c:v>4.507500461671761E-5</c:v>
                </c:pt>
                <c:pt idx="40">
                  <c:v>1.9456001105115882E-5</c:v>
                </c:pt>
              </c:numCache>
            </c:numRef>
          </c:yVal>
          <c:smooth val="1"/>
          <c:extLst>
            <c:ext xmlns:c16="http://schemas.microsoft.com/office/drawing/2014/chart" uri="{C3380CC4-5D6E-409C-BE32-E72D297353CC}">
              <c16:uniqueId val="{00000000-8288-4534-8CF0-4F9B7895686A}"/>
            </c:ext>
          </c:extLst>
        </c:ser>
        <c:dLbls>
          <c:showLegendKey val="0"/>
          <c:showVal val="0"/>
          <c:showCatName val="0"/>
          <c:showSerName val="0"/>
          <c:showPercent val="0"/>
          <c:showBubbleSize val="0"/>
        </c:dLbls>
        <c:axId val="199557160"/>
        <c:axId val="199557552"/>
      </c:scatterChart>
      <c:valAx>
        <c:axId val="1995571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DK"/>
          </a:p>
        </c:txPr>
        <c:crossAx val="199557552"/>
        <c:crosses val="autoZero"/>
        <c:crossBetween val="midCat"/>
      </c:valAx>
      <c:valAx>
        <c:axId val="199557552"/>
        <c:scaling>
          <c:orientation val="minMax"/>
        </c:scaling>
        <c:delete val="0"/>
        <c:axPos val="l"/>
        <c:majorGridlines/>
        <c:numFmt formatCode="0.0000_ ;[Red]\-0.0000\ "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DK"/>
          </a:p>
        </c:txPr>
        <c:crossAx val="199557160"/>
        <c:crosses val="autoZero"/>
        <c:crossBetween val="midCat"/>
      </c:valAx>
    </c:plotArea>
    <c:legend>
      <c:legendPos val="r"/>
      <c:overlay val="0"/>
      <c:txPr>
        <a:bodyPr/>
        <a:lstStyle/>
        <a:p>
          <a:pPr>
            <a:defRPr sz="920" b="0" i="0" u="none" strike="noStrike" baseline="0">
              <a:solidFill>
                <a:srgbClr val="000000"/>
              </a:solidFill>
              <a:latin typeface="Calibri"/>
              <a:ea typeface="Calibri"/>
              <a:cs typeface="Calibri"/>
            </a:defRPr>
          </a:pPr>
          <a:endParaRPr lang="en-DK"/>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DK"/>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594360</xdr:colOff>
      <xdr:row>4</xdr:row>
      <xdr:rowOff>106680</xdr:rowOff>
    </xdr:from>
    <xdr:to>
      <xdr:col>22</xdr:col>
      <xdr:colOff>518160</xdr:colOff>
      <xdr:row>13</xdr:row>
      <xdr:rowOff>152400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2755880" y="891540"/>
          <a:ext cx="3581400" cy="1691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Observed</a:t>
          </a:r>
          <a:r>
            <a:rPr lang="da-DK" sz="1100" baseline="0"/>
            <a:t> consumption from 2009 until 2014: from DEA-Energy Statistics, tab 2014 and figurer 2014 for the first part. Source: http://www.ens.dk/info/tal-kort/statistik-nogletal/arlig-energistatistik</a:t>
          </a:r>
        </a:p>
        <a:p>
          <a:endParaRPr lang="da-DK" sz="1100" baseline="0"/>
        </a:p>
        <a:p>
          <a:endParaRPr lang="da-DK" sz="1100" baseline="0"/>
        </a:p>
        <a:p>
          <a:r>
            <a:rPr lang="da-DK" sz="1100" baseline="0"/>
            <a:t>Where does the </a:t>
          </a:r>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60</xdr:col>
      <xdr:colOff>0</xdr:colOff>
      <xdr:row>15</xdr:row>
      <xdr:rowOff>0</xdr:rowOff>
    </xdr:from>
    <xdr:to>
      <xdr:col>67</xdr:col>
      <xdr:colOff>304800</xdr:colOff>
      <xdr:row>29</xdr:row>
      <xdr:rowOff>104775</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31</xdr:col>
      <xdr:colOff>30480</xdr:colOff>
      <xdr:row>14</xdr:row>
      <xdr:rowOff>38100</xdr:rowOff>
    </xdr:from>
    <xdr:to>
      <xdr:col>38</xdr:col>
      <xdr:colOff>365760</xdr:colOff>
      <xdr:row>16</xdr:row>
      <xdr:rowOff>15240</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0071080" y="2667000"/>
          <a:ext cx="4602480"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http://www.cycling-embassy.dk/facts-about-cycling-in-denmark/statistics/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23</xdr:row>
      <xdr:rowOff>0</xdr:rowOff>
    </xdr:from>
    <xdr:to>
      <xdr:col>3</xdr:col>
      <xdr:colOff>3120813</xdr:colOff>
      <xdr:row>28</xdr:row>
      <xdr:rowOff>152400</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609600" y="4274820"/>
          <a:ext cx="4690533"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Further step consists in multiplying by the fuel shares,</a:t>
          </a:r>
          <a:r>
            <a:rPr lang="en-GB" sz="1100" baseline="0"/>
            <a:t> to have gas, electric, gasoline buses</a:t>
          </a:r>
        </a:p>
        <a:p>
          <a:endParaRPr lang="en-GB" sz="1100"/>
        </a:p>
        <a:p>
          <a:r>
            <a:rPr lang="en-GB" sz="1100"/>
            <a:t>In calibration I change values of </a:t>
          </a:r>
          <a:r>
            <a:rPr lang="en-GB" sz="1100" baseline="0"/>
            <a:t>AFA to meet statistics. Yellow values are used for calibration</a:t>
          </a:r>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381000</xdr:colOff>
      <xdr:row>2</xdr:row>
      <xdr:rowOff>144780</xdr:rowOff>
    </xdr:from>
    <xdr:to>
      <xdr:col>6</xdr:col>
      <xdr:colOff>437555</xdr:colOff>
      <xdr:row>16</xdr:row>
      <xdr:rowOff>68139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81000" y="480060"/>
          <a:ext cx="3714155" cy="2270319"/>
        </a:xfrm>
        <a:prstGeom prst="rect">
          <a:avLst/>
        </a:prstGeom>
      </xdr:spPr>
    </xdr:pic>
    <xdr:clientData/>
  </xdr:twoCellAnchor>
  <xdr:oneCellAnchor>
    <xdr:from>
      <xdr:col>8</xdr:col>
      <xdr:colOff>0</xdr:colOff>
      <xdr:row>1</xdr:row>
      <xdr:rowOff>0</xdr:rowOff>
    </xdr:from>
    <xdr:ext cx="4985788" cy="781240"/>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4876800" y="167640"/>
          <a:ext cx="4985788" cy="781240"/>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Occupancy factor</a:t>
          </a:r>
          <a:r>
            <a:rPr lang="en-GB" sz="1100" baseline="0"/>
            <a:t> comes from TEMA Rapport and is relative to 2008, </a:t>
          </a:r>
        </a:p>
        <a:p>
          <a:r>
            <a:rPr lang="en-GB" sz="1100" baseline="0"/>
            <a:t>when there was another stock. </a:t>
          </a:r>
        </a:p>
        <a:p>
          <a:r>
            <a:rPr lang="en-GB" sz="1100" baseline="0"/>
            <a:t>While stock, pkm and km/year are all from same source and same year,</a:t>
          </a:r>
        </a:p>
        <a:p>
          <a:r>
            <a:rPr lang="en-GB" sz="1100" baseline="0"/>
            <a:t>occupancy is not: therefore this is the parameter changed for calibrating the model.</a:t>
          </a:r>
          <a:endParaRPr lang="en-GB"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9</xdr:col>
      <xdr:colOff>523875</xdr:colOff>
      <xdr:row>22</xdr:row>
      <xdr:rowOff>123825</xdr:rowOff>
    </xdr:from>
    <xdr:ext cx="5002139" cy="953466"/>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9820275" y="4562475"/>
          <a:ext cx="5002139" cy="953466"/>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Efficiency stated</a:t>
          </a:r>
          <a:r>
            <a:rPr lang="en-GB" sz="1100" baseline="0"/>
            <a:t> by DSB for metro and s-train is less optimistic than that in </a:t>
          </a:r>
        </a:p>
        <a:p>
          <a:r>
            <a:rPr lang="en-GB" sz="1100" baseline="0"/>
            <a:t>"EnergyEffRoadTransport_ksa". And the calculations of total energy consumption </a:t>
          </a:r>
        </a:p>
        <a:p>
          <a:r>
            <a:rPr lang="en-GB" sz="1100" baseline="0"/>
            <a:t>of transport sector with value for trains from </a:t>
          </a:r>
          <a:r>
            <a:rPr lang="en-GB" sz="1100" baseline="0">
              <a:solidFill>
                <a:schemeClr val="tx1"/>
              </a:solidFill>
              <a:effectLst/>
              <a:latin typeface="+mn-lt"/>
              <a:ea typeface="+mn-ea"/>
              <a:cs typeface="+mn-cs"/>
            </a:rPr>
            <a:t>"EnergyEffRoadTransport_ksa" are too</a:t>
          </a:r>
        </a:p>
        <a:p>
          <a:r>
            <a:rPr lang="en-GB" sz="1100" baseline="0">
              <a:solidFill>
                <a:schemeClr val="tx1"/>
              </a:solidFill>
              <a:effectLst/>
              <a:latin typeface="+mn-lt"/>
              <a:ea typeface="+mn-ea"/>
              <a:cs typeface="+mn-cs"/>
            </a:rPr>
            <a:t>optimistic. Therefore the values provided by this source are made less optimistic, so</a:t>
          </a:r>
        </a:p>
        <a:p>
          <a:r>
            <a:rPr lang="en-GB" sz="1100" baseline="0">
              <a:solidFill>
                <a:schemeClr val="tx1"/>
              </a:solidFill>
              <a:effectLst/>
              <a:latin typeface="+mn-lt"/>
              <a:ea typeface="+mn-ea"/>
              <a:cs typeface="+mn-cs"/>
            </a:rPr>
            <a:t> as to meet the total energy consumption.</a:t>
          </a:r>
          <a:endParaRPr lang="en-GB" sz="1100"/>
        </a:p>
      </xdr:txBody>
    </xdr:sp>
    <xdr:clientData/>
  </xdr:oneCellAnchor>
  <xdr:twoCellAnchor editAs="oneCell">
    <xdr:from>
      <xdr:col>4</xdr:col>
      <xdr:colOff>536165</xdr:colOff>
      <xdr:row>27</xdr:row>
      <xdr:rowOff>170905</xdr:rowOff>
    </xdr:from>
    <xdr:to>
      <xdr:col>7</xdr:col>
      <xdr:colOff>1118550</xdr:colOff>
      <xdr:row>42</xdr:row>
      <xdr:rowOff>25580</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5622515" y="5504905"/>
          <a:ext cx="2487385" cy="2426425"/>
        </a:xfrm>
        <a:prstGeom prst="rect">
          <a:avLst/>
        </a:prstGeom>
      </xdr:spPr>
    </xdr:pic>
    <xdr:clientData/>
  </xdr:twoCellAnchor>
  <xdr:twoCellAnchor editAs="oneCell">
    <xdr:from>
      <xdr:col>4</xdr:col>
      <xdr:colOff>526712</xdr:colOff>
      <xdr:row>41</xdr:row>
      <xdr:rowOff>128450</xdr:rowOff>
    </xdr:from>
    <xdr:to>
      <xdr:col>7</xdr:col>
      <xdr:colOff>1139511</xdr:colOff>
      <xdr:row>49</xdr:row>
      <xdr:rowOff>116476</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stretch>
          <a:fillRect/>
        </a:stretch>
      </xdr:blipFill>
      <xdr:spPr>
        <a:xfrm>
          <a:off x="5613062" y="7862750"/>
          <a:ext cx="2517799" cy="1359626"/>
        </a:xfrm>
        <a:prstGeom prst="rect">
          <a:avLst/>
        </a:prstGeom>
      </xdr:spPr>
    </xdr:pic>
    <xdr:clientData/>
  </xdr:twoCellAnchor>
  <xdr:twoCellAnchor editAs="oneCell">
    <xdr:from>
      <xdr:col>0</xdr:col>
      <xdr:colOff>304800</xdr:colOff>
      <xdr:row>27</xdr:row>
      <xdr:rowOff>19050</xdr:rowOff>
    </xdr:from>
    <xdr:to>
      <xdr:col>4</xdr:col>
      <xdr:colOff>281396</xdr:colOff>
      <xdr:row>50</xdr:row>
      <xdr:rowOff>162065</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stretch>
          <a:fillRect/>
        </a:stretch>
      </xdr:blipFill>
      <xdr:spPr>
        <a:xfrm>
          <a:off x="304800" y="5353050"/>
          <a:ext cx="5062946" cy="4086365"/>
        </a:xfrm>
        <a:prstGeom prst="rect">
          <a:avLst/>
        </a:prstGeom>
      </xdr:spPr>
    </xdr:pic>
    <xdr:clientData/>
  </xdr:twoCellAnchor>
  <xdr:twoCellAnchor editAs="oneCell">
    <xdr:from>
      <xdr:col>8</xdr:col>
      <xdr:colOff>47625</xdr:colOff>
      <xdr:row>29</xdr:row>
      <xdr:rowOff>109200</xdr:rowOff>
    </xdr:from>
    <xdr:to>
      <xdr:col>17</xdr:col>
      <xdr:colOff>221366</xdr:colOff>
      <xdr:row>53</xdr:row>
      <xdr:rowOff>63135</xdr:rowOff>
    </xdr:to>
    <xdr:pic>
      <xdr:nvPicPr>
        <xdr:cNvPr id="6" name="Picture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734425" y="5786100"/>
          <a:ext cx="6355466" cy="40687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27</xdr:col>
      <xdr:colOff>820843</xdr:colOff>
      <xdr:row>36</xdr:row>
      <xdr:rowOff>71965</xdr:rowOff>
    </xdr:from>
    <xdr:to>
      <xdr:col>29</xdr:col>
      <xdr:colOff>901698</xdr:colOff>
      <xdr:row>43</xdr:row>
      <xdr:rowOff>12698</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30716643" y="6396565"/>
          <a:ext cx="3052655" cy="12234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Direct energy</a:t>
          </a:r>
          <a:r>
            <a:rPr lang="da-DK" sz="1100" baseline="0"/>
            <a:t> contents , source: http://www.ens.dk/info/tal-kort/statistik-nogletal/arlig-energistatistik</a:t>
          </a:r>
        </a:p>
        <a:p>
          <a:r>
            <a:rPr lang="da-DK" sz="1100"/>
            <a:t>(Endeligt energiforbrug til transport)</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228600</xdr:colOff>
      <xdr:row>18</xdr:row>
      <xdr:rowOff>152400</xdr:rowOff>
    </xdr:from>
    <xdr:to>
      <xdr:col>3</xdr:col>
      <xdr:colOff>2714625</xdr:colOff>
      <xdr:row>23</xdr:row>
      <xdr:rowOff>0</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390525" y="4429125"/>
          <a:ext cx="4848225" cy="790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National freight transport</a:t>
          </a:r>
          <a:r>
            <a:rPr lang="da-DK" sz="1100" baseline="0"/>
            <a:t> is met by passenger airplanes, which transport also some goods, in mnor quantity (auxiliary commodity)</a:t>
          </a:r>
        </a:p>
        <a:p>
          <a:r>
            <a:rPr lang="da-DK" sz="1100"/>
            <a:t>Tables</a:t>
          </a:r>
          <a:r>
            <a:rPr lang="da-DK" sz="1100" baseline="0"/>
            <a:t> below are not for freight vehicles but for ferries. They have to be inlcuded with a second ActBnd attribute in the  table for passenger</a:t>
          </a:r>
          <a:endParaRPr lang="da-DK"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16</xdr:col>
      <xdr:colOff>556260</xdr:colOff>
      <xdr:row>2</xdr:row>
      <xdr:rowOff>160020</xdr:rowOff>
    </xdr:from>
    <xdr:to>
      <xdr:col>21</xdr:col>
      <xdr:colOff>45720</xdr:colOff>
      <xdr:row>16</xdr:row>
      <xdr:rowOff>68580</xdr:rowOff>
    </xdr:to>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12961620" y="495300"/>
          <a:ext cx="3482340" cy="225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0" i="0">
              <a:solidFill>
                <a:schemeClr val="dk1"/>
              </a:solidFill>
              <a:effectLst/>
              <a:latin typeface="+mn-lt"/>
              <a:ea typeface="+mn-ea"/>
              <a:cs typeface="+mn-cs"/>
            </a:rPr>
            <a:t>FLYV32: Departing passengers from bigger, public, manned airports by airport, type of transport and flight.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FLYV41: Air transport of goods via manned Danish airports by airport and type of transport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FLYV11: Danish registered aircraft 1st January by type and unit</a:t>
          </a:r>
        </a:p>
        <a:p>
          <a:endParaRPr lang="da-DK" sz="1100" b="0" i="0">
            <a:solidFill>
              <a:schemeClr val="dk1"/>
            </a:solidFill>
            <a:effectLst/>
            <a:latin typeface="+mn-lt"/>
            <a:ea typeface="+mn-ea"/>
            <a:cs typeface="+mn-cs"/>
          </a:endParaRPr>
        </a:p>
        <a:p>
          <a:r>
            <a:rPr lang="da-DK" sz="1100" b="0" i="0">
              <a:solidFill>
                <a:schemeClr val="dk1"/>
              </a:solidFill>
              <a:effectLst/>
              <a:latin typeface="+mn-lt"/>
              <a:ea typeface="+mn-ea"/>
              <a:cs typeface="+mn-cs"/>
            </a:rPr>
            <a:t>FLYV36: Passenger transport performance by air by type of transport</a:t>
          </a:r>
        </a:p>
        <a:p>
          <a:endParaRPr lang="da-DK"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624840</xdr:colOff>
      <xdr:row>38</xdr:row>
      <xdr:rowOff>0</xdr:rowOff>
    </xdr:from>
    <xdr:to>
      <xdr:col>17</xdr:col>
      <xdr:colOff>510540</xdr:colOff>
      <xdr:row>56</xdr:row>
      <xdr:rowOff>91440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15758160" y="2659380"/>
          <a:ext cx="2827020" cy="35204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a:t>Previously TPSI</a:t>
          </a:r>
          <a:r>
            <a:rPr lang="da-DK" sz="1100" baseline="0"/>
            <a:t> was calculated from Per's model and converted from Mpkm to PJ. The values are consistent and I leave in Pkm.</a:t>
          </a:r>
        </a:p>
        <a:p>
          <a:r>
            <a:rPr lang="da-DK" sz="1100" baseline="0"/>
            <a:t>TPSN before was expressed in PJF, calculated from DEA statistics. That value was one order of magnitude greater than the value in Mpkm from Danish Statistics. </a:t>
          </a:r>
        </a:p>
        <a:p>
          <a:endParaRPr lang="da-DK" sz="1100" baseline="0"/>
        </a:p>
        <a:p>
          <a:r>
            <a:rPr lang="da-DK" sz="1100" baseline="0"/>
            <a:t>Value of TPAI from DanishStatistics is much higher than that of Danish energy statistics in TRABAL, because in Danish statistics they don't consider only danish airplanes but all airplanes that are departing/arriving to Danish airports.</a:t>
          </a:r>
        </a:p>
        <a:p>
          <a:endParaRPr lang="da-DK" sz="1100"/>
        </a:p>
      </xdr:txBody>
    </xdr:sp>
    <xdr:clientData/>
  </xdr:twoCellAnchor>
  <xdr:twoCellAnchor>
    <xdr:from>
      <xdr:col>9</xdr:col>
      <xdr:colOff>2043112</xdr:colOff>
      <xdr:row>18</xdr:row>
      <xdr:rowOff>153828</xdr:rowOff>
    </xdr:from>
    <xdr:to>
      <xdr:col>14</xdr:col>
      <xdr:colOff>1082516</xdr:colOff>
      <xdr:row>26</xdr:row>
      <xdr:rowOff>109060</xdr:rowOff>
    </xdr:to>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11044237" y="3142297"/>
          <a:ext cx="5814060" cy="12887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-TFFAN</a:t>
          </a:r>
          <a:r>
            <a:rPr lang="en-GB" sz="1100" baseline="0"/>
            <a:t> (national freight air demand) has been merged to the national passenger air demand because very small.</a:t>
          </a:r>
        </a:p>
        <a:p>
          <a:r>
            <a:rPr lang="en-GB" sz="1100" baseline="0"/>
            <a:t>-Demand of bike is all allocated to short distance, because the others are very small fractions.</a:t>
          </a:r>
        </a:p>
        <a:p>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atistik%20og%20indikatorer/Energistatistik/Danmark/Databaser/Grunddata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hyperlink" Target="http://www.statbank.dk/BIL10" TargetMode="External"/><Relationship Id="rId2" Type="http://schemas.openxmlformats.org/officeDocument/2006/relationships/hyperlink" Target="http://www.statbank.dk/BIL707" TargetMode="External"/><Relationship Id="rId1" Type="http://schemas.openxmlformats.org/officeDocument/2006/relationships/hyperlink" Target="http://www.statbank.dk/BIL8" TargetMode="External"/><Relationship Id="rId4" Type="http://schemas.openxmlformats.org/officeDocument/2006/relationships/hyperlink" Target="http://vejdirektoratet.dk/DA/viden_og_data/statistik/trafikken%20i%20tal/Noegletal_om_vejtransport/Sider/default.aspx" TargetMode="Externa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ec.europa.eu/environment/air/pdf/chapter2_ship_emissions.pdf" TargetMode="External"/><Relationship Id="rId3" Type="http://schemas.openxmlformats.org/officeDocument/2006/relationships/hyperlink" Target="https://ec.europa.eu/environment/air/pdf/chapter2_ship_emissions.pdf" TargetMode="External"/><Relationship Id="rId7" Type="http://schemas.openxmlformats.org/officeDocument/2006/relationships/hyperlink" Target="https://www.transportmeasures.org/en/wiki/manuals/sea/load-capacity-utilisation/" TargetMode="External"/><Relationship Id="rId2" Type="http://schemas.openxmlformats.org/officeDocument/2006/relationships/hyperlink" Target="https://orbit.dtu.dk/files/127119694/Psaraftis_Kontovas_SPEED_VRP_2014_v4.0.pdf" TargetMode="External"/><Relationship Id="rId1" Type="http://schemas.openxmlformats.org/officeDocument/2006/relationships/hyperlink" Target="https://ec.europa.eu/environment/air/pdf/chapter2_ship_emissions.pdf" TargetMode="External"/><Relationship Id="rId6" Type="http://schemas.openxmlformats.org/officeDocument/2006/relationships/hyperlink" Target="https://pubs.acs.org/doi/abs/10.1021/es5018575" TargetMode="External"/><Relationship Id="rId11" Type="http://schemas.openxmlformats.org/officeDocument/2006/relationships/comments" Target="../comments9.xml"/><Relationship Id="rId5" Type="http://schemas.openxmlformats.org/officeDocument/2006/relationships/hyperlink" Target="https://pubs.acs.org/doi/abs/10.1021/es5018575" TargetMode="External"/><Relationship Id="rId10" Type="http://schemas.openxmlformats.org/officeDocument/2006/relationships/vmlDrawing" Target="../drawings/vmlDrawing9.vml"/><Relationship Id="rId4" Type="http://schemas.openxmlformats.org/officeDocument/2006/relationships/hyperlink" Target="https://transportgeography.org/?page_id=5955" TargetMode="External"/><Relationship Id="rId9" Type="http://schemas.openxmlformats.org/officeDocument/2006/relationships/hyperlink" Target="https://orbit.dtu.dk/files/127119694/Psaraftis_Kontovas_SPEED_VRP_2014_v4.0.pdf"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9.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0.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ipcc.ch/site/assets/uploads/2018/03/av-en-1.pdf" TargetMode="External"/></Relationships>
</file>

<file path=xl/worksheets/_rels/sheet3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17"/>
  <sheetViews>
    <sheetView workbookViewId="0">
      <selection activeCell="F15" sqref="F15"/>
    </sheetView>
  </sheetViews>
  <sheetFormatPr defaultRowHeight="12.75"/>
  <cols>
    <col min="1" max="1" width="11.42578125" customWidth="1"/>
    <col min="2" max="2" width="15.5703125" customWidth="1"/>
    <col min="3" max="3" width="13.7109375" customWidth="1"/>
    <col min="4" max="4" width="19.7109375" customWidth="1"/>
    <col min="5" max="5" width="60.140625" customWidth="1"/>
  </cols>
  <sheetData>
    <row r="3" spans="1:5">
      <c r="A3" s="685" t="s">
        <v>1145</v>
      </c>
      <c r="B3" s="685" t="s">
        <v>1146</v>
      </c>
      <c r="C3" s="685" t="s">
        <v>1147</v>
      </c>
      <c r="D3" s="685" t="s">
        <v>1148</v>
      </c>
      <c r="E3" s="685" t="s">
        <v>1149</v>
      </c>
    </row>
    <row r="4" spans="1:5" s="1268" customFormat="1">
      <c r="A4" s="1269">
        <v>43529</v>
      </c>
      <c r="B4" s="1268" t="s">
        <v>1165</v>
      </c>
      <c r="C4" s="1268" t="s">
        <v>1158</v>
      </c>
      <c r="D4" s="1268" t="e">
        <f>ADDRESS(ROW(TRA_Fuel!#REF!),COLUMN(TRA_Fuel!#REF!),4,1)&amp;","&amp;ADDRESS(ROW(TRA_Fuel!AC11),COLUMN(TRA_Fuel!AC11),4,1)</f>
        <v>#REF!</v>
      </c>
      <c r="E4" s="1268" t="s">
        <v>1558</v>
      </c>
    </row>
    <row r="5" spans="1:5" s="1268" customFormat="1">
      <c r="A5" s="1269">
        <v>43185</v>
      </c>
      <c r="B5" s="1268" t="s">
        <v>1165</v>
      </c>
      <c r="C5" s="1268" t="s">
        <v>1477</v>
      </c>
      <c r="E5" s="1268" t="s">
        <v>1478</v>
      </c>
    </row>
    <row r="6" spans="1:5" s="1268" customFormat="1">
      <c r="A6" s="1269">
        <v>43172</v>
      </c>
      <c r="B6" s="1268" t="s">
        <v>1165</v>
      </c>
      <c r="C6" s="1268" t="s">
        <v>1409</v>
      </c>
      <c r="E6" s="1268" t="s">
        <v>1410</v>
      </c>
    </row>
    <row r="7" spans="1:5" s="1268" customFormat="1">
      <c r="A7" s="1269">
        <v>43014</v>
      </c>
      <c r="B7" s="1268" t="s">
        <v>1165</v>
      </c>
      <c r="C7" s="1268" t="s">
        <v>1168</v>
      </c>
      <c r="D7" s="1268" t="str">
        <f>ADDRESS(ROW(Cars!H76),COLUMN(Cars!H76),4,1)&amp;":"&amp;ADDRESS(ROW(Cars!I76),COLUMN(Cars!I76),4,1)</f>
        <v>H76:I76</v>
      </c>
      <c r="E7" s="1268" t="s">
        <v>1175</v>
      </c>
    </row>
    <row r="8" spans="1:5" s="1161" customFormat="1">
      <c r="A8" s="1269">
        <v>43014</v>
      </c>
      <c r="B8" s="1268" t="s">
        <v>1165</v>
      </c>
      <c r="C8" s="1268" t="s">
        <v>1166</v>
      </c>
      <c r="D8" s="1268"/>
      <c r="E8" s="1268" t="s">
        <v>1174</v>
      </c>
    </row>
    <row r="9" spans="1:5" s="1268" customFormat="1">
      <c r="A9" s="1269">
        <v>42976</v>
      </c>
      <c r="B9" s="1268" t="s">
        <v>1150</v>
      </c>
      <c r="C9" s="1268" t="s">
        <v>1168</v>
      </c>
      <c r="D9" s="1268" t="str">
        <f>ADDRESS(ROW(Cars!AD44),COLUMN(Cars!AD44),4,1)&amp;","&amp;ADDRESS(ROW(Cars!AE44),COLUMN(Cars!AE44),4,1)&amp;","&amp;ADDRESS(ROW(Cars!AD49),COLUMN(Cars!AD49),4,1)&amp;","&amp;ADDRESS(ROW(Cars!AE49),COLUMN(Cars!AE49),4,1)&amp;","&amp;ADDRESS(ROW(Cars!AD66),COLUMN(Cars!AD66),4,1)&amp;","&amp;ADDRESS(ROW(Cars!AE66),COLUMN(Cars!AE66),4,1)&amp;","&amp;ADDRESS(ROW(Cars!AD71),COLUMN(Cars!AD71),4,1)&amp;","&amp;ADDRESS(ROW(Cars!AE71),COLUMN(Cars!AE71),4,1)&amp;","&amp;ADDRESS(ROW(Cars!AD77),COLUMN(Cars!AD77),4,1)&amp;","&amp;ADDRESS(ROW(Cars!AE77),COLUMN(Cars!AE77),4,1)&amp;","&amp;ADDRESS(ROW(Cars!AD82),COLUMN(Cars!AD82),4,1)&amp;","&amp;ADDRESS(ROW(Cars!AE82),COLUMN(Cars!AE82),4,1)</f>
        <v>AD44,AE44,AD49,AE49,AD66,AE66,AD71,AE71,AD77,AE77,AD82,AE82</v>
      </c>
      <c r="E9" s="1268" t="s">
        <v>1169</v>
      </c>
    </row>
    <row r="10" spans="1:5" s="1161" customFormat="1">
      <c r="A10" s="1269">
        <v>42955</v>
      </c>
      <c r="B10" s="1268" t="s">
        <v>1165</v>
      </c>
      <c r="C10" s="1268" t="s">
        <v>1166</v>
      </c>
      <c r="D10" s="1268" t="str">
        <f>ADDRESS(ROW(CarMoreData!E16),COLUMN(CarMoreData!E16),4,1)&amp;","&amp;ADDRESS(ROW(CarMoreData!E28),COLUMN(CarMoreData!E28),4,1)</f>
        <v>E16,E28</v>
      </c>
      <c r="E10" s="1268" t="s">
        <v>1167</v>
      </c>
    </row>
    <row r="11" spans="1:5" s="1268" customFormat="1">
      <c r="A11" s="1269">
        <v>42885</v>
      </c>
      <c r="B11" s="1268" t="s">
        <v>1150</v>
      </c>
      <c r="C11" s="1268" t="s">
        <v>1162</v>
      </c>
      <c r="D11" s="1268" t="str">
        <f>ADDRESS(ROW(Freight_Road_Old!E15),COLUMN(Freight_Road_Old!E15),4,1)&amp;","&amp;ADDRESS(ROW(Freight_Road_Old!E8),COLUMN(Freight_Road_Old!E8),4,1)</f>
        <v>E15,E8</v>
      </c>
      <c r="E11" s="1268" t="s">
        <v>1163</v>
      </c>
    </row>
    <row r="12" spans="1:5" s="1268" customFormat="1">
      <c r="A12" s="1269">
        <v>42790</v>
      </c>
      <c r="B12" s="1268" t="s">
        <v>1150</v>
      </c>
      <c r="C12" s="1268" t="s">
        <v>1160</v>
      </c>
      <c r="D12" s="1268" t="str">
        <f>ADDRESS(ROW(Emis!D10),COLUMN(Emis!D10),4,1)&amp;","&amp;ADDRESS(ROW(Emis!E10),COLUMN(Emis!E10),4,1)&amp;","&amp;ADDRESS(ROW(Emis!F10),COLUMN(Emis!F10),4,1)&amp;","&amp;ADDRESS(ROW(Emis!G10),COLUMN(Emis!G10),4,1)&amp;","&amp;ADDRESS(ROW(Emis!H10),COLUMN(Emis!H10),4,1)&amp;","&amp;ADDRESS(ROW(Emis!L10),COLUMN(Emis!L10),4,1)&amp;","&amp;ADDRESS(ROW(Emis!O10),COLUMN(Emis!O10),4,1)&amp;","&amp;ADDRESS(ROW(Emis!P10),COLUMN(Emis!P10),4,1)&amp;","&amp;ADDRESS(ROW(Emis!Q10),COLUMN(Emis!Q10),4,1)&amp;","&amp;ADDRESS(ROW(Emis!R10),COLUMN(Emis!R10),4,1)&amp;","&amp;ADDRESS(ROW(Emis!S10),COLUMN(Emis!S10),4,1)&amp;","&amp;ADDRESS(ROW(Emis!C12),COLUMN(Emis!C12),4,1)&amp;","&amp;ADDRESS(ROW(Emis!C13),COLUMN(Emis!C13),4,1)&amp;","&amp;ADDRESS(ROW(Emis!C14),COLUMN(Emis!C14),4,1)</f>
        <v>D10,E10,F10,G10,H10,L10,O10,P10,Q10,R10,S10,C12,C13,C14</v>
      </c>
      <c r="E12" s="1268" t="s">
        <v>1161</v>
      </c>
    </row>
    <row r="13" spans="1:5" s="1268" customFormat="1">
      <c r="A13" s="1269">
        <v>42789</v>
      </c>
      <c r="B13" s="1268" t="s">
        <v>1150</v>
      </c>
      <c r="C13" s="1268" t="s">
        <v>1158</v>
      </c>
      <c r="D13" s="1268" t="str">
        <f>ADDRESS(ROW(TRA_Fuel!E3),COLUMN(TRA_Fuel!E3),4,1)</f>
        <v>E3</v>
      </c>
      <c r="E13" s="1268" t="s">
        <v>1157</v>
      </c>
    </row>
    <row r="14" spans="1:5" s="1268" customFormat="1">
      <c r="A14" s="1269">
        <v>42789</v>
      </c>
      <c r="B14" s="1268" t="s">
        <v>1150</v>
      </c>
      <c r="C14" s="1268" t="s">
        <v>1156</v>
      </c>
      <c r="D14" s="1268" t="str">
        <f>ADDRESS(ROW(Processes!B3),COLUMN(Processes!B3),4,1)</f>
        <v>B3</v>
      </c>
      <c r="E14" s="1268" t="s">
        <v>1159</v>
      </c>
    </row>
    <row r="15" spans="1:5" s="1268" customFormat="1">
      <c r="A15" s="1269">
        <v>42789</v>
      </c>
      <c r="B15" s="1268" t="s">
        <v>1150</v>
      </c>
      <c r="C15" s="1268" t="s">
        <v>1154</v>
      </c>
      <c r="D15" s="1268" t="str">
        <f>ADDRESS(ROW(Commodities!B3),COLUMN(Commodities!B3),4,1)</f>
        <v>B3</v>
      </c>
      <c r="E15" s="1268" t="s">
        <v>1155</v>
      </c>
    </row>
    <row r="16" spans="1:5" s="1268" customFormat="1">
      <c r="A16" s="1269">
        <v>42789</v>
      </c>
      <c r="B16" s="1268" t="s">
        <v>1150</v>
      </c>
      <c r="C16" s="1268" t="s">
        <v>1153</v>
      </c>
      <c r="D16" s="1268" t="e">
        <f>ADDRESS(ROW(WALK!#REF!),COLUMN(WALK!#REF!),4,1)&amp;","&amp;ADDRESS(ROW(WALK!#REF!),COLUMN(WALK!#REF!),4,1)&amp;","&amp;ADDRESS(ROW(WALK!#REF!),COLUMN(WALK!#REF!),4,1)&amp;","&amp;ADDRESS(ROW(WALK!#REF!),COLUMN(WALK!#REF!),4,1)</f>
        <v>#REF!</v>
      </c>
      <c r="E16" s="1268" t="s">
        <v>1152</v>
      </c>
    </row>
    <row r="17" spans="1:5" s="1268" customFormat="1">
      <c r="A17" s="1269">
        <v>42789</v>
      </c>
      <c r="B17" s="1268" t="s">
        <v>1150</v>
      </c>
      <c r="C17" s="1268" t="s">
        <v>1151</v>
      </c>
      <c r="D17" s="1268" t="str">
        <f>ADDRESS(ROW(BIKE!E7),COLUMN(BIKE!E7),4,1)&amp;","&amp;ADDRESS(ROW(BIKE!E9),COLUMN(BIKE!E9),4,1)&amp;","&amp;ADDRESS(ROW(BIKE!K7),COLUMN(BIKE!K7),4,1)&amp;","&amp;ADDRESS(ROW(BIKE!K9),COLUMN(BIKE!K9),4,1)</f>
        <v>E7,E9,K7,K9</v>
      </c>
      <c r="E17" s="1268" t="s">
        <v>1152</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0000"/>
  </sheetPr>
  <dimension ref="B2:X65"/>
  <sheetViews>
    <sheetView workbookViewId="0">
      <selection activeCell="D7" sqref="D7:D14"/>
    </sheetView>
  </sheetViews>
  <sheetFormatPr defaultRowHeight="12.75"/>
  <cols>
    <col min="3" max="3" width="15.42578125" bestFit="1" customWidth="1"/>
    <col min="4" max="4" width="9.85546875" bestFit="1" customWidth="1"/>
    <col min="5" max="6" width="7.5703125" bestFit="1" customWidth="1"/>
    <col min="7" max="7" width="9.140625" customWidth="1"/>
    <col min="9" max="9" width="38.5703125" bestFit="1" customWidth="1"/>
    <col min="10" max="12" width="9" bestFit="1" customWidth="1"/>
  </cols>
  <sheetData>
    <row r="2" spans="2:24" ht="19.5">
      <c r="B2" s="1657" t="s">
        <v>400</v>
      </c>
      <c r="C2" s="1657"/>
      <c r="D2" s="1657"/>
      <c r="E2" s="1657"/>
      <c r="F2" s="1657"/>
      <c r="I2" s="283" t="s">
        <v>444</v>
      </c>
      <c r="J2" s="284"/>
      <c r="K2" s="284"/>
      <c r="L2" s="284"/>
      <c r="M2" s="284"/>
      <c r="N2" s="284"/>
      <c r="O2" s="284"/>
      <c r="P2" s="284"/>
      <c r="Q2" s="284"/>
      <c r="R2" s="284"/>
      <c r="S2" s="284"/>
      <c r="T2" s="284"/>
      <c r="U2" s="284"/>
      <c r="V2" s="284"/>
      <c r="W2" s="284"/>
      <c r="X2" s="284"/>
    </row>
    <row r="3" spans="2:24" ht="15">
      <c r="B3" s="3"/>
      <c r="C3" s="246" t="s">
        <v>379</v>
      </c>
      <c r="D3" s="247">
        <v>0.6528193712554865</v>
      </c>
      <c r="E3" s="247"/>
      <c r="F3" s="247"/>
      <c r="I3" s="285"/>
      <c r="J3" s="284"/>
      <c r="K3" s="284"/>
      <c r="L3" s="284"/>
      <c r="M3" s="284"/>
      <c r="N3" s="284"/>
      <c r="O3" s="284"/>
      <c r="P3" s="284"/>
      <c r="Q3" s="284"/>
      <c r="R3" s="284"/>
      <c r="S3" s="284"/>
      <c r="T3" s="284"/>
      <c r="U3" s="284"/>
      <c r="V3" s="284"/>
      <c r="W3" s="284"/>
      <c r="X3" s="284"/>
    </row>
    <row r="4" spans="2:24" ht="15">
      <c r="B4" s="248"/>
      <c r="C4" s="246" t="s">
        <v>380</v>
      </c>
      <c r="D4" s="247">
        <v>0.34718062874451339</v>
      </c>
      <c r="E4" s="247"/>
      <c r="F4" s="247"/>
      <c r="I4" s="286" t="s">
        <v>426</v>
      </c>
      <c r="J4" s="287">
        <v>2009</v>
      </c>
      <c r="K4" s="287">
        <v>2010</v>
      </c>
      <c r="L4" s="287">
        <v>2011</v>
      </c>
      <c r="M4" s="495">
        <v>2012</v>
      </c>
      <c r="N4" s="495">
        <v>2013</v>
      </c>
      <c r="O4" s="495">
        <v>2014</v>
      </c>
      <c r="R4" s="288"/>
      <c r="S4" s="288"/>
      <c r="T4" s="288"/>
      <c r="U4" s="288"/>
      <c r="V4" s="288"/>
      <c r="W4" s="288"/>
      <c r="X4" s="288"/>
    </row>
    <row r="5" spans="2:24" ht="15">
      <c r="B5" s="249" t="s">
        <v>52</v>
      </c>
      <c r="C5" s="250"/>
      <c r="D5" s="251">
        <v>2010</v>
      </c>
      <c r="E5" s="251">
        <v>2011</v>
      </c>
      <c r="F5" s="251">
        <v>2012</v>
      </c>
      <c r="I5" s="289" t="s">
        <v>427</v>
      </c>
      <c r="J5" s="284"/>
      <c r="K5" s="284"/>
      <c r="L5" s="284"/>
      <c r="M5" s="284"/>
      <c r="N5" s="284"/>
      <c r="O5" s="284"/>
      <c r="T5" s="284"/>
      <c r="U5" s="284"/>
      <c r="V5" s="284"/>
      <c r="W5" s="284"/>
      <c r="X5" s="284"/>
    </row>
    <row r="6" spans="2:24" ht="15">
      <c r="B6" s="252" t="s">
        <v>381</v>
      </c>
      <c r="C6" s="253"/>
      <c r="D6" s="254">
        <v>94949</v>
      </c>
      <c r="E6" s="254">
        <v>95464</v>
      </c>
      <c r="F6" s="254">
        <v>95356</v>
      </c>
      <c r="I6" s="290" t="s">
        <v>428</v>
      </c>
      <c r="J6" s="291">
        <v>209159.61391124999</v>
      </c>
      <c r="K6" s="291">
        <v>208770.26835124995</v>
      </c>
      <c r="L6" s="291">
        <v>210721.12705097999</v>
      </c>
      <c r="M6" s="493">
        <v>205283.64</v>
      </c>
      <c r="N6" s="493">
        <v>202731.03</v>
      </c>
      <c r="O6" s="493">
        <v>207894.37</v>
      </c>
      <c r="T6" s="284"/>
      <c r="U6" s="284"/>
      <c r="V6" s="284"/>
      <c r="W6" s="284"/>
      <c r="X6" s="284"/>
    </row>
    <row r="7" spans="2:24" ht="15">
      <c r="B7" s="252"/>
      <c r="C7" s="246" t="s">
        <v>382</v>
      </c>
      <c r="D7" s="255">
        <v>63152</v>
      </c>
      <c r="E7" s="255">
        <v>58968</v>
      </c>
      <c r="F7" s="255">
        <v>56400</v>
      </c>
      <c r="I7" s="292" t="s">
        <v>53</v>
      </c>
      <c r="J7" s="293">
        <v>118.542</v>
      </c>
      <c r="K7" s="293">
        <v>2.5760000000000001</v>
      </c>
      <c r="L7" s="293">
        <v>0</v>
      </c>
      <c r="M7" s="494">
        <v>0</v>
      </c>
      <c r="N7" s="494">
        <v>0</v>
      </c>
      <c r="O7" s="494">
        <v>0.05</v>
      </c>
      <c r="T7" s="284"/>
      <c r="U7" s="284"/>
      <c r="V7" s="284"/>
      <c r="W7" s="284"/>
      <c r="X7" s="284"/>
    </row>
    <row r="8" spans="2:24" ht="15">
      <c r="B8" s="252"/>
      <c r="C8" s="246" t="s">
        <v>383</v>
      </c>
      <c r="D8" s="255">
        <v>30747</v>
      </c>
      <c r="E8" s="255">
        <v>33230</v>
      </c>
      <c r="F8" s="255">
        <v>34488</v>
      </c>
      <c r="I8" s="292" t="s">
        <v>429</v>
      </c>
      <c r="J8" s="293">
        <v>82.285307999999986</v>
      </c>
      <c r="K8" s="293">
        <v>75.72363</v>
      </c>
      <c r="L8" s="293">
        <v>64.99481999999999</v>
      </c>
      <c r="M8" s="494">
        <v>67.39</v>
      </c>
      <c r="N8" s="494">
        <v>69.19</v>
      </c>
      <c r="O8" s="494">
        <v>47.77</v>
      </c>
      <c r="T8" s="284"/>
      <c r="U8" s="284"/>
      <c r="V8" s="284"/>
      <c r="W8" s="284"/>
      <c r="X8" s="284"/>
    </row>
    <row r="9" spans="2:24" ht="15">
      <c r="B9" s="252"/>
      <c r="C9" s="246" t="s">
        <v>53</v>
      </c>
      <c r="D9" s="255">
        <v>3</v>
      </c>
      <c r="E9" s="255">
        <v>0</v>
      </c>
      <c r="F9" s="255">
        <v>0</v>
      </c>
      <c r="I9" s="292" t="s">
        <v>423</v>
      </c>
      <c r="J9" s="293">
        <v>71697.637532249966</v>
      </c>
      <c r="K9" s="293">
        <v>66755.339921249979</v>
      </c>
      <c r="L9" s="293">
        <v>62004.327420059999</v>
      </c>
      <c r="M9" s="494">
        <v>59951.13</v>
      </c>
      <c r="N9" s="494">
        <v>57601.41</v>
      </c>
      <c r="O9" s="494">
        <v>57025.88</v>
      </c>
      <c r="T9" s="284"/>
      <c r="U9" s="284"/>
      <c r="V9" s="284"/>
      <c r="W9" s="284"/>
      <c r="X9" s="284"/>
    </row>
    <row r="10" spans="2:24" ht="15">
      <c r="B10" s="252"/>
      <c r="C10" s="246" t="s">
        <v>385</v>
      </c>
      <c r="D10" s="255">
        <v>0</v>
      </c>
      <c r="E10" s="255"/>
      <c r="F10" s="255"/>
      <c r="I10" s="292" t="s">
        <v>430</v>
      </c>
      <c r="J10" s="293">
        <v>0</v>
      </c>
      <c r="K10" s="293">
        <v>0</v>
      </c>
      <c r="L10" s="293">
        <v>0</v>
      </c>
      <c r="M10" s="494">
        <v>0</v>
      </c>
      <c r="N10" s="494">
        <v>0</v>
      </c>
      <c r="O10" s="494">
        <v>0</v>
      </c>
      <c r="T10" s="284"/>
      <c r="U10" s="284"/>
      <c r="V10" s="284"/>
      <c r="W10" s="284"/>
      <c r="X10" s="284"/>
    </row>
    <row r="11" spans="2:24" ht="15">
      <c r="B11" s="252"/>
      <c r="C11" s="246" t="s">
        <v>386</v>
      </c>
      <c r="D11" s="255">
        <v>1043</v>
      </c>
      <c r="E11" s="255">
        <v>1992</v>
      </c>
      <c r="F11" s="255">
        <v>1887</v>
      </c>
      <c r="I11" s="292" t="s">
        <v>424</v>
      </c>
      <c r="J11" s="293">
        <v>0.41760000000000008</v>
      </c>
      <c r="K11" s="293">
        <v>0.27840000000000004</v>
      </c>
      <c r="L11" s="293">
        <v>0.24360000000000004</v>
      </c>
      <c r="M11" s="494">
        <v>0.24</v>
      </c>
      <c r="N11" s="494">
        <v>0.21</v>
      </c>
      <c r="O11" s="494">
        <v>0</v>
      </c>
      <c r="T11" s="284"/>
      <c r="U11" s="284"/>
      <c r="V11" s="284"/>
      <c r="W11" s="284"/>
      <c r="X11" s="284"/>
    </row>
    <row r="12" spans="2:24" ht="15">
      <c r="B12" s="252"/>
      <c r="C12" s="246" t="s">
        <v>54</v>
      </c>
      <c r="D12" s="255">
        <v>5</v>
      </c>
      <c r="E12" s="255">
        <v>1273</v>
      </c>
      <c r="F12" s="255">
        <v>2581</v>
      </c>
      <c r="I12" s="292" t="s">
        <v>431</v>
      </c>
      <c r="J12" s="293">
        <v>35297.013599999998</v>
      </c>
      <c r="K12" s="293">
        <v>36586.040399999998</v>
      </c>
      <c r="L12" s="293">
        <v>38177.792399999998</v>
      </c>
      <c r="M12" s="494">
        <v>37329.89</v>
      </c>
      <c r="N12" s="494">
        <v>37284.019999999997</v>
      </c>
      <c r="O12" s="494">
        <v>40046.17</v>
      </c>
      <c r="T12" s="284"/>
      <c r="U12" s="284"/>
      <c r="V12" s="284"/>
      <c r="W12" s="284"/>
      <c r="X12" s="284"/>
    </row>
    <row r="13" spans="2:24" ht="15">
      <c r="B13" s="252"/>
      <c r="C13" s="246" t="s">
        <v>387</v>
      </c>
      <c r="D13" s="255">
        <v>0</v>
      </c>
      <c r="E13" s="255"/>
      <c r="F13" s="255"/>
      <c r="I13" s="292" t="s">
        <v>425</v>
      </c>
      <c r="J13" s="293">
        <v>99153.259332000016</v>
      </c>
      <c r="K13" s="293">
        <v>101892.9933</v>
      </c>
      <c r="L13" s="293">
        <v>102759.585852</v>
      </c>
      <c r="M13" s="494">
        <v>97282.3</v>
      </c>
      <c r="N13" s="494">
        <v>96900.91</v>
      </c>
      <c r="O13" s="494">
        <v>99905.93</v>
      </c>
      <c r="T13" s="284"/>
      <c r="U13" s="284"/>
      <c r="V13" s="284"/>
      <c r="W13" s="284"/>
      <c r="X13" s="284"/>
    </row>
    <row r="14" spans="2:24" ht="15">
      <c r="B14" s="252"/>
      <c r="C14" s="246" t="s">
        <v>388</v>
      </c>
      <c r="D14" s="255">
        <v>0</v>
      </c>
      <c r="E14" s="255"/>
      <c r="F14" s="255"/>
      <c r="I14" s="292" t="s">
        <v>432</v>
      </c>
      <c r="J14" s="293">
        <v>1045.2334499999999</v>
      </c>
      <c r="K14" s="293">
        <v>868.20269999999994</v>
      </c>
      <c r="L14" s="293">
        <v>731.78129999999987</v>
      </c>
      <c r="M14" s="494">
        <v>623.69000000000005</v>
      </c>
      <c r="N14" s="494">
        <v>775.03</v>
      </c>
      <c r="O14" s="494">
        <v>545.64</v>
      </c>
      <c r="T14" s="284"/>
      <c r="U14" s="284"/>
      <c r="V14" s="284"/>
      <c r="W14" s="284"/>
      <c r="X14" s="284"/>
    </row>
    <row r="15" spans="2:24" ht="15">
      <c r="B15" s="256" t="s">
        <v>389</v>
      </c>
      <c r="C15" s="257"/>
      <c r="D15" s="258">
        <v>7401</v>
      </c>
      <c r="E15" s="258">
        <v>7197</v>
      </c>
      <c r="F15" s="258">
        <v>6888</v>
      </c>
      <c r="I15" s="293" t="s">
        <v>433</v>
      </c>
      <c r="J15" s="293">
        <v>204.032589</v>
      </c>
      <c r="K15" s="293">
        <v>1117.9290000000001</v>
      </c>
      <c r="L15" s="293">
        <v>2061.7656589200001</v>
      </c>
      <c r="M15" s="494">
        <v>2115.94</v>
      </c>
      <c r="N15" s="494">
        <v>1926.59</v>
      </c>
      <c r="O15" s="494">
        <v>1872.07</v>
      </c>
      <c r="T15" s="284"/>
      <c r="U15" s="284"/>
      <c r="V15" s="284"/>
      <c r="W15" s="284"/>
      <c r="X15" s="284"/>
    </row>
    <row r="16" spans="2:24" ht="15">
      <c r="B16" s="252"/>
      <c r="C16" s="246" t="s">
        <v>383</v>
      </c>
      <c r="D16" s="255">
        <v>7399</v>
      </c>
      <c r="E16" s="255">
        <v>6932</v>
      </c>
      <c r="F16" s="255">
        <v>6408</v>
      </c>
      <c r="I16" s="293" t="s">
        <v>54</v>
      </c>
      <c r="J16" s="293">
        <v>139.19250000000002</v>
      </c>
      <c r="K16" s="293">
        <v>16.064999999999998</v>
      </c>
      <c r="L16" s="293">
        <v>3491.7959999999998</v>
      </c>
      <c r="M16" s="494">
        <v>6525.61</v>
      </c>
      <c r="N16" s="494">
        <v>6782.98</v>
      </c>
      <c r="O16" s="494">
        <v>7063.42</v>
      </c>
      <c r="T16" s="284"/>
      <c r="U16" s="284"/>
      <c r="V16" s="284"/>
      <c r="W16" s="284"/>
      <c r="X16" s="284"/>
    </row>
    <row r="17" spans="2:24" ht="15">
      <c r="B17" s="252"/>
      <c r="C17" s="246" t="s">
        <v>384</v>
      </c>
      <c r="D17" s="255">
        <v>0</v>
      </c>
      <c r="E17" s="255">
        <v>0</v>
      </c>
      <c r="F17" s="255">
        <v>0</v>
      </c>
      <c r="I17" s="292" t="s">
        <v>51</v>
      </c>
      <c r="J17" s="293">
        <v>1422</v>
      </c>
      <c r="K17" s="293">
        <v>1455.12</v>
      </c>
      <c r="L17" s="293">
        <v>1428.84</v>
      </c>
      <c r="M17" s="494">
        <v>1387.44</v>
      </c>
      <c r="N17" s="494">
        <v>1390.68</v>
      </c>
      <c r="O17" s="494">
        <v>1387.44</v>
      </c>
      <c r="R17" s="294"/>
      <c r="S17" s="294"/>
      <c r="T17" s="284"/>
      <c r="U17" s="284"/>
      <c r="V17" s="284"/>
      <c r="W17" s="284"/>
      <c r="X17" s="284"/>
    </row>
    <row r="18" spans="2:24" ht="15">
      <c r="B18" s="252"/>
      <c r="C18" s="246" t="s">
        <v>385</v>
      </c>
      <c r="D18" s="255">
        <v>0</v>
      </c>
      <c r="E18" s="255"/>
      <c r="F18" s="255"/>
      <c r="M18" s="284"/>
      <c r="N18" s="494"/>
      <c r="O18" s="494"/>
      <c r="P18" s="494"/>
      <c r="Q18" s="494"/>
      <c r="T18" s="284"/>
      <c r="U18" s="284"/>
      <c r="V18" s="284"/>
      <c r="W18" s="284"/>
      <c r="X18" s="284"/>
    </row>
    <row r="19" spans="2:24" ht="15">
      <c r="B19" s="252"/>
      <c r="C19" s="246" t="s">
        <v>54</v>
      </c>
      <c r="D19" s="255">
        <v>1</v>
      </c>
      <c r="E19" s="255">
        <v>265</v>
      </c>
      <c r="F19" s="255">
        <v>480</v>
      </c>
      <c r="I19" s="295" t="s">
        <v>434</v>
      </c>
      <c r="J19" s="463">
        <v>159794.9</v>
      </c>
      <c r="K19" s="463">
        <v>161215.23000000001</v>
      </c>
      <c r="L19" s="463">
        <v>159752.5</v>
      </c>
      <c r="M19" s="463">
        <v>156028.81</v>
      </c>
      <c r="N19" s="463">
        <v>153468.71</v>
      </c>
      <c r="O19" s="463">
        <v>156494.94</v>
      </c>
      <c r="P19" s="494"/>
      <c r="Q19" s="494"/>
      <c r="T19" s="284"/>
      <c r="U19" s="284"/>
      <c r="V19" s="284"/>
      <c r="W19" s="284"/>
      <c r="X19" s="284"/>
    </row>
    <row r="20" spans="2:24" ht="15">
      <c r="B20" s="252"/>
      <c r="C20" s="246" t="s">
        <v>387</v>
      </c>
      <c r="D20" s="255">
        <v>0</v>
      </c>
      <c r="E20" s="255"/>
      <c r="F20" s="255"/>
      <c r="I20" s="293" t="s">
        <v>53</v>
      </c>
      <c r="J20" s="462">
        <v>118.54</v>
      </c>
      <c r="K20" s="462">
        <v>2.58</v>
      </c>
      <c r="L20" s="462">
        <v>0</v>
      </c>
      <c r="M20" s="462">
        <v>0</v>
      </c>
      <c r="N20" s="462">
        <v>0</v>
      </c>
      <c r="O20" s="462">
        <v>0</v>
      </c>
      <c r="P20" s="494"/>
      <c r="Q20" s="494"/>
      <c r="T20" s="284"/>
      <c r="U20" s="284"/>
      <c r="V20" s="284"/>
      <c r="W20" s="284"/>
      <c r="X20" s="284"/>
    </row>
    <row r="21" spans="2:24" ht="15">
      <c r="B21" s="252"/>
      <c r="C21" s="246" t="s">
        <v>388</v>
      </c>
      <c r="D21" s="255">
        <v>0</v>
      </c>
      <c r="E21" s="255"/>
      <c r="F21" s="255"/>
      <c r="I21" s="293" t="s">
        <v>423</v>
      </c>
      <c r="J21" s="462">
        <v>70878.59</v>
      </c>
      <c r="K21" s="462">
        <v>67719.360000000001</v>
      </c>
      <c r="L21" s="462">
        <v>63089.97</v>
      </c>
      <c r="M21" s="462">
        <v>59948.83</v>
      </c>
      <c r="N21" s="462">
        <v>57596.97</v>
      </c>
      <c r="O21" s="462">
        <v>57022.66</v>
      </c>
      <c r="P21" s="494"/>
      <c r="Q21" s="494"/>
      <c r="T21" s="284"/>
      <c r="U21" s="284"/>
      <c r="V21" s="284"/>
      <c r="W21" s="284"/>
      <c r="X21" s="284"/>
    </row>
    <row r="22" spans="2:24" ht="15">
      <c r="B22" s="256" t="s">
        <v>390</v>
      </c>
      <c r="C22" s="257"/>
      <c r="D22" s="258">
        <v>190</v>
      </c>
      <c r="E22" s="258">
        <v>195</v>
      </c>
      <c r="F22" s="258">
        <v>197</v>
      </c>
      <c r="I22" s="293" t="s">
        <v>424</v>
      </c>
      <c r="J22" s="462">
        <v>0.42</v>
      </c>
      <c r="K22" s="462">
        <v>0.28000000000000003</v>
      </c>
      <c r="L22" s="462">
        <v>0.24</v>
      </c>
      <c r="M22" s="462">
        <v>0.24</v>
      </c>
      <c r="N22" s="462">
        <v>0.21</v>
      </c>
      <c r="O22" s="462">
        <v>0</v>
      </c>
      <c r="P22" s="494"/>
      <c r="Q22" s="494"/>
      <c r="T22" s="284"/>
      <c r="U22" s="284"/>
      <c r="V22" s="284"/>
      <c r="W22" s="284"/>
      <c r="X22" s="284"/>
    </row>
    <row r="23" spans="2:24" ht="15">
      <c r="B23" s="252"/>
      <c r="C23" s="246" t="s">
        <v>382</v>
      </c>
      <c r="D23" s="255">
        <v>187</v>
      </c>
      <c r="E23" s="255">
        <v>189</v>
      </c>
      <c r="F23" s="255">
        <v>190</v>
      </c>
      <c r="I23" s="293" t="s">
        <v>425</v>
      </c>
      <c r="J23" s="462">
        <v>88454.12</v>
      </c>
      <c r="K23" s="462">
        <v>92359.03</v>
      </c>
      <c r="L23" s="462">
        <v>91184.52</v>
      </c>
      <c r="M23" s="462">
        <v>87438.18</v>
      </c>
      <c r="N23" s="462">
        <v>87161.96</v>
      </c>
      <c r="O23" s="462">
        <v>90536.79</v>
      </c>
      <c r="P23" s="494"/>
      <c r="Q23" s="494"/>
      <c r="T23" s="284"/>
      <c r="U23" s="284"/>
      <c r="V23" s="284"/>
      <c r="W23" s="284"/>
      <c r="X23" s="284"/>
    </row>
    <row r="24" spans="2:24" ht="15">
      <c r="B24" s="252"/>
      <c r="C24" s="246" t="s">
        <v>386</v>
      </c>
      <c r="D24" s="255">
        <v>3</v>
      </c>
      <c r="E24" s="255">
        <v>6</v>
      </c>
      <c r="F24" s="255">
        <v>6</v>
      </c>
      <c r="I24" s="293" t="s">
        <v>432</v>
      </c>
      <c r="J24" s="460">
        <v>0</v>
      </c>
      <c r="K24" s="460">
        <v>0</v>
      </c>
      <c r="L24" s="460">
        <v>0</v>
      </c>
      <c r="M24" s="460">
        <v>0</v>
      </c>
      <c r="N24" s="460">
        <v>0</v>
      </c>
      <c r="O24" s="460">
        <v>0</v>
      </c>
      <c r="P24" s="494"/>
      <c r="Q24" s="494"/>
      <c r="T24" s="284"/>
      <c r="U24" s="284"/>
      <c r="V24" s="284"/>
      <c r="W24" s="284"/>
      <c r="X24" s="284"/>
    </row>
    <row r="25" spans="2:24" ht="15">
      <c r="B25" s="256" t="s">
        <v>391</v>
      </c>
      <c r="C25" s="257"/>
      <c r="D25" s="258">
        <v>616</v>
      </c>
      <c r="E25" s="258">
        <v>597</v>
      </c>
      <c r="F25" s="258">
        <v>596</v>
      </c>
      <c r="I25" s="293" t="s">
        <v>433</v>
      </c>
      <c r="J25" s="460">
        <v>204.03</v>
      </c>
      <c r="K25" s="460">
        <v>1117.93</v>
      </c>
      <c r="L25" s="460">
        <v>1985.97</v>
      </c>
      <c r="M25" s="460">
        <v>2115.94</v>
      </c>
      <c r="N25" s="460">
        <v>1926.59</v>
      </c>
      <c r="O25" s="460">
        <v>1872.07</v>
      </c>
      <c r="P25" s="494"/>
      <c r="Q25" s="494"/>
      <c r="T25" s="284"/>
      <c r="U25" s="284"/>
      <c r="V25" s="284"/>
      <c r="W25" s="284"/>
      <c r="X25" s="284"/>
    </row>
    <row r="26" spans="2:24" ht="15">
      <c r="B26" s="252"/>
      <c r="C26" s="246" t="s">
        <v>382</v>
      </c>
      <c r="D26" s="255">
        <v>606</v>
      </c>
      <c r="E26" s="255">
        <v>578</v>
      </c>
      <c r="F26" s="255">
        <v>576</v>
      </c>
      <c r="I26" s="293" t="s">
        <v>54</v>
      </c>
      <c r="J26" s="460">
        <v>139.19</v>
      </c>
      <c r="K26" s="460">
        <v>16.07</v>
      </c>
      <c r="L26" s="460">
        <v>3491.8</v>
      </c>
      <c r="M26" s="460">
        <v>6525.61</v>
      </c>
      <c r="N26" s="460">
        <v>6782.98</v>
      </c>
      <c r="O26" s="460">
        <v>7063.42</v>
      </c>
      <c r="P26" s="496"/>
      <c r="Q26" s="496"/>
      <c r="R26" s="398"/>
      <c r="S26" s="398"/>
      <c r="T26" s="284"/>
      <c r="U26" s="284"/>
      <c r="V26" s="284"/>
      <c r="W26" s="284"/>
      <c r="X26" s="284"/>
    </row>
    <row r="27" spans="2:24" ht="15">
      <c r="B27" s="252"/>
      <c r="C27" s="246" t="s">
        <v>386</v>
      </c>
      <c r="D27" s="255">
        <v>10</v>
      </c>
      <c r="E27" s="255">
        <v>20</v>
      </c>
      <c r="F27" s="255">
        <v>19</v>
      </c>
      <c r="M27" s="284"/>
      <c r="N27" s="496"/>
      <c r="O27" s="496"/>
      <c r="P27" s="496"/>
      <c r="Q27" s="496"/>
      <c r="R27" s="484"/>
      <c r="S27" s="484"/>
      <c r="T27" s="284"/>
      <c r="U27" s="284"/>
      <c r="V27" s="284"/>
      <c r="W27" s="284"/>
      <c r="X27" s="284"/>
    </row>
    <row r="28" spans="2:24" ht="15">
      <c r="B28" s="256" t="s">
        <v>392</v>
      </c>
      <c r="C28" s="257"/>
      <c r="D28" s="258">
        <v>4765</v>
      </c>
      <c r="E28" s="258">
        <v>4821</v>
      </c>
      <c r="F28" s="258">
        <v>4994</v>
      </c>
      <c r="I28" s="295" t="s">
        <v>422</v>
      </c>
      <c r="J28" s="481">
        <v>4532.83</v>
      </c>
      <c r="K28" s="481">
        <v>4728.03</v>
      </c>
      <c r="L28" s="481">
        <v>4799.1499999999996</v>
      </c>
      <c r="M28" s="481">
        <v>4756.7299999999996</v>
      </c>
      <c r="N28" s="481">
        <v>4739.7</v>
      </c>
      <c r="O28" s="481">
        <v>4794.5600000000004</v>
      </c>
      <c r="P28" s="481"/>
      <c r="Q28" s="481"/>
      <c r="R28" s="481"/>
      <c r="S28" s="481"/>
      <c r="T28" s="481"/>
      <c r="U28" s="481"/>
      <c r="V28" s="284"/>
      <c r="W28" s="284"/>
      <c r="X28" s="284"/>
    </row>
    <row r="29" spans="2:24" ht="15">
      <c r="B29" s="252"/>
      <c r="C29" s="246" t="s">
        <v>382</v>
      </c>
      <c r="D29" s="255">
        <v>1351</v>
      </c>
      <c r="E29" s="255">
        <v>1194</v>
      </c>
      <c r="F29" s="255">
        <v>1115</v>
      </c>
      <c r="I29" s="293" t="s">
        <v>423</v>
      </c>
      <c r="J29" s="460">
        <v>0</v>
      </c>
      <c r="K29" s="460">
        <v>0.13</v>
      </c>
      <c r="L29" s="460">
        <v>0.3</v>
      </c>
      <c r="M29" s="460">
        <v>0.03</v>
      </c>
      <c r="N29" s="460">
        <v>0.49</v>
      </c>
      <c r="O29" s="460">
        <v>0</v>
      </c>
      <c r="P29" s="460"/>
      <c r="Q29" s="460"/>
      <c r="R29" s="460"/>
      <c r="S29" s="460"/>
      <c r="T29" s="460"/>
      <c r="U29" s="460"/>
      <c r="V29" s="284"/>
      <c r="W29" s="284"/>
      <c r="X29" s="284"/>
    </row>
    <row r="30" spans="2:24" ht="15">
      <c r="B30" s="252"/>
      <c r="C30" s="246" t="s">
        <v>383</v>
      </c>
      <c r="D30" s="255">
        <v>3390</v>
      </c>
      <c r="E30" s="255">
        <v>3454</v>
      </c>
      <c r="F30" s="255">
        <v>3574</v>
      </c>
      <c r="I30" s="293" t="s">
        <v>424</v>
      </c>
      <c r="J30" s="460">
        <v>0</v>
      </c>
      <c r="K30" s="460">
        <v>0</v>
      </c>
      <c r="L30" s="460">
        <v>0</v>
      </c>
      <c r="M30" s="460">
        <v>0</v>
      </c>
      <c r="N30" s="460">
        <v>0</v>
      </c>
      <c r="O30" s="460">
        <v>0</v>
      </c>
      <c r="P30" s="460"/>
      <c r="Q30" s="460"/>
      <c r="R30" s="460"/>
      <c r="S30" s="460"/>
      <c r="T30" s="460"/>
      <c r="U30" s="460"/>
      <c r="V30" s="284"/>
      <c r="W30" s="284"/>
      <c r="X30" s="284"/>
    </row>
    <row r="31" spans="2:24" ht="15">
      <c r="B31" s="252"/>
      <c r="C31" s="246" t="s">
        <v>384</v>
      </c>
      <c r="D31" s="255">
        <v>0</v>
      </c>
      <c r="E31" s="255"/>
      <c r="F31" s="255"/>
      <c r="I31" s="293" t="s">
        <v>425</v>
      </c>
      <c r="J31" s="460">
        <v>3110.83</v>
      </c>
      <c r="K31" s="460">
        <v>3272.78</v>
      </c>
      <c r="L31" s="460">
        <v>3370.01</v>
      </c>
      <c r="M31" s="460">
        <v>3369.26</v>
      </c>
      <c r="N31" s="460">
        <v>3348.53</v>
      </c>
      <c r="O31" s="460">
        <v>3407.12</v>
      </c>
      <c r="P31" s="460"/>
      <c r="Q31" s="460"/>
      <c r="R31" s="460"/>
      <c r="S31" s="460"/>
      <c r="T31" s="460"/>
      <c r="U31" s="460"/>
      <c r="V31" s="284"/>
      <c r="W31" s="284"/>
      <c r="X31" s="284"/>
    </row>
    <row r="32" spans="2:24" ht="15">
      <c r="B32" s="252"/>
      <c r="C32" s="246" t="s">
        <v>385</v>
      </c>
      <c r="D32" s="255">
        <v>0</v>
      </c>
      <c r="E32" s="255"/>
      <c r="F32" s="255"/>
      <c r="I32" s="293" t="s">
        <v>51</v>
      </c>
      <c r="J32" s="460">
        <v>1422</v>
      </c>
      <c r="K32" s="460">
        <v>1455.12</v>
      </c>
      <c r="L32" s="460">
        <v>1428.84</v>
      </c>
      <c r="M32" s="460">
        <v>1387.44</v>
      </c>
      <c r="N32" s="460">
        <v>1390.68</v>
      </c>
      <c r="O32" s="460">
        <v>1387.44</v>
      </c>
      <c r="P32" s="460"/>
      <c r="Q32" s="460"/>
      <c r="R32" s="460"/>
      <c r="S32" s="460"/>
      <c r="T32" s="460"/>
      <c r="U32" s="460"/>
      <c r="V32" s="284"/>
      <c r="W32" s="284"/>
      <c r="X32" s="284"/>
    </row>
    <row r="33" spans="2:24" ht="15">
      <c r="B33" s="252"/>
      <c r="C33" s="246" t="s">
        <v>386</v>
      </c>
      <c r="D33" s="255">
        <v>22</v>
      </c>
      <c r="E33" s="255">
        <v>40</v>
      </c>
      <c r="F33" s="255">
        <v>37</v>
      </c>
      <c r="I33" s="293"/>
      <c r="J33" s="294"/>
      <c r="K33" s="294"/>
      <c r="L33" s="294"/>
      <c r="M33" s="284"/>
      <c r="N33" s="284"/>
      <c r="O33" s="284"/>
      <c r="P33" s="284"/>
      <c r="Q33" s="284"/>
      <c r="R33" s="284"/>
      <c r="S33" s="284"/>
      <c r="T33" s="284"/>
      <c r="U33" s="284"/>
      <c r="V33" s="284"/>
      <c r="W33" s="284"/>
      <c r="X33" s="284"/>
    </row>
    <row r="34" spans="2:24" ht="15">
      <c r="B34" s="252"/>
      <c r="C34" s="246" t="s">
        <v>54</v>
      </c>
      <c r="D34" s="255">
        <v>1</v>
      </c>
      <c r="E34" s="255">
        <v>132</v>
      </c>
      <c r="F34" s="255">
        <v>268</v>
      </c>
      <c r="I34" s="295" t="s">
        <v>435</v>
      </c>
      <c r="J34" s="481">
        <v>7534.51</v>
      </c>
      <c r="K34" s="481">
        <v>6533.05</v>
      </c>
      <c r="L34" s="481">
        <v>6385.47</v>
      </c>
      <c r="M34" s="481">
        <v>6218.85</v>
      </c>
      <c r="N34" s="481">
        <v>6292.97</v>
      </c>
      <c r="O34" s="481">
        <v>5669.54</v>
      </c>
      <c r="P34" s="284"/>
      <c r="Q34" s="284"/>
      <c r="R34" s="284"/>
      <c r="S34" s="284"/>
      <c r="T34" s="284"/>
      <c r="U34" s="284"/>
      <c r="V34" s="284"/>
      <c r="W34" s="284"/>
      <c r="X34" s="284"/>
    </row>
    <row r="35" spans="2:24" ht="15">
      <c r="B35" s="252"/>
      <c r="C35" s="246" t="s">
        <v>387</v>
      </c>
      <c r="D35" s="255">
        <v>0</v>
      </c>
      <c r="E35" s="255"/>
      <c r="F35" s="255"/>
      <c r="I35" s="293" t="s">
        <v>53</v>
      </c>
      <c r="J35" s="460">
        <v>0</v>
      </c>
      <c r="K35" s="460">
        <v>0</v>
      </c>
      <c r="L35" s="460">
        <v>0</v>
      </c>
      <c r="M35" s="460">
        <v>0</v>
      </c>
      <c r="N35" s="460">
        <v>0</v>
      </c>
      <c r="O35" s="460">
        <v>0</v>
      </c>
      <c r="P35" s="284"/>
      <c r="Q35" s="284"/>
      <c r="R35" s="284"/>
      <c r="S35" s="284"/>
      <c r="T35" s="284"/>
      <c r="U35" s="284"/>
      <c r="V35" s="284"/>
      <c r="W35" s="284"/>
      <c r="X35" s="284"/>
    </row>
    <row r="36" spans="2:24" ht="15">
      <c r="B36" s="252"/>
      <c r="C36" s="246" t="s">
        <v>388</v>
      </c>
      <c r="D36" s="255">
        <v>0</v>
      </c>
      <c r="E36" s="255"/>
      <c r="F36" s="255"/>
      <c r="I36" s="293" t="s">
        <v>424</v>
      </c>
      <c r="J36" s="460">
        <v>0</v>
      </c>
      <c r="K36" s="460">
        <v>0</v>
      </c>
      <c r="L36" s="460">
        <v>0</v>
      </c>
      <c r="M36" s="460">
        <v>0</v>
      </c>
      <c r="N36" s="460">
        <v>0</v>
      </c>
      <c r="O36" s="460">
        <v>0</v>
      </c>
      <c r="P36" s="284"/>
      <c r="Q36" s="284"/>
      <c r="R36" s="284"/>
      <c r="S36" s="284"/>
      <c r="T36" s="284"/>
      <c r="U36" s="284"/>
      <c r="V36" s="284"/>
      <c r="W36" s="284"/>
      <c r="X36" s="284"/>
    </row>
    <row r="37" spans="2:24" ht="15">
      <c r="B37" s="256" t="s">
        <v>393</v>
      </c>
      <c r="C37" s="257"/>
      <c r="D37" s="258">
        <v>30091</v>
      </c>
      <c r="E37" s="258">
        <v>27794</v>
      </c>
      <c r="F37" s="258">
        <v>25828</v>
      </c>
      <c r="I37" s="293" t="s">
        <v>425</v>
      </c>
      <c r="J37" s="460">
        <v>6489.27</v>
      </c>
      <c r="K37" s="460">
        <v>5664.85</v>
      </c>
      <c r="L37" s="460">
        <v>5653.69</v>
      </c>
      <c r="M37" s="460">
        <v>5595.16</v>
      </c>
      <c r="N37" s="460">
        <v>5517.93</v>
      </c>
      <c r="O37" s="460">
        <v>5123.8999999999996</v>
      </c>
      <c r="P37" s="284"/>
      <c r="Q37" s="545">
        <f>J37/(J37+J38)</f>
        <v>0.86127413896078042</v>
      </c>
      <c r="R37" s="284"/>
      <c r="S37" s="284"/>
      <c r="T37" s="284"/>
      <c r="U37" s="284"/>
      <c r="V37" s="284"/>
      <c r="W37" s="284"/>
      <c r="X37" s="284"/>
    </row>
    <row r="38" spans="2:24" ht="15">
      <c r="B38" s="252"/>
      <c r="C38" s="246" t="s">
        <v>382</v>
      </c>
      <c r="D38" s="255">
        <v>2424</v>
      </c>
      <c r="E38" s="255">
        <v>1949</v>
      </c>
      <c r="F38" s="255">
        <v>1582</v>
      </c>
      <c r="I38" s="293" t="s">
        <v>432</v>
      </c>
      <c r="J38" s="460">
        <v>1045.23</v>
      </c>
      <c r="K38" s="460">
        <v>868.2</v>
      </c>
      <c r="L38" s="460">
        <v>731.78</v>
      </c>
      <c r="M38" s="460">
        <v>623.69000000000005</v>
      </c>
      <c r="N38" s="460">
        <v>775.03</v>
      </c>
      <c r="O38" s="460">
        <v>545.64</v>
      </c>
      <c r="P38" s="284"/>
      <c r="Q38" s="545">
        <f>J38/(J37+J38)</f>
        <v>0.13872586103921961</v>
      </c>
      <c r="R38" s="284"/>
      <c r="S38" s="284"/>
      <c r="T38" s="284"/>
      <c r="U38" s="284"/>
      <c r="V38" s="284"/>
      <c r="W38" s="284"/>
      <c r="X38" s="284"/>
    </row>
    <row r="39" spans="2:24" ht="15">
      <c r="B39" s="252"/>
      <c r="C39" s="246" t="s">
        <v>383</v>
      </c>
      <c r="D39" s="255">
        <v>27623</v>
      </c>
      <c r="E39" s="255">
        <v>24828</v>
      </c>
      <c r="F39" s="255">
        <v>22508</v>
      </c>
      <c r="I39" s="293"/>
      <c r="J39" s="294"/>
      <c r="K39" s="294"/>
      <c r="L39" s="294"/>
      <c r="M39" s="284"/>
      <c r="N39" s="284"/>
      <c r="O39" s="284"/>
      <c r="P39" s="284"/>
      <c r="Q39" s="284"/>
      <c r="R39" s="284"/>
      <c r="S39" s="284"/>
      <c r="T39" s="284"/>
      <c r="U39" s="284"/>
      <c r="V39" s="284"/>
      <c r="W39" s="284"/>
      <c r="X39" s="284"/>
    </row>
    <row r="40" spans="2:24" ht="15">
      <c r="B40" s="252"/>
      <c r="C40" s="246" t="s">
        <v>384</v>
      </c>
      <c r="D40" s="255">
        <v>0</v>
      </c>
      <c r="E40" s="255"/>
      <c r="F40" s="255"/>
      <c r="I40" s="295" t="s">
        <v>436</v>
      </c>
      <c r="J40" s="481">
        <v>1745.26</v>
      </c>
      <c r="K40" s="481">
        <v>1864.71</v>
      </c>
      <c r="L40" s="481">
        <v>1758.66</v>
      </c>
      <c r="M40" s="481">
        <v>1545.28</v>
      </c>
      <c r="N40" s="481">
        <v>1484.56</v>
      </c>
      <c r="O40" s="481">
        <v>1377.44</v>
      </c>
      <c r="P40" s="284"/>
      <c r="Q40" s="545"/>
      <c r="R40" s="284"/>
      <c r="S40" s="284"/>
      <c r="T40" s="284"/>
      <c r="U40" s="284"/>
      <c r="V40" s="284"/>
      <c r="W40" s="284"/>
      <c r="X40" s="284"/>
    </row>
    <row r="41" spans="2:24" ht="15">
      <c r="B41" s="252"/>
      <c r="C41" s="246" t="s">
        <v>385</v>
      </c>
      <c r="D41" s="255">
        <v>0</v>
      </c>
      <c r="E41" s="255"/>
      <c r="F41" s="255"/>
      <c r="I41" s="293" t="s">
        <v>53</v>
      </c>
      <c r="J41" s="483">
        <v>0</v>
      </c>
      <c r="K41" s="483">
        <v>0</v>
      </c>
      <c r="L41" s="483">
        <v>0</v>
      </c>
      <c r="M41" s="483">
        <v>0</v>
      </c>
      <c r="N41" s="483">
        <v>0</v>
      </c>
      <c r="O41" s="483">
        <v>0.05</v>
      </c>
      <c r="P41" s="284"/>
      <c r="Q41" s="284"/>
      <c r="R41" s="284"/>
      <c r="S41" s="284"/>
      <c r="T41" s="284"/>
      <c r="U41" s="284"/>
      <c r="V41" s="284"/>
      <c r="W41" s="284"/>
      <c r="X41" s="284"/>
    </row>
    <row r="42" spans="2:24" ht="15">
      <c r="B42" s="252"/>
      <c r="C42" s="246" t="s">
        <v>386</v>
      </c>
      <c r="D42" s="255">
        <v>40</v>
      </c>
      <c r="E42" s="255">
        <v>66</v>
      </c>
      <c r="F42" s="255">
        <v>53</v>
      </c>
      <c r="I42" s="293" t="s">
        <v>429</v>
      </c>
      <c r="J42" s="483">
        <v>73.39</v>
      </c>
      <c r="K42" s="483">
        <v>65.680000000000007</v>
      </c>
      <c r="L42" s="483">
        <v>57.44</v>
      </c>
      <c r="M42" s="483">
        <v>62.76</v>
      </c>
      <c r="N42" s="483">
        <v>64.87</v>
      </c>
      <c r="O42" s="483">
        <v>38.869999999999997</v>
      </c>
      <c r="P42" s="284"/>
      <c r="Q42" s="284"/>
      <c r="R42" s="284"/>
      <c r="S42" s="284"/>
      <c r="T42" s="284"/>
      <c r="U42" s="284"/>
      <c r="V42" s="284"/>
      <c r="W42" s="284"/>
      <c r="X42" s="284"/>
    </row>
    <row r="43" spans="2:24" ht="15">
      <c r="B43" s="252"/>
      <c r="C43" s="246" t="s">
        <v>54</v>
      </c>
      <c r="D43" s="255">
        <v>5</v>
      </c>
      <c r="E43" s="255">
        <v>951</v>
      </c>
      <c r="F43" s="255">
        <v>1685</v>
      </c>
      <c r="I43" s="293" t="s">
        <v>423</v>
      </c>
      <c r="J43" s="483">
        <v>1.28</v>
      </c>
      <c r="K43" s="483">
        <v>0.89</v>
      </c>
      <c r="L43" s="483">
        <v>1.05</v>
      </c>
      <c r="M43" s="483">
        <v>0.76</v>
      </c>
      <c r="N43" s="483">
        <v>0.33</v>
      </c>
      <c r="O43" s="483">
        <v>0.23</v>
      </c>
      <c r="P43" s="284"/>
      <c r="Q43" s="284"/>
      <c r="R43" s="284"/>
      <c r="S43" s="284"/>
      <c r="T43" s="284"/>
      <c r="U43" s="284"/>
      <c r="V43" s="284"/>
      <c r="W43" s="284"/>
      <c r="X43" s="284"/>
    </row>
    <row r="44" spans="2:24" ht="15">
      <c r="B44" s="252"/>
      <c r="C44" s="246" t="s">
        <v>387</v>
      </c>
      <c r="D44" s="255">
        <v>0</v>
      </c>
      <c r="E44" s="255"/>
      <c r="F44" s="255"/>
      <c r="I44" s="293" t="s">
        <v>424</v>
      </c>
      <c r="J44" s="483">
        <v>0</v>
      </c>
      <c r="K44" s="483">
        <v>0</v>
      </c>
      <c r="L44" s="483">
        <v>0</v>
      </c>
      <c r="M44" s="483">
        <v>0</v>
      </c>
      <c r="N44" s="483">
        <v>0</v>
      </c>
      <c r="O44" s="483">
        <v>0</v>
      </c>
      <c r="P44" s="284"/>
      <c r="Q44" s="284"/>
      <c r="R44" s="284"/>
      <c r="S44" s="284"/>
      <c r="T44" s="284"/>
      <c r="U44" s="284"/>
      <c r="V44" s="284"/>
      <c r="W44" s="284"/>
      <c r="X44" s="284"/>
    </row>
    <row r="45" spans="2:24" ht="15">
      <c r="B45" s="252"/>
      <c r="C45" s="246" t="s">
        <v>388</v>
      </c>
      <c r="D45" s="255">
        <v>0</v>
      </c>
      <c r="E45" s="255"/>
      <c r="F45" s="255"/>
      <c r="I45" s="293" t="s">
        <v>431</v>
      </c>
      <c r="J45" s="483">
        <v>1670.58</v>
      </c>
      <c r="K45" s="483">
        <v>1798.14</v>
      </c>
      <c r="L45" s="483">
        <v>1700.17</v>
      </c>
      <c r="M45" s="483">
        <v>1481.77</v>
      </c>
      <c r="N45" s="483">
        <v>1419.36</v>
      </c>
      <c r="O45" s="483">
        <v>1338.29</v>
      </c>
      <c r="P45" s="284"/>
      <c r="Q45" s="284"/>
      <c r="R45" s="284"/>
      <c r="S45" s="284"/>
      <c r="T45" s="284"/>
      <c r="U45" s="284"/>
      <c r="V45" s="284"/>
      <c r="W45" s="284"/>
      <c r="X45" s="284"/>
    </row>
    <row r="46" spans="2:24" ht="15">
      <c r="B46" s="256" t="s">
        <v>394</v>
      </c>
      <c r="C46" s="257"/>
      <c r="D46" s="258">
        <v>234</v>
      </c>
      <c r="E46" s="258">
        <v>210</v>
      </c>
      <c r="F46" s="258">
        <v>193</v>
      </c>
      <c r="I46" s="293"/>
      <c r="J46" s="294"/>
      <c r="K46" s="294"/>
      <c r="L46" s="294"/>
      <c r="M46" s="284"/>
      <c r="N46" s="284"/>
      <c r="O46" s="284"/>
      <c r="P46" s="284"/>
      <c r="Q46" s="284"/>
      <c r="R46" s="284"/>
      <c r="S46" s="284"/>
      <c r="T46" s="284"/>
      <c r="U46" s="284"/>
      <c r="V46" s="284"/>
      <c r="W46" s="284"/>
      <c r="X46" s="284"/>
    </row>
    <row r="47" spans="2:24" ht="15">
      <c r="B47" s="252"/>
      <c r="C47" s="246" t="s">
        <v>383</v>
      </c>
      <c r="D47" s="255">
        <v>234</v>
      </c>
      <c r="E47" s="255">
        <v>203</v>
      </c>
      <c r="F47" s="255">
        <v>180</v>
      </c>
      <c r="I47" s="295" t="s">
        <v>437</v>
      </c>
      <c r="J47" s="481">
        <v>32551.77</v>
      </c>
      <c r="K47" s="481">
        <v>33929.93</v>
      </c>
      <c r="L47" s="481">
        <v>34878.14</v>
      </c>
      <c r="M47" s="481">
        <v>35151.040000000001</v>
      </c>
      <c r="N47" s="481">
        <v>34815.19</v>
      </c>
      <c r="O47" s="481">
        <v>37747.71</v>
      </c>
      <c r="P47" s="284"/>
      <c r="Q47" s="284">
        <f>J49+J45</f>
        <v>34218.49</v>
      </c>
      <c r="R47" s="284">
        <f>K49+K45</f>
        <v>35724.22</v>
      </c>
      <c r="S47" s="284">
        <f t="shared" ref="S47" si="0">L49+L45</f>
        <v>36574.449999999997</v>
      </c>
      <c r="T47" s="284"/>
      <c r="U47" s="284"/>
      <c r="V47" s="284"/>
      <c r="W47" s="284"/>
      <c r="X47" s="284"/>
    </row>
    <row r="48" spans="2:24" ht="15">
      <c r="B48" s="252"/>
      <c r="C48" s="246" t="s">
        <v>384</v>
      </c>
      <c r="D48" s="255">
        <v>0</v>
      </c>
      <c r="E48" s="255">
        <v>0</v>
      </c>
      <c r="F48" s="255">
        <v>0</v>
      </c>
      <c r="I48" s="293" t="s">
        <v>429</v>
      </c>
      <c r="J48" s="460">
        <v>3.86</v>
      </c>
      <c r="K48" s="460">
        <v>3.86</v>
      </c>
      <c r="L48" s="460">
        <v>3.86</v>
      </c>
      <c r="M48" s="460">
        <v>0.9</v>
      </c>
      <c r="N48" s="460">
        <v>1.83</v>
      </c>
      <c r="O48" s="460">
        <v>2.99</v>
      </c>
      <c r="P48" s="284"/>
      <c r="Q48" s="284"/>
      <c r="R48" s="284"/>
      <c r="S48" s="284"/>
      <c r="T48" s="284"/>
      <c r="U48" s="284"/>
      <c r="V48" s="284"/>
      <c r="W48" s="284"/>
      <c r="X48" s="284"/>
    </row>
    <row r="49" spans="2:24" ht="15">
      <c r="B49" s="252"/>
      <c r="C49" s="246" t="s">
        <v>385</v>
      </c>
      <c r="D49" s="255">
        <v>0</v>
      </c>
      <c r="E49" s="255">
        <v>0</v>
      </c>
      <c r="F49" s="255">
        <v>0</v>
      </c>
      <c r="I49" s="293" t="s">
        <v>431</v>
      </c>
      <c r="J49" s="460">
        <v>32547.91</v>
      </c>
      <c r="K49" s="460">
        <v>33926.080000000002</v>
      </c>
      <c r="L49" s="460">
        <v>34874.28</v>
      </c>
      <c r="M49" s="460">
        <v>35150.14</v>
      </c>
      <c r="N49" s="460">
        <v>34813.35</v>
      </c>
      <c r="O49" s="460">
        <v>37744.720000000001</v>
      </c>
      <c r="P49" s="284"/>
      <c r="Q49" s="284"/>
      <c r="R49" s="284"/>
      <c r="S49" s="284"/>
      <c r="T49" s="284"/>
      <c r="U49" s="284"/>
      <c r="V49" s="284"/>
      <c r="W49" s="284"/>
      <c r="X49" s="284"/>
    </row>
    <row r="50" spans="2:24" ht="15">
      <c r="B50" s="252"/>
      <c r="C50" s="246" t="s">
        <v>54</v>
      </c>
      <c r="D50" s="255">
        <v>0</v>
      </c>
      <c r="E50" s="255">
        <v>8</v>
      </c>
      <c r="F50" s="255">
        <v>13</v>
      </c>
      <c r="I50" s="293"/>
      <c r="J50" s="294"/>
      <c r="K50" s="294"/>
      <c r="L50" s="294"/>
      <c r="M50" s="284"/>
      <c r="N50" s="284"/>
      <c r="O50" s="284"/>
      <c r="P50" s="284"/>
      <c r="Q50" s="284"/>
      <c r="R50" s="284"/>
      <c r="S50" s="284"/>
      <c r="T50" s="284"/>
      <c r="U50" s="284"/>
      <c r="V50" s="284"/>
      <c r="W50" s="284"/>
      <c r="X50" s="284"/>
    </row>
    <row r="51" spans="2:24" ht="15">
      <c r="B51" s="252"/>
      <c r="C51" s="246" t="s">
        <v>387</v>
      </c>
      <c r="D51" s="255">
        <v>0</v>
      </c>
      <c r="E51" s="255">
        <v>0</v>
      </c>
      <c r="F51" s="255">
        <v>0</v>
      </c>
      <c r="I51" s="295" t="s">
        <v>438</v>
      </c>
      <c r="J51" s="481">
        <v>2191.4299999999998</v>
      </c>
      <c r="K51" s="481">
        <v>1470.03</v>
      </c>
      <c r="L51" s="481">
        <v>2651.95</v>
      </c>
      <c r="M51" s="481">
        <v>1582.93</v>
      </c>
      <c r="N51" s="481">
        <v>1929.9</v>
      </c>
      <c r="O51" s="481">
        <v>1810.18</v>
      </c>
      <c r="P51" s="284"/>
      <c r="Q51" s="284"/>
      <c r="R51" s="284"/>
      <c r="S51" s="284"/>
      <c r="T51" s="284"/>
      <c r="U51" s="284"/>
      <c r="V51" s="284"/>
      <c r="W51" s="284"/>
      <c r="X51" s="284"/>
    </row>
    <row r="52" spans="2:24" ht="15">
      <c r="B52" s="252"/>
      <c r="C52" s="246" t="s">
        <v>388</v>
      </c>
      <c r="D52" s="255">
        <v>0</v>
      </c>
      <c r="E52" s="255">
        <v>0</v>
      </c>
      <c r="F52" s="255">
        <v>0</v>
      </c>
      <c r="I52" s="293" t="s">
        <v>429</v>
      </c>
      <c r="J52" s="460">
        <v>5.04</v>
      </c>
      <c r="K52" s="460">
        <v>6.19</v>
      </c>
      <c r="L52" s="460">
        <v>3.7</v>
      </c>
      <c r="M52" s="460">
        <v>3.73</v>
      </c>
      <c r="N52" s="460">
        <v>2.4900000000000002</v>
      </c>
      <c r="O52" s="460">
        <v>5.91</v>
      </c>
      <c r="P52" s="284"/>
      <c r="Q52" s="284"/>
      <c r="R52" s="284"/>
      <c r="S52" s="284"/>
      <c r="T52" s="284"/>
      <c r="U52" s="284"/>
      <c r="V52" s="284"/>
      <c r="W52" s="284"/>
      <c r="X52" s="284"/>
    </row>
    <row r="53" spans="2:24" ht="15">
      <c r="B53" s="256" t="s">
        <v>395</v>
      </c>
      <c r="C53" s="257"/>
      <c r="D53" s="258">
        <v>22970</v>
      </c>
      <c r="E53" s="258">
        <v>23401</v>
      </c>
      <c r="F53" s="258">
        <v>21528</v>
      </c>
      <c r="I53" s="293" t="s">
        <v>423</v>
      </c>
      <c r="J53" s="460">
        <v>8.84</v>
      </c>
      <c r="K53" s="460">
        <v>5.68</v>
      </c>
      <c r="L53" s="460">
        <v>0</v>
      </c>
      <c r="M53" s="460">
        <v>1.51</v>
      </c>
      <c r="N53" s="460">
        <v>3.61</v>
      </c>
      <c r="O53" s="460">
        <v>2.99</v>
      </c>
      <c r="P53" s="284"/>
      <c r="Q53" s="284"/>
      <c r="R53" s="284"/>
      <c r="S53" s="284"/>
      <c r="T53" s="284"/>
      <c r="U53" s="284"/>
      <c r="V53" s="284"/>
      <c r="W53" s="284"/>
      <c r="X53" s="284"/>
    </row>
    <row r="54" spans="2:24" ht="15">
      <c r="B54" s="252"/>
      <c r="C54" s="246" t="s">
        <v>383</v>
      </c>
      <c r="D54" s="255">
        <v>22966</v>
      </c>
      <c r="E54" s="255">
        <v>22538</v>
      </c>
      <c r="F54" s="255">
        <v>20029</v>
      </c>
      <c r="I54" s="293" t="s">
        <v>430</v>
      </c>
      <c r="J54" s="460">
        <v>0</v>
      </c>
      <c r="K54" s="460">
        <v>0</v>
      </c>
      <c r="L54" s="460">
        <v>0</v>
      </c>
      <c r="M54" s="460">
        <v>0</v>
      </c>
      <c r="N54" s="460">
        <v>0</v>
      </c>
      <c r="O54" s="460">
        <v>0</v>
      </c>
      <c r="P54" s="284"/>
      <c r="Q54" s="284"/>
      <c r="R54" s="284"/>
      <c r="S54" s="284"/>
      <c r="T54" s="284"/>
      <c r="U54" s="284"/>
      <c r="V54" s="284"/>
      <c r="W54" s="284"/>
      <c r="X54" s="284"/>
    </row>
    <row r="55" spans="2:24" ht="15">
      <c r="B55" s="252"/>
      <c r="C55" s="246" t="s">
        <v>384</v>
      </c>
      <c r="D55" s="255">
        <v>0</v>
      </c>
      <c r="E55" s="255">
        <v>0</v>
      </c>
      <c r="F55" s="255">
        <v>0</v>
      </c>
      <c r="I55" s="293" t="s">
        <v>431</v>
      </c>
      <c r="J55" s="460">
        <v>1078.52</v>
      </c>
      <c r="K55" s="460">
        <v>861.82</v>
      </c>
      <c r="L55" s="460">
        <v>1603.34</v>
      </c>
      <c r="M55" s="460">
        <v>697.98</v>
      </c>
      <c r="N55" s="460">
        <v>1051.31</v>
      </c>
      <c r="O55" s="460">
        <v>963.16</v>
      </c>
      <c r="P55" s="284"/>
      <c r="Q55" s="284"/>
      <c r="R55" s="284"/>
      <c r="S55" s="284"/>
      <c r="T55" s="284"/>
      <c r="U55" s="284"/>
      <c r="V55" s="284"/>
      <c r="W55" s="284"/>
      <c r="X55" s="284"/>
    </row>
    <row r="56" spans="2:24" ht="15">
      <c r="B56" s="252"/>
      <c r="C56" s="246" t="s">
        <v>385</v>
      </c>
      <c r="D56" s="255">
        <v>0</v>
      </c>
      <c r="E56" s="255">
        <v>0</v>
      </c>
      <c r="F56" s="255">
        <v>0</v>
      </c>
      <c r="I56" s="293" t="s">
        <v>425</v>
      </c>
      <c r="J56" s="460">
        <v>1099.03</v>
      </c>
      <c r="K56" s="460">
        <v>596.34</v>
      </c>
      <c r="L56" s="460">
        <v>1044.9100000000001</v>
      </c>
      <c r="M56" s="460">
        <v>879.7</v>
      </c>
      <c r="N56" s="460">
        <v>872.49</v>
      </c>
      <c r="O56" s="460">
        <v>838.13</v>
      </c>
      <c r="P56" s="296"/>
      <c r="Q56" s="296"/>
      <c r="R56" s="296"/>
      <c r="S56" s="296"/>
      <c r="T56" s="296"/>
      <c r="U56" s="296"/>
      <c r="V56" s="296"/>
      <c r="W56" s="296"/>
      <c r="X56" s="296"/>
    </row>
    <row r="57" spans="2:24" ht="15">
      <c r="B57" s="252"/>
      <c r="C57" s="246" t="s">
        <v>54</v>
      </c>
      <c r="D57" s="255">
        <v>4</v>
      </c>
      <c r="E57" s="255">
        <v>863</v>
      </c>
      <c r="F57" s="255">
        <v>1499</v>
      </c>
    </row>
    <row r="58" spans="2:24" ht="15">
      <c r="B58" s="252"/>
      <c r="C58" s="246" t="s">
        <v>387</v>
      </c>
      <c r="D58" s="255">
        <v>0</v>
      </c>
      <c r="E58" s="255">
        <v>0</v>
      </c>
      <c r="F58" s="255">
        <v>0</v>
      </c>
    </row>
    <row r="59" spans="2:24" ht="15">
      <c r="B59" s="252"/>
      <c r="C59" s="246" t="s">
        <v>388</v>
      </c>
      <c r="D59" s="255">
        <v>0</v>
      </c>
      <c r="E59" s="255">
        <v>0</v>
      </c>
      <c r="F59" s="255">
        <v>0</v>
      </c>
    </row>
    <row r="60" spans="2:24" ht="15">
      <c r="B60" s="249" t="s">
        <v>396</v>
      </c>
      <c r="C60" s="250"/>
      <c r="D60" s="259">
        <v>161215</v>
      </c>
      <c r="E60" s="259">
        <v>159679</v>
      </c>
      <c r="F60" s="259">
        <v>155579</v>
      </c>
      <c r="M60">
        <f>(2*D28+D37*3.5+6*D46)/SUM(D28,D37,D46)</f>
        <v>3.3129809062410942</v>
      </c>
    </row>
    <row r="61" spans="2:24" ht="15">
      <c r="B61" s="248"/>
      <c r="C61" s="248"/>
      <c r="D61" s="260"/>
      <c r="E61" s="260"/>
      <c r="F61" s="260"/>
      <c r="M61">
        <f>(3.5*D46+6*D53)/SUM(D46+D53)</f>
        <v>5.9747888295121534</v>
      </c>
    </row>
    <row r="62" spans="2:24" ht="15">
      <c r="B62" s="248" t="s">
        <v>397</v>
      </c>
      <c r="C62" s="245"/>
      <c r="D62" s="261">
        <v>160.60069048125001</v>
      </c>
      <c r="E62" s="261"/>
      <c r="F62" s="261"/>
    </row>
    <row r="63" spans="2:24" ht="15">
      <c r="B63" s="248" t="s">
        <v>398</v>
      </c>
      <c r="C63" s="245"/>
      <c r="D63" s="262">
        <v>160600.69048125</v>
      </c>
      <c r="E63" s="262"/>
      <c r="F63" s="262"/>
    </row>
    <row r="64" spans="2:24" ht="15">
      <c r="B64" s="248"/>
      <c r="C64" s="245"/>
      <c r="D64" s="245"/>
      <c r="E64" s="245"/>
      <c r="F64" s="245"/>
    </row>
    <row r="65" spans="2:6" ht="15">
      <c r="B65" s="263" t="s">
        <v>399</v>
      </c>
      <c r="C65" s="263"/>
      <c r="D65" s="264">
        <v>-8322.8330478305597</v>
      </c>
      <c r="E65" s="264"/>
      <c r="F65" s="264"/>
    </row>
  </sheetData>
  <mergeCells count="1">
    <mergeCell ref="B2:F2"/>
  </mergeCells>
  <pageMargins left="0.7" right="0.7" top="0.75" bottom="0.75" header="0.3" footer="0.3"/>
  <pageSetup paperSize="9" orientation="portrait" verticalDpi="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0000"/>
  </sheetPr>
  <dimension ref="B1:AV86"/>
  <sheetViews>
    <sheetView topLeftCell="A31" workbookViewId="0">
      <selection activeCell="C59" sqref="C59"/>
    </sheetView>
  </sheetViews>
  <sheetFormatPr defaultColWidth="9.140625" defaultRowHeight="12.75"/>
  <cols>
    <col min="1" max="1" width="3.7109375" style="299" customWidth="1"/>
    <col min="2" max="2" width="35.7109375" style="299" customWidth="1"/>
    <col min="3" max="3" width="15.7109375" style="299" customWidth="1"/>
    <col min="4" max="4" width="11.42578125" style="299" customWidth="1"/>
    <col min="5" max="8" width="9.7109375" style="299" customWidth="1"/>
    <col min="9" max="9" width="13.85546875" style="299" customWidth="1"/>
    <col min="10" max="54" width="9.7109375" style="299" customWidth="1"/>
    <col min="55" max="16384" width="9.140625" style="299"/>
  </cols>
  <sheetData>
    <row r="1" spans="2:48" s="297" customFormat="1" ht="20.25">
      <c r="B1" s="298" t="s">
        <v>439</v>
      </c>
      <c r="D1" s="298"/>
      <c r="E1" s="298"/>
    </row>
    <row r="2" spans="2:48">
      <c r="G2" s="300"/>
      <c r="H2" s="300"/>
      <c r="I2" s="300"/>
      <c r="J2" s="300"/>
      <c r="K2" s="300"/>
      <c r="L2" s="300"/>
      <c r="M2" s="300"/>
      <c r="N2" s="300"/>
      <c r="O2" s="300"/>
      <c r="P2" s="300"/>
      <c r="Q2" s="300"/>
      <c r="R2" s="300"/>
      <c r="S2" s="300"/>
      <c r="T2" s="300"/>
      <c r="U2" s="300"/>
      <c r="V2" s="300"/>
      <c r="W2" s="300"/>
      <c r="X2" s="300"/>
      <c r="Y2" s="300"/>
      <c r="Z2" s="300"/>
      <c r="AA2" s="300"/>
      <c r="AB2" s="300"/>
      <c r="AC2" s="300"/>
      <c r="AD2" s="300"/>
      <c r="AE2" s="300"/>
      <c r="AF2" s="300"/>
      <c r="AG2" s="300"/>
      <c r="AH2" s="300"/>
      <c r="AI2" s="300"/>
      <c r="AJ2" s="300"/>
      <c r="AK2" s="300"/>
      <c r="AL2" s="300"/>
      <c r="AM2" s="300"/>
      <c r="AN2" s="301"/>
    </row>
    <row r="3" spans="2:48" ht="18.75" thickBot="1">
      <c r="B3" s="302" t="s">
        <v>440</v>
      </c>
      <c r="G3" s="303"/>
      <c r="H3" s="303"/>
      <c r="I3" s="303"/>
      <c r="J3" s="303"/>
      <c r="K3" s="303"/>
      <c r="L3" s="303"/>
      <c r="M3" s="303"/>
      <c r="N3" s="303"/>
      <c r="O3" s="303"/>
      <c r="P3" s="303"/>
      <c r="Q3" s="303"/>
      <c r="R3" s="303"/>
      <c r="S3" s="303"/>
      <c r="T3" s="303"/>
      <c r="U3" s="303"/>
      <c r="V3" s="303"/>
      <c r="W3" s="303"/>
      <c r="X3" s="303"/>
      <c r="Y3" s="303"/>
      <c r="Z3" s="303"/>
      <c r="AA3" s="303"/>
      <c r="AB3" s="303"/>
      <c r="AC3" s="304"/>
      <c r="AD3" s="304"/>
      <c r="AE3" s="304"/>
      <c r="AF3" s="304"/>
      <c r="AG3" s="304"/>
      <c r="AH3" s="304"/>
      <c r="AI3" s="304"/>
      <c r="AJ3" s="305"/>
      <c r="AK3" s="304"/>
      <c r="AL3" s="304"/>
      <c r="AM3" s="304"/>
      <c r="AN3" s="306"/>
      <c r="AO3" s="307"/>
    </row>
    <row r="4" spans="2:48">
      <c r="B4" s="308" t="s">
        <v>410</v>
      </c>
      <c r="C4" s="309" t="s">
        <v>411</v>
      </c>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1"/>
      <c r="AL4" s="311"/>
      <c r="AM4" s="310"/>
      <c r="AN4" s="310"/>
      <c r="AO4" s="310"/>
      <c r="AP4" s="310"/>
      <c r="AQ4" s="310"/>
      <c r="AR4" s="310"/>
      <c r="AS4" s="310"/>
      <c r="AT4" s="310"/>
      <c r="AU4" s="310"/>
      <c r="AV4" s="312"/>
    </row>
    <row r="5" spans="2:48">
      <c r="B5" s="313" t="s">
        <v>412</v>
      </c>
      <c r="C5" s="314" t="s">
        <v>413</v>
      </c>
      <c r="D5" s="315">
        <v>1972</v>
      </c>
      <c r="E5" s="315">
        <v>1973</v>
      </c>
      <c r="F5" s="315">
        <v>1974</v>
      </c>
      <c r="G5" s="315">
        <v>1975</v>
      </c>
      <c r="H5" s="315">
        <v>1976</v>
      </c>
      <c r="I5" s="315">
        <v>1977</v>
      </c>
      <c r="J5" s="315">
        <v>1978</v>
      </c>
      <c r="K5" s="315">
        <v>1979</v>
      </c>
      <c r="L5" s="315">
        <v>1980</v>
      </c>
      <c r="M5" s="315">
        <v>1981</v>
      </c>
      <c r="N5" s="315">
        <v>1982</v>
      </c>
      <c r="O5" s="315">
        <v>1983</v>
      </c>
      <c r="P5" s="315">
        <v>1984</v>
      </c>
      <c r="Q5" s="315">
        <v>1985</v>
      </c>
      <c r="R5" s="315">
        <v>1986</v>
      </c>
      <c r="S5" s="315">
        <v>1987</v>
      </c>
      <c r="T5" s="315">
        <v>1988</v>
      </c>
      <c r="U5" s="315">
        <v>1989</v>
      </c>
      <c r="V5" s="315">
        <v>1990</v>
      </c>
      <c r="W5" s="315">
        <v>1991</v>
      </c>
      <c r="X5" s="315">
        <v>1992</v>
      </c>
      <c r="Y5" s="315">
        <v>1993</v>
      </c>
      <c r="Z5" s="315">
        <v>1994</v>
      </c>
      <c r="AA5" s="315">
        <v>1995</v>
      </c>
      <c r="AB5" s="315">
        <v>1996</v>
      </c>
      <c r="AC5" s="315">
        <v>1997</v>
      </c>
      <c r="AD5" s="315">
        <v>1998</v>
      </c>
      <c r="AE5" s="315">
        <v>1999</v>
      </c>
      <c r="AF5" s="315">
        <v>2000</v>
      </c>
      <c r="AG5" s="315">
        <v>2001</v>
      </c>
      <c r="AH5" s="315">
        <v>2002</v>
      </c>
      <c r="AI5" s="315">
        <v>2003</v>
      </c>
      <c r="AJ5" s="315">
        <v>2004</v>
      </c>
      <c r="AK5" s="315">
        <v>2005</v>
      </c>
      <c r="AL5" s="315">
        <v>2006</v>
      </c>
      <c r="AM5" s="315">
        <v>2007</v>
      </c>
      <c r="AN5" s="315">
        <v>2008</v>
      </c>
      <c r="AO5" s="315">
        <v>2009</v>
      </c>
      <c r="AP5" s="315">
        <v>2010</v>
      </c>
      <c r="AQ5" s="315">
        <v>2011</v>
      </c>
      <c r="AR5" s="315">
        <v>2012</v>
      </c>
      <c r="AS5" s="315">
        <v>2013</v>
      </c>
      <c r="AT5" s="315">
        <v>2014</v>
      </c>
      <c r="AU5" s="315">
        <v>2015</v>
      </c>
      <c r="AV5" s="316">
        <v>2016</v>
      </c>
    </row>
    <row r="6" spans="2:48">
      <c r="B6" s="317" t="s">
        <v>441</v>
      </c>
      <c r="C6" s="318" t="s">
        <v>53</v>
      </c>
      <c r="D6" s="319" t="e">
        <v>#NULL!</v>
      </c>
      <c r="E6" s="319" t="e">
        <v>#NULL!</v>
      </c>
      <c r="F6" s="319" t="e">
        <v>#NULL!</v>
      </c>
      <c r="G6" s="319" t="e">
        <v>#NULL!</v>
      </c>
      <c r="H6" s="319" t="e">
        <v>#NULL!</v>
      </c>
      <c r="I6" s="319" t="e">
        <v>#NULL!</v>
      </c>
      <c r="J6" s="319" t="e">
        <v>#NULL!</v>
      </c>
      <c r="K6" s="319" t="e">
        <v>#NULL!</v>
      </c>
      <c r="L6" s="319" t="e">
        <v>#NULL!</v>
      </c>
      <c r="M6" s="319" t="e">
        <v>#NULL!</v>
      </c>
      <c r="N6" s="319" t="e">
        <v>#NULL!</v>
      </c>
      <c r="O6" s="319" t="e">
        <v>#NULL!</v>
      </c>
      <c r="P6" s="319" t="e">
        <v>#NULL!</v>
      </c>
      <c r="Q6" s="319" t="e">
        <v>#NULL!</v>
      </c>
      <c r="R6" s="319" t="e">
        <v>#NULL!</v>
      </c>
      <c r="S6" s="319" t="e">
        <v>#NULL!</v>
      </c>
      <c r="T6" s="319" t="e">
        <v>#NULL!</v>
      </c>
      <c r="U6" s="319" t="e">
        <v>#NULL!</v>
      </c>
      <c r="V6" s="319" t="e">
        <v>#NULL!</v>
      </c>
      <c r="W6" s="319" t="e">
        <v>#NULL!</v>
      </c>
      <c r="X6" s="319" t="e">
        <v>#NULL!</v>
      </c>
      <c r="Y6" s="319" t="e">
        <v>#NULL!</v>
      </c>
      <c r="Z6" s="319" t="e">
        <v>#NULL!</v>
      </c>
      <c r="AA6" s="319" t="e">
        <v>#NULL!</v>
      </c>
      <c r="AB6" s="319" t="e">
        <v>#NULL!</v>
      </c>
      <c r="AC6" s="319" t="e">
        <v>#NULL!</v>
      </c>
      <c r="AD6" s="319" t="e">
        <v>#NULL!</v>
      </c>
      <c r="AE6" s="319" t="e">
        <v>#NULL!</v>
      </c>
      <c r="AF6" s="319" t="e">
        <v>#NULL!</v>
      </c>
      <c r="AG6" s="319" t="e">
        <v>#NULL!</v>
      </c>
      <c r="AH6" s="319" t="e">
        <v>#NULL!</v>
      </c>
      <c r="AI6" s="319" t="e">
        <v>#NULL!</v>
      </c>
      <c r="AJ6" s="319" t="e">
        <v>#NULL!</v>
      </c>
      <c r="AK6" s="319" t="e">
        <v>#NULL!</v>
      </c>
      <c r="AL6" s="319" t="e">
        <v>#NULL!</v>
      </c>
      <c r="AM6" s="319" t="e">
        <v>#NULL!</v>
      </c>
      <c r="AN6" s="319" t="e">
        <v>#NULL!</v>
      </c>
      <c r="AO6" s="319" t="e">
        <v>#NULL!</v>
      </c>
      <c r="AP6" s="319" t="e">
        <v>#NULL!</v>
      </c>
      <c r="AQ6" s="319" t="e">
        <v>#NULL!</v>
      </c>
      <c r="AR6" s="319" t="e">
        <v>#NULL!</v>
      </c>
      <c r="AS6" s="319" t="e">
        <v>#NULL!</v>
      </c>
      <c r="AT6" s="319" t="e">
        <v>#NULL!</v>
      </c>
      <c r="AU6" s="319" t="e">
        <v>#NULL!</v>
      </c>
      <c r="AV6" s="320" t="e">
        <v>#NULL!</v>
      </c>
    </row>
    <row r="7" spans="2:48">
      <c r="B7" s="321"/>
      <c r="C7" s="318" t="s">
        <v>382</v>
      </c>
      <c r="D7" s="322">
        <v>3.216548239834133</v>
      </c>
      <c r="E7" s="322">
        <v>3.1991773930844514</v>
      </c>
      <c r="F7" s="322">
        <v>3.1818065463347707</v>
      </c>
      <c r="G7" s="322">
        <v>3.1644356995850895</v>
      </c>
      <c r="H7" s="322">
        <v>3.1470648528354088</v>
      </c>
      <c r="I7" s="322">
        <v>3.1296940060857321</v>
      </c>
      <c r="J7" s="322">
        <v>3.112323159336051</v>
      </c>
      <c r="K7" s="322">
        <v>3.0949523125863694</v>
      </c>
      <c r="L7" s="322">
        <v>3.0775814658366887</v>
      </c>
      <c r="M7" s="322">
        <v>3.0602106190870075</v>
      </c>
      <c r="N7" s="322">
        <v>3.0428397723373308</v>
      </c>
      <c r="O7" s="322">
        <v>3.0254689255876501</v>
      </c>
      <c r="P7" s="322">
        <v>3.008098078837969</v>
      </c>
      <c r="Q7" s="322">
        <v>3.0272088392421246</v>
      </c>
      <c r="R7" s="322">
        <v>2.9924507194101406</v>
      </c>
      <c r="S7" s="322">
        <v>2.968391617560465</v>
      </c>
      <c r="T7" s="322">
        <v>2.923755796377363</v>
      </c>
      <c r="U7" s="322">
        <v>2.8976817310591669</v>
      </c>
      <c r="V7" s="322">
        <v>2.8812115948816928</v>
      </c>
      <c r="W7" s="322">
        <v>2.879098073417429</v>
      </c>
      <c r="X7" s="322">
        <v>2.8508009777508105</v>
      </c>
      <c r="Y7" s="322">
        <v>2.8399157946654316</v>
      </c>
      <c r="Z7" s="322">
        <v>2.8146411442015946</v>
      </c>
      <c r="AA7" s="322">
        <v>2.8092423562125686</v>
      </c>
      <c r="AB7" s="322">
        <v>2.8177073929580394</v>
      </c>
      <c r="AC7" s="322">
        <v>2.7894760026219161</v>
      </c>
      <c r="AD7" s="322">
        <v>2.779970631476937</v>
      </c>
      <c r="AE7" s="322">
        <v>2.7654169007722413</v>
      </c>
      <c r="AF7" s="322">
        <v>2.7539184679355735</v>
      </c>
      <c r="AG7" s="322">
        <v>2.7566232379372115</v>
      </c>
      <c r="AH7" s="322">
        <v>2.7599766202900526</v>
      </c>
      <c r="AI7" s="322">
        <v>2.7643888440847411</v>
      </c>
      <c r="AJ7" s="322">
        <v>2.7682249802287613</v>
      </c>
      <c r="AK7" s="322">
        <v>2.7793995216914031</v>
      </c>
      <c r="AL7" s="322">
        <v>2.7929183248866347</v>
      </c>
      <c r="AM7" s="322">
        <v>2.8070633992638032</v>
      </c>
      <c r="AN7" s="322">
        <v>2.8170706519659352</v>
      </c>
      <c r="AO7" s="322">
        <v>2.8274944949643128</v>
      </c>
      <c r="AP7" s="322">
        <v>2.8358104882129362</v>
      </c>
      <c r="AQ7" s="322">
        <v>2.8444925657615201</v>
      </c>
      <c r="AR7" s="322">
        <v>2.7998811019976091</v>
      </c>
      <c r="AS7" s="272">
        <v>2.7998811019976091</v>
      </c>
      <c r="AT7" s="272" t="e">
        <v>#NULL!</v>
      </c>
      <c r="AU7" s="272" t="e">
        <v>#NULL!</v>
      </c>
      <c r="AV7" s="323" t="e">
        <v>#NULL!</v>
      </c>
    </row>
    <row r="8" spans="2:48">
      <c r="B8" s="321"/>
      <c r="C8" s="318" t="s">
        <v>383</v>
      </c>
      <c r="D8" s="322">
        <v>3.2011328159297503</v>
      </c>
      <c r="E8" s="322">
        <v>3.1838452195920817</v>
      </c>
      <c r="F8" s="322">
        <v>3.1665576232544135</v>
      </c>
      <c r="G8" s="322">
        <v>3.1492700269167448</v>
      </c>
      <c r="H8" s="322">
        <v>3.1319824305790767</v>
      </c>
      <c r="I8" s="322">
        <v>3.114694834241412</v>
      </c>
      <c r="J8" s="322">
        <v>3.0974072379037434</v>
      </c>
      <c r="K8" s="322">
        <v>3.0801196415660748</v>
      </c>
      <c r="L8" s="322">
        <v>3.0628320452284066</v>
      </c>
      <c r="M8" s="322">
        <v>3.0455444488907379</v>
      </c>
      <c r="N8" s="322">
        <v>3.0282568525530733</v>
      </c>
      <c r="O8" s="322">
        <v>3.0109692562154056</v>
      </c>
      <c r="P8" s="322">
        <v>2.9936816598777365</v>
      </c>
      <c r="Q8" s="322">
        <v>3.012700831270692</v>
      </c>
      <c r="R8" s="322">
        <v>2.9781092909865272</v>
      </c>
      <c r="S8" s="322">
        <v>2.9541654932535995</v>
      </c>
      <c r="T8" s="322">
        <v>2.9097435908596938</v>
      </c>
      <c r="U8" s="322">
        <v>2.8837944864436267</v>
      </c>
      <c r="V8" s="322">
        <v>2.8674032839901349</v>
      </c>
      <c r="W8" s="322">
        <v>2.8652998916540149</v>
      </c>
      <c r="X8" s="322">
        <v>2.8371384108429618</v>
      </c>
      <c r="Y8" s="322">
        <v>2.826305395391651</v>
      </c>
      <c r="Z8" s="322">
        <v>2.8011518746053081</v>
      </c>
      <c r="AA8" s="322">
        <v>2.7957789605031986</v>
      </c>
      <c r="AB8" s="322">
        <v>2.8042034282535644</v>
      </c>
      <c r="AC8" s="322">
        <v>2.7761073378778311</v>
      </c>
      <c r="AD8" s="322">
        <v>2.7666475215682351</v>
      </c>
      <c r="AE8" s="322">
        <v>2.7521635401449043</v>
      </c>
      <c r="AF8" s="322">
        <v>2.7407202139639422</v>
      </c>
      <c r="AG8" s="322">
        <v>2.7246125240369699</v>
      </c>
      <c r="AH8" s="322">
        <v>2.7122724068203397</v>
      </c>
      <c r="AI8" s="322">
        <v>2.6988652474386354</v>
      </c>
      <c r="AJ8" s="322">
        <v>2.6904727771564492</v>
      </c>
      <c r="AK8" s="322">
        <v>2.6875891724558789</v>
      </c>
      <c r="AL8" s="322">
        <v>2.6933921182166589</v>
      </c>
      <c r="AM8" s="322">
        <v>2.7071453411131303</v>
      </c>
      <c r="AN8" s="322">
        <v>2.5114391834827385</v>
      </c>
      <c r="AO8" s="322">
        <v>2.5005929046183342</v>
      </c>
      <c r="AP8" s="322">
        <v>2.4958829351368337</v>
      </c>
      <c r="AQ8" s="322">
        <v>2.4912859966544563</v>
      </c>
      <c r="AR8" s="322">
        <v>2.5039060692061836</v>
      </c>
      <c r="AS8" s="272">
        <v>2.5039060692061836</v>
      </c>
      <c r="AT8" s="272" t="e">
        <v>#NULL!</v>
      </c>
      <c r="AU8" s="272" t="e">
        <v>#NULL!</v>
      </c>
      <c r="AV8" s="323" t="e">
        <v>#NULL!</v>
      </c>
    </row>
    <row r="9" spans="2:48">
      <c r="B9" s="321"/>
      <c r="C9" s="318" t="s">
        <v>384</v>
      </c>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20"/>
    </row>
    <row r="10" spans="2:48">
      <c r="B10" s="321"/>
      <c r="C10" s="318" t="s">
        <v>385</v>
      </c>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20"/>
    </row>
    <row r="11" spans="2:48">
      <c r="B11" s="321"/>
      <c r="C11" s="318" t="s">
        <v>386</v>
      </c>
      <c r="D11" s="272"/>
      <c r="E11" s="272"/>
      <c r="F11" s="272"/>
      <c r="G11" s="272"/>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319"/>
      <c r="AN11" s="272"/>
      <c r="AO11" s="272"/>
      <c r="AP11" s="272"/>
      <c r="AQ11" s="272"/>
      <c r="AR11" s="272"/>
      <c r="AS11" s="272"/>
      <c r="AT11" s="272"/>
      <c r="AU11" s="272"/>
      <c r="AV11" s="323"/>
    </row>
    <row r="12" spans="2:48">
      <c r="B12" s="321"/>
      <c r="C12" s="318" t="s">
        <v>54</v>
      </c>
      <c r="D12" s="272"/>
      <c r="E12" s="272"/>
      <c r="F12" s="272"/>
      <c r="G12" s="272"/>
      <c r="H12" s="272"/>
      <c r="I12" s="272"/>
      <c r="J12" s="272"/>
      <c r="K12" s="272"/>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319"/>
      <c r="AN12" s="272"/>
      <c r="AO12" s="272"/>
      <c r="AP12" s="272"/>
      <c r="AQ12" s="272"/>
      <c r="AR12" s="272"/>
      <c r="AS12" s="272"/>
      <c r="AT12" s="272"/>
      <c r="AU12" s="272"/>
      <c r="AV12" s="323"/>
    </row>
    <row r="13" spans="2:48">
      <c r="B13" s="321"/>
      <c r="C13" s="318" t="s">
        <v>387</v>
      </c>
      <c r="D13" s="319"/>
      <c r="E13" s="319"/>
      <c r="F13" s="319"/>
      <c r="G13" s="319"/>
      <c r="H13" s="319"/>
      <c r="I13" s="319"/>
      <c r="J13" s="319"/>
      <c r="K13" s="319"/>
      <c r="L13" s="319"/>
      <c r="M13" s="319"/>
      <c r="N13" s="319"/>
      <c r="O13" s="319"/>
      <c r="P13" s="319"/>
      <c r="Q13" s="319"/>
      <c r="R13" s="319"/>
      <c r="S13" s="319"/>
      <c r="T13" s="319"/>
      <c r="U13" s="319"/>
      <c r="V13" s="319"/>
      <c r="W13" s="319"/>
      <c r="X13" s="319"/>
      <c r="Y13" s="319"/>
      <c r="Z13" s="319"/>
      <c r="AA13" s="319"/>
      <c r="AB13" s="319"/>
      <c r="AC13" s="319"/>
      <c r="AD13" s="319"/>
      <c r="AE13" s="319"/>
      <c r="AF13" s="319"/>
      <c r="AG13" s="319"/>
      <c r="AH13" s="319"/>
      <c r="AI13" s="319"/>
      <c r="AJ13" s="319"/>
      <c r="AK13" s="319"/>
      <c r="AL13" s="319"/>
      <c r="AM13" s="319"/>
      <c r="AN13" s="319"/>
      <c r="AO13" s="319"/>
      <c r="AP13" s="319"/>
      <c r="AQ13" s="319"/>
      <c r="AR13" s="319"/>
      <c r="AS13" s="319"/>
      <c r="AT13" s="319"/>
      <c r="AU13" s="319"/>
      <c r="AV13" s="320"/>
    </row>
    <row r="14" spans="2:48">
      <c r="B14" s="324"/>
      <c r="C14" s="325" t="s">
        <v>388</v>
      </c>
      <c r="D14" s="326"/>
      <c r="E14" s="326"/>
      <c r="F14" s="326"/>
      <c r="G14" s="326"/>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7"/>
    </row>
    <row r="15" spans="2:48">
      <c r="B15" s="317" t="s">
        <v>389</v>
      </c>
      <c r="C15" s="318" t="s">
        <v>53</v>
      </c>
      <c r="D15" s="319" t="e">
        <v>#NULL!</v>
      </c>
      <c r="E15" s="319" t="e">
        <v>#NULL!</v>
      </c>
      <c r="F15" s="319" t="e">
        <v>#NULL!</v>
      </c>
      <c r="G15" s="319" t="e">
        <v>#NULL!</v>
      </c>
      <c r="H15" s="319" t="e">
        <v>#NULL!</v>
      </c>
      <c r="I15" s="319" t="e">
        <v>#NULL!</v>
      </c>
      <c r="J15" s="319" t="e">
        <v>#NULL!</v>
      </c>
      <c r="K15" s="319" t="e">
        <v>#NULL!</v>
      </c>
      <c r="L15" s="319" t="e">
        <v>#NULL!</v>
      </c>
      <c r="M15" s="319" t="e">
        <v>#NULL!</v>
      </c>
      <c r="N15" s="319" t="e">
        <v>#NULL!</v>
      </c>
      <c r="O15" s="319" t="e">
        <v>#NULL!</v>
      </c>
      <c r="P15" s="319" t="e">
        <v>#NULL!</v>
      </c>
      <c r="Q15" s="319" t="e">
        <v>#NULL!</v>
      </c>
      <c r="R15" s="319" t="e">
        <v>#NULL!</v>
      </c>
      <c r="S15" s="319" t="e">
        <v>#NULL!</v>
      </c>
      <c r="T15" s="319" t="e">
        <v>#NULL!</v>
      </c>
      <c r="U15" s="319" t="e">
        <v>#NULL!</v>
      </c>
      <c r="V15" s="319" t="e">
        <v>#NULL!</v>
      </c>
      <c r="W15" s="319" t="e">
        <v>#NULL!</v>
      </c>
      <c r="X15" s="319" t="e">
        <v>#NULL!</v>
      </c>
      <c r="Y15" s="319" t="e">
        <v>#NULL!</v>
      </c>
      <c r="Z15" s="319" t="e">
        <v>#NULL!</v>
      </c>
      <c r="AA15" s="319" t="e">
        <v>#NULL!</v>
      </c>
      <c r="AB15" s="319" t="e">
        <v>#NULL!</v>
      </c>
      <c r="AC15" s="319" t="e">
        <v>#NULL!</v>
      </c>
      <c r="AD15" s="319" t="e">
        <v>#NULL!</v>
      </c>
      <c r="AE15" s="319" t="e">
        <v>#NULL!</v>
      </c>
      <c r="AF15" s="319" t="e">
        <v>#NULL!</v>
      </c>
      <c r="AG15" s="319" t="e">
        <v>#NULL!</v>
      </c>
      <c r="AH15" s="319" t="e">
        <v>#NULL!</v>
      </c>
      <c r="AI15" s="319" t="e">
        <v>#NULL!</v>
      </c>
      <c r="AJ15" s="319" t="e">
        <v>#NULL!</v>
      </c>
      <c r="AK15" s="319" t="e">
        <v>#NULL!</v>
      </c>
      <c r="AL15" s="319" t="e">
        <v>#NULL!</v>
      </c>
      <c r="AM15" s="319" t="e">
        <v>#NULL!</v>
      </c>
      <c r="AN15" s="319" t="e">
        <v>#NULL!</v>
      </c>
      <c r="AO15" s="319" t="e">
        <v>#NULL!</v>
      </c>
      <c r="AP15" s="319" t="e">
        <v>#NULL!</v>
      </c>
      <c r="AQ15" s="319" t="e">
        <v>#NULL!</v>
      </c>
      <c r="AR15" s="319" t="e">
        <v>#NULL!</v>
      </c>
      <c r="AS15" s="319" t="e">
        <v>#NULL!</v>
      </c>
      <c r="AT15" s="319" t="e">
        <v>#NULL!</v>
      </c>
      <c r="AU15" s="319" t="e">
        <v>#NULL!</v>
      </c>
      <c r="AV15" s="320" t="e">
        <v>#NULL!</v>
      </c>
    </row>
    <row r="16" spans="2:48">
      <c r="B16" s="321"/>
      <c r="C16" s="318" t="s">
        <v>383</v>
      </c>
      <c r="D16" s="322">
        <v>14.470803185414283</v>
      </c>
      <c r="E16" s="322">
        <v>14.401055607339851</v>
      </c>
      <c r="F16" s="322">
        <v>14.33130802926542</v>
      </c>
      <c r="G16" s="322">
        <v>14.261560451190991</v>
      </c>
      <c r="H16" s="322">
        <v>14.191812873116577</v>
      </c>
      <c r="I16" s="322">
        <v>14.122065295042145</v>
      </c>
      <c r="J16" s="322">
        <v>14.052317716967714</v>
      </c>
      <c r="K16" s="322">
        <v>13.982570138893285</v>
      </c>
      <c r="L16" s="322">
        <v>13.912822560818855</v>
      </c>
      <c r="M16" s="322">
        <v>13.843074982744422</v>
      </c>
      <c r="N16" s="322">
        <v>13.773327404669992</v>
      </c>
      <c r="O16" s="322">
        <v>13.703579826595577</v>
      </c>
      <c r="P16" s="322">
        <v>13.633832248521149</v>
      </c>
      <c r="Q16" s="322">
        <v>13.309542261542733</v>
      </c>
      <c r="R16" s="322">
        <v>13.315306091271443</v>
      </c>
      <c r="S16" s="322">
        <v>13.318583338393536</v>
      </c>
      <c r="T16" s="322">
        <v>13.323338784392369</v>
      </c>
      <c r="U16" s="322">
        <v>13.327040011037248</v>
      </c>
      <c r="V16" s="322">
        <v>13.319660475559536</v>
      </c>
      <c r="W16" s="322">
        <v>13.317105139516789</v>
      </c>
      <c r="X16" s="322">
        <v>13.308980775147692</v>
      </c>
      <c r="Y16" s="322">
        <v>13.302162726065022</v>
      </c>
      <c r="Z16" s="322">
        <v>13.172184355065507</v>
      </c>
      <c r="AA16" s="322">
        <v>12.978139240500948</v>
      </c>
      <c r="AB16" s="322">
        <v>12.827076482422255</v>
      </c>
      <c r="AC16" s="322">
        <v>12.667625805135975</v>
      </c>
      <c r="AD16" s="322">
        <v>12.431457752037145</v>
      </c>
      <c r="AE16" s="322">
        <v>12.219571120797436</v>
      </c>
      <c r="AF16" s="322">
        <v>12.131818818486382</v>
      </c>
      <c r="AG16" s="322">
        <v>12.060275177549753</v>
      </c>
      <c r="AH16" s="322">
        <v>12.001282014235358</v>
      </c>
      <c r="AI16" s="322">
        <v>11.932390967547846</v>
      </c>
      <c r="AJ16" s="322">
        <v>11.887111981634218</v>
      </c>
      <c r="AK16" s="322">
        <v>11.799192022335832</v>
      </c>
      <c r="AL16" s="322">
        <v>11.704091909883513</v>
      </c>
      <c r="AM16" s="322">
        <v>11.622705780979492</v>
      </c>
      <c r="AN16" s="322">
        <v>11.542468058856731</v>
      </c>
      <c r="AO16" s="322">
        <v>11.47402336171136</v>
      </c>
      <c r="AP16" s="322">
        <v>11.444856390083132</v>
      </c>
      <c r="AQ16" s="322">
        <v>11.394511045059495</v>
      </c>
      <c r="AR16" s="322">
        <v>11.374838643322249</v>
      </c>
      <c r="AS16" s="272">
        <v>11.374838643322249</v>
      </c>
      <c r="AT16" s="272" t="e">
        <v>#NULL!</v>
      </c>
      <c r="AU16" s="272" t="e">
        <v>#NULL!</v>
      </c>
      <c r="AV16" s="323" t="e">
        <v>#NULL!</v>
      </c>
    </row>
    <row r="17" spans="2:48">
      <c r="B17" s="321"/>
      <c r="C17" s="318" t="s">
        <v>384</v>
      </c>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272"/>
      <c r="AP17" s="272"/>
      <c r="AQ17" s="272"/>
      <c r="AR17" s="272"/>
      <c r="AS17" s="272"/>
      <c r="AT17" s="272"/>
      <c r="AU17" s="272"/>
      <c r="AV17" s="323"/>
    </row>
    <row r="18" spans="2:48">
      <c r="B18" s="321"/>
      <c r="C18" s="318" t="s">
        <v>385</v>
      </c>
      <c r="D18" s="319"/>
      <c r="E18" s="319"/>
      <c r="F18" s="319"/>
      <c r="G18" s="319"/>
      <c r="H18" s="319"/>
      <c r="I18" s="319"/>
      <c r="J18" s="319"/>
      <c r="K18" s="319"/>
      <c r="L18" s="319"/>
      <c r="M18" s="319"/>
      <c r="N18" s="319"/>
      <c r="O18" s="319"/>
      <c r="P18" s="319"/>
      <c r="Q18" s="319"/>
      <c r="R18" s="319"/>
      <c r="S18" s="319"/>
      <c r="T18" s="319"/>
      <c r="U18" s="319"/>
      <c r="V18" s="319"/>
      <c r="W18" s="319"/>
      <c r="X18" s="319"/>
      <c r="Y18" s="319"/>
      <c r="Z18" s="319"/>
      <c r="AA18" s="319"/>
      <c r="AB18" s="319"/>
      <c r="AC18" s="319"/>
      <c r="AD18" s="319"/>
      <c r="AE18" s="319"/>
      <c r="AF18" s="319"/>
      <c r="AG18" s="319"/>
      <c r="AH18" s="319"/>
      <c r="AI18" s="319"/>
      <c r="AJ18" s="319"/>
      <c r="AK18" s="319"/>
      <c r="AL18" s="319"/>
      <c r="AM18" s="319"/>
      <c r="AN18" s="319"/>
      <c r="AO18" s="272"/>
      <c r="AP18" s="272"/>
      <c r="AQ18" s="272"/>
      <c r="AR18" s="272"/>
      <c r="AS18" s="272"/>
      <c r="AT18" s="272"/>
      <c r="AU18" s="272"/>
      <c r="AV18" s="323"/>
    </row>
    <row r="19" spans="2:48">
      <c r="B19" s="321"/>
      <c r="C19" s="318" t="s">
        <v>54</v>
      </c>
      <c r="D19" s="319"/>
      <c r="E19" s="319"/>
      <c r="F19" s="319"/>
      <c r="G19" s="319"/>
      <c r="H19" s="319"/>
      <c r="I19" s="319"/>
      <c r="J19" s="319"/>
      <c r="K19" s="319"/>
      <c r="L19" s="319"/>
      <c r="M19" s="319"/>
      <c r="N19" s="319"/>
      <c r="O19" s="319"/>
      <c r="P19" s="319"/>
      <c r="Q19" s="319"/>
      <c r="R19" s="319"/>
      <c r="S19" s="319"/>
      <c r="T19" s="319"/>
      <c r="U19" s="319"/>
      <c r="V19" s="319"/>
      <c r="W19" s="319"/>
      <c r="X19" s="319"/>
      <c r="Y19" s="319"/>
      <c r="Z19" s="319"/>
      <c r="AA19" s="319"/>
      <c r="AB19" s="319"/>
      <c r="AC19" s="319"/>
      <c r="AD19" s="319"/>
      <c r="AE19" s="319"/>
      <c r="AF19" s="319"/>
      <c r="AG19" s="319"/>
      <c r="AH19" s="319"/>
      <c r="AI19" s="319"/>
      <c r="AJ19" s="319"/>
      <c r="AK19" s="319"/>
      <c r="AL19" s="319"/>
      <c r="AM19" s="319"/>
      <c r="AN19" s="319"/>
      <c r="AO19" s="272"/>
      <c r="AP19" s="272"/>
      <c r="AQ19" s="272"/>
      <c r="AR19" s="272"/>
      <c r="AS19" s="272"/>
      <c r="AT19" s="272"/>
      <c r="AU19" s="272"/>
      <c r="AV19" s="323"/>
    </row>
    <row r="20" spans="2:48">
      <c r="B20" s="321"/>
      <c r="C20" s="318" t="s">
        <v>387</v>
      </c>
      <c r="D20" s="319"/>
      <c r="E20" s="319"/>
      <c r="F20" s="319"/>
      <c r="G20" s="319"/>
      <c r="H20" s="319"/>
      <c r="I20" s="319"/>
      <c r="J20" s="319"/>
      <c r="K20" s="319"/>
      <c r="L20" s="319"/>
      <c r="M20" s="319"/>
      <c r="N20" s="319"/>
      <c r="O20" s="319"/>
      <c r="P20" s="319"/>
      <c r="Q20" s="319"/>
      <c r="R20" s="319"/>
      <c r="S20" s="319"/>
      <c r="T20" s="319"/>
      <c r="U20" s="319"/>
      <c r="V20" s="319"/>
      <c r="W20" s="319"/>
      <c r="X20" s="319"/>
      <c r="Y20" s="319"/>
      <c r="Z20" s="319"/>
      <c r="AA20" s="319"/>
      <c r="AB20" s="319"/>
      <c r="AC20" s="319"/>
      <c r="AD20" s="319"/>
      <c r="AE20" s="319"/>
      <c r="AF20" s="319"/>
      <c r="AG20" s="319"/>
      <c r="AH20" s="319"/>
      <c r="AI20" s="319"/>
      <c r="AJ20" s="319"/>
      <c r="AK20" s="319"/>
      <c r="AL20" s="319"/>
      <c r="AM20" s="319"/>
      <c r="AN20" s="319"/>
      <c r="AO20" s="272"/>
      <c r="AP20" s="272"/>
      <c r="AQ20" s="272"/>
      <c r="AR20" s="272"/>
      <c r="AS20" s="272"/>
      <c r="AT20" s="272"/>
      <c r="AU20" s="272"/>
      <c r="AV20" s="323"/>
    </row>
    <row r="21" spans="2:48">
      <c r="B21" s="324"/>
      <c r="C21" s="325" t="s">
        <v>388</v>
      </c>
      <c r="D21" s="326"/>
      <c r="E21" s="326"/>
      <c r="F21" s="326"/>
      <c r="G21" s="326"/>
      <c r="H21" s="326"/>
      <c r="I21" s="326"/>
      <c r="J21" s="326"/>
      <c r="K21" s="326"/>
      <c r="L21" s="326"/>
      <c r="M21" s="326"/>
      <c r="N21" s="326"/>
      <c r="O21" s="326"/>
      <c r="P21" s="326"/>
      <c r="Q21" s="326"/>
      <c r="R21" s="326"/>
      <c r="S21" s="326"/>
      <c r="T21" s="326"/>
      <c r="U21" s="326"/>
      <c r="V21" s="326"/>
      <c r="W21" s="326"/>
      <c r="X21" s="326"/>
      <c r="Y21" s="326"/>
      <c r="Z21" s="326"/>
      <c r="AA21" s="326"/>
      <c r="AB21" s="326"/>
      <c r="AC21" s="326"/>
      <c r="AD21" s="326"/>
      <c r="AE21" s="326"/>
      <c r="AF21" s="326"/>
      <c r="AG21" s="326"/>
      <c r="AH21" s="326"/>
      <c r="AI21" s="326"/>
      <c r="AJ21" s="326"/>
      <c r="AK21" s="326"/>
      <c r="AL21" s="326"/>
      <c r="AM21" s="326"/>
      <c r="AN21" s="326"/>
      <c r="AO21" s="273"/>
      <c r="AP21" s="273"/>
      <c r="AQ21" s="273"/>
      <c r="AR21" s="273"/>
      <c r="AS21" s="273"/>
      <c r="AT21" s="273"/>
      <c r="AU21" s="273"/>
      <c r="AV21" s="328"/>
    </row>
    <row r="22" spans="2:48">
      <c r="B22" s="313" t="s">
        <v>390</v>
      </c>
      <c r="C22" s="329" t="s">
        <v>382</v>
      </c>
      <c r="D22" s="330">
        <v>1.095</v>
      </c>
      <c r="E22" s="330">
        <v>1.095</v>
      </c>
      <c r="F22" s="330">
        <v>1.095</v>
      </c>
      <c r="G22" s="330">
        <v>1.095</v>
      </c>
      <c r="H22" s="330">
        <v>1.095</v>
      </c>
      <c r="I22" s="330">
        <v>1.095</v>
      </c>
      <c r="J22" s="330">
        <v>1.095</v>
      </c>
      <c r="K22" s="330">
        <v>1.095</v>
      </c>
      <c r="L22" s="330">
        <v>1.095</v>
      </c>
      <c r="M22" s="330">
        <v>1.095</v>
      </c>
      <c r="N22" s="330">
        <v>1.095</v>
      </c>
      <c r="O22" s="330">
        <v>1.095</v>
      </c>
      <c r="P22" s="330">
        <v>1.095</v>
      </c>
      <c r="Q22" s="330">
        <v>1.095</v>
      </c>
      <c r="R22" s="330">
        <v>1.095</v>
      </c>
      <c r="S22" s="330">
        <v>1.095</v>
      </c>
      <c r="T22" s="330">
        <v>1.095</v>
      </c>
      <c r="U22" s="330">
        <v>1.095</v>
      </c>
      <c r="V22" s="330">
        <v>1.095</v>
      </c>
      <c r="W22" s="330">
        <v>1.095</v>
      </c>
      <c r="X22" s="330">
        <v>1.095</v>
      </c>
      <c r="Y22" s="330">
        <v>1.095</v>
      </c>
      <c r="Z22" s="330">
        <v>1.095</v>
      </c>
      <c r="AA22" s="330">
        <v>1.095</v>
      </c>
      <c r="AB22" s="330">
        <v>1.095</v>
      </c>
      <c r="AC22" s="330">
        <v>1.095</v>
      </c>
      <c r="AD22" s="330">
        <v>1.095</v>
      </c>
      <c r="AE22" s="331">
        <v>1.095</v>
      </c>
      <c r="AF22" s="331">
        <v>1.05</v>
      </c>
      <c r="AG22" s="331">
        <v>1.0189999999999999</v>
      </c>
      <c r="AH22" s="331">
        <v>0.98499999999999999</v>
      </c>
      <c r="AI22" s="331">
        <v>0.96899999999999997</v>
      </c>
      <c r="AJ22" s="331">
        <v>0.94</v>
      </c>
      <c r="AK22" s="331">
        <v>0.91</v>
      </c>
      <c r="AL22" s="331">
        <v>0.876</v>
      </c>
      <c r="AM22" s="331">
        <v>0.84799999999999998</v>
      </c>
      <c r="AN22" s="331">
        <v>0.82699999999999996</v>
      </c>
      <c r="AO22" s="331">
        <v>0.80600000000000005</v>
      </c>
      <c r="AP22" s="273">
        <v>0.80600000000000005</v>
      </c>
      <c r="AQ22" s="273">
        <v>0.80600000000000005</v>
      </c>
      <c r="AR22" s="273">
        <v>0.80600000000000005</v>
      </c>
      <c r="AS22" s="273">
        <v>0.80600000000000005</v>
      </c>
      <c r="AT22" s="273" t="e">
        <v>#NULL!</v>
      </c>
      <c r="AU22" s="273" t="e">
        <v>#NULL!</v>
      </c>
      <c r="AV22" s="328" t="e">
        <v>#NULL!</v>
      </c>
    </row>
    <row r="23" spans="2:48">
      <c r="B23" s="332" t="s">
        <v>391</v>
      </c>
      <c r="C23" s="329" t="s">
        <v>382</v>
      </c>
      <c r="D23" s="333">
        <v>1.31</v>
      </c>
      <c r="E23" s="333">
        <v>1.31</v>
      </c>
      <c r="F23" s="333">
        <v>1.31</v>
      </c>
      <c r="G23" s="333">
        <v>1.31</v>
      </c>
      <c r="H23" s="333">
        <v>1.31</v>
      </c>
      <c r="I23" s="333">
        <v>1.31</v>
      </c>
      <c r="J23" s="333">
        <v>1.31</v>
      </c>
      <c r="K23" s="333">
        <v>1.31</v>
      </c>
      <c r="L23" s="333">
        <v>1.31</v>
      </c>
      <c r="M23" s="333">
        <v>1.31</v>
      </c>
      <c r="N23" s="333">
        <v>1.31</v>
      </c>
      <c r="O23" s="333">
        <v>1.31</v>
      </c>
      <c r="P23" s="333">
        <v>1.31</v>
      </c>
      <c r="Q23" s="333">
        <v>1.31</v>
      </c>
      <c r="R23" s="333">
        <v>1.31</v>
      </c>
      <c r="S23" s="333">
        <v>1.31</v>
      </c>
      <c r="T23" s="333">
        <v>1.31</v>
      </c>
      <c r="U23" s="333">
        <v>1.31</v>
      </c>
      <c r="V23" s="333">
        <v>1.31</v>
      </c>
      <c r="W23" s="333">
        <v>1.31</v>
      </c>
      <c r="X23" s="333">
        <v>1.31</v>
      </c>
      <c r="Y23" s="333">
        <v>1.31</v>
      </c>
      <c r="Z23" s="333">
        <v>1.31</v>
      </c>
      <c r="AA23" s="333">
        <v>1.31</v>
      </c>
      <c r="AB23" s="333">
        <v>1.31</v>
      </c>
      <c r="AC23" s="333">
        <v>1.31</v>
      </c>
      <c r="AD23" s="333">
        <v>1.31</v>
      </c>
      <c r="AE23" s="334">
        <v>1.31</v>
      </c>
      <c r="AF23" s="334">
        <v>1.3260000000000001</v>
      </c>
      <c r="AG23" s="334">
        <v>1.3360000000000001</v>
      </c>
      <c r="AH23" s="334">
        <v>1.3460000000000001</v>
      </c>
      <c r="AI23" s="334">
        <v>1.355</v>
      </c>
      <c r="AJ23" s="334">
        <v>1.36</v>
      </c>
      <c r="AK23" s="334">
        <v>1.37</v>
      </c>
      <c r="AL23" s="334">
        <v>1.3779999999999999</v>
      </c>
      <c r="AM23" s="334">
        <v>1.3819999999999999</v>
      </c>
      <c r="AN23" s="334">
        <v>1.383</v>
      </c>
      <c r="AO23" s="334">
        <v>1.3839999999999999</v>
      </c>
      <c r="AP23" s="274">
        <v>1.3839999999999999</v>
      </c>
      <c r="AQ23" s="274">
        <v>1.3839999999999999</v>
      </c>
      <c r="AR23" s="274">
        <v>1.3839999999999999</v>
      </c>
      <c r="AS23" s="274">
        <v>1.3839999999999999</v>
      </c>
      <c r="AT23" s="274" t="e">
        <v>#NULL!</v>
      </c>
      <c r="AU23" s="274" t="e">
        <v>#NULL!</v>
      </c>
      <c r="AV23" s="335" t="e">
        <v>#NULL!</v>
      </c>
    </row>
    <row r="24" spans="2:48">
      <c r="B24" s="336" t="s">
        <v>392</v>
      </c>
      <c r="C24" s="318" t="s">
        <v>53</v>
      </c>
      <c r="D24" s="319" t="e">
        <v>#NULL!</v>
      </c>
      <c r="E24" s="319" t="e">
        <v>#NULL!</v>
      </c>
      <c r="F24" s="319" t="e">
        <v>#NULL!</v>
      </c>
      <c r="G24" s="319" t="e">
        <v>#NULL!</v>
      </c>
      <c r="H24" s="319" t="e">
        <v>#NULL!</v>
      </c>
      <c r="I24" s="319" t="e">
        <v>#NULL!</v>
      </c>
      <c r="J24" s="319" t="e">
        <v>#NULL!</v>
      </c>
      <c r="K24" s="319" t="e">
        <v>#NULL!</v>
      </c>
      <c r="L24" s="319" t="e">
        <v>#NULL!</v>
      </c>
      <c r="M24" s="319" t="e">
        <v>#NULL!</v>
      </c>
      <c r="N24" s="319" t="e">
        <v>#NULL!</v>
      </c>
      <c r="O24" s="319" t="e">
        <v>#NULL!</v>
      </c>
      <c r="P24" s="319" t="e">
        <v>#NULL!</v>
      </c>
      <c r="Q24" s="319" t="e">
        <v>#NULL!</v>
      </c>
      <c r="R24" s="319" t="e">
        <v>#NULL!</v>
      </c>
      <c r="S24" s="319" t="e">
        <v>#NULL!</v>
      </c>
      <c r="T24" s="319" t="e">
        <v>#NULL!</v>
      </c>
      <c r="U24" s="319" t="e">
        <v>#NULL!</v>
      </c>
      <c r="V24" s="319" t="e">
        <v>#NULL!</v>
      </c>
      <c r="W24" s="319" t="e">
        <v>#NULL!</v>
      </c>
      <c r="X24" s="319" t="e">
        <v>#NULL!</v>
      </c>
      <c r="Y24" s="319" t="e">
        <v>#NULL!</v>
      </c>
      <c r="Z24" s="319" t="e">
        <v>#NULL!</v>
      </c>
      <c r="AA24" s="319" t="e">
        <v>#NULL!</v>
      </c>
      <c r="AB24" s="319" t="e">
        <v>#NULL!</v>
      </c>
      <c r="AC24" s="319" t="e">
        <v>#NULL!</v>
      </c>
      <c r="AD24" s="319" t="e">
        <v>#NULL!</v>
      </c>
      <c r="AE24" s="319" t="e">
        <v>#NULL!</v>
      </c>
      <c r="AF24" s="319" t="e">
        <v>#NULL!</v>
      </c>
      <c r="AG24" s="319" t="e">
        <v>#NULL!</v>
      </c>
      <c r="AH24" s="319" t="e">
        <v>#NULL!</v>
      </c>
      <c r="AI24" s="319" t="e">
        <v>#NULL!</v>
      </c>
      <c r="AJ24" s="319" t="e">
        <v>#NULL!</v>
      </c>
      <c r="AK24" s="319" t="e">
        <v>#NULL!</v>
      </c>
      <c r="AL24" s="319" t="e">
        <v>#NULL!</v>
      </c>
      <c r="AM24" s="319" t="e">
        <v>#NULL!</v>
      </c>
      <c r="AN24" s="319" t="e">
        <v>#NULL!</v>
      </c>
      <c r="AO24" s="319" t="e">
        <v>#NULL!</v>
      </c>
      <c r="AP24" s="319" t="e">
        <v>#NULL!</v>
      </c>
      <c r="AQ24" s="319" t="e">
        <v>#NULL!</v>
      </c>
      <c r="AR24" s="319" t="e">
        <v>#NULL!</v>
      </c>
      <c r="AS24" s="319" t="e">
        <v>#NULL!</v>
      </c>
      <c r="AT24" s="319" t="e">
        <v>#NULL!</v>
      </c>
      <c r="AU24" s="319" t="e">
        <v>#NULL!</v>
      </c>
      <c r="AV24" s="320" t="e">
        <v>#NULL!</v>
      </c>
    </row>
    <row r="25" spans="2:48">
      <c r="B25" s="337"/>
      <c r="C25" s="318" t="s">
        <v>382</v>
      </c>
      <c r="D25" s="322">
        <v>3.9785890992953599</v>
      </c>
      <c r="E25" s="322">
        <v>3.9686934806278695</v>
      </c>
      <c r="F25" s="322">
        <v>3.9587978619603752</v>
      </c>
      <c r="G25" s="322">
        <v>3.9489022432928849</v>
      </c>
      <c r="H25" s="322">
        <v>3.9390066246253905</v>
      </c>
      <c r="I25" s="322">
        <v>3.9291110059578993</v>
      </c>
      <c r="J25" s="322">
        <v>3.919215387290405</v>
      </c>
      <c r="K25" s="322">
        <v>3.9093197686229146</v>
      </c>
      <c r="L25" s="322">
        <v>3.8994241499554203</v>
      </c>
      <c r="M25" s="322">
        <v>3.88952853128793</v>
      </c>
      <c r="N25" s="322">
        <v>3.8796329126204347</v>
      </c>
      <c r="O25" s="322">
        <v>3.8697372939529444</v>
      </c>
      <c r="P25" s="322">
        <v>3.8598416752854501</v>
      </c>
      <c r="Q25" s="322">
        <v>3.8270256362628738</v>
      </c>
      <c r="R25" s="322">
        <v>3.8215167266266707</v>
      </c>
      <c r="S25" s="322">
        <v>3.8265164093217132</v>
      </c>
      <c r="T25" s="322">
        <v>3.8036011969694394</v>
      </c>
      <c r="U25" s="322">
        <v>3.7963794330766016</v>
      </c>
      <c r="V25" s="322">
        <v>3.7947360188573982</v>
      </c>
      <c r="W25" s="322">
        <v>3.8101285604879656</v>
      </c>
      <c r="X25" s="322">
        <v>3.8015642892047916</v>
      </c>
      <c r="Y25" s="322">
        <v>3.8169105374770731</v>
      </c>
      <c r="Z25" s="322">
        <v>3.8061936250335342</v>
      </c>
      <c r="AA25" s="322">
        <v>3.7921204441141585</v>
      </c>
      <c r="AB25" s="322">
        <v>3.7699922188527712</v>
      </c>
      <c r="AC25" s="322">
        <v>3.7118940542020562</v>
      </c>
      <c r="AD25" s="322">
        <v>3.682868118555843</v>
      </c>
      <c r="AE25" s="322">
        <v>3.6487036201397256</v>
      </c>
      <c r="AF25" s="322">
        <v>3.6203952315469667</v>
      </c>
      <c r="AG25" s="322">
        <v>3.5860842670098716</v>
      </c>
      <c r="AH25" s="322">
        <v>3.5539903247238414</v>
      </c>
      <c r="AI25" s="322">
        <v>3.5244515376952066</v>
      </c>
      <c r="AJ25" s="322">
        <v>3.4970709435518348</v>
      </c>
      <c r="AK25" s="322">
        <v>3.5382999072594834</v>
      </c>
      <c r="AL25" s="322">
        <v>3.5831889316689947</v>
      </c>
      <c r="AM25" s="322">
        <v>3.6268912165608995</v>
      </c>
      <c r="AN25" s="322">
        <v>3.6617091648197642</v>
      </c>
      <c r="AO25" s="322">
        <v>3.6837022080998669</v>
      </c>
      <c r="AP25" s="322">
        <v>3.6959895320082317</v>
      </c>
      <c r="AQ25" s="322">
        <v>3.7078085520560391</v>
      </c>
      <c r="AR25" s="322">
        <v>3.7239730562483446</v>
      </c>
      <c r="AS25" s="272">
        <v>3.7239730562483446</v>
      </c>
      <c r="AT25" s="272" t="e">
        <v>#NULL!</v>
      </c>
      <c r="AU25" s="272" t="e">
        <v>#NULL!</v>
      </c>
      <c r="AV25" s="323" t="e">
        <v>#NULL!</v>
      </c>
    </row>
    <row r="26" spans="2:48">
      <c r="B26" s="337"/>
      <c r="C26" s="318" t="s">
        <v>383</v>
      </c>
      <c r="D26" s="322">
        <v>3.3405700886202738</v>
      </c>
      <c r="E26" s="322">
        <v>3.3322613623597848</v>
      </c>
      <c r="F26" s="322">
        <v>3.3239526360992926</v>
      </c>
      <c r="G26" s="322">
        <v>3.3156439098388035</v>
      </c>
      <c r="H26" s="322">
        <v>3.3073351835783109</v>
      </c>
      <c r="I26" s="322">
        <v>3.2990264573178214</v>
      </c>
      <c r="J26" s="322">
        <v>3.2907177310573292</v>
      </c>
      <c r="K26" s="322">
        <v>3.2824090047968402</v>
      </c>
      <c r="L26" s="322">
        <v>3.2741002785363476</v>
      </c>
      <c r="M26" s="322">
        <v>3.2657915522758585</v>
      </c>
      <c r="N26" s="322">
        <v>3.2574828260153654</v>
      </c>
      <c r="O26" s="322">
        <v>3.2491740997548764</v>
      </c>
      <c r="P26" s="322">
        <v>3.2408653734943842</v>
      </c>
      <c r="Q26" s="322">
        <v>3.2133118172839104</v>
      </c>
      <c r="R26" s="322">
        <v>3.208686333653326</v>
      </c>
      <c r="S26" s="322">
        <v>3.2128842515701597</v>
      </c>
      <c r="T26" s="322">
        <v>3.1936437944513418</v>
      </c>
      <c r="U26" s="322">
        <v>3.187580135238139</v>
      </c>
      <c r="V26" s="322">
        <v>3.1862002640710316</v>
      </c>
      <c r="W26" s="322">
        <v>3.1991244095094289</v>
      </c>
      <c r="X26" s="322">
        <v>3.1919335315963351</v>
      </c>
      <c r="Y26" s="322">
        <v>3.2048188074243922</v>
      </c>
      <c r="Z26" s="322">
        <v>3.1958204926304399</v>
      </c>
      <c r="AA26" s="322">
        <v>3.1840041310867622</v>
      </c>
      <c r="AB26" s="322">
        <v>3.1654244573437427</v>
      </c>
      <c r="AC26" s="322">
        <v>3.1166430963657299</v>
      </c>
      <c r="AD26" s="322">
        <v>3.092271850681894</v>
      </c>
      <c r="AE26" s="322">
        <v>3.0635860782502022</v>
      </c>
      <c r="AF26" s="322">
        <v>3.0398173115266527</v>
      </c>
      <c r="AG26" s="322">
        <v>3.0598193722970604</v>
      </c>
      <c r="AH26" s="322">
        <v>3.0792638212402546</v>
      </c>
      <c r="AI26" s="322">
        <v>3.0952220675800048</v>
      </c>
      <c r="AJ26" s="322">
        <v>3.1080663237364767</v>
      </c>
      <c r="AK26" s="322">
        <v>3.120437115100632</v>
      </c>
      <c r="AL26" s="322">
        <v>3.1316533673783447</v>
      </c>
      <c r="AM26" s="322">
        <v>3.1399041335357207</v>
      </c>
      <c r="AN26" s="322">
        <v>3.1455861705878672</v>
      </c>
      <c r="AO26" s="322">
        <v>3.1493436076641985</v>
      </c>
      <c r="AP26" s="322">
        <v>3.1523120586358502</v>
      </c>
      <c r="AQ26" s="322">
        <v>3.1546211871613234</v>
      </c>
      <c r="AR26" s="322">
        <v>3.1566675888938711</v>
      </c>
      <c r="AS26" s="272">
        <v>3.1566675888938711</v>
      </c>
      <c r="AT26" s="272" t="e">
        <v>#NULL!</v>
      </c>
      <c r="AU26" s="272" t="e">
        <v>#NULL!</v>
      </c>
      <c r="AV26" s="323" t="e">
        <v>#NULL!</v>
      </c>
    </row>
    <row r="27" spans="2:48">
      <c r="B27" s="337"/>
      <c r="C27" s="318" t="s">
        <v>384</v>
      </c>
      <c r="D27" s="319"/>
      <c r="E27" s="319"/>
      <c r="F27" s="319"/>
      <c r="G27" s="319"/>
      <c r="H27" s="319"/>
      <c r="I27" s="319"/>
      <c r="J27" s="319"/>
      <c r="K27" s="319"/>
      <c r="L27" s="319"/>
      <c r="M27" s="319"/>
      <c r="N27" s="319"/>
      <c r="O27" s="319"/>
      <c r="P27" s="319"/>
      <c r="Q27" s="319"/>
      <c r="R27" s="319"/>
      <c r="S27" s="319"/>
      <c r="T27" s="319"/>
      <c r="U27" s="319"/>
      <c r="V27" s="319"/>
      <c r="W27" s="319"/>
      <c r="X27" s="319"/>
      <c r="Y27" s="319"/>
      <c r="Z27" s="319"/>
      <c r="AA27" s="319"/>
      <c r="AB27" s="319"/>
      <c r="AC27" s="319"/>
      <c r="AD27" s="319"/>
      <c r="AE27" s="319"/>
      <c r="AF27" s="319"/>
      <c r="AG27" s="319"/>
      <c r="AH27" s="319"/>
      <c r="AI27" s="319"/>
      <c r="AJ27" s="319"/>
      <c r="AK27" s="319"/>
      <c r="AL27" s="319"/>
      <c r="AM27" s="319"/>
      <c r="AN27" s="319"/>
      <c r="AO27" s="319"/>
      <c r="AP27" s="319"/>
      <c r="AQ27" s="319"/>
      <c r="AR27" s="319"/>
      <c r="AS27" s="319"/>
      <c r="AT27" s="319"/>
      <c r="AU27" s="319"/>
      <c r="AV27" s="320"/>
    </row>
    <row r="28" spans="2:48">
      <c r="B28" s="337"/>
      <c r="C28" s="318" t="s">
        <v>385</v>
      </c>
      <c r="D28" s="319"/>
      <c r="E28" s="319"/>
      <c r="F28" s="319"/>
      <c r="G28" s="319"/>
      <c r="H28" s="319"/>
      <c r="I28" s="319"/>
      <c r="J28" s="319"/>
      <c r="K28" s="319"/>
      <c r="L28" s="319"/>
      <c r="M28" s="319"/>
      <c r="N28" s="319"/>
      <c r="O28" s="319"/>
      <c r="P28" s="319"/>
      <c r="Q28" s="319"/>
      <c r="R28" s="319"/>
      <c r="S28" s="319"/>
      <c r="T28" s="319"/>
      <c r="U28" s="319"/>
      <c r="V28" s="319"/>
      <c r="W28" s="319"/>
      <c r="X28" s="319"/>
      <c r="Y28" s="319"/>
      <c r="Z28" s="319"/>
      <c r="AA28" s="319"/>
      <c r="AB28" s="319"/>
      <c r="AC28" s="319"/>
      <c r="AD28" s="319"/>
      <c r="AE28" s="319"/>
      <c r="AF28" s="319"/>
      <c r="AG28" s="319"/>
      <c r="AH28" s="319"/>
      <c r="AI28" s="319"/>
      <c r="AJ28" s="319"/>
      <c r="AK28" s="319"/>
      <c r="AL28" s="319"/>
      <c r="AM28" s="319"/>
      <c r="AN28" s="319"/>
      <c r="AO28" s="319"/>
      <c r="AP28" s="319"/>
      <c r="AQ28" s="319"/>
      <c r="AR28" s="319"/>
      <c r="AS28" s="319"/>
      <c r="AT28" s="319"/>
      <c r="AU28" s="319"/>
      <c r="AV28" s="320"/>
    </row>
    <row r="29" spans="2:48">
      <c r="B29" s="337"/>
      <c r="C29" s="318" t="s">
        <v>386</v>
      </c>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20"/>
    </row>
    <row r="30" spans="2:48">
      <c r="B30" s="337"/>
      <c r="C30" s="318" t="s">
        <v>54</v>
      </c>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20"/>
    </row>
    <row r="31" spans="2:48">
      <c r="B31" s="337"/>
      <c r="C31" s="318" t="s">
        <v>387</v>
      </c>
      <c r="D31" s="319"/>
      <c r="E31" s="319"/>
      <c r="F31" s="319"/>
      <c r="G31" s="319"/>
      <c r="H31" s="319"/>
      <c r="I31" s="319"/>
      <c r="J31" s="319"/>
      <c r="K31" s="319"/>
      <c r="L31" s="319"/>
      <c r="M31" s="319"/>
      <c r="N31" s="319"/>
      <c r="O31" s="319"/>
      <c r="P31" s="319"/>
      <c r="Q31" s="319"/>
      <c r="R31" s="31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9"/>
      <c r="AQ31" s="319"/>
      <c r="AR31" s="319"/>
      <c r="AS31" s="319"/>
      <c r="AT31" s="319"/>
      <c r="AU31" s="319"/>
      <c r="AV31" s="320"/>
    </row>
    <row r="32" spans="2:48">
      <c r="B32" s="338"/>
      <c r="C32" s="325" t="s">
        <v>388</v>
      </c>
      <c r="D32" s="326"/>
      <c r="E32" s="326"/>
      <c r="F32" s="326"/>
      <c r="G32" s="326"/>
      <c r="H32" s="326"/>
      <c r="I32" s="326"/>
      <c r="J32" s="326"/>
      <c r="K32" s="326"/>
      <c r="L32" s="326"/>
      <c r="M32" s="326"/>
      <c r="N32" s="326"/>
      <c r="O32" s="326"/>
      <c r="P32" s="326"/>
      <c r="Q32" s="326"/>
      <c r="R32" s="326"/>
      <c r="S32" s="326"/>
      <c r="T32" s="326"/>
      <c r="U32" s="326"/>
      <c r="V32" s="326"/>
      <c r="W32" s="326"/>
      <c r="X32" s="326"/>
      <c r="Y32" s="326"/>
      <c r="Z32" s="326"/>
      <c r="AA32" s="326"/>
      <c r="AB32" s="326"/>
      <c r="AC32" s="326"/>
      <c r="AD32" s="326"/>
      <c r="AE32" s="326"/>
      <c r="AF32" s="326"/>
      <c r="AG32" s="326"/>
      <c r="AH32" s="326"/>
      <c r="AI32" s="326"/>
      <c r="AJ32" s="326"/>
      <c r="AK32" s="326"/>
      <c r="AL32" s="326"/>
      <c r="AM32" s="326"/>
      <c r="AN32" s="326"/>
      <c r="AO32" s="326"/>
      <c r="AP32" s="326"/>
      <c r="AQ32" s="326"/>
      <c r="AR32" s="326"/>
      <c r="AS32" s="326"/>
      <c r="AT32" s="326"/>
      <c r="AU32" s="326"/>
      <c r="AV32" s="327"/>
    </row>
    <row r="33" spans="2:48">
      <c r="B33" s="336" t="s">
        <v>393</v>
      </c>
      <c r="C33" s="318" t="s">
        <v>53</v>
      </c>
      <c r="D33" s="319" t="e">
        <v>#NULL!</v>
      </c>
      <c r="E33" s="319" t="e">
        <v>#NULL!</v>
      </c>
      <c r="F33" s="319" t="e">
        <v>#NULL!</v>
      </c>
      <c r="G33" s="319" t="e">
        <v>#NULL!</v>
      </c>
      <c r="H33" s="319" t="e">
        <v>#NULL!</v>
      </c>
      <c r="I33" s="319" t="e">
        <v>#NULL!</v>
      </c>
      <c r="J33" s="319" t="e">
        <v>#NULL!</v>
      </c>
      <c r="K33" s="319" t="e">
        <v>#NULL!</v>
      </c>
      <c r="L33" s="319" t="e">
        <v>#NULL!</v>
      </c>
      <c r="M33" s="319" t="e">
        <v>#NULL!</v>
      </c>
      <c r="N33" s="319" t="e">
        <v>#NULL!</v>
      </c>
      <c r="O33" s="319" t="e">
        <v>#NULL!</v>
      </c>
      <c r="P33" s="319" t="e">
        <v>#NULL!</v>
      </c>
      <c r="Q33" s="319" t="e">
        <v>#NULL!</v>
      </c>
      <c r="R33" s="319" t="e">
        <v>#NULL!</v>
      </c>
      <c r="S33" s="319" t="e">
        <v>#NULL!</v>
      </c>
      <c r="T33" s="319" t="e">
        <v>#NULL!</v>
      </c>
      <c r="U33" s="319" t="e">
        <v>#NULL!</v>
      </c>
      <c r="V33" s="319" t="e">
        <v>#NULL!</v>
      </c>
      <c r="W33" s="319" t="e">
        <v>#NULL!</v>
      </c>
      <c r="X33" s="319" t="e">
        <v>#NULL!</v>
      </c>
      <c r="Y33" s="319" t="e">
        <v>#NULL!</v>
      </c>
      <c r="Z33" s="319" t="e">
        <v>#NULL!</v>
      </c>
      <c r="AA33" s="319" t="e">
        <v>#NULL!</v>
      </c>
      <c r="AB33" s="319" t="e">
        <v>#NULL!</v>
      </c>
      <c r="AC33" s="319" t="e">
        <v>#NULL!</v>
      </c>
      <c r="AD33" s="319" t="e">
        <v>#NULL!</v>
      </c>
      <c r="AE33" s="319" t="e">
        <v>#NULL!</v>
      </c>
      <c r="AF33" s="319" t="e">
        <v>#NULL!</v>
      </c>
      <c r="AG33" s="319" t="e">
        <v>#NULL!</v>
      </c>
      <c r="AH33" s="319" t="e">
        <v>#NULL!</v>
      </c>
      <c r="AI33" s="319" t="e">
        <v>#NULL!</v>
      </c>
      <c r="AJ33" s="319" t="e">
        <v>#NULL!</v>
      </c>
      <c r="AK33" s="319" t="e">
        <v>#NULL!</v>
      </c>
      <c r="AL33" s="319" t="e">
        <v>#NULL!</v>
      </c>
      <c r="AM33" s="319" t="e">
        <v>#NULL!</v>
      </c>
      <c r="AN33" s="319" t="e">
        <v>#NULL!</v>
      </c>
      <c r="AO33" s="319" t="e">
        <v>#NULL!</v>
      </c>
      <c r="AP33" s="319" t="e">
        <v>#NULL!</v>
      </c>
      <c r="AQ33" s="319" t="e">
        <v>#NULL!</v>
      </c>
      <c r="AR33" s="319" t="e">
        <v>#NULL!</v>
      </c>
      <c r="AS33" s="319" t="e">
        <v>#NULL!</v>
      </c>
      <c r="AT33" s="319" t="e">
        <v>#NULL!</v>
      </c>
      <c r="AU33" s="319" t="e">
        <v>#NULL!</v>
      </c>
      <c r="AV33" s="320" t="e">
        <v>#NULL!</v>
      </c>
    </row>
    <row r="34" spans="2:48">
      <c r="B34" s="337"/>
      <c r="C34" s="318" t="s">
        <v>382</v>
      </c>
      <c r="D34" s="322">
        <v>4.3846212625398344</v>
      </c>
      <c r="E34" s="322">
        <v>4.3737157533423279</v>
      </c>
      <c r="F34" s="322">
        <v>4.3628102441448169</v>
      </c>
      <c r="G34" s="322">
        <v>4.3519047349473103</v>
      </c>
      <c r="H34" s="322">
        <v>4.3409992257498002</v>
      </c>
      <c r="I34" s="322">
        <v>4.3300937165522928</v>
      </c>
      <c r="J34" s="322">
        <v>4.3191882073547818</v>
      </c>
      <c r="K34" s="322">
        <v>4.3082826981572753</v>
      </c>
      <c r="L34" s="322">
        <v>4.2973771889597643</v>
      </c>
      <c r="M34" s="322">
        <v>4.2864716797622577</v>
      </c>
      <c r="N34" s="322">
        <v>4.2755661705647467</v>
      </c>
      <c r="O34" s="322">
        <v>4.2646606613672402</v>
      </c>
      <c r="P34" s="322">
        <v>4.2537551521697292</v>
      </c>
      <c r="Q34" s="322">
        <v>4.2175900949447431</v>
      </c>
      <c r="R34" s="322">
        <v>4.2115189773396136</v>
      </c>
      <c r="S34" s="322">
        <v>4.2170288991997316</v>
      </c>
      <c r="T34" s="322">
        <v>4.1917750906741942</v>
      </c>
      <c r="U34" s="322">
        <v>4.1838163146540248</v>
      </c>
      <c r="V34" s="322">
        <v>4.1820051829314862</v>
      </c>
      <c r="W34" s="322">
        <v>4.1989685997693469</v>
      </c>
      <c r="X34" s="322">
        <v>4.1895303076941453</v>
      </c>
      <c r="Y34" s="322">
        <v>4.2064427067370058</v>
      </c>
      <c r="Z34" s="322">
        <v>4.194632087194254</v>
      </c>
      <c r="AA34" s="322">
        <v>4.1791226775139245</v>
      </c>
      <c r="AB34" s="322">
        <v>4.1547361715034059</v>
      </c>
      <c r="AC34" s="322">
        <v>4.0907088387770427</v>
      </c>
      <c r="AD34" s="322">
        <v>4.058720681311363</v>
      </c>
      <c r="AE34" s="322">
        <v>4.0210695486005612</v>
      </c>
      <c r="AF34" s="322">
        <v>3.9898721669573973</v>
      </c>
      <c r="AG34" s="322">
        <v>4.0256178255789568</v>
      </c>
      <c r="AH34" s="322">
        <v>4.0603669767782211</v>
      </c>
      <c r="AI34" s="322">
        <v>4.0888859395194705</v>
      </c>
      <c r="AJ34" s="322">
        <v>4.1118398941688028</v>
      </c>
      <c r="AK34" s="322">
        <v>4.1339477204601742</v>
      </c>
      <c r="AL34" s="322">
        <v>4.1539922713459303</v>
      </c>
      <c r="AM34" s="322">
        <v>4.1687372055711176</v>
      </c>
      <c r="AN34" s="322">
        <v>4.178891567117784</v>
      </c>
      <c r="AO34" s="322">
        <v>4.1856064783743898</v>
      </c>
      <c r="AP34" s="322">
        <v>4.1909113935171582</v>
      </c>
      <c r="AQ34" s="322">
        <v>4.1950380343134404</v>
      </c>
      <c r="AR34" s="322">
        <v>4.1986951563757033</v>
      </c>
      <c r="AS34" s="272">
        <v>4.1986951563757033</v>
      </c>
      <c r="AT34" s="272" t="e">
        <v>#NULL!</v>
      </c>
      <c r="AU34" s="272" t="e">
        <v>#NULL!</v>
      </c>
      <c r="AV34" s="323" t="e">
        <v>#NULL!</v>
      </c>
    </row>
    <row r="35" spans="2:48">
      <c r="B35" s="337"/>
      <c r="C35" s="318" t="s">
        <v>383</v>
      </c>
      <c r="D35" s="322">
        <v>4.4156194081566991</v>
      </c>
      <c r="E35" s="322">
        <v>4.4046367998115379</v>
      </c>
      <c r="F35" s="322">
        <v>4.3936541914663723</v>
      </c>
      <c r="G35" s="322">
        <v>4.382671583121212</v>
      </c>
      <c r="H35" s="322">
        <v>4.3716889747760463</v>
      </c>
      <c r="I35" s="322">
        <v>4.3607063664308843</v>
      </c>
      <c r="J35" s="322">
        <v>4.3497237580857187</v>
      </c>
      <c r="K35" s="322">
        <v>4.3387411497405575</v>
      </c>
      <c r="L35" s="322">
        <v>4.3277585413953918</v>
      </c>
      <c r="M35" s="322">
        <v>4.3167759330502307</v>
      </c>
      <c r="N35" s="322">
        <v>4.3057933247050642</v>
      </c>
      <c r="O35" s="322">
        <v>4.294810716359903</v>
      </c>
      <c r="P35" s="322">
        <v>4.2838281080147373</v>
      </c>
      <c r="Q35" s="322">
        <v>4.247407373128449</v>
      </c>
      <c r="R35" s="322">
        <v>4.241293334281937</v>
      </c>
      <c r="S35" s="322">
        <v>4.2468422098737308</v>
      </c>
      <c r="T35" s="322">
        <v>4.2214098634113491</v>
      </c>
      <c r="U35" s="322">
        <v>4.2133948208898717</v>
      </c>
      <c r="V35" s="322">
        <v>4.2115708849314588</v>
      </c>
      <c r="W35" s="322">
        <v>4.2286542287672999</v>
      </c>
      <c r="X35" s="322">
        <v>4.2191492103924695</v>
      </c>
      <c r="Y35" s="322">
        <v>4.2361811757506107</v>
      </c>
      <c r="Z35" s="322">
        <v>4.2242870581626484</v>
      </c>
      <c r="AA35" s="322">
        <v>4.2086680009413078</v>
      </c>
      <c r="AB35" s="322">
        <v>4.1841090885998566</v>
      </c>
      <c r="AC35" s="322">
        <v>4.119629099084122</v>
      </c>
      <c r="AD35" s="322">
        <v>4.0874147935651068</v>
      </c>
      <c r="AE35" s="322">
        <v>4.0494974770211929</v>
      </c>
      <c r="AF35" s="322">
        <v>4.0180795379065541</v>
      </c>
      <c r="AG35" s="322">
        <v>3.9932343283365599</v>
      </c>
      <c r="AH35" s="322">
        <v>3.969081746534517</v>
      </c>
      <c r="AI35" s="322">
        <v>3.9492594902564404</v>
      </c>
      <c r="AJ35" s="322">
        <v>3.9333052223616858</v>
      </c>
      <c r="AK35" s="322">
        <v>3.9179390604688158</v>
      </c>
      <c r="AL35" s="322">
        <v>3.9040069890873519</v>
      </c>
      <c r="AM35" s="322">
        <v>3.8937584443675854</v>
      </c>
      <c r="AN35" s="322">
        <v>3.8867006015300145</v>
      </c>
      <c r="AO35" s="322">
        <v>3.8820333668545945</v>
      </c>
      <c r="AP35" s="322">
        <v>3.878346157454748</v>
      </c>
      <c r="AQ35" s="322">
        <v>3.8754779138873494</v>
      </c>
      <c r="AR35" s="322">
        <v>3.8729360118057028</v>
      </c>
      <c r="AS35" s="272">
        <v>3.8729360118057028</v>
      </c>
      <c r="AT35" s="272" t="e">
        <v>#NULL!</v>
      </c>
      <c r="AU35" s="272" t="e">
        <v>#NULL!</v>
      </c>
      <c r="AV35" s="323" t="e">
        <v>#NULL!</v>
      </c>
    </row>
    <row r="36" spans="2:48">
      <c r="B36" s="337"/>
      <c r="C36" s="318" t="s">
        <v>384</v>
      </c>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20"/>
    </row>
    <row r="37" spans="2:48">
      <c r="B37" s="337"/>
      <c r="C37" s="318" t="s">
        <v>385</v>
      </c>
      <c r="D37" s="319"/>
      <c r="E37" s="319"/>
      <c r="F37" s="319"/>
      <c r="G37" s="319"/>
      <c r="H37" s="319"/>
      <c r="I37" s="319"/>
      <c r="J37" s="319"/>
      <c r="K37" s="319"/>
      <c r="L37" s="319"/>
      <c r="M37" s="319"/>
      <c r="N37" s="319"/>
      <c r="O37" s="319"/>
      <c r="P37" s="319"/>
      <c r="Q37" s="319"/>
      <c r="R37" s="319"/>
      <c r="S37" s="319"/>
      <c r="T37" s="319"/>
      <c r="U37" s="319"/>
      <c r="V37" s="319"/>
      <c r="W37" s="319"/>
      <c r="X37" s="319"/>
      <c r="Y37" s="319"/>
      <c r="Z37" s="319"/>
      <c r="AA37" s="319"/>
      <c r="AB37" s="319"/>
      <c r="AC37" s="319"/>
      <c r="AD37" s="319"/>
      <c r="AE37" s="319"/>
      <c r="AF37" s="319"/>
      <c r="AG37" s="319"/>
      <c r="AH37" s="319"/>
      <c r="AI37" s="319"/>
      <c r="AJ37" s="319"/>
      <c r="AK37" s="319"/>
      <c r="AL37" s="319"/>
      <c r="AM37" s="319"/>
      <c r="AN37" s="319"/>
      <c r="AO37" s="319"/>
      <c r="AP37" s="319"/>
      <c r="AQ37" s="319"/>
      <c r="AR37" s="319"/>
      <c r="AS37" s="319"/>
      <c r="AT37" s="319"/>
      <c r="AU37" s="319"/>
      <c r="AV37" s="320"/>
    </row>
    <row r="38" spans="2:48">
      <c r="B38" s="337"/>
      <c r="C38" s="318" t="s">
        <v>386</v>
      </c>
      <c r="D38" s="319"/>
      <c r="E38" s="319"/>
      <c r="F38" s="319"/>
      <c r="G38" s="319"/>
      <c r="H38" s="319"/>
      <c r="I38" s="319"/>
      <c r="J38" s="319"/>
      <c r="K38" s="319"/>
      <c r="L38" s="319"/>
      <c r="M38" s="319"/>
      <c r="N38" s="319"/>
      <c r="O38" s="319"/>
      <c r="P38" s="319"/>
      <c r="Q38" s="319"/>
      <c r="R38" s="319"/>
      <c r="S38" s="319"/>
      <c r="T38" s="319"/>
      <c r="U38" s="319"/>
      <c r="V38" s="319"/>
      <c r="W38" s="319"/>
      <c r="X38" s="319"/>
      <c r="Y38" s="319"/>
      <c r="Z38" s="319"/>
      <c r="AA38" s="319"/>
      <c r="AB38" s="319"/>
      <c r="AC38" s="319"/>
      <c r="AD38" s="319"/>
      <c r="AE38" s="319"/>
      <c r="AF38" s="319"/>
      <c r="AG38" s="319"/>
      <c r="AH38" s="319"/>
      <c r="AI38" s="319"/>
      <c r="AJ38" s="319"/>
      <c r="AK38" s="319"/>
      <c r="AL38" s="319"/>
      <c r="AM38" s="319"/>
      <c r="AN38" s="319"/>
      <c r="AO38" s="319"/>
      <c r="AP38" s="319"/>
      <c r="AQ38" s="319"/>
      <c r="AR38" s="319"/>
      <c r="AS38" s="319"/>
      <c r="AT38" s="319"/>
      <c r="AU38" s="319"/>
      <c r="AV38" s="320"/>
    </row>
    <row r="39" spans="2:48">
      <c r="B39" s="337"/>
      <c r="C39" s="318" t="s">
        <v>54</v>
      </c>
      <c r="D39" s="319"/>
      <c r="E39" s="319"/>
      <c r="F39" s="319"/>
      <c r="G39" s="319"/>
      <c r="H39" s="319"/>
      <c r="I39" s="319"/>
      <c r="J39" s="319"/>
      <c r="K39" s="319"/>
      <c r="L39" s="319"/>
      <c r="M39" s="319"/>
      <c r="N39" s="319"/>
      <c r="O39" s="319"/>
      <c r="P39" s="319"/>
      <c r="Q39" s="319"/>
      <c r="R39" s="319"/>
      <c r="S39" s="319"/>
      <c r="T39" s="319"/>
      <c r="U39" s="319"/>
      <c r="V39" s="319"/>
      <c r="W39" s="319"/>
      <c r="X39" s="319"/>
      <c r="Y39" s="319"/>
      <c r="Z39" s="319"/>
      <c r="AA39" s="319"/>
      <c r="AB39" s="319"/>
      <c r="AC39" s="319"/>
      <c r="AD39" s="319"/>
      <c r="AE39" s="319"/>
      <c r="AF39" s="319"/>
      <c r="AG39" s="319"/>
      <c r="AH39" s="319"/>
      <c r="AI39" s="319"/>
      <c r="AJ39" s="319"/>
      <c r="AK39" s="319"/>
      <c r="AL39" s="319"/>
      <c r="AM39" s="319"/>
      <c r="AN39" s="319"/>
      <c r="AO39" s="319"/>
      <c r="AP39" s="319"/>
      <c r="AQ39" s="319"/>
      <c r="AR39" s="319"/>
      <c r="AS39" s="319"/>
      <c r="AT39" s="319"/>
      <c r="AU39" s="319"/>
      <c r="AV39" s="320"/>
    </row>
    <row r="40" spans="2:48">
      <c r="B40" s="337"/>
      <c r="C40" s="318" t="s">
        <v>387</v>
      </c>
      <c r="D40" s="319"/>
      <c r="E40" s="319"/>
      <c r="F40" s="319"/>
      <c r="G40" s="319"/>
      <c r="H40" s="319"/>
      <c r="I40" s="319"/>
      <c r="J40" s="319"/>
      <c r="K40" s="319"/>
      <c r="L40" s="319"/>
      <c r="M40" s="319"/>
      <c r="N40" s="319"/>
      <c r="O40" s="319"/>
      <c r="P40" s="319"/>
      <c r="Q40" s="319"/>
      <c r="R40" s="319"/>
      <c r="S40" s="319"/>
      <c r="T40" s="319"/>
      <c r="U40" s="319"/>
      <c r="V40" s="319"/>
      <c r="W40" s="319"/>
      <c r="X40" s="319"/>
      <c r="Y40" s="319"/>
      <c r="Z40" s="319"/>
      <c r="AA40" s="319"/>
      <c r="AB40" s="319"/>
      <c r="AC40" s="319"/>
      <c r="AD40" s="319"/>
      <c r="AE40" s="319"/>
      <c r="AF40" s="319"/>
      <c r="AG40" s="319"/>
      <c r="AH40" s="319"/>
      <c r="AI40" s="319"/>
      <c r="AJ40" s="319"/>
      <c r="AK40" s="319"/>
      <c r="AL40" s="319"/>
      <c r="AM40" s="319"/>
      <c r="AN40" s="319"/>
      <c r="AO40" s="319"/>
      <c r="AP40" s="319"/>
      <c r="AQ40" s="319"/>
      <c r="AR40" s="319"/>
      <c r="AS40" s="319"/>
      <c r="AT40" s="319"/>
      <c r="AU40" s="319"/>
      <c r="AV40" s="320"/>
    </row>
    <row r="41" spans="2:48">
      <c r="B41" s="338"/>
      <c r="C41" s="325" t="s">
        <v>388</v>
      </c>
      <c r="D41" s="326"/>
      <c r="E41" s="326"/>
      <c r="F41" s="326"/>
      <c r="G41" s="326"/>
      <c r="H41" s="326"/>
      <c r="I41" s="326"/>
      <c r="J41" s="326"/>
      <c r="K41" s="326"/>
      <c r="L41" s="326"/>
      <c r="M41" s="326"/>
      <c r="N41" s="326"/>
      <c r="O41" s="326"/>
      <c r="P41" s="326"/>
      <c r="Q41" s="326"/>
      <c r="R41" s="326"/>
      <c r="S41" s="326"/>
      <c r="T41" s="326"/>
      <c r="U41" s="326"/>
      <c r="V41" s="326"/>
      <c r="W41" s="326"/>
      <c r="X41" s="326"/>
      <c r="Y41" s="326"/>
      <c r="Z41" s="326"/>
      <c r="AA41" s="326"/>
      <c r="AB41" s="326"/>
      <c r="AC41" s="326"/>
      <c r="AD41" s="326"/>
      <c r="AE41" s="326"/>
      <c r="AF41" s="326"/>
      <c r="AG41" s="326"/>
      <c r="AH41" s="326"/>
      <c r="AI41" s="326"/>
      <c r="AJ41" s="326"/>
      <c r="AK41" s="326"/>
      <c r="AL41" s="326"/>
      <c r="AM41" s="326"/>
      <c r="AN41" s="326"/>
      <c r="AO41" s="326"/>
      <c r="AP41" s="326"/>
      <c r="AQ41" s="326"/>
      <c r="AR41" s="326"/>
      <c r="AS41" s="326"/>
      <c r="AT41" s="326"/>
      <c r="AU41" s="326"/>
      <c r="AV41" s="327"/>
    </row>
    <row r="42" spans="2:48">
      <c r="B42" s="336" t="s">
        <v>394</v>
      </c>
      <c r="C42" s="318" t="s">
        <v>53</v>
      </c>
      <c r="D42" s="319" t="e">
        <v>#NULL!</v>
      </c>
      <c r="E42" s="319" t="e">
        <v>#NULL!</v>
      </c>
      <c r="F42" s="319" t="e">
        <v>#NULL!</v>
      </c>
      <c r="G42" s="319" t="e">
        <v>#NULL!</v>
      </c>
      <c r="H42" s="319" t="e">
        <v>#NULL!</v>
      </c>
      <c r="I42" s="319" t="e">
        <v>#NULL!</v>
      </c>
      <c r="J42" s="319" t="e">
        <v>#NULL!</v>
      </c>
      <c r="K42" s="319" t="e">
        <v>#NULL!</v>
      </c>
      <c r="L42" s="319" t="e">
        <v>#NULL!</v>
      </c>
      <c r="M42" s="319" t="e">
        <v>#NULL!</v>
      </c>
      <c r="N42" s="319" t="e">
        <v>#NULL!</v>
      </c>
      <c r="O42" s="319" t="e">
        <v>#NULL!</v>
      </c>
      <c r="P42" s="319" t="e">
        <v>#NULL!</v>
      </c>
      <c r="Q42" s="319" t="e">
        <v>#NULL!</v>
      </c>
      <c r="R42" s="319" t="e">
        <v>#NULL!</v>
      </c>
      <c r="S42" s="319" t="e">
        <v>#NULL!</v>
      </c>
      <c r="T42" s="319" t="e">
        <v>#NULL!</v>
      </c>
      <c r="U42" s="319" t="e">
        <v>#NULL!</v>
      </c>
      <c r="V42" s="319" t="e">
        <v>#NULL!</v>
      </c>
      <c r="W42" s="319" t="e">
        <v>#NULL!</v>
      </c>
      <c r="X42" s="319" t="e">
        <v>#NULL!</v>
      </c>
      <c r="Y42" s="319" t="e">
        <v>#NULL!</v>
      </c>
      <c r="Z42" s="319" t="e">
        <v>#NULL!</v>
      </c>
      <c r="AA42" s="319" t="e">
        <v>#NULL!</v>
      </c>
      <c r="AB42" s="319" t="e">
        <v>#NULL!</v>
      </c>
      <c r="AC42" s="319" t="e">
        <v>#NULL!</v>
      </c>
      <c r="AD42" s="319" t="e">
        <v>#NULL!</v>
      </c>
      <c r="AE42" s="319" t="e">
        <v>#NULL!</v>
      </c>
      <c r="AF42" s="319" t="e">
        <v>#NULL!</v>
      </c>
      <c r="AG42" s="319" t="e">
        <v>#NULL!</v>
      </c>
      <c r="AH42" s="319" t="e">
        <v>#NULL!</v>
      </c>
      <c r="AI42" s="319" t="e">
        <v>#NULL!</v>
      </c>
      <c r="AJ42" s="319" t="e">
        <v>#NULL!</v>
      </c>
      <c r="AK42" s="319" t="e">
        <v>#NULL!</v>
      </c>
      <c r="AL42" s="319" t="e">
        <v>#NULL!</v>
      </c>
      <c r="AM42" s="319" t="e">
        <v>#NULL!</v>
      </c>
      <c r="AN42" s="319" t="e">
        <v>#NULL!</v>
      </c>
      <c r="AO42" s="319" t="e">
        <v>#NULL!</v>
      </c>
      <c r="AP42" s="319" t="e">
        <v>#NULL!</v>
      </c>
      <c r="AQ42" s="319" t="e">
        <v>#NULL!</v>
      </c>
      <c r="AR42" s="319" t="e">
        <v>#NULL!</v>
      </c>
      <c r="AS42" s="319" t="e">
        <v>#NULL!</v>
      </c>
      <c r="AT42" s="319" t="e">
        <v>#NULL!</v>
      </c>
      <c r="AU42" s="319" t="e">
        <v>#NULL!</v>
      </c>
      <c r="AV42" s="320" t="e">
        <v>#NULL!</v>
      </c>
    </row>
    <row r="43" spans="2:48">
      <c r="B43" s="337"/>
      <c r="C43" s="318" t="s">
        <v>383</v>
      </c>
      <c r="D43" s="322">
        <v>4.2749895198841106</v>
      </c>
      <c r="E43" s="322">
        <v>4.2799354878902021</v>
      </c>
      <c r="F43" s="322">
        <v>4.2848814558962935</v>
      </c>
      <c r="G43" s="322">
        <v>4.2898274239023859</v>
      </c>
      <c r="H43" s="322">
        <v>4.2947733919084774</v>
      </c>
      <c r="I43" s="322">
        <v>4.2997193599145689</v>
      </c>
      <c r="J43" s="322">
        <v>4.3046653279206621</v>
      </c>
      <c r="K43" s="322">
        <v>4.3096112959267545</v>
      </c>
      <c r="L43" s="322">
        <v>4.314557263932846</v>
      </c>
      <c r="M43" s="322">
        <v>4.3195032319389393</v>
      </c>
      <c r="N43" s="322">
        <v>4.3244491999450299</v>
      </c>
      <c r="O43" s="322">
        <v>4.3293951679511222</v>
      </c>
      <c r="P43" s="322">
        <v>4.3343411359572137</v>
      </c>
      <c r="Q43" s="322">
        <v>4.2409209800327377</v>
      </c>
      <c r="R43" s="322">
        <v>4.2683035819583237</v>
      </c>
      <c r="S43" s="322">
        <v>4.2903919441329128</v>
      </c>
      <c r="T43" s="322">
        <v>4.3356502002445358</v>
      </c>
      <c r="U43" s="322">
        <v>4.3511562061870137</v>
      </c>
      <c r="V43" s="322">
        <v>4.4307682858091244</v>
      </c>
      <c r="W43" s="322">
        <v>4.426344942421145</v>
      </c>
      <c r="X43" s="322">
        <v>4.4692173475661745</v>
      </c>
      <c r="Y43" s="322">
        <v>4.5335786141335772</v>
      </c>
      <c r="Z43" s="322">
        <v>4.5219572110382362</v>
      </c>
      <c r="AA43" s="322">
        <v>4.424530237441461</v>
      </c>
      <c r="AB43" s="322">
        <v>4.409024231498984</v>
      </c>
      <c r="AC43" s="322">
        <v>4.3619553210884359</v>
      </c>
      <c r="AD43" s="322">
        <v>4.2937459078007212</v>
      </c>
      <c r="AE43" s="322">
        <v>4.2510881887358769</v>
      </c>
      <c r="AF43" s="322">
        <v>4.2612918535658402</v>
      </c>
      <c r="AG43" s="322">
        <v>4.2342092305694488</v>
      </c>
      <c r="AH43" s="322">
        <v>4.2123168459793678</v>
      </c>
      <c r="AI43" s="322">
        <v>4.1943402416579119</v>
      </c>
      <c r="AJ43" s="322">
        <v>4.1824902471859637</v>
      </c>
      <c r="AK43" s="322">
        <v>4.1481153528774293</v>
      </c>
      <c r="AL43" s="322">
        <v>4.111043045768894</v>
      </c>
      <c r="AM43" s="322">
        <v>4.0796569076945755</v>
      </c>
      <c r="AN43" s="322">
        <v>4.0479883206615845</v>
      </c>
      <c r="AO43" s="322">
        <v>4.0244962252582646</v>
      </c>
      <c r="AP43" s="322">
        <v>4.0092533672535398</v>
      </c>
      <c r="AQ43" s="322">
        <v>3.9969448698120145</v>
      </c>
      <c r="AR43" s="322">
        <v>3.9885264792517141</v>
      </c>
      <c r="AS43" s="272">
        <v>3.9885264792517141</v>
      </c>
      <c r="AT43" s="272" t="e">
        <v>#NULL!</v>
      </c>
      <c r="AU43" s="272" t="e">
        <v>#NULL!</v>
      </c>
      <c r="AV43" s="323" t="e">
        <v>#NULL!</v>
      </c>
    </row>
    <row r="44" spans="2:48">
      <c r="B44" s="337"/>
      <c r="C44" s="318" t="s">
        <v>384</v>
      </c>
      <c r="D44" s="319"/>
      <c r="E44" s="319"/>
      <c r="F44" s="319"/>
      <c r="G44" s="319"/>
      <c r="H44" s="319"/>
      <c r="I44" s="319"/>
      <c r="J44" s="319"/>
      <c r="K44" s="319"/>
      <c r="L44" s="319"/>
      <c r="M44" s="319"/>
      <c r="N44" s="319"/>
      <c r="O44" s="319"/>
      <c r="P44" s="319"/>
      <c r="Q44" s="319"/>
      <c r="R44" s="31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9"/>
      <c r="AQ44" s="319"/>
      <c r="AR44" s="319"/>
      <c r="AS44" s="319"/>
      <c r="AT44" s="319"/>
      <c r="AU44" s="319"/>
      <c r="AV44" s="320"/>
    </row>
    <row r="45" spans="2:48">
      <c r="B45" s="337"/>
      <c r="C45" s="318" t="s">
        <v>385</v>
      </c>
      <c r="D45" s="319"/>
      <c r="E45" s="319"/>
      <c r="F45" s="319"/>
      <c r="G45" s="319"/>
      <c r="H45" s="319"/>
      <c r="I45" s="319"/>
      <c r="J45" s="319"/>
      <c r="K45" s="319"/>
      <c r="L45" s="319"/>
      <c r="M45" s="319"/>
      <c r="N45" s="319"/>
      <c r="O45" s="319"/>
      <c r="P45" s="319"/>
      <c r="Q45" s="319"/>
      <c r="R45" s="319"/>
      <c r="S45" s="319"/>
      <c r="T45" s="319"/>
      <c r="U45" s="319"/>
      <c r="V45" s="319"/>
      <c r="W45" s="319"/>
      <c r="X45" s="319"/>
      <c r="Y45" s="319"/>
      <c r="Z45" s="319"/>
      <c r="AA45" s="319"/>
      <c r="AB45" s="319"/>
      <c r="AC45" s="319"/>
      <c r="AD45" s="319"/>
      <c r="AE45" s="319"/>
      <c r="AF45" s="319"/>
      <c r="AG45" s="319"/>
      <c r="AH45" s="319"/>
      <c r="AI45" s="319"/>
      <c r="AJ45" s="319"/>
      <c r="AK45" s="319"/>
      <c r="AL45" s="319"/>
      <c r="AM45" s="319"/>
      <c r="AN45" s="319"/>
      <c r="AO45" s="319"/>
      <c r="AP45" s="319"/>
      <c r="AQ45" s="319"/>
      <c r="AR45" s="319"/>
      <c r="AS45" s="319"/>
      <c r="AT45" s="319"/>
      <c r="AU45" s="319"/>
      <c r="AV45" s="320"/>
    </row>
    <row r="46" spans="2:48">
      <c r="B46" s="337"/>
      <c r="C46" s="318" t="s">
        <v>54</v>
      </c>
      <c r="D46" s="319"/>
      <c r="E46" s="319"/>
      <c r="F46" s="319"/>
      <c r="G46" s="319"/>
      <c r="H46" s="319"/>
      <c r="I46" s="319"/>
      <c r="J46" s="319"/>
      <c r="K46" s="319"/>
      <c r="L46" s="319"/>
      <c r="M46" s="319"/>
      <c r="N46" s="319"/>
      <c r="O46" s="319"/>
      <c r="P46" s="319"/>
      <c r="Q46" s="319"/>
      <c r="R46" s="319"/>
      <c r="S46" s="319"/>
      <c r="T46" s="319"/>
      <c r="U46" s="319"/>
      <c r="V46" s="319"/>
      <c r="W46" s="319"/>
      <c r="X46" s="319"/>
      <c r="Y46" s="319"/>
      <c r="Z46" s="319"/>
      <c r="AA46" s="319"/>
      <c r="AB46" s="319"/>
      <c r="AC46" s="319"/>
      <c r="AD46" s="319"/>
      <c r="AE46" s="319"/>
      <c r="AF46" s="319"/>
      <c r="AG46" s="319"/>
      <c r="AH46" s="319"/>
      <c r="AI46" s="319"/>
      <c r="AJ46" s="319"/>
      <c r="AK46" s="319"/>
      <c r="AL46" s="319"/>
      <c r="AM46" s="319"/>
      <c r="AN46" s="319"/>
      <c r="AO46" s="319"/>
      <c r="AP46" s="319"/>
      <c r="AQ46" s="319"/>
      <c r="AR46" s="319"/>
      <c r="AS46" s="319"/>
      <c r="AT46" s="319"/>
      <c r="AU46" s="319"/>
      <c r="AV46" s="320"/>
    </row>
    <row r="47" spans="2:48">
      <c r="B47" s="337"/>
      <c r="C47" s="318" t="s">
        <v>387</v>
      </c>
      <c r="D47" s="319"/>
      <c r="E47" s="319"/>
      <c r="F47" s="319"/>
      <c r="G47" s="319"/>
      <c r="H47" s="319"/>
      <c r="I47" s="319"/>
      <c r="J47" s="319"/>
      <c r="K47" s="319"/>
      <c r="L47" s="319"/>
      <c r="M47" s="319"/>
      <c r="N47" s="319"/>
      <c r="O47" s="319"/>
      <c r="P47" s="319"/>
      <c r="Q47" s="319"/>
      <c r="R47" s="319"/>
      <c r="S47" s="319"/>
      <c r="T47" s="319"/>
      <c r="U47" s="319"/>
      <c r="V47" s="319"/>
      <c r="W47" s="319"/>
      <c r="X47" s="319"/>
      <c r="Y47" s="319"/>
      <c r="Z47" s="319"/>
      <c r="AA47" s="319"/>
      <c r="AB47" s="319"/>
      <c r="AC47" s="319"/>
      <c r="AD47" s="319"/>
      <c r="AE47" s="319"/>
      <c r="AF47" s="319"/>
      <c r="AG47" s="319"/>
      <c r="AH47" s="319"/>
      <c r="AI47" s="319"/>
      <c r="AJ47" s="319"/>
      <c r="AK47" s="319"/>
      <c r="AL47" s="319"/>
      <c r="AM47" s="319"/>
      <c r="AN47" s="319"/>
      <c r="AO47" s="319"/>
      <c r="AP47" s="319"/>
      <c r="AQ47" s="319"/>
      <c r="AR47" s="319"/>
      <c r="AS47" s="319"/>
      <c r="AT47" s="319"/>
      <c r="AU47" s="319"/>
      <c r="AV47" s="320"/>
    </row>
    <row r="48" spans="2:48">
      <c r="B48" s="338"/>
      <c r="C48" s="325" t="s">
        <v>388</v>
      </c>
      <c r="D48" s="326"/>
      <c r="E48" s="326"/>
      <c r="F48" s="326"/>
      <c r="G48" s="326"/>
      <c r="H48" s="326"/>
      <c r="I48" s="326"/>
      <c r="J48" s="326"/>
      <c r="K48" s="326"/>
      <c r="L48" s="326"/>
      <c r="M48" s="326"/>
      <c r="N48" s="326"/>
      <c r="O48" s="326"/>
      <c r="P48" s="326"/>
      <c r="Q48" s="326"/>
      <c r="R48" s="326"/>
      <c r="S48" s="326"/>
      <c r="T48" s="326"/>
      <c r="U48" s="326"/>
      <c r="V48" s="326"/>
      <c r="W48" s="326"/>
      <c r="X48" s="326"/>
      <c r="Y48" s="326"/>
      <c r="Z48" s="326"/>
      <c r="AA48" s="326"/>
      <c r="AB48" s="326"/>
      <c r="AC48" s="326"/>
      <c r="AD48" s="326"/>
      <c r="AE48" s="326"/>
      <c r="AF48" s="326"/>
      <c r="AG48" s="326"/>
      <c r="AH48" s="326"/>
      <c r="AI48" s="326"/>
      <c r="AJ48" s="326"/>
      <c r="AK48" s="326"/>
      <c r="AL48" s="326"/>
      <c r="AM48" s="326"/>
      <c r="AN48" s="326"/>
      <c r="AO48" s="326"/>
      <c r="AP48" s="326"/>
      <c r="AQ48" s="326"/>
      <c r="AR48" s="326"/>
      <c r="AS48" s="326"/>
      <c r="AT48" s="326"/>
      <c r="AU48" s="326"/>
      <c r="AV48" s="327"/>
    </row>
    <row r="49" spans="2:48">
      <c r="B49" s="336" t="s">
        <v>395</v>
      </c>
      <c r="C49" s="318" t="s">
        <v>53</v>
      </c>
      <c r="D49" s="319" t="e">
        <v>#NULL!</v>
      </c>
      <c r="E49" s="319" t="e">
        <v>#NULL!</v>
      </c>
      <c r="F49" s="319" t="e">
        <v>#NULL!</v>
      </c>
      <c r="G49" s="319" t="e">
        <v>#NULL!</v>
      </c>
      <c r="H49" s="319" t="e">
        <v>#NULL!</v>
      </c>
      <c r="I49" s="319" t="e">
        <v>#NULL!</v>
      </c>
      <c r="J49" s="319" t="e">
        <v>#NULL!</v>
      </c>
      <c r="K49" s="319" t="e">
        <v>#NULL!</v>
      </c>
      <c r="L49" s="319" t="e">
        <v>#NULL!</v>
      </c>
      <c r="M49" s="319" t="e">
        <v>#NULL!</v>
      </c>
      <c r="N49" s="319" t="e">
        <v>#NULL!</v>
      </c>
      <c r="O49" s="319" t="e">
        <v>#NULL!</v>
      </c>
      <c r="P49" s="319" t="e">
        <v>#NULL!</v>
      </c>
      <c r="Q49" s="319" t="e">
        <v>#NULL!</v>
      </c>
      <c r="R49" s="319" t="e">
        <v>#NULL!</v>
      </c>
      <c r="S49" s="319" t="e">
        <v>#NULL!</v>
      </c>
      <c r="T49" s="319" t="e">
        <v>#NULL!</v>
      </c>
      <c r="U49" s="319" t="e">
        <v>#NULL!</v>
      </c>
      <c r="V49" s="319" t="e">
        <v>#NULL!</v>
      </c>
      <c r="W49" s="319" t="e">
        <v>#NULL!</v>
      </c>
      <c r="X49" s="319" t="e">
        <v>#NULL!</v>
      </c>
      <c r="Y49" s="319" t="e">
        <v>#NULL!</v>
      </c>
      <c r="Z49" s="319" t="e">
        <v>#NULL!</v>
      </c>
      <c r="AA49" s="319" t="e">
        <v>#NULL!</v>
      </c>
      <c r="AB49" s="319" t="e">
        <v>#NULL!</v>
      </c>
      <c r="AC49" s="319" t="e">
        <v>#NULL!</v>
      </c>
      <c r="AD49" s="319" t="e">
        <v>#NULL!</v>
      </c>
      <c r="AE49" s="319" t="e">
        <v>#NULL!</v>
      </c>
      <c r="AF49" s="319" t="e">
        <v>#NULL!</v>
      </c>
      <c r="AG49" s="319" t="e">
        <v>#NULL!</v>
      </c>
      <c r="AH49" s="319" t="e">
        <v>#NULL!</v>
      </c>
      <c r="AI49" s="319" t="e">
        <v>#NULL!</v>
      </c>
      <c r="AJ49" s="319" t="e">
        <v>#NULL!</v>
      </c>
      <c r="AK49" s="319" t="e">
        <v>#NULL!</v>
      </c>
      <c r="AL49" s="319" t="e">
        <v>#NULL!</v>
      </c>
      <c r="AM49" s="319" t="e">
        <v>#NULL!</v>
      </c>
      <c r="AN49" s="319" t="e">
        <v>#NULL!</v>
      </c>
      <c r="AO49" s="319" t="e">
        <v>#NULL!</v>
      </c>
      <c r="AP49" s="319" t="e">
        <v>#NULL!</v>
      </c>
      <c r="AQ49" s="319" t="e">
        <v>#NULL!</v>
      </c>
      <c r="AR49" s="319" t="e">
        <v>#NULL!</v>
      </c>
      <c r="AS49" s="319" t="e">
        <v>#NULL!</v>
      </c>
      <c r="AT49" s="319" t="e">
        <v>#NULL!</v>
      </c>
      <c r="AU49" s="319" t="e">
        <v>#NULL!</v>
      </c>
      <c r="AV49" s="320" t="e">
        <v>#NULL!</v>
      </c>
    </row>
    <row r="50" spans="2:48">
      <c r="B50" s="336"/>
      <c r="C50" s="318" t="s">
        <v>383</v>
      </c>
      <c r="D50" s="339">
        <v>10.544078417387906</v>
      </c>
      <c r="E50" s="339">
        <v>10.556277435482231</v>
      </c>
      <c r="F50" s="339">
        <v>10.568476453576558</v>
      </c>
      <c r="G50" s="339">
        <v>10.580675471670885</v>
      </c>
      <c r="H50" s="339">
        <v>10.592874489765213</v>
      </c>
      <c r="I50" s="339">
        <v>10.605073507859538</v>
      </c>
      <c r="J50" s="339">
        <v>10.617272525953867</v>
      </c>
      <c r="K50" s="339">
        <v>10.629471544048197</v>
      </c>
      <c r="L50" s="339">
        <v>10.641670562142522</v>
      </c>
      <c r="M50" s="339">
        <v>10.653869580236851</v>
      </c>
      <c r="N50" s="339">
        <v>10.666068598331176</v>
      </c>
      <c r="O50" s="339">
        <v>10.678267616425504</v>
      </c>
      <c r="P50" s="339">
        <v>10.690466634519831</v>
      </c>
      <c r="Q50" s="339">
        <v>10.460049824080729</v>
      </c>
      <c r="R50" s="339">
        <v>10.527587838064756</v>
      </c>
      <c r="S50" s="339">
        <v>10.582067836623173</v>
      </c>
      <c r="T50" s="339">
        <v>10.693695385475763</v>
      </c>
      <c r="U50" s="339">
        <v>10.731940284518791</v>
      </c>
      <c r="V50" s="339">
        <v>10.928300066596016</v>
      </c>
      <c r="W50" s="339">
        <v>10.917390079721674</v>
      </c>
      <c r="X50" s="339">
        <v>11.023133029426839</v>
      </c>
      <c r="Y50" s="339">
        <v>11.181877334780713</v>
      </c>
      <c r="Z50" s="339">
        <v>11.153213642159386</v>
      </c>
      <c r="AA50" s="339">
        <v>10.91291418767066</v>
      </c>
      <c r="AB50" s="339">
        <v>10.874669288627635</v>
      </c>
      <c r="AC50" s="339">
        <v>10.758575838554503</v>
      </c>
      <c r="AD50" s="339">
        <v>10.590340244253168</v>
      </c>
      <c r="AE50" s="339">
        <v>10.485126808562963</v>
      </c>
      <c r="AF50" s="339">
        <v>10.510293710519438</v>
      </c>
      <c r="AG50" s="339">
        <v>10.275025760168333</v>
      </c>
      <c r="AH50" s="339">
        <v>10.484040295492044</v>
      </c>
      <c r="AI50" s="339">
        <v>10.427828013348474</v>
      </c>
      <c r="AJ50" s="339">
        <v>10.39462965105783</v>
      </c>
      <c r="AK50" s="339">
        <v>10.290192343901257</v>
      </c>
      <c r="AL50" s="339">
        <v>10.078666485119003</v>
      </c>
      <c r="AM50" s="339">
        <v>10.202909620353303</v>
      </c>
      <c r="AN50" s="322">
        <v>10.300322142250486</v>
      </c>
      <c r="AO50" s="322">
        <v>9.8490166666123322</v>
      </c>
      <c r="AP50" s="322">
        <v>10.2556113817535</v>
      </c>
      <c r="AQ50" s="322">
        <v>10.321493772557584</v>
      </c>
      <c r="AR50" s="340">
        <v>10.321493772557584</v>
      </c>
      <c r="AS50" s="272">
        <v>10.321493772557584</v>
      </c>
      <c r="AT50" s="272" t="e">
        <v>#NULL!</v>
      </c>
      <c r="AU50" s="272" t="e">
        <v>#NULL!</v>
      </c>
      <c r="AV50" s="323" t="e">
        <v>#NULL!</v>
      </c>
    </row>
    <row r="51" spans="2:48">
      <c r="B51" s="336"/>
      <c r="C51" s="318" t="s">
        <v>384</v>
      </c>
      <c r="D51" s="319"/>
      <c r="E51" s="319"/>
      <c r="F51" s="319"/>
      <c r="G51" s="319"/>
      <c r="H51" s="319"/>
      <c r="I51" s="319"/>
      <c r="J51" s="319"/>
      <c r="K51" s="319"/>
      <c r="L51" s="319"/>
      <c r="M51" s="319"/>
      <c r="N51" s="319"/>
      <c r="O51" s="319"/>
      <c r="P51" s="319"/>
      <c r="Q51" s="319"/>
      <c r="R51" s="319"/>
      <c r="S51" s="319"/>
      <c r="T51" s="319"/>
      <c r="U51" s="319"/>
      <c r="V51" s="319"/>
      <c r="W51" s="319"/>
      <c r="X51" s="319"/>
      <c r="Y51" s="319"/>
      <c r="Z51" s="319"/>
      <c r="AA51" s="319"/>
      <c r="AB51" s="319"/>
      <c r="AC51" s="319"/>
      <c r="AD51" s="319"/>
      <c r="AE51" s="319"/>
      <c r="AF51" s="319"/>
      <c r="AG51" s="319"/>
      <c r="AH51" s="319"/>
      <c r="AI51" s="319"/>
      <c r="AJ51" s="319"/>
      <c r="AK51" s="319"/>
      <c r="AL51" s="319"/>
      <c r="AM51" s="319"/>
      <c r="AN51" s="272"/>
      <c r="AO51" s="272"/>
      <c r="AP51" s="272"/>
      <c r="AQ51" s="272"/>
      <c r="AR51" s="272"/>
      <c r="AS51" s="272"/>
      <c r="AT51" s="272"/>
      <c r="AU51" s="272"/>
      <c r="AV51" s="323"/>
    </row>
    <row r="52" spans="2:48">
      <c r="B52" s="336"/>
      <c r="C52" s="318" t="s">
        <v>385</v>
      </c>
      <c r="D52" s="319"/>
      <c r="E52" s="319"/>
      <c r="F52" s="319"/>
      <c r="G52" s="319"/>
      <c r="H52" s="319"/>
      <c r="I52" s="319"/>
      <c r="J52" s="319"/>
      <c r="K52" s="319"/>
      <c r="L52" s="319"/>
      <c r="M52" s="319"/>
      <c r="N52" s="319"/>
      <c r="O52" s="319"/>
      <c r="P52" s="319"/>
      <c r="Q52" s="319"/>
      <c r="R52" s="319"/>
      <c r="S52" s="319"/>
      <c r="T52" s="319"/>
      <c r="U52" s="319"/>
      <c r="V52" s="319"/>
      <c r="W52" s="319"/>
      <c r="X52" s="319"/>
      <c r="Y52" s="319"/>
      <c r="Z52" s="319"/>
      <c r="AA52" s="319"/>
      <c r="AB52" s="319"/>
      <c r="AC52" s="319"/>
      <c r="AD52" s="319"/>
      <c r="AE52" s="319"/>
      <c r="AF52" s="319"/>
      <c r="AG52" s="319"/>
      <c r="AH52" s="319"/>
      <c r="AI52" s="319"/>
      <c r="AJ52" s="319"/>
      <c r="AK52" s="319"/>
      <c r="AL52" s="319"/>
      <c r="AM52" s="319"/>
      <c r="AN52" s="272"/>
      <c r="AO52" s="272"/>
      <c r="AP52" s="272"/>
      <c r="AQ52" s="272"/>
      <c r="AR52" s="272"/>
      <c r="AS52" s="272"/>
      <c r="AT52" s="272"/>
      <c r="AU52" s="272"/>
      <c r="AV52" s="323"/>
    </row>
    <row r="53" spans="2:48">
      <c r="B53" s="336"/>
      <c r="C53" s="318" t="s">
        <v>54</v>
      </c>
      <c r="D53" s="319"/>
      <c r="E53" s="319"/>
      <c r="F53" s="319"/>
      <c r="G53" s="319"/>
      <c r="H53" s="319"/>
      <c r="I53" s="319"/>
      <c r="J53" s="319"/>
      <c r="K53" s="319"/>
      <c r="L53" s="319"/>
      <c r="M53" s="319"/>
      <c r="N53" s="319"/>
      <c r="O53" s="319"/>
      <c r="P53" s="319"/>
      <c r="Q53" s="319"/>
      <c r="R53" s="319"/>
      <c r="S53" s="319"/>
      <c r="T53" s="319"/>
      <c r="U53" s="319"/>
      <c r="V53" s="319"/>
      <c r="W53" s="319"/>
      <c r="X53" s="319"/>
      <c r="Y53" s="319"/>
      <c r="Z53" s="319"/>
      <c r="AA53" s="319"/>
      <c r="AB53" s="319"/>
      <c r="AC53" s="319"/>
      <c r="AD53" s="319"/>
      <c r="AE53" s="319"/>
      <c r="AF53" s="319"/>
      <c r="AG53" s="319"/>
      <c r="AH53" s="319"/>
      <c r="AI53" s="319"/>
      <c r="AJ53" s="319"/>
      <c r="AK53" s="319"/>
      <c r="AL53" s="319"/>
      <c r="AM53" s="319"/>
      <c r="AN53" s="272"/>
      <c r="AO53" s="272"/>
      <c r="AP53" s="272"/>
      <c r="AQ53" s="272"/>
      <c r="AR53" s="272"/>
      <c r="AS53" s="272"/>
      <c r="AT53" s="272"/>
      <c r="AU53" s="272"/>
      <c r="AV53" s="323"/>
    </row>
    <row r="54" spans="2:48">
      <c r="B54" s="336"/>
      <c r="C54" s="318" t="s">
        <v>387</v>
      </c>
      <c r="D54" s="319"/>
      <c r="E54" s="319"/>
      <c r="F54" s="319"/>
      <c r="G54" s="319"/>
      <c r="H54" s="319"/>
      <c r="I54" s="319"/>
      <c r="J54" s="319"/>
      <c r="K54" s="319"/>
      <c r="L54" s="319"/>
      <c r="M54" s="319"/>
      <c r="N54" s="319"/>
      <c r="O54" s="319"/>
      <c r="P54" s="319"/>
      <c r="Q54" s="319"/>
      <c r="R54" s="319"/>
      <c r="S54" s="319"/>
      <c r="T54" s="319"/>
      <c r="U54" s="319"/>
      <c r="V54" s="319"/>
      <c r="W54" s="319"/>
      <c r="X54" s="319"/>
      <c r="Y54" s="319"/>
      <c r="Z54" s="319"/>
      <c r="AA54" s="319"/>
      <c r="AB54" s="319"/>
      <c r="AC54" s="319"/>
      <c r="AD54" s="319"/>
      <c r="AE54" s="319"/>
      <c r="AF54" s="319"/>
      <c r="AG54" s="319"/>
      <c r="AH54" s="319"/>
      <c r="AI54" s="319"/>
      <c r="AJ54" s="319"/>
      <c r="AK54" s="319"/>
      <c r="AL54" s="319"/>
      <c r="AM54" s="319"/>
      <c r="AN54" s="272"/>
      <c r="AO54" s="272"/>
      <c r="AP54" s="272"/>
      <c r="AQ54" s="272"/>
      <c r="AR54" s="272"/>
      <c r="AS54" s="272"/>
      <c r="AT54" s="272"/>
      <c r="AU54" s="272"/>
      <c r="AV54" s="323"/>
    </row>
    <row r="55" spans="2:48">
      <c r="B55" s="341"/>
      <c r="C55" s="325" t="s">
        <v>388</v>
      </c>
      <c r="D55" s="326"/>
      <c r="E55" s="326"/>
      <c r="F55" s="326"/>
      <c r="G55" s="326"/>
      <c r="H55" s="326"/>
      <c r="I55" s="326"/>
      <c r="J55" s="326"/>
      <c r="K55" s="326"/>
      <c r="L55" s="326"/>
      <c r="M55" s="326"/>
      <c r="N55" s="326"/>
      <c r="O55" s="326"/>
      <c r="P55" s="326"/>
      <c r="Q55" s="326"/>
      <c r="R55" s="326"/>
      <c r="S55" s="326"/>
      <c r="T55" s="326"/>
      <c r="U55" s="326"/>
      <c r="V55" s="326"/>
      <c r="W55" s="326"/>
      <c r="X55" s="326"/>
      <c r="Y55" s="326"/>
      <c r="Z55" s="326"/>
      <c r="AA55" s="326"/>
      <c r="AB55" s="326"/>
      <c r="AC55" s="326"/>
      <c r="AD55" s="326"/>
      <c r="AE55" s="326"/>
      <c r="AF55" s="326"/>
      <c r="AG55" s="326"/>
      <c r="AH55" s="326"/>
      <c r="AI55" s="326"/>
      <c r="AJ55" s="326"/>
      <c r="AK55" s="326"/>
      <c r="AL55" s="326"/>
      <c r="AM55" s="326"/>
      <c r="AN55" s="273"/>
      <c r="AO55" s="273"/>
      <c r="AP55" s="273"/>
      <c r="AQ55" s="273"/>
      <c r="AR55" s="273"/>
      <c r="AS55" s="273"/>
      <c r="AT55" s="273"/>
      <c r="AU55" s="273"/>
      <c r="AV55" s="328"/>
    </row>
    <row r="56" spans="2:48">
      <c r="B56" s="336" t="s">
        <v>409</v>
      </c>
      <c r="C56" s="318" t="s">
        <v>383</v>
      </c>
      <c r="D56" s="342">
        <v>53.598847535636629</v>
      </c>
      <c r="E56" s="343">
        <v>53.598847535636629</v>
      </c>
      <c r="F56" s="343">
        <v>53.598847535636629</v>
      </c>
      <c r="G56" s="343">
        <v>53.598847535636629</v>
      </c>
      <c r="H56" s="343">
        <v>53.598847535636629</v>
      </c>
      <c r="I56" s="343">
        <v>53.598847535636629</v>
      </c>
      <c r="J56" s="343">
        <v>53.598847535636629</v>
      </c>
      <c r="K56" s="343">
        <v>53.598847535636629</v>
      </c>
      <c r="L56" s="343">
        <v>53.598847535636629</v>
      </c>
      <c r="M56" s="343">
        <v>53.598847535636629</v>
      </c>
      <c r="N56" s="343">
        <v>53.598847535636629</v>
      </c>
      <c r="O56" s="343">
        <v>53.598847535636629</v>
      </c>
      <c r="P56" s="343">
        <v>53.598847535636629</v>
      </c>
      <c r="Q56" s="343">
        <v>53.598847535636629</v>
      </c>
      <c r="R56" s="343">
        <v>53.598847535636629</v>
      </c>
      <c r="S56" s="343">
        <v>53.598847535636629</v>
      </c>
      <c r="T56" s="343">
        <v>53.598847535636629</v>
      </c>
      <c r="U56" s="343">
        <v>53.598847535636629</v>
      </c>
      <c r="V56" s="343">
        <v>53.598847535636629</v>
      </c>
      <c r="W56" s="343">
        <v>53.598847535636629</v>
      </c>
      <c r="X56" s="343">
        <v>53.598847535636629</v>
      </c>
      <c r="Y56" s="343">
        <v>53.598847535636629</v>
      </c>
      <c r="Z56" s="343">
        <v>53.598847535636629</v>
      </c>
      <c r="AA56" s="343">
        <v>53.598847535636629</v>
      </c>
      <c r="AB56" s="343">
        <v>53.598847535636629</v>
      </c>
      <c r="AC56" s="344">
        <v>53.237333137611984</v>
      </c>
      <c r="AD56" s="344">
        <v>52.875818739587345</v>
      </c>
      <c r="AE56" s="344">
        <v>52.514304341562706</v>
      </c>
      <c r="AF56" s="343">
        <v>52.152789943538068</v>
      </c>
      <c r="AG56" s="344">
        <v>52.531181058706167</v>
      </c>
      <c r="AH56" s="344">
        <v>52.909572173874253</v>
      </c>
      <c r="AI56" s="344">
        <v>53.287963289042338</v>
      </c>
      <c r="AJ56" s="344">
        <v>53.666354404210423</v>
      </c>
      <c r="AK56" s="343">
        <v>54.044745519378509</v>
      </c>
      <c r="AL56" s="343">
        <v>54.044745519378509</v>
      </c>
      <c r="AM56" s="343">
        <v>54.044745519378509</v>
      </c>
      <c r="AN56" s="272">
        <v>54.044745519378509</v>
      </c>
      <c r="AO56" s="272">
        <v>54.044745519378509</v>
      </c>
      <c r="AP56" s="272">
        <v>54.044745519378509</v>
      </c>
      <c r="AQ56" s="272">
        <v>54.044745519378509</v>
      </c>
      <c r="AR56" s="272">
        <v>54.044745519378509</v>
      </c>
      <c r="AS56" s="272">
        <v>54.044745519378509</v>
      </c>
      <c r="AT56" s="272" t="e">
        <v>#NULL!</v>
      </c>
      <c r="AU56" s="272" t="e">
        <v>#NULL!</v>
      </c>
      <c r="AV56" s="323" t="e">
        <v>#NULL!</v>
      </c>
    </row>
    <row r="57" spans="2:48">
      <c r="B57" s="336"/>
      <c r="C57" s="318" t="s">
        <v>54</v>
      </c>
      <c r="D57" s="343"/>
      <c r="E57" s="343"/>
      <c r="F57" s="343"/>
      <c r="G57" s="343"/>
      <c r="H57" s="343"/>
      <c r="I57" s="343"/>
      <c r="J57" s="343"/>
      <c r="K57" s="343"/>
      <c r="L57" s="343"/>
      <c r="M57" s="343"/>
      <c r="N57" s="343"/>
      <c r="O57" s="343"/>
      <c r="P57" s="343"/>
      <c r="Q57" s="343"/>
      <c r="R57" s="343"/>
      <c r="S57" s="343"/>
      <c r="T57" s="343"/>
      <c r="U57" s="343"/>
      <c r="V57" s="343"/>
      <c r="W57" s="343"/>
      <c r="X57" s="343"/>
      <c r="Y57" s="343"/>
      <c r="Z57" s="343"/>
      <c r="AA57" s="343"/>
      <c r="AB57" s="345"/>
      <c r="AC57" s="344"/>
      <c r="AD57" s="344"/>
      <c r="AE57" s="344"/>
      <c r="AF57" s="345"/>
      <c r="AG57" s="344"/>
      <c r="AH57" s="344"/>
      <c r="AI57" s="344"/>
      <c r="AJ57" s="344"/>
      <c r="AK57" s="345"/>
      <c r="AL57" s="343"/>
      <c r="AM57" s="345"/>
      <c r="AN57" s="272"/>
      <c r="AO57" s="272"/>
      <c r="AP57" s="272"/>
      <c r="AQ57" s="272"/>
      <c r="AR57" s="272"/>
      <c r="AS57" s="272"/>
      <c r="AT57" s="272"/>
      <c r="AU57" s="272"/>
      <c r="AV57" s="323"/>
    </row>
    <row r="58" spans="2:48">
      <c r="B58" s="336"/>
      <c r="C58" s="318" t="s">
        <v>387</v>
      </c>
      <c r="D58" s="342">
        <v>35.838984740171519</v>
      </c>
      <c r="E58" s="343">
        <v>35.838984740171519</v>
      </c>
      <c r="F58" s="343">
        <v>35.838984740171519</v>
      </c>
      <c r="G58" s="343">
        <v>35.838984740171519</v>
      </c>
      <c r="H58" s="343">
        <v>35.838984740171519</v>
      </c>
      <c r="I58" s="343">
        <v>35.838984740171519</v>
      </c>
      <c r="J58" s="343">
        <v>35.838984740171519</v>
      </c>
      <c r="K58" s="343">
        <v>35.838984740171519</v>
      </c>
      <c r="L58" s="343">
        <v>35.838984740171519</v>
      </c>
      <c r="M58" s="343">
        <v>35.838984740171519</v>
      </c>
      <c r="N58" s="343">
        <v>35.838984740171519</v>
      </c>
      <c r="O58" s="343">
        <v>35.838984740171519</v>
      </c>
      <c r="P58" s="343">
        <v>35.838984740171519</v>
      </c>
      <c r="Q58" s="343">
        <v>35.838984740171519</v>
      </c>
      <c r="R58" s="343">
        <v>35.838984740171519</v>
      </c>
      <c r="S58" s="343">
        <v>35.838984740171519</v>
      </c>
      <c r="T58" s="343">
        <v>35.838984740171519</v>
      </c>
      <c r="U58" s="343">
        <v>35.838984740171519</v>
      </c>
      <c r="V58" s="343">
        <v>35.838984740171519</v>
      </c>
      <c r="W58" s="343">
        <v>35.838984740171519</v>
      </c>
      <c r="X58" s="343">
        <v>35.838984740171519</v>
      </c>
      <c r="Y58" s="343">
        <v>35.838984740171519</v>
      </c>
      <c r="Z58" s="343">
        <v>35.838984740171519</v>
      </c>
      <c r="AA58" s="343">
        <v>35.838984740171519</v>
      </c>
      <c r="AB58" s="343">
        <v>35.838984740171519</v>
      </c>
      <c r="AC58" s="344">
        <v>35.167656603681806</v>
      </c>
      <c r="AD58" s="344">
        <v>34.496328467192093</v>
      </c>
      <c r="AE58" s="344">
        <v>33.82500033070238</v>
      </c>
      <c r="AF58" s="343">
        <v>33.153672194212668</v>
      </c>
      <c r="AG58" s="344">
        <v>35.072513950877493</v>
      </c>
      <c r="AH58" s="344">
        <v>36.991355707542304</v>
      </c>
      <c r="AI58" s="344">
        <v>38.910197464207116</v>
      </c>
      <c r="AJ58" s="344">
        <v>40.829039220871927</v>
      </c>
      <c r="AK58" s="343">
        <v>42.747880977536738</v>
      </c>
      <c r="AL58" s="343">
        <v>42.747880977536738</v>
      </c>
      <c r="AM58" s="343">
        <v>42.747880977536738</v>
      </c>
      <c r="AN58" s="272">
        <v>42.747880977536738</v>
      </c>
      <c r="AO58" s="272">
        <v>42.747880977536738</v>
      </c>
      <c r="AP58" s="272">
        <v>42.747880977536738</v>
      </c>
      <c r="AQ58" s="272">
        <v>42.747880977536738</v>
      </c>
      <c r="AR58" s="272">
        <v>42.747880977536738</v>
      </c>
      <c r="AS58" s="272">
        <v>42.747880977536738</v>
      </c>
      <c r="AT58" s="272" t="e">
        <v>#NULL!</v>
      </c>
      <c r="AU58" s="272" t="e">
        <v>#NULL!</v>
      </c>
      <c r="AV58" s="323" t="e">
        <v>#NULL!</v>
      </c>
    </row>
    <row r="59" spans="2:48">
      <c r="B59" s="346" t="s">
        <v>159</v>
      </c>
      <c r="C59" s="329" t="s">
        <v>387</v>
      </c>
      <c r="D59" s="347">
        <v>23.688000000000002</v>
      </c>
      <c r="E59" s="348">
        <v>23.688000000000002</v>
      </c>
      <c r="F59" s="348">
        <v>23.688000000000002</v>
      </c>
      <c r="G59" s="348">
        <v>23.688000000000002</v>
      </c>
      <c r="H59" s="348">
        <v>23.688000000000002</v>
      </c>
      <c r="I59" s="348">
        <v>23.688000000000002</v>
      </c>
      <c r="J59" s="348">
        <v>23.688000000000002</v>
      </c>
      <c r="K59" s="348">
        <v>23.688000000000002</v>
      </c>
      <c r="L59" s="348">
        <v>23.688000000000002</v>
      </c>
      <c r="M59" s="348">
        <v>23.688000000000002</v>
      </c>
      <c r="N59" s="348">
        <v>23.688000000000002</v>
      </c>
      <c r="O59" s="348">
        <v>23.688000000000002</v>
      </c>
      <c r="P59" s="348">
        <v>23.688000000000002</v>
      </c>
      <c r="Q59" s="348">
        <v>23.688000000000002</v>
      </c>
      <c r="R59" s="348">
        <v>23.688000000000002</v>
      </c>
      <c r="S59" s="348">
        <v>23.688000000000002</v>
      </c>
      <c r="T59" s="348">
        <v>23.688000000000002</v>
      </c>
      <c r="U59" s="348">
        <v>23.688000000000002</v>
      </c>
      <c r="V59" s="348">
        <v>23.688000000000002</v>
      </c>
      <c r="W59" s="348">
        <v>23.688000000000002</v>
      </c>
      <c r="X59" s="348">
        <v>23.688000000000002</v>
      </c>
      <c r="Y59" s="348">
        <v>23.688000000000002</v>
      </c>
      <c r="Z59" s="348">
        <v>23.688000000000002</v>
      </c>
      <c r="AA59" s="348">
        <v>23.688000000000002</v>
      </c>
      <c r="AB59" s="348">
        <v>23.688000000000002</v>
      </c>
      <c r="AC59" s="349">
        <v>22.185000000000002</v>
      </c>
      <c r="AD59" s="349">
        <v>20.682000000000002</v>
      </c>
      <c r="AE59" s="349">
        <v>19.179000000000002</v>
      </c>
      <c r="AF59" s="348">
        <v>17.676000000000002</v>
      </c>
      <c r="AG59" s="349">
        <v>16.473600000000005</v>
      </c>
      <c r="AH59" s="349">
        <v>15.271200000000004</v>
      </c>
      <c r="AI59" s="349">
        <v>14.068800000000003</v>
      </c>
      <c r="AJ59" s="349">
        <v>12.866400000000002</v>
      </c>
      <c r="AK59" s="348">
        <v>11.664000000000001</v>
      </c>
      <c r="AL59" s="348">
        <v>11.664000000000001</v>
      </c>
      <c r="AM59" s="348">
        <v>11.664000000000001</v>
      </c>
      <c r="AN59" s="274">
        <v>11.664000000000001</v>
      </c>
      <c r="AO59" s="274">
        <v>11.664000000000001</v>
      </c>
      <c r="AP59" s="274">
        <v>11.664000000000001</v>
      </c>
      <c r="AQ59" s="274">
        <v>11.664000000000001</v>
      </c>
      <c r="AR59" s="274">
        <v>11.664000000000001</v>
      </c>
      <c r="AS59" s="274">
        <v>11.664000000000001</v>
      </c>
      <c r="AT59" s="274" t="e">
        <v>#NULL!</v>
      </c>
      <c r="AU59" s="274" t="e">
        <v>#NULL!</v>
      </c>
      <c r="AV59" s="335" t="e">
        <v>#NULL!</v>
      </c>
    </row>
    <row r="60" spans="2:48">
      <c r="B60" s="341" t="s">
        <v>407</v>
      </c>
      <c r="C60" s="325" t="s">
        <v>387</v>
      </c>
      <c r="D60" s="350">
        <v>3.6</v>
      </c>
      <c r="E60" s="351">
        <v>3.6</v>
      </c>
      <c r="F60" s="351">
        <v>3.6</v>
      </c>
      <c r="G60" s="351">
        <v>3.6</v>
      </c>
      <c r="H60" s="351">
        <v>3.6</v>
      </c>
      <c r="I60" s="351">
        <v>3.6</v>
      </c>
      <c r="J60" s="351">
        <v>3.6</v>
      </c>
      <c r="K60" s="351">
        <v>3.6</v>
      </c>
      <c r="L60" s="351">
        <v>3.6</v>
      </c>
      <c r="M60" s="351">
        <v>3.6</v>
      </c>
      <c r="N60" s="351">
        <v>3.6</v>
      </c>
      <c r="O60" s="351">
        <v>3.6</v>
      </c>
      <c r="P60" s="351">
        <v>3.6</v>
      </c>
      <c r="Q60" s="351">
        <v>3.6</v>
      </c>
      <c r="R60" s="351">
        <v>3.6</v>
      </c>
      <c r="S60" s="351">
        <v>3.6</v>
      </c>
      <c r="T60" s="351">
        <v>3.6</v>
      </c>
      <c r="U60" s="351">
        <v>3.6</v>
      </c>
      <c r="V60" s="351">
        <v>3.6</v>
      </c>
      <c r="W60" s="351">
        <v>3.6</v>
      </c>
      <c r="X60" s="351">
        <v>3.6</v>
      </c>
      <c r="Y60" s="351">
        <v>3.6</v>
      </c>
      <c r="Z60" s="351">
        <v>3.6</v>
      </c>
      <c r="AA60" s="351">
        <v>3.6</v>
      </c>
      <c r="AB60" s="351">
        <v>3.6</v>
      </c>
      <c r="AC60" s="352">
        <v>3.6</v>
      </c>
      <c r="AD60" s="352">
        <v>3.6</v>
      </c>
      <c r="AE60" s="352">
        <v>3.6</v>
      </c>
      <c r="AF60" s="351">
        <v>3.6</v>
      </c>
      <c r="AG60" s="352">
        <v>3.6</v>
      </c>
      <c r="AH60" s="352">
        <v>3.6</v>
      </c>
      <c r="AI60" s="352">
        <v>3.6</v>
      </c>
      <c r="AJ60" s="352">
        <v>3.6</v>
      </c>
      <c r="AK60" s="351">
        <v>3.6</v>
      </c>
      <c r="AL60" s="351">
        <v>3.6</v>
      </c>
      <c r="AM60" s="351">
        <v>3.6</v>
      </c>
      <c r="AN60" s="273">
        <v>3.6</v>
      </c>
      <c r="AO60" s="273">
        <v>3.6</v>
      </c>
      <c r="AP60" s="273">
        <v>3.6</v>
      </c>
      <c r="AQ60" s="273">
        <v>3.6</v>
      </c>
      <c r="AR60" s="273">
        <v>3.6</v>
      </c>
      <c r="AS60" s="273">
        <v>3.6</v>
      </c>
      <c r="AT60" s="273" t="e">
        <v>#NULL!</v>
      </c>
      <c r="AU60" s="273" t="e">
        <v>#NULL!</v>
      </c>
      <c r="AV60" s="328" t="e">
        <v>#NULL!</v>
      </c>
    </row>
    <row r="61" spans="2:48">
      <c r="B61" s="336" t="s">
        <v>408</v>
      </c>
      <c r="C61" s="318" t="s">
        <v>383</v>
      </c>
      <c r="D61" s="342">
        <v>29.380000000000003</v>
      </c>
      <c r="E61" s="343">
        <v>29.380000000000003</v>
      </c>
      <c r="F61" s="343">
        <v>29.380000000000003</v>
      </c>
      <c r="G61" s="343">
        <v>29.380000000000003</v>
      </c>
      <c r="H61" s="343">
        <v>29.380000000000003</v>
      </c>
      <c r="I61" s="343">
        <v>29.380000000000003</v>
      </c>
      <c r="J61" s="343">
        <v>29.380000000000003</v>
      </c>
      <c r="K61" s="343">
        <v>29.380000000000003</v>
      </c>
      <c r="L61" s="343">
        <v>29.380000000000003</v>
      </c>
      <c r="M61" s="343">
        <v>29.380000000000003</v>
      </c>
      <c r="N61" s="343">
        <v>29.380000000000003</v>
      </c>
      <c r="O61" s="343">
        <v>29.380000000000003</v>
      </c>
      <c r="P61" s="343">
        <v>29.380000000000003</v>
      </c>
      <c r="Q61" s="343">
        <v>29.380000000000003</v>
      </c>
      <c r="R61" s="343">
        <v>29.380000000000003</v>
      </c>
      <c r="S61" s="343">
        <v>29.380000000000003</v>
      </c>
      <c r="T61" s="343">
        <v>29.380000000000003</v>
      </c>
      <c r="U61" s="343">
        <v>29.380000000000003</v>
      </c>
      <c r="V61" s="343">
        <v>29.380000000000003</v>
      </c>
      <c r="W61" s="343">
        <v>29.380000000000003</v>
      </c>
      <c r="X61" s="343">
        <v>29.380000000000003</v>
      </c>
      <c r="Y61" s="343">
        <v>29.380000000000003</v>
      </c>
      <c r="Z61" s="343">
        <v>29.380000000000003</v>
      </c>
      <c r="AA61" s="343">
        <v>29.380000000000003</v>
      </c>
      <c r="AB61" s="343">
        <v>29.380000000000003</v>
      </c>
      <c r="AC61" s="344">
        <v>29.380000000000003</v>
      </c>
      <c r="AD61" s="344">
        <v>29.380000000000003</v>
      </c>
      <c r="AE61" s="344">
        <v>29.380000000000003</v>
      </c>
      <c r="AF61" s="343">
        <v>29.380000000000003</v>
      </c>
      <c r="AG61" s="344">
        <v>29.380000000000003</v>
      </c>
      <c r="AH61" s="344">
        <v>29.380000000000003</v>
      </c>
      <c r="AI61" s="344">
        <v>29.380000000000003</v>
      </c>
      <c r="AJ61" s="344">
        <v>29.380000000000003</v>
      </c>
      <c r="AK61" s="343">
        <v>29.380000000000003</v>
      </c>
      <c r="AL61" s="343">
        <v>29.380000000000003</v>
      </c>
      <c r="AM61" s="343">
        <v>29.380000000000003</v>
      </c>
      <c r="AN61" s="272">
        <v>29.380000000000003</v>
      </c>
      <c r="AO61" s="272">
        <v>29.380000000000003</v>
      </c>
      <c r="AP61" s="272">
        <v>29.380000000000003</v>
      </c>
      <c r="AQ61" s="272">
        <v>29.380000000000003</v>
      </c>
      <c r="AR61" s="272">
        <v>29.380000000000003</v>
      </c>
      <c r="AS61" s="272">
        <v>29.380000000000003</v>
      </c>
      <c r="AT61" s="272" t="e">
        <v>#NULL!</v>
      </c>
      <c r="AU61" s="272" t="e">
        <v>#NULL!</v>
      </c>
      <c r="AV61" s="323" t="e">
        <v>#NULL!</v>
      </c>
    </row>
    <row r="62" spans="2:48">
      <c r="B62" s="341"/>
      <c r="C62" s="325" t="s">
        <v>54</v>
      </c>
      <c r="D62" s="351"/>
      <c r="E62" s="351"/>
      <c r="F62" s="351"/>
      <c r="G62" s="351"/>
      <c r="H62" s="351"/>
      <c r="I62" s="351"/>
      <c r="J62" s="351"/>
      <c r="K62" s="351"/>
      <c r="L62" s="351"/>
      <c r="M62" s="351"/>
      <c r="N62" s="351"/>
      <c r="O62" s="351"/>
      <c r="P62" s="351"/>
      <c r="Q62" s="351"/>
      <c r="R62" s="351"/>
      <c r="S62" s="351"/>
      <c r="T62" s="351"/>
      <c r="U62" s="351"/>
      <c r="V62" s="351"/>
      <c r="W62" s="351"/>
      <c r="X62" s="351"/>
      <c r="Y62" s="351"/>
      <c r="Z62" s="351"/>
      <c r="AA62" s="351"/>
      <c r="AB62" s="353"/>
      <c r="AC62" s="352"/>
      <c r="AD62" s="352"/>
      <c r="AE62" s="352"/>
      <c r="AF62" s="353"/>
      <c r="AG62" s="352"/>
      <c r="AH62" s="352"/>
      <c r="AI62" s="352"/>
      <c r="AJ62" s="352"/>
      <c r="AK62" s="353"/>
      <c r="AL62" s="351"/>
      <c r="AM62" s="353"/>
      <c r="AN62" s="273"/>
      <c r="AO62" s="273"/>
      <c r="AP62" s="273"/>
      <c r="AQ62" s="273"/>
      <c r="AR62" s="273"/>
      <c r="AS62" s="273"/>
      <c r="AT62" s="273"/>
      <c r="AU62" s="273"/>
      <c r="AV62" s="328"/>
    </row>
    <row r="63" spans="2:48">
      <c r="B63" s="354" t="s">
        <v>442</v>
      </c>
      <c r="C63" s="318" t="s">
        <v>383</v>
      </c>
      <c r="D63" s="343">
        <v>107.57066666666667</v>
      </c>
      <c r="E63" s="343">
        <v>107.57066666666667</v>
      </c>
      <c r="F63" s="343">
        <v>107.57066666666667</v>
      </c>
      <c r="G63" s="343">
        <v>107.57066666666667</v>
      </c>
      <c r="H63" s="343">
        <v>107.57066666666667</v>
      </c>
      <c r="I63" s="343">
        <v>107.57066666666667</v>
      </c>
      <c r="J63" s="343">
        <v>107.57066666666667</v>
      </c>
      <c r="K63" s="343">
        <v>107.57066666666667</v>
      </c>
      <c r="L63" s="343">
        <v>107.57066666666667</v>
      </c>
      <c r="M63" s="343">
        <v>107.57066666666667</v>
      </c>
      <c r="N63" s="343">
        <v>107.57066666666667</v>
      </c>
      <c r="O63" s="343">
        <v>107.57066666666667</v>
      </c>
      <c r="P63" s="343">
        <v>107.57066666666667</v>
      </c>
      <c r="Q63" s="343">
        <v>107.57066666666667</v>
      </c>
      <c r="R63" s="343">
        <v>107.57066666666667</v>
      </c>
      <c r="S63" s="343">
        <v>107.57066666666667</v>
      </c>
      <c r="T63" s="343">
        <v>107.57066666666667</v>
      </c>
      <c r="U63" s="343">
        <v>107.57066666666667</v>
      </c>
      <c r="V63" s="343">
        <v>107.57066666666667</v>
      </c>
      <c r="W63" s="343">
        <v>107.57066666666667</v>
      </c>
      <c r="X63" s="343">
        <v>107.57066666666667</v>
      </c>
      <c r="Y63" s="343">
        <v>107.57066666666667</v>
      </c>
      <c r="Z63" s="343">
        <v>107.57066666666667</v>
      </c>
      <c r="AA63" s="343">
        <v>107.57066666666667</v>
      </c>
      <c r="AB63" s="343">
        <v>107.57066666666667</v>
      </c>
      <c r="AC63" s="344">
        <v>106.77799999999999</v>
      </c>
      <c r="AD63" s="344">
        <v>105.98533333333333</v>
      </c>
      <c r="AE63" s="344">
        <v>105.19266666666667</v>
      </c>
      <c r="AF63" s="343">
        <v>104.39999999999999</v>
      </c>
      <c r="AG63" s="344">
        <v>104.29403328504026</v>
      </c>
      <c r="AH63" s="344">
        <v>104.18806657008052</v>
      </c>
      <c r="AI63" s="344">
        <v>104.08209985512079</v>
      </c>
      <c r="AJ63" s="344">
        <v>103.97613314016105</v>
      </c>
      <c r="AK63" s="343">
        <v>103.87016642520132</v>
      </c>
      <c r="AL63" s="343">
        <v>103.87016642520132</v>
      </c>
      <c r="AM63" s="343">
        <v>103.87016642520132</v>
      </c>
      <c r="AN63" s="272">
        <v>103.87016642520132</v>
      </c>
      <c r="AO63" s="272">
        <v>103.87016642520132</v>
      </c>
      <c r="AP63" s="272">
        <v>103.87016642520132</v>
      </c>
      <c r="AQ63" s="272">
        <v>103.87016642520132</v>
      </c>
      <c r="AR63" s="272">
        <v>103.87016642520132</v>
      </c>
      <c r="AS63" s="272">
        <v>103.87016642520132</v>
      </c>
      <c r="AT63" s="272" t="e">
        <v>#NULL!</v>
      </c>
      <c r="AU63" s="272" t="e">
        <v>#NULL!</v>
      </c>
      <c r="AV63" s="323" t="e">
        <v>#NULL!</v>
      </c>
    </row>
    <row r="64" spans="2:48">
      <c r="B64" s="354"/>
      <c r="C64" s="318" t="s">
        <v>54</v>
      </c>
      <c r="D64" s="343"/>
      <c r="E64" s="343"/>
      <c r="F64" s="343"/>
      <c r="G64" s="343"/>
      <c r="H64" s="343"/>
      <c r="I64" s="343"/>
      <c r="J64" s="343"/>
      <c r="K64" s="343"/>
      <c r="L64" s="343"/>
      <c r="M64" s="343"/>
      <c r="N64" s="343"/>
      <c r="O64" s="343"/>
      <c r="P64" s="343"/>
      <c r="Q64" s="343"/>
      <c r="R64" s="343"/>
      <c r="S64" s="343"/>
      <c r="T64" s="343"/>
      <c r="U64" s="343"/>
      <c r="V64" s="343"/>
      <c r="W64" s="343"/>
      <c r="X64" s="343"/>
      <c r="Y64" s="343"/>
      <c r="Z64" s="343"/>
      <c r="AA64" s="343"/>
      <c r="AB64" s="345"/>
      <c r="AC64" s="344"/>
      <c r="AD64" s="344"/>
      <c r="AE64" s="344"/>
      <c r="AF64" s="345"/>
      <c r="AG64" s="344"/>
      <c r="AH64" s="344"/>
      <c r="AI64" s="344"/>
      <c r="AJ64" s="344"/>
      <c r="AK64" s="345"/>
      <c r="AL64" s="343"/>
      <c r="AM64" s="345"/>
      <c r="AN64" s="272"/>
      <c r="AO64" s="272"/>
      <c r="AP64" s="272"/>
      <c r="AQ64" s="272"/>
      <c r="AR64" s="272"/>
      <c r="AS64" s="272"/>
      <c r="AT64" s="272"/>
      <c r="AU64" s="272"/>
      <c r="AV64" s="323"/>
    </row>
    <row r="65" spans="2:48">
      <c r="B65" s="355"/>
      <c r="C65" s="325" t="s">
        <v>387</v>
      </c>
      <c r="D65" s="351">
        <v>40.320000000000007</v>
      </c>
      <c r="E65" s="351">
        <v>40.320000000000007</v>
      </c>
      <c r="F65" s="351">
        <v>40.320000000000007</v>
      </c>
      <c r="G65" s="351">
        <v>40.320000000000007</v>
      </c>
      <c r="H65" s="351">
        <v>40.320000000000007</v>
      </c>
      <c r="I65" s="351">
        <v>40.320000000000007</v>
      </c>
      <c r="J65" s="351">
        <v>40.320000000000007</v>
      </c>
      <c r="K65" s="351">
        <v>40.320000000000007</v>
      </c>
      <c r="L65" s="351">
        <v>40.320000000000007</v>
      </c>
      <c r="M65" s="351">
        <v>40.320000000000007</v>
      </c>
      <c r="N65" s="351">
        <v>40.320000000000007</v>
      </c>
      <c r="O65" s="351">
        <v>40.320000000000007</v>
      </c>
      <c r="P65" s="351">
        <v>40.320000000000007</v>
      </c>
      <c r="Q65" s="351">
        <v>40.320000000000007</v>
      </c>
      <c r="R65" s="351">
        <v>40.320000000000007</v>
      </c>
      <c r="S65" s="351">
        <v>40.320000000000007</v>
      </c>
      <c r="T65" s="351">
        <v>40.320000000000007</v>
      </c>
      <c r="U65" s="351">
        <v>40.320000000000007</v>
      </c>
      <c r="V65" s="351">
        <v>40.320000000000007</v>
      </c>
      <c r="W65" s="351">
        <v>40.320000000000007</v>
      </c>
      <c r="X65" s="351">
        <v>40.320000000000007</v>
      </c>
      <c r="Y65" s="351">
        <v>40.320000000000007</v>
      </c>
      <c r="Z65" s="351">
        <v>40.320000000000007</v>
      </c>
      <c r="AA65" s="351">
        <v>40.320000000000007</v>
      </c>
      <c r="AB65" s="351">
        <v>40.320000000000007</v>
      </c>
      <c r="AC65" s="352">
        <v>41.040000000000006</v>
      </c>
      <c r="AD65" s="352">
        <v>41.760000000000005</v>
      </c>
      <c r="AE65" s="352">
        <v>42.480000000000004</v>
      </c>
      <c r="AF65" s="351">
        <v>43.2</v>
      </c>
      <c r="AG65" s="352">
        <v>44.16702156541384</v>
      </c>
      <c r="AH65" s="352">
        <v>45.134043130827692</v>
      </c>
      <c r="AI65" s="352">
        <v>46.101064696241544</v>
      </c>
      <c r="AJ65" s="352">
        <v>47.068086261655395</v>
      </c>
      <c r="AK65" s="351">
        <v>48.035107827069247</v>
      </c>
      <c r="AL65" s="351">
        <v>48.035107827069247</v>
      </c>
      <c r="AM65" s="351">
        <v>48.035107827069247</v>
      </c>
      <c r="AN65" s="273">
        <v>48.035107827069247</v>
      </c>
      <c r="AO65" s="273">
        <v>48.035107827069247</v>
      </c>
      <c r="AP65" s="273">
        <v>48.035107827069247</v>
      </c>
      <c r="AQ65" s="273">
        <v>48.035107827069247</v>
      </c>
      <c r="AR65" s="273">
        <v>48.035107827069247</v>
      </c>
      <c r="AS65" s="273">
        <v>48.035107827069247</v>
      </c>
      <c r="AT65" s="273" t="e">
        <v>#NULL!</v>
      </c>
      <c r="AU65" s="273" t="e">
        <v>#NULL!</v>
      </c>
      <c r="AV65" s="328" t="e">
        <v>#NULL!</v>
      </c>
    </row>
    <row r="66" spans="2:48">
      <c r="B66" s="317" t="s">
        <v>507</v>
      </c>
      <c r="C66" s="356" t="s">
        <v>383</v>
      </c>
      <c r="D66" s="319"/>
      <c r="E66" s="319"/>
      <c r="F66" s="319"/>
      <c r="G66" s="319"/>
      <c r="H66" s="319"/>
      <c r="I66" s="319"/>
      <c r="J66" s="319"/>
      <c r="K66" s="319"/>
      <c r="L66" s="319"/>
      <c r="M66" s="319"/>
      <c r="N66" s="319"/>
      <c r="O66" s="319"/>
      <c r="P66" s="319"/>
      <c r="Q66" s="319"/>
      <c r="R66" s="319"/>
      <c r="S66" s="319"/>
      <c r="T66" s="319"/>
      <c r="U66" s="319"/>
      <c r="V66" s="319"/>
      <c r="W66" s="319"/>
      <c r="X66" s="319"/>
      <c r="Y66" s="319"/>
      <c r="Z66" s="319"/>
      <c r="AA66" s="319"/>
      <c r="AB66" s="319"/>
      <c r="AC66" s="319"/>
      <c r="AD66" s="319"/>
      <c r="AE66" s="319"/>
      <c r="AF66" s="319"/>
      <c r="AG66" s="319"/>
      <c r="AH66" s="319"/>
      <c r="AI66" s="319"/>
      <c r="AJ66" s="319"/>
      <c r="AK66" s="319"/>
      <c r="AL66" s="319"/>
      <c r="AM66" s="319"/>
      <c r="AN66" s="319"/>
      <c r="AO66" s="319"/>
      <c r="AP66" s="319"/>
      <c r="AQ66" s="319"/>
      <c r="AR66" s="319"/>
      <c r="AS66" s="319"/>
      <c r="AT66" s="319"/>
      <c r="AU66" s="319"/>
      <c r="AV66" s="320"/>
    </row>
    <row r="67" spans="2:48">
      <c r="B67" s="317"/>
      <c r="C67" s="318" t="s">
        <v>508</v>
      </c>
      <c r="D67" s="319"/>
      <c r="E67" s="319"/>
      <c r="F67" s="319"/>
      <c r="G67" s="319"/>
      <c r="H67" s="319"/>
      <c r="I67" s="319"/>
      <c r="J67" s="319"/>
      <c r="K67" s="319"/>
      <c r="L67" s="319"/>
      <c r="M67" s="319"/>
      <c r="N67" s="319"/>
      <c r="O67" s="319"/>
      <c r="P67" s="319"/>
      <c r="Q67" s="319"/>
      <c r="R67" s="319"/>
      <c r="S67" s="319"/>
      <c r="T67" s="319"/>
      <c r="U67" s="319"/>
      <c r="V67" s="319"/>
      <c r="W67" s="319"/>
      <c r="X67" s="319"/>
      <c r="Y67" s="319"/>
      <c r="Z67" s="319"/>
      <c r="AA67" s="319"/>
      <c r="AB67" s="319"/>
      <c r="AC67" s="319"/>
      <c r="AD67" s="319"/>
      <c r="AE67" s="319"/>
      <c r="AF67" s="319"/>
      <c r="AG67" s="319"/>
      <c r="AH67" s="319"/>
      <c r="AI67" s="319"/>
      <c r="AJ67" s="319"/>
      <c r="AK67" s="319"/>
      <c r="AL67" s="319"/>
      <c r="AM67" s="319"/>
      <c r="AN67" s="319"/>
      <c r="AO67" s="319"/>
      <c r="AP67" s="319"/>
      <c r="AQ67" s="319"/>
      <c r="AR67" s="319"/>
      <c r="AS67" s="319"/>
      <c r="AT67" s="319"/>
      <c r="AU67" s="319"/>
      <c r="AV67" s="320"/>
    </row>
    <row r="68" spans="2:48">
      <c r="B68" s="313"/>
      <c r="C68" s="325" t="s">
        <v>54</v>
      </c>
      <c r="D68" s="326"/>
      <c r="E68" s="326"/>
      <c r="F68" s="326"/>
      <c r="G68" s="326"/>
      <c r="H68" s="326"/>
      <c r="I68" s="326"/>
      <c r="J68" s="326"/>
      <c r="K68" s="326"/>
      <c r="L68" s="326"/>
      <c r="M68" s="326"/>
      <c r="N68" s="326"/>
      <c r="O68" s="326"/>
      <c r="P68" s="326"/>
      <c r="Q68" s="326"/>
      <c r="R68" s="326"/>
      <c r="S68" s="326"/>
      <c r="T68" s="326"/>
      <c r="U68" s="326"/>
      <c r="V68" s="326"/>
      <c r="W68" s="326"/>
      <c r="X68" s="326"/>
      <c r="Y68" s="326"/>
      <c r="Z68" s="326"/>
      <c r="AA68" s="326"/>
      <c r="AB68" s="326"/>
      <c r="AC68" s="326"/>
      <c r="AD68" s="326"/>
      <c r="AE68" s="326"/>
      <c r="AF68" s="326"/>
      <c r="AG68" s="326"/>
      <c r="AH68" s="326"/>
      <c r="AI68" s="326"/>
      <c r="AJ68" s="326"/>
      <c r="AK68" s="326"/>
      <c r="AL68" s="326"/>
      <c r="AM68" s="326"/>
      <c r="AN68" s="326"/>
      <c r="AO68" s="326"/>
      <c r="AP68" s="326"/>
      <c r="AQ68" s="326"/>
      <c r="AR68" s="326"/>
      <c r="AS68" s="326"/>
      <c r="AT68" s="326"/>
      <c r="AU68" s="326"/>
      <c r="AV68" s="327"/>
    </row>
    <row r="69" spans="2:48">
      <c r="B69" s="317" t="s">
        <v>509</v>
      </c>
      <c r="C69" s="318" t="s">
        <v>383</v>
      </c>
      <c r="D69" s="319"/>
      <c r="E69" s="319"/>
      <c r="F69" s="319"/>
      <c r="G69" s="319"/>
      <c r="H69" s="319"/>
      <c r="I69" s="319"/>
      <c r="J69" s="319"/>
      <c r="K69" s="319"/>
      <c r="L69" s="319"/>
      <c r="M69" s="319"/>
      <c r="N69" s="319"/>
      <c r="O69" s="319"/>
      <c r="P69" s="319"/>
      <c r="Q69" s="319"/>
      <c r="R69" s="319"/>
      <c r="S69" s="319"/>
      <c r="T69" s="319"/>
      <c r="U69" s="319"/>
      <c r="V69" s="319"/>
      <c r="W69" s="319"/>
      <c r="X69" s="319"/>
      <c r="Y69" s="319"/>
      <c r="Z69" s="319"/>
      <c r="AA69" s="319"/>
      <c r="AB69" s="319"/>
      <c r="AC69" s="319"/>
      <c r="AD69" s="319"/>
      <c r="AE69" s="319"/>
      <c r="AF69" s="319"/>
      <c r="AG69" s="319"/>
      <c r="AH69" s="319"/>
      <c r="AI69" s="319"/>
      <c r="AJ69" s="319"/>
      <c r="AK69" s="319"/>
      <c r="AL69" s="319"/>
      <c r="AM69" s="319"/>
      <c r="AN69" s="319"/>
      <c r="AO69" s="319"/>
      <c r="AP69" s="319"/>
      <c r="AQ69" s="319"/>
      <c r="AR69" s="319"/>
      <c r="AS69" s="319"/>
      <c r="AT69" s="319"/>
      <c r="AU69" s="319"/>
      <c r="AV69" s="320"/>
    </row>
    <row r="70" spans="2:48">
      <c r="B70" s="317"/>
      <c r="C70" s="318" t="s">
        <v>508</v>
      </c>
      <c r="D70" s="319"/>
      <c r="E70" s="319"/>
      <c r="F70" s="319"/>
      <c r="G70" s="319"/>
      <c r="H70" s="319"/>
      <c r="I70" s="319"/>
      <c r="J70" s="319"/>
      <c r="K70" s="319"/>
      <c r="L70" s="319"/>
      <c r="M70" s="319"/>
      <c r="N70" s="319"/>
      <c r="O70" s="319"/>
      <c r="P70" s="319"/>
      <c r="Q70" s="319"/>
      <c r="R70" s="319"/>
      <c r="S70" s="319"/>
      <c r="T70" s="319"/>
      <c r="U70" s="319"/>
      <c r="V70" s="319"/>
      <c r="W70" s="319"/>
      <c r="X70" s="319"/>
      <c r="Y70" s="319"/>
      <c r="Z70" s="319"/>
      <c r="AA70" s="319"/>
      <c r="AB70" s="319"/>
      <c r="AC70" s="319"/>
      <c r="AD70" s="319"/>
      <c r="AE70" s="319"/>
      <c r="AF70" s="319"/>
      <c r="AG70" s="319"/>
      <c r="AH70" s="319"/>
      <c r="AI70" s="319"/>
      <c r="AJ70" s="319"/>
      <c r="AK70" s="319"/>
      <c r="AL70" s="319"/>
      <c r="AM70" s="319"/>
      <c r="AN70" s="319"/>
      <c r="AO70" s="319"/>
      <c r="AP70" s="319"/>
      <c r="AQ70" s="319"/>
      <c r="AR70" s="319"/>
      <c r="AS70" s="319"/>
      <c r="AT70" s="319"/>
      <c r="AU70" s="319"/>
      <c r="AV70" s="320"/>
    </row>
    <row r="71" spans="2:48">
      <c r="B71" s="313"/>
      <c r="C71" s="325" t="s">
        <v>54</v>
      </c>
      <c r="D71" s="326"/>
      <c r="E71" s="326"/>
      <c r="F71" s="326"/>
      <c r="G71" s="326"/>
      <c r="H71" s="326"/>
      <c r="I71" s="326"/>
      <c r="J71" s="326"/>
      <c r="K71" s="326"/>
      <c r="L71" s="326"/>
      <c r="M71" s="326"/>
      <c r="N71" s="326"/>
      <c r="O71" s="326"/>
      <c r="P71" s="326"/>
      <c r="Q71" s="326"/>
      <c r="R71" s="326"/>
      <c r="S71" s="326"/>
      <c r="T71" s="326"/>
      <c r="U71" s="326"/>
      <c r="V71" s="326"/>
      <c r="W71" s="326"/>
      <c r="X71" s="326"/>
      <c r="Y71" s="326"/>
      <c r="Z71" s="326"/>
      <c r="AA71" s="326"/>
      <c r="AB71" s="326"/>
      <c r="AC71" s="326"/>
      <c r="AD71" s="326"/>
      <c r="AE71" s="326"/>
      <c r="AF71" s="326"/>
      <c r="AG71" s="326"/>
      <c r="AH71" s="326"/>
      <c r="AI71" s="326"/>
      <c r="AJ71" s="326"/>
      <c r="AK71" s="326"/>
      <c r="AL71" s="326"/>
      <c r="AM71" s="326"/>
      <c r="AN71" s="326"/>
      <c r="AO71" s="326"/>
      <c r="AP71" s="326"/>
      <c r="AQ71" s="326"/>
      <c r="AR71" s="326"/>
      <c r="AS71" s="326"/>
      <c r="AT71" s="326"/>
      <c r="AU71" s="326"/>
      <c r="AV71" s="327"/>
    </row>
    <row r="72" spans="2:48">
      <c r="B72" s="317" t="s">
        <v>510</v>
      </c>
      <c r="C72" s="318" t="s">
        <v>383</v>
      </c>
      <c r="D72" s="319"/>
      <c r="E72" s="319"/>
      <c r="F72" s="319"/>
      <c r="G72" s="319"/>
      <c r="H72" s="319"/>
      <c r="I72" s="319"/>
      <c r="J72" s="319"/>
      <c r="K72" s="319"/>
      <c r="L72" s="319"/>
      <c r="M72" s="319"/>
      <c r="N72" s="319"/>
      <c r="O72" s="319"/>
      <c r="P72" s="319"/>
      <c r="Q72" s="319"/>
      <c r="R72" s="319"/>
      <c r="S72" s="319"/>
      <c r="T72" s="319"/>
      <c r="U72" s="319"/>
      <c r="V72" s="319"/>
      <c r="W72" s="319"/>
      <c r="X72" s="319"/>
      <c r="Y72" s="319"/>
      <c r="Z72" s="319"/>
      <c r="AA72" s="319"/>
      <c r="AB72" s="319"/>
      <c r="AC72" s="319"/>
      <c r="AD72" s="319"/>
      <c r="AE72" s="319"/>
      <c r="AF72" s="319"/>
      <c r="AG72" s="319"/>
      <c r="AH72" s="319"/>
      <c r="AI72" s="319"/>
      <c r="AJ72" s="319"/>
      <c r="AK72" s="319"/>
      <c r="AL72" s="319"/>
      <c r="AM72" s="319"/>
      <c r="AN72" s="319"/>
      <c r="AO72" s="319"/>
      <c r="AP72" s="319"/>
      <c r="AQ72" s="319"/>
      <c r="AR72" s="319"/>
      <c r="AS72" s="319"/>
      <c r="AT72" s="319"/>
      <c r="AU72" s="319"/>
      <c r="AV72" s="320"/>
    </row>
    <row r="73" spans="2:48">
      <c r="B73" s="317"/>
      <c r="C73" s="318" t="s">
        <v>508</v>
      </c>
      <c r="D73" s="319"/>
      <c r="E73" s="319"/>
      <c r="F73" s="319"/>
      <c r="G73" s="319"/>
      <c r="H73" s="319"/>
      <c r="I73" s="319"/>
      <c r="J73" s="319"/>
      <c r="K73" s="319"/>
      <c r="L73" s="319"/>
      <c r="M73" s="319"/>
      <c r="N73" s="319"/>
      <c r="O73" s="319"/>
      <c r="P73" s="319"/>
      <c r="Q73" s="319"/>
      <c r="R73" s="319"/>
      <c r="S73" s="319"/>
      <c r="T73" s="319"/>
      <c r="U73" s="319"/>
      <c r="V73" s="319"/>
      <c r="W73" s="319"/>
      <c r="X73" s="319"/>
      <c r="Y73" s="319"/>
      <c r="Z73" s="319"/>
      <c r="AA73" s="319"/>
      <c r="AB73" s="319"/>
      <c r="AC73" s="319"/>
      <c r="AD73" s="319"/>
      <c r="AE73" s="319"/>
      <c r="AF73" s="319"/>
      <c r="AG73" s="319"/>
      <c r="AH73" s="319"/>
      <c r="AI73" s="319"/>
      <c r="AJ73" s="319"/>
      <c r="AK73" s="319"/>
      <c r="AL73" s="319"/>
      <c r="AM73" s="319"/>
      <c r="AN73" s="319"/>
      <c r="AO73" s="319"/>
      <c r="AP73" s="319"/>
      <c r="AQ73" s="319"/>
      <c r="AR73" s="319"/>
      <c r="AS73" s="319"/>
      <c r="AT73" s="319"/>
      <c r="AU73" s="319"/>
      <c r="AV73" s="320"/>
    </row>
    <row r="74" spans="2:48">
      <c r="B74" s="313"/>
      <c r="C74" s="325" t="s">
        <v>54</v>
      </c>
      <c r="D74" s="326"/>
      <c r="E74" s="326"/>
      <c r="F74" s="326"/>
      <c r="G74" s="326"/>
      <c r="H74" s="326"/>
      <c r="I74" s="326"/>
      <c r="J74" s="326"/>
      <c r="K74" s="326"/>
      <c r="L74" s="326"/>
      <c r="M74" s="326"/>
      <c r="N74" s="326"/>
      <c r="O74" s="326"/>
      <c r="P74" s="326"/>
      <c r="Q74" s="326"/>
      <c r="R74" s="326"/>
      <c r="S74" s="326"/>
      <c r="T74" s="326"/>
      <c r="U74" s="326"/>
      <c r="V74" s="326"/>
      <c r="W74" s="326"/>
      <c r="X74" s="326"/>
      <c r="Y74" s="326"/>
      <c r="Z74" s="326"/>
      <c r="AA74" s="326"/>
      <c r="AB74" s="326"/>
      <c r="AC74" s="326"/>
      <c r="AD74" s="326"/>
      <c r="AE74" s="326"/>
      <c r="AF74" s="326"/>
      <c r="AG74" s="326"/>
      <c r="AH74" s="326"/>
      <c r="AI74" s="326"/>
      <c r="AJ74" s="326"/>
      <c r="AK74" s="326"/>
      <c r="AL74" s="326"/>
      <c r="AM74" s="326"/>
      <c r="AN74" s="326"/>
      <c r="AO74" s="326"/>
      <c r="AP74" s="326"/>
      <c r="AQ74" s="326"/>
      <c r="AR74" s="326"/>
      <c r="AS74" s="326"/>
      <c r="AT74" s="326"/>
      <c r="AU74" s="326"/>
      <c r="AV74" s="327"/>
    </row>
    <row r="75" spans="2:48">
      <c r="B75" s="317" t="s">
        <v>511</v>
      </c>
      <c r="C75" s="318" t="s">
        <v>512</v>
      </c>
      <c r="D75" s="319"/>
      <c r="E75" s="319"/>
      <c r="F75" s="319"/>
      <c r="G75" s="319"/>
      <c r="H75" s="319"/>
      <c r="I75" s="319"/>
      <c r="J75" s="319"/>
      <c r="K75" s="319"/>
      <c r="L75" s="319"/>
      <c r="M75" s="319"/>
      <c r="N75" s="319"/>
      <c r="O75" s="319"/>
      <c r="P75" s="319"/>
      <c r="Q75" s="319"/>
      <c r="R75" s="319"/>
      <c r="S75" s="319"/>
      <c r="T75" s="319"/>
      <c r="U75" s="319"/>
      <c r="V75" s="319"/>
      <c r="W75" s="319"/>
      <c r="X75" s="319"/>
      <c r="Y75" s="319"/>
      <c r="Z75" s="319"/>
      <c r="AA75" s="319"/>
      <c r="AB75" s="319"/>
      <c r="AC75" s="319"/>
      <c r="AD75" s="319"/>
      <c r="AE75" s="319"/>
      <c r="AF75" s="319"/>
      <c r="AG75" s="319"/>
      <c r="AH75" s="319"/>
      <c r="AI75" s="319"/>
      <c r="AJ75" s="319"/>
      <c r="AK75" s="319"/>
      <c r="AL75" s="319"/>
      <c r="AM75" s="319"/>
      <c r="AN75" s="319"/>
      <c r="AO75" s="319"/>
      <c r="AP75" s="319"/>
      <c r="AQ75" s="319"/>
      <c r="AR75" s="319"/>
      <c r="AS75" s="319"/>
      <c r="AT75" s="319"/>
      <c r="AU75" s="319"/>
      <c r="AV75" s="320"/>
    </row>
    <row r="76" spans="2:48">
      <c r="B76" s="317"/>
      <c r="C76" s="318" t="s">
        <v>513</v>
      </c>
      <c r="D76" s="319"/>
      <c r="E76" s="319"/>
      <c r="F76" s="319"/>
      <c r="G76" s="319"/>
      <c r="H76" s="319"/>
      <c r="I76" s="319"/>
      <c r="J76" s="319"/>
      <c r="K76" s="319"/>
      <c r="L76" s="319"/>
      <c r="M76" s="319"/>
      <c r="N76" s="319"/>
      <c r="O76" s="319"/>
      <c r="P76" s="319"/>
      <c r="Q76" s="319"/>
      <c r="R76" s="319"/>
      <c r="S76" s="319"/>
      <c r="T76" s="319"/>
      <c r="U76" s="319"/>
      <c r="V76" s="319"/>
      <c r="W76" s="319"/>
      <c r="X76" s="319"/>
      <c r="Y76" s="319"/>
      <c r="Z76" s="319"/>
      <c r="AA76" s="319"/>
      <c r="AB76" s="319"/>
      <c r="AC76" s="319"/>
      <c r="AD76" s="319"/>
      <c r="AE76" s="319"/>
      <c r="AF76" s="319"/>
      <c r="AG76" s="319"/>
      <c r="AH76" s="319"/>
      <c r="AI76" s="319"/>
      <c r="AJ76" s="319"/>
      <c r="AK76" s="319"/>
      <c r="AL76" s="319"/>
      <c r="AM76" s="319"/>
      <c r="AN76" s="319"/>
      <c r="AO76" s="319"/>
      <c r="AP76" s="319"/>
      <c r="AQ76" s="319"/>
      <c r="AR76" s="319"/>
      <c r="AS76" s="319"/>
      <c r="AT76" s="319"/>
      <c r="AU76" s="319"/>
      <c r="AV76" s="320"/>
    </row>
    <row r="77" spans="2:48">
      <c r="B77" s="313"/>
      <c r="C77" s="325" t="s">
        <v>431</v>
      </c>
      <c r="D77" s="326"/>
      <c r="E77" s="326"/>
      <c r="F77" s="326"/>
      <c r="G77" s="326"/>
      <c r="H77" s="326"/>
      <c r="I77" s="326"/>
      <c r="J77" s="326"/>
      <c r="K77" s="326"/>
      <c r="L77" s="326"/>
      <c r="M77" s="326"/>
      <c r="N77" s="326"/>
      <c r="O77" s="326"/>
      <c r="P77" s="326"/>
      <c r="Q77" s="326"/>
      <c r="R77" s="326"/>
      <c r="S77" s="326"/>
      <c r="T77" s="326"/>
      <c r="U77" s="326"/>
      <c r="V77" s="326"/>
      <c r="W77" s="326"/>
      <c r="X77" s="326"/>
      <c r="Y77" s="326"/>
      <c r="Z77" s="326"/>
      <c r="AA77" s="326"/>
      <c r="AB77" s="326"/>
      <c r="AC77" s="326"/>
      <c r="AD77" s="326"/>
      <c r="AE77" s="326"/>
      <c r="AF77" s="326"/>
      <c r="AG77" s="326"/>
      <c r="AH77" s="326"/>
      <c r="AI77" s="326"/>
      <c r="AJ77" s="326"/>
      <c r="AK77" s="326"/>
      <c r="AL77" s="326"/>
      <c r="AM77" s="326"/>
      <c r="AN77" s="326"/>
      <c r="AO77" s="326"/>
      <c r="AP77" s="326"/>
      <c r="AQ77" s="326"/>
      <c r="AR77" s="326"/>
      <c r="AS77" s="326"/>
      <c r="AT77" s="326"/>
      <c r="AU77" s="326"/>
      <c r="AV77" s="327"/>
    </row>
    <row r="78" spans="2:48">
      <c r="B78" s="317" t="s">
        <v>514</v>
      </c>
      <c r="C78" s="318" t="s">
        <v>512</v>
      </c>
      <c r="D78" s="319"/>
      <c r="E78" s="319"/>
      <c r="F78" s="319"/>
      <c r="G78" s="319"/>
      <c r="H78" s="319"/>
      <c r="I78" s="319"/>
      <c r="J78" s="319"/>
      <c r="K78" s="319"/>
      <c r="L78" s="319"/>
      <c r="M78" s="319"/>
      <c r="N78" s="319"/>
      <c r="O78" s="319"/>
      <c r="P78" s="319"/>
      <c r="Q78" s="319"/>
      <c r="R78" s="319"/>
      <c r="S78" s="319"/>
      <c r="T78" s="319"/>
      <c r="U78" s="319"/>
      <c r="V78" s="319"/>
      <c r="W78" s="319"/>
      <c r="X78" s="319"/>
      <c r="Y78" s="319"/>
      <c r="Z78" s="319"/>
      <c r="AA78" s="319"/>
      <c r="AB78" s="319"/>
      <c r="AC78" s="319"/>
      <c r="AD78" s="319"/>
      <c r="AE78" s="319"/>
      <c r="AF78" s="319"/>
      <c r="AG78" s="319"/>
      <c r="AH78" s="319"/>
      <c r="AI78" s="319"/>
      <c r="AJ78" s="319"/>
      <c r="AK78" s="319"/>
      <c r="AL78" s="319"/>
      <c r="AM78" s="319"/>
      <c r="AN78" s="319"/>
      <c r="AO78" s="319"/>
      <c r="AP78" s="319"/>
      <c r="AQ78" s="319"/>
      <c r="AR78" s="319"/>
      <c r="AS78" s="319"/>
      <c r="AT78" s="319"/>
      <c r="AU78" s="319"/>
      <c r="AV78" s="320"/>
    </row>
    <row r="79" spans="2:48">
      <c r="B79" s="317"/>
      <c r="C79" s="318" t="s">
        <v>513</v>
      </c>
      <c r="D79" s="319"/>
      <c r="E79" s="319"/>
      <c r="F79" s="319"/>
      <c r="G79" s="319"/>
      <c r="H79" s="319"/>
      <c r="I79" s="319"/>
      <c r="J79" s="319"/>
      <c r="K79" s="319"/>
      <c r="L79" s="319"/>
      <c r="M79" s="319"/>
      <c r="N79" s="319"/>
      <c r="O79" s="319"/>
      <c r="P79" s="319"/>
      <c r="Q79" s="319"/>
      <c r="R79" s="319"/>
      <c r="S79" s="319"/>
      <c r="T79" s="319"/>
      <c r="U79" s="319"/>
      <c r="V79" s="319"/>
      <c r="W79" s="319"/>
      <c r="X79" s="319"/>
      <c r="Y79" s="319"/>
      <c r="Z79" s="319"/>
      <c r="AA79" s="319"/>
      <c r="AB79" s="319"/>
      <c r="AC79" s="319"/>
      <c r="AD79" s="319"/>
      <c r="AE79" s="319"/>
      <c r="AF79" s="319"/>
      <c r="AG79" s="319"/>
      <c r="AH79" s="319"/>
      <c r="AI79" s="319"/>
      <c r="AJ79" s="319"/>
      <c r="AK79" s="319"/>
      <c r="AL79" s="319"/>
      <c r="AM79" s="319"/>
      <c r="AN79" s="319"/>
      <c r="AO79" s="319"/>
      <c r="AP79" s="319"/>
      <c r="AQ79" s="319"/>
      <c r="AR79" s="319"/>
      <c r="AS79" s="319"/>
      <c r="AT79" s="319"/>
      <c r="AU79" s="319"/>
      <c r="AV79" s="320"/>
    </row>
    <row r="80" spans="2:48">
      <c r="B80" s="313"/>
      <c r="C80" s="325" t="s">
        <v>431</v>
      </c>
      <c r="D80" s="326"/>
      <c r="E80" s="326"/>
      <c r="F80" s="326"/>
      <c r="G80" s="326"/>
      <c r="H80" s="326"/>
      <c r="I80" s="326"/>
      <c r="J80" s="326"/>
      <c r="K80" s="326"/>
      <c r="L80" s="326"/>
      <c r="M80" s="326"/>
      <c r="N80" s="326"/>
      <c r="O80" s="326"/>
      <c r="P80" s="326"/>
      <c r="Q80" s="326"/>
      <c r="R80" s="326"/>
      <c r="S80" s="326"/>
      <c r="T80" s="326"/>
      <c r="U80" s="326"/>
      <c r="V80" s="326"/>
      <c r="W80" s="326"/>
      <c r="X80" s="326"/>
      <c r="Y80" s="326"/>
      <c r="Z80" s="326"/>
      <c r="AA80" s="326"/>
      <c r="AB80" s="326"/>
      <c r="AC80" s="326"/>
      <c r="AD80" s="326"/>
      <c r="AE80" s="326"/>
      <c r="AF80" s="326"/>
      <c r="AG80" s="326"/>
      <c r="AH80" s="326"/>
      <c r="AI80" s="326"/>
      <c r="AJ80" s="326"/>
      <c r="AK80" s="326"/>
      <c r="AL80" s="326"/>
      <c r="AM80" s="326"/>
      <c r="AN80" s="326"/>
      <c r="AO80" s="326"/>
      <c r="AP80" s="326"/>
      <c r="AQ80" s="326"/>
      <c r="AR80" s="326"/>
      <c r="AS80" s="326"/>
      <c r="AT80" s="326"/>
      <c r="AU80" s="326"/>
      <c r="AV80" s="327"/>
    </row>
    <row r="81" spans="2:48">
      <c r="B81" s="317" t="s">
        <v>515</v>
      </c>
      <c r="C81" s="318" t="s">
        <v>512</v>
      </c>
      <c r="D81" s="319"/>
      <c r="E81" s="319"/>
      <c r="F81" s="319"/>
      <c r="G81" s="319"/>
      <c r="H81" s="319"/>
      <c r="I81" s="319"/>
      <c r="J81" s="319"/>
      <c r="K81" s="319"/>
      <c r="L81" s="319"/>
      <c r="M81" s="319"/>
      <c r="N81" s="319"/>
      <c r="O81" s="319"/>
      <c r="P81" s="319"/>
      <c r="Q81" s="319"/>
      <c r="R81" s="319"/>
      <c r="S81" s="319"/>
      <c r="T81" s="319"/>
      <c r="U81" s="319"/>
      <c r="V81" s="319"/>
      <c r="W81" s="319"/>
      <c r="X81" s="319"/>
      <c r="Y81" s="319"/>
      <c r="Z81" s="319"/>
      <c r="AA81" s="319"/>
      <c r="AB81" s="319"/>
      <c r="AC81" s="319"/>
      <c r="AD81" s="319"/>
      <c r="AE81" s="319"/>
      <c r="AF81" s="319"/>
      <c r="AG81" s="319"/>
      <c r="AH81" s="319"/>
      <c r="AI81" s="319"/>
      <c r="AJ81" s="319"/>
      <c r="AK81" s="319"/>
      <c r="AL81" s="319"/>
      <c r="AM81" s="319"/>
      <c r="AN81" s="319"/>
      <c r="AO81" s="319"/>
      <c r="AP81" s="319"/>
      <c r="AQ81" s="319"/>
      <c r="AR81" s="319"/>
      <c r="AS81" s="319"/>
      <c r="AT81" s="319"/>
      <c r="AU81" s="319"/>
      <c r="AV81" s="320"/>
    </row>
    <row r="82" spans="2:48">
      <c r="B82" s="313"/>
      <c r="C82" s="325" t="s">
        <v>431</v>
      </c>
      <c r="D82" s="326"/>
      <c r="E82" s="326"/>
      <c r="F82" s="326"/>
      <c r="G82" s="326"/>
      <c r="H82" s="326"/>
      <c r="I82" s="326"/>
      <c r="J82" s="326"/>
      <c r="K82" s="326"/>
      <c r="L82" s="326"/>
      <c r="M82" s="326"/>
      <c r="N82" s="326"/>
      <c r="O82" s="326"/>
      <c r="P82" s="326"/>
      <c r="Q82" s="326"/>
      <c r="R82" s="326"/>
      <c r="S82" s="326"/>
      <c r="T82" s="326"/>
      <c r="U82" s="326"/>
      <c r="V82" s="326"/>
      <c r="W82" s="326"/>
      <c r="X82" s="326"/>
      <c r="Y82" s="326"/>
      <c r="Z82" s="326"/>
      <c r="AA82" s="326"/>
      <c r="AB82" s="326"/>
      <c r="AC82" s="326"/>
      <c r="AD82" s="326"/>
      <c r="AE82" s="326"/>
      <c r="AF82" s="326"/>
      <c r="AG82" s="326"/>
      <c r="AH82" s="326"/>
      <c r="AI82" s="326"/>
      <c r="AJ82" s="326"/>
      <c r="AK82" s="326"/>
      <c r="AL82" s="326"/>
      <c r="AM82" s="326"/>
      <c r="AN82" s="326"/>
      <c r="AO82" s="326"/>
      <c r="AP82" s="326"/>
      <c r="AQ82" s="326"/>
      <c r="AR82" s="326"/>
      <c r="AS82" s="326"/>
      <c r="AT82" s="326"/>
      <c r="AU82" s="326"/>
      <c r="AV82" s="327"/>
    </row>
    <row r="83" spans="2:48">
      <c r="B83" s="317" t="s">
        <v>516</v>
      </c>
      <c r="C83" s="318" t="s">
        <v>512</v>
      </c>
      <c r="D83" s="319"/>
      <c r="E83" s="319"/>
      <c r="F83" s="319"/>
      <c r="G83" s="319"/>
      <c r="H83" s="319"/>
      <c r="I83" s="319"/>
      <c r="J83" s="319"/>
      <c r="K83" s="319"/>
      <c r="L83" s="319"/>
      <c r="M83" s="319"/>
      <c r="N83" s="319"/>
      <c r="O83" s="319"/>
      <c r="P83" s="319"/>
      <c r="Q83" s="319"/>
      <c r="R83" s="319"/>
      <c r="S83" s="319"/>
      <c r="T83" s="319"/>
      <c r="U83" s="319"/>
      <c r="V83" s="319"/>
      <c r="W83" s="319"/>
      <c r="X83" s="319"/>
      <c r="Y83" s="319"/>
      <c r="Z83" s="319"/>
      <c r="AA83" s="319"/>
      <c r="AB83" s="319"/>
      <c r="AC83" s="319"/>
      <c r="AD83" s="319"/>
      <c r="AE83" s="319"/>
      <c r="AF83" s="319"/>
      <c r="AG83" s="319"/>
      <c r="AH83" s="319"/>
      <c r="AI83" s="319"/>
      <c r="AJ83" s="319"/>
      <c r="AK83" s="319"/>
      <c r="AL83" s="319"/>
      <c r="AM83" s="319"/>
      <c r="AN83" s="319"/>
      <c r="AO83" s="319"/>
      <c r="AP83" s="319"/>
      <c r="AQ83" s="319"/>
      <c r="AR83" s="319"/>
      <c r="AS83" s="319"/>
      <c r="AT83" s="319"/>
      <c r="AU83" s="319"/>
      <c r="AV83" s="320"/>
    </row>
    <row r="84" spans="2:48" ht="13.5" thickBot="1">
      <c r="B84" s="357"/>
      <c r="C84" s="358" t="s">
        <v>431</v>
      </c>
      <c r="D84" s="359"/>
      <c r="E84" s="359"/>
      <c r="F84" s="359"/>
      <c r="G84" s="359"/>
      <c r="H84" s="359"/>
      <c r="I84" s="359"/>
      <c r="J84" s="359"/>
      <c r="K84" s="359"/>
      <c r="L84" s="359"/>
      <c r="M84" s="359"/>
      <c r="N84" s="359"/>
      <c r="O84" s="359"/>
      <c r="P84" s="359"/>
      <c r="Q84" s="359"/>
      <c r="R84" s="359"/>
      <c r="S84" s="359"/>
      <c r="T84" s="359"/>
      <c r="U84" s="359"/>
      <c r="V84" s="359"/>
      <c r="W84" s="359"/>
      <c r="X84" s="359"/>
      <c r="Y84" s="359"/>
      <c r="Z84" s="359"/>
      <c r="AA84" s="359"/>
      <c r="AB84" s="359"/>
      <c r="AC84" s="359"/>
      <c r="AD84" s="359"/>
      <c r="AE84" s="359"/>
      <c r="AF84" s="359"/>
      <c r="AG84" s="359"/>
      <c r="AH84" s="359"/>
      <c r="AI84" s="359"/>
      <c r="AJ84" s="359"/>
      <c r="AK84" s="359"/>
      <c r="AL84" s="359"/>
      <c r="AM84" s="359"/>
      <c r="AN84" s="359"/>
      <c r="AO84" s="359"/>
      <c r="AP84" s="359"/>
      <c r="AQ84" s="359"/>
      <c r="AR84" s="359"/>
      <c r="AS84" s="359"/>
      <c r="AT84" s="359"/>
      <c r="AU84" s="359"/>
      <c r="AV84" s="360"/>
    </row>
    <row r="85" spans="2:48">
      <c r="B85" s="361" t="s">
        <v>443</v>
      </c>
    </row>
    <row r="86" spans="2:48">
      <c r="B86" s="361"/>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2:U171"/>
  <sheetViews>
    <sheetView zoomScale="90" zoomScaleNormal="90" workbookViewId="0">
      <selection activeCell="C6" sqref="C6:C171"/>
    </sheetView>
  </sheetViews>
  <sheetFormatPr defaultRowHeight="12.75"/>
  <cols>
    <col min="1" max="1" width="2.85546875" customWidth="1"/>
    <col min="2" max="2" width="11.85546875" bestFit="1" customWidth="1"/>
    <col min="3" max="3" width="6.28515625" bestFit="1" customWidth="1"/>
    <col min="4" max="4" width="13.140625" bestFit="1" customWidth="1"/>
    <col min="5" max="5" width="70.42578125" bestFit="1" customWidth="1"/>
    <col min="6" max="6" width="10.85546875" bestFit="1" customWidth="1"/>
    <col min="7" max="7" width="10.42578125" customWidth="1"/>
    <col min="11" max="11" width="2.7109375" customWidth="1"/>
    <col min="12" max="12" width="21.85546875" bestFit="1" customWidth="1"/>
    <col min="14" max="14" width="18" bestFit="1" customWidth="1"/>
    <col min="17" max="17" width="70.42578125" bestFit="1" customWidth="1"/>
    <col min="21" max="21" width="14.140625" bestFit="1" customWidth="1"/>
  </cols>
  <sheetData>
    <row r="2" spans="2:19">
      <c r="B2" s="2"/>
      <c r="C2" s="2"/>
    </row>
    <row r="3" spans="2:19">
      <c r="B3" s="32" t="s">
        <v>9</v>
      </c>
      <c r="C3" s="32"/>
      <c r="D3" s="33"/>
      <c r="E3" s="33"/>
      <c r="F3" s="33"/>
      <c r="G3" s="33"/>
      <c r="H3" s="33"/>
      <c r="I3" s="33"/>
      <c r="J3" s="33"/>
    </row>
    <row r="4" spans="2:19">
      <c r="B4" s="34" t="s">
        <v>6</v>
      </c>
      <c r="C4" s="34" t="s">
        <v>1</v>
      </c>
      <c r="D4" s="34" t="s">
        <v>4</v>
      </c>
      <c r="E4" s="34" t="s">
        <v>5</v>
      </c>
      <c r="F4" s="34" t="s">
        <v>7</v>
      </c>
      <c r="G4" s="34" t="s">
        <v>10</v>
      </c>
      <c r="H4" s="34" t="s">
        <v>11</v>
      </c>
      <c r="I4" s="34" t="s">
        <v>12</v>
      </c>
      <c r="J4" s="34" t="s">
        <v>13</v>
      </c>
    </row>
    <row r="5" spans="2:19" ht="23.25" thickBot="1">
      <c r="B5" s="35" t="s">
        <v>37</v>
      </c>
      <c r="C5" s="35" t="s">
        <v>29</v>
      </c>
      <c r="D5" s="35" t="s">
        <v>38</v>
      </c>
      <c r="E5" s="35" t="s">
        <v>39</v>
      </c>
      <c r="F5" s="35" t="s">
        <v>7</v>
      </c>
      <c r="G5" s="35" t="s">
        <v>40</v>
      </c>
      <c r="H5" s="35" t="s">
        <v>41</v>
      </c>
      <c r="I5" s="35" t="s">
        <v>42</v>
      </c>
      <c r="J5" s="35" t="s">
        <v>43</v>
      </c>
    </row>
    <row r="6" spans="2:19" s="1161" customFormat="1">
      <c r="B6" s="41" t="s">
        <v>17</v>
      </c>
      <c r="C6" s="688" t="s">
        <v>1922</v>
      </c>
      <c r="D6" s="681" t="s">
        <v>1180</v>
      </c>
      <c r="E6" s="681" t="s">
        <v>1181</v>
      </c>
      <c r="F6" s="681" t="s">
        <v>72</v>
      </c>
      <c r="G6" s="688"/>
      <c r="H6" s="688"/>
      <c r="I6" s="688"/>
      <c r="J6" s="688"/>
    </row>
    <row r="7" spans="2:19" s="1161" customFormat="1">
      <c r="B7" s="41"/>
      <c r="C7" s="688" t="s">
        <v>1922</v>
      </c>
      <c r="D7" s="681" t="s">
        <v>1182</v>
      </c>
      <c r="E7" s="681" t="s">
        <v>1183</v>
      </c>
      <c r="F7" s="681" t="s">
        <v>72</v>
      </c>
      <c r="G7" s="688"/>
      <c r="H7" s="688"/>
      <c r="I7" s="688"/>
      <c r="J7" s="688"/>
    </row>
    <row r="8" spans="2:19" s="1161" customFormat="1">
      <c r="B8" s="1183"/>
      <c r="C8" s="688" t="s">
        <v>1922</v>
      </c>
      <c r="D8" s="659" t="s">
        <v>1184</v>
      </c>
      <c r="E8" s="659" t="s">
        <v>1185</v>
      </c>
      <c r="F8" s="689" t="s">
        <v>72</v>
      </c>
      <c r="G8" s="688"/>
      <c r="H8" s="688"/>
      <c r="I8" s="688"/>
      <c r="J8" s="688"/>
      <c r="L8"/>
      <c r="M8"/>
      <c r="N8"/>
      <c r="O8"/>
      <c r="P8"/>
      <c r="Q8"/>
    </row>
    <row r="9" spans="2:19" s="1161" customFormat="1">
      <c r="B9" s="1275"/>
      <c r="C9" s="39" t="s">
        <v>1922</v>
      </c>
      <c r="D9" s="1261" t="s">
        <v>1186</v>
      </c>
      <c r="E9" s="1261" t="s">
        <v>1187</v>
      </c>
      <c r="F9" s="687" t="s">
        <v>72</v>
      </c>
      <c r="G9" s="39"/>
      <c r="H9" s="39"/>
      <c r="I9" s="39"/>
      <c r="J9" s="39"/>
      <c r="L9"/>
      <c r="M9"/>
      <c r="N9"/>
      <c r="O9"/>
      <c r="P9"/>
      <c r="Q9"/>
    </row>
    <row r="10" spans="2:19" s="580" customFormat="1">
      <c r="B10" s="582"/>
      <c r="C10" s="689" t="s">
        <v>1922</v>
      </c>
      <c r="D10" s="1612" t="s">
        <v>1623</v>
      </c>
      <c r="E10" s="1612" t="s">
        <v>1624</v>
      </c>
      <c r="F10" s="1612" t="s">
        <v>72</v>
      </c>
      <c r="G10" s="689"/>
      <c r="H10" s="688"/>
      <c r="I10" s="688"/>
      <c r="J10" s="688"/>
      <c r="K10" s="714"/>
      <c r="L10"/>
      <c r="M10"/>
      <c r="N10"/>
      <c r="O10"/>
      <c r="P10"/>
      <c r="Q10"/>
      <c r="R10"/>
      <c r="S10" s="582"/>
    </row>
    <row r="11" spans="2:19" s="1161" customFormat="1">
      <c r="B11" s="688"/>
      <c r="C11" s="689" t="s">
        <v>1922</v>
      </c>
      <c r="D11" s="1612" t="s">
        <v>1625</v>
      </c>
      <c r="E11" s="1612" t="s">
        <v>1626</v>
      </c>
      <c r="F11" s="1612" t="s">
        <v>72</v>
      </c>
      <c r="G11" s="689"/>
      <c r="H11" s="688"/>
      <c r="I11" s="688"/>
      <c r="J11" s="688"/>
      <c r="K11" s="714"/>
      <c r="S11" s="688"/>
    </row>
    <row r="12" spans="2:19" s="1161" customFormat="1">
      <c r="B12" s="688"/>
      <c r="C12" s="689" t="s">
        <v>1922</v>
      </c>
      <c r="D12" s="1612" t="s">
        <v>1627</v>
      </c>
      <c r="E12" s="1612" t="s">
        <v>1628</v>
      </c>
      <c r="F12" s="1612" t="s">
        <v>72</v>
      </c>
      <c r="G12" s="689"/>
      <c r="H12" s="688"/>
      <c r="I12" s="688"/>
      <c r="J12" s="688"/>
      <c r="K12" s="714"/>
      <c r="S12" s="688"/>
    </row>
    <row r="13" spans="2:19" s="1161" customFormat="1">
      <c r="B13" s="688"/>
      <c r="C13" s="689" t="s">
        <v>1922</v>
      </c>
      <c r="D13" s="1612" t="s">
        <v>1629</v>
      </c>
      <c r="E13" s="1612" t="s">
        <v>1630</v>
      </c>
      <c r="F13" s="1612" t="s">
        <v>72</v>
      </c>
      <c r="G13" s="689"/>
      <c r="H13" s="688"/>
      <c r="I13" s="688"/>
      <c r="J13" s="688"/>
      <c r="K13" s="714"/>
      <c r="S13" s="688"/>
    </row>
    <row r="14" spans="2:19" s="580" customFormat="1">
      <c r="B14" s="582"/>
      <c r="C14" s="689" t="s">
        <v>1922</v>
      </c>
      <c r="D14" s="1612" t="s">
        <v>1189</v>
      </c>
      <c r="E14" s="1612" t="s">
        <v>603</v>
      </c>
      <c r="F14" s="1612" t="s">
        <v>72</v>
      </c>
      <c r="G14" s="689"/>
      <c r="H14" s="688"/>
      <c r="I14" s="688"/>
      <c r="J14" s="688"/>
      <c r="K14" s="714"/>
      <c r="L14"/>
      <c r="M14"/>
      <c r="N14"/>
      <c r="O14" s="681"/>
      <c r="P14" s="681"/>
      <c r="Q14" s="681"/>
      <c r="R14" s="681"/>
    </row>
    <row r="15" spans="2:19" s="580" customFormat="1">
      <c r="B15" s="582"/>
      <c r="C15" s="689" t="s">
        <v>1922</v>
      </c>
      <c r="D15" s="1612" t="s">
        <v>1882</v>
      </c>
      <c r="E15" s="1612" t="s">
        <v>604</v>
      </c>
      <c r="F15" s="1612" t="s">
        <v>72</v>
      </c>
      <c r="G15" s="689"/>
      <c r="H15" s="688"/>
      <c r="I15" s="688"/>
      <c r="J15" s="688"/>
      <c r="K15" s="714"/>
      <c r="L15"/>
      <c r="M15"/>
      <c r="N15"/>
      <c r="O15" s="681"/>
      <c r="P15" s="681"/>
      <c r="Q15" s="681"/>
      <c r="R15" s="681"/>
    </row>
    <row r="16" spans="2:19" s="1161" customFormat="1">
      <c r="B16" s="688"/>
      <c r="C16" s="689" t="s">
        <v>1922</v>
      </c>
      <c r="D16" s="1612" t="s">
        <v>1883</v>
      </c>
      <c r="E16" s="1612" t="s">
        <v>1885</v>
      </c>
      <c r="F16" s="1612" t="s">
        <v>72</v>
      </c>
      <c r="G16" s="689"/>
      <c r="H16" s="688"/>
      <c r="I16" s="688"/>
      <c r="J16" s="688"/>
      <c r="K16" s="714"/>
      <c r="O16" s="681"/>
      <c r="P16" s="681"/>
      <c r="Q16" s="681"/>
      <c r="R16" s="681"/>
    </row>
    <row r="17" spans="2:21" s="580" customFormat="1">
      <c r="B17" s="688"/>
      <c r="C17" s="689" t="s">
        <v>1922</v>
      </c>
      <c r="D17" s="1612" t="s">
        <v>1884</v>
      </c>
      <c r="E17" s="1612" t="s">
        <v>1886</v>
      </c>
      <c r="F17" s="1612" t="s">
        <v>72</v>
      </c>
      <c r="G17" s="689"/>
      <c r="H17" s="688"/>
      <c r="I17" s="688"/>
      <c r="J17" s="688"/>
      <c r="K17" s="714"/>
      <c r="L17"/>
      <c r="M17"/>
      <c r="N17"/>
      <c r="O17" s="681"/>
      <c r="P17" s="681"/>
      <c r="Q17" s="681"/>
      <c r="R17" s="681"/>
    </row>
    <row r="18" spans="2:21" s="580" customFormat="1">
      <c r="B18" s="1612"/>
      <c r="C18" s="1612" t="s">
        <v>1922</v>
      </c>
      <c r="D18" s="1612" t="s">
        <v>223</v>
      </c>
      <c r="E18" s="1612" t="s">
        <v>222</v>
      </c>
      <c r="F18" s="1612" t="s">
        <v>73</v>
      </c>
      <c r="G18" s="1612"/>
      <c r="H18" s="1612"/>
      <c r="I18" s="1612"/>
      <c r="J18" s="1612"/>
      <c r="K18" s="714"/>
      <c r="L18"/>
      <c r="M18" s="1612"/>
      <c r="N18" s="1612"/>
      <c r="O18" s="1612"/>
      <c r="P18" s="1612"/>
      <c r="Q18" s="1612"/>
      <c r="R18" s="1612"/>
      <c r="S18" s="1612"/>
      <c r="T18" s="1612"/>
      <c r="U18" s="1612"/>
    </row>
    <row r="19" spans="2:21" s="580" customFormat="1">
      <c r="B19" s="1612"/>
      <c r="C19" s="1612" t="s">
        <v>1922</v>
      </c>
      <c r="D19" s="1612" t="s">
        <v>82</v>
      </c>
      <c r="E19" s="1612" t="s">
        <v>85</v>
      </c>
      <c r="F19" s="1612" t="s">
        <v>73</v>
      </c>
      <c r="G19" s="1612"/>
      <c r="H19" s="1612"/>
      <c r="I19" s="1612"/>
      <c r="J19" s="1612"/>
      <c r="K19" s="714"/>
      <c r="L19"/>
      <c r="M19" s="1612"/>
      <c r="N19" s="1612"/>
      <c r="O19" s="1612"/>
      <c r="P19" s="1612"/>
      <c r="Q19" s="1612"/>
      <c r="R19" s="1612"/>
      <c r="S19" s="1612"/>
      <c r="T19" s="1612"/>
      <c r="U19" s="1612"/>
    </row>
    <row r="20" spans="2:21" s="1161" customFormat="1">
      <c r="B20" s="1612"/>
      <c r="C20" s="1612" t="s">
        <v>1922</v>
      </c>
      <c r="D20" s="1612" t="s">
        <v>1192</v>
      </c>
      <c r="E20" s="1612" t="s">
        <v>1825</v>
      </c>
      <c r="F20" s="1612" t="s">
        <v>73</v>
      </c>
      <c r="G20" s="1612"/>
      <c r="H20" s="1612"/>
      <c r="I20" s="1612"/>
      <c r="J20" s="1612"/>
      <c r="K20" s="714"/>
      <c r="M20" s="1612"/>
      <c r="N20" s="1612"/>
      <c r="O20" s="1612"/>
      <c r="P20" s="1612"/>
      <c r="Q20" s="1612"/>
      <c r="R20" s="1612"/>
      <c r="S20" s="1612"/>
      <c r="T20" s="1612"/>
      <c r="U20" s="1612"/>
    </row>
    <row r="21" spans="2:21" s="1161" customFormat="1">
      <c r="B21" s="1612"/>
      <c r="C21" s="1612" t="s">
        <v>1922</v>
      </c>
      <c r="D21" s="1612" t="s">
        <v>1814</v>
      </c>
      <c r="E21" s="1612" t="s">
        <v>1826</v>
      </c>
      <c r="F21" s="1612" t="s">
        <v>73</v>
      </c>
      <c r="G21" s="1612"/>
      <c r="H21" s="1612"/>
      <c r="I21" s="1612"/>
      <c r="J21" s="1612"/>
      <c r="K21" s="714"/>
      <c r="M21" s="1612"/>
      <c r="N21" s="1612"/>
      <c r="O21" s="1612"/>
      <c r="P21" s="1612"/>
      <c r="Q21" s="1612"/>
      <c r="R21" s="1612"/>
      <c r="S21" s="1612"/>
      <c r="T21" s="1612"/>
      <c r="U21" s="1612"/>
    </row>
    <row r="22" spans="2:21" s="1161" customFormat="1">
      <c r="B22" s="1612"/>
      <c r="C22" s="1612" t="s">
        <v>1922</v>
      </c>
      <c r="D22" s="1612" t="s">
        <v>1815</v>
      </c>
      <c r="E22" s="1612" t="s">
        <v>1827</v>
      </c>
      <c r="F22" s="1612" t="s">
        <v>73</v>
      </c>
      <c r="G22" s="1612"/>
      <c r="H22" s="1612"/>
      <c r="I22" s="1612"/>
      <c r="J22" s="1612"/>
      <c r="K22" s="714"/>
      <c r="M22" s="1612"/>
      <c r="N22" s="1612"/>
      <c r="O22" s="1612"/>
      <c r="P22" s="1612"/>
      <c r="Q22" s="1612"/>
      <c r="R22" s="1612"/>
      <c r="S22" s="1612"/>
      <c r="T22" s="1612"/>
      <c r="U22" s="1612"/>
    </row>
    <row r="23" spans="2:21" s="580" customFormat="1">
      <c r="B23" s="1612"/>
      <c r="C23" s="1612" t="s">
        <v>1922</v>
      </c>
      <c r="D23" s="1612" t="s">
        <v>1817</v>
      </c>
      <c r="E23" s="1612" t="s">
        <v>1828</v>
      </c>
      <c r="F23" s="1612" t="s">
        <v>73</v>
      </c>
      <c r="G23" s="1612"/>
      <c r="H23" s="1612"/>
      <c r="I23" s="1612"/>
      <c r="J23" s="1612"/>
      <c r="K23" s="714"/>
      <c r="L23"/>
      <c r="M23" s="1612"/>
      <c r="N23" s="1612"/>
      <c r="O23" s="1612"/>
      <c r="P23" s="1612"/>
      <c r="Q23" s="1612"/>
      <c r="R23" s="1612"/>
      <c r="S23" s="1612"/>
      <c r="T23" s="1612"/>
      <c r="U23" s="1612"/>
    </row>
    <row r="24" spans="2:21" s="1161" customFormat="1">
      <c r="B24" s="1612"/>
      <c r="C24" s="1612" t="s">
        <v>1922</v>
      </c>
      <c r="D24" s="1612" t="s">
        <v>1818</v>
      </c>
      <c r="E24" s="1612" t="s">
        <v>1829</v>
      </c>
      <c r="F24" s="1612" t="s">
        <v>73</v>
      </c>
      <c r="G24" s="1612"/>
      <c r="H24" s="1612"/>
      <c r="I24" s="1612"/>
      <c r="J24" s="1612"/>
      <c r="K24" s="714"/>
      <c r="M24" s="1612"/>
      <c r="N24" s="1612"/>
      <c r="O24" s="1612"/>
      <c r="P24" s="1612"/>
      <c r="Q24" s="1612"/>
      <c r="R24" s="1612"/>
      <c r="S24" s="1612"/>
      <c r="T24" s="1612"/>
      <c r="U24" s="1612"/>
    </row>
    <row r="25" spans="2:21" s="1161" customFormat="1">
      <c r="B25" s="1612"/>
      <c r="C25" s="1612" t="s">
        <v>1922</v>
      </c>
      <c r="D25" s="1612" t="s">
        <v>1819</v>
      </c>
      <c r="E25" s="1612" t="s">
        <v>1830</v>
      </c>
      <c r="F25" s="1612" t="s">
        <v>73</v>
      </c>
      <c r="G25" s="1612"/>
      <c r="H25" s="1612"/>
      <c r="I25" s="1612"/>
      <c r="J25" s="1612"/>
      <c r="K25" s="714"/>
      <c r="M25" s="1612"/>
      <c r="N25" s="1612"/>
      <c r="O25" s="1612"/>
      <c r="P25" s="1612"/>
      <c r="Q25" s="1612"/>
      <c r="R25" s="1612"/>
      <c r="S25" s="1612"/>
      <c r="T25" s="1612"/>
      <c r="U25" s="1612"/>
    </row>
    <row r="26" spans="2:21" s="1161" customFormat="1">
      <c r="B26" s="688"/>
      <c r="C26" s="689" t="s">
        <v>1922</v>
      </c>
      <c r="D26" s="1612" t="s">
        <v>1195</v>
      </c>
      <c r="E26" s="1612" t="s">
        <v>221</v>
      </c>
      <c r="F26" s="1612" t="s">
        <v>73</v>
      </c>
      <c r="G26" s="689"/>
      <c r="H26" s="688"/>
      <c r="I26" s="688"/>
      <c r="J26" s="688"/>
      <c r="K26" s="714"/>
      <c r="O26" s="681"/>
      <c r="P26" s="681"/>
      <c r="Q26" s="681"/>
      <c r="R26" s="681"/>
    </row>
    <row r="27" spans="2:21" s="580" customFormat="1">
      <c r="B27" s="688"/>
      <c r="C27" s="689" t="s">
        <v>1922</v>
      </c>
      <c r="D27" s="1612" t="s">
        <v>1631</v>
      </c>
      <c r="E27" s="1612" t="s">
        <v>1632</v>
      </c>
      <c r="F27" s="1612" t="s">
        <v>73</v>
      </c>
      <c r="G27" s="689"/>
      <c r="H27" s="688"/>
      <c r="I27" s="688"/>
      <c r="J27" s="688"/>
      <c r="K27" s="714"/>
      <c r="L27"/>
      <c r="M27"/>
      <c r="O27" s="681"/>
      <c r="P27" s="681"/>
      <c r="Q27" s="681"/>
      <c r="R27" s="681"/>
    </row>
    <row r="28" spans="2:21">
      <c r="B28" s="412"/>
      <c r="C28" s="689" t="s">
        <v>1922</v>
      </c>
      <c r="D28" s="1612" t="s">
        <v>1633</v>
      </c>
      <c r="E28" s="1612" t="s">
        <v>1634</v>
      </c>
      <c r="F28" s="1612" t="s">
        <v>73</v>
      </c>
      <c r="G28" s="689"/>
      <c r="H28" s="688"/>
      <c r="I28" s="688"/>
      <c r="J28" s="688"/>
      <c r="K28" s="714"/>
      <c r="O28" s="681"/>
      <c r="P28" s="681"/>
      <c r="Q28" s="681"/>
      <c r="R28" s="681"/>
    </row>
    <row r="29" spans="2:21">
      <c r="B29" s="412"/>
      <c r="C29" s="689" t="s">
        <v>1922</v>
      </c>
      <c r="D29" s="1612" t="s">
        <v>1635</v>
      </c>
      <c r="E29" s="1612" t="s">
        <v>1636</v>
      </c>
      <c r="F29" s="1612" t="s">
        <v>73</v>
      </c>
      <c r="G29" s="689"/>
      <c r="H29" s="688"/>
      <c r="I29" s="688"/>
      <c r="J29" s="688"/>
      <c r="K29" s="714"/>
      <c r="O29" s="681"/>
      <c r="P29" s="681"/>
      <c r="Q29" s="681"/>
      <c r="R29" s="681"/>
    </row>
    <row r="30" spans="2:21">
      <c r="B30" s="412"/>
      <c r="C30" s="689" t="s">
        <v>1922</v>
      </c>
      <c r="D30" s="1612" t="s">
        <v>1637</v>
      </c>
      <c r="E30" s="1612" t="s">
        <v>1638</v>
      </c>
      <c r="F30" s="1612" t="s">
        <v>73</v>
      </c>
      <c r="G30" s="689"/>
      <c r="H30" s="688"/>
      <c r="I30" s="688"/>
      <c r="J30" s="688"/>
      <c r="K30" s="714"/>
      <c r="O30" s="681"/>
      <c r="P30" s="681"/>
      <c r="Q30" s="681"/>
      <c r="R30" s="681"/>
    </row>
    <row r="31" spans="2:21" s="1161" customFormat="1">
      <c r="B31" s="412"/>
      <c r="C31" s="689" t="s">
        <v>1922</v>
      </c>
      <c r="D31" s="1612" t="s">
        <v>1673</v>
      </c>
      <c r="E31" s="1612" t="s">
        <v>1720</v>
      </c>
      <c r="F31" s="1612" t="s">
        <v>73</v>
      </c>
      <c r="G31" s="689"/>
      <c r="H31" s="688"/>
      <c r="I31" s="688"/>
      <c r="J31" s="688"/>
      <c r="K31" s="714"/>
    </row>
    <row r="32" spans="2:21">
      <c r="B32" s="412"/>
      <c r="C32" s="689" t="s">
        <v>1922</v>
      </c>
      <c r="D32" s="1612" t="s">
        <v>1674</v>
      </c>
      <c r="E32" s="1612" t="s">
        <v>1721</v>
      </c>
      <c r="F32" s="1612" t="s">
        <v>73</v>
      </c>
      <c r="G32" s="689"/>
      <c r="H32" s="688"/>
      <c r="I32" s="688"/>
      <c r="J32" s="688"/>
      <c r="K32" s="714"/>
    </row>
    <row r="33" spans="2:11">
      <c r="B33" s="412"/>
      <c r="C33" s="689" t="s">
        <v>1922</v>
      </c>
      <c r="D33" s="1612" t="s">
        <v>1675</v>
      </c>
      <c r="E33" s="1612" t="s">
        <v>1722</v>
      </c>
      <c r="F33" s="1612" t="s">
        <v>73</v>
      </c>
      <c r="G33" s="689"/>
      <c r="H33" s="688"/>
      <c r="I33" s="688"/>
      <c r="J33" s="688"/>
      <c r="K33" s="239"/>
    </row>
    <row r="34" spans="2:11" s="1161" customFormat="1">
      <c r="B34" s="412"/>
      <c r="C34" s="689" t="s">
        <v>1922</v>
      </c>
      <c r="D34" s="1612" t="s">
        <v>1676</v>
      </c>
      <c r="E34" s="1612" t="s">
        <v>1723</v>
      </c>
      <c r="F34" s="1612" t="s">
        <v>73</v>
      </c>
      <c r="G34" s="689"/>
      <c r="H34" s="688"/>
      <c r="I34" s="688"/>
      <c r="J34" s="688"/>
      <c r="K34" s="239"/>
    </row>
    <row r="35" spans="2:11">
      <c r="B35" s="412"/>
      <c r="C35" s="687" t="s">
        <v>1922</v>
      </c>
      <c r="D35" s="22" t="s">
        <v>1920</v>
      </c>
      <c r="E35" s="1261" t="s">
        <v>158</v>
      </c>
      <c r="F35" s="687" t="s">
        <v>73</v>
      </c>
      <c r="G35" s="1276"/>
      <c r="H35" s="1277"/>
      <c r="I35" s="1277"/>
      <c r="J35" s="1277"/>
    </row>
    <row r="36" spans="2:11" s="1161" customFormat="1">
      <c r="B36" s="41" t="s">
        <v>48</v>
      </c>
      <c r="C36" s="38" t="s">
        <v>1922</v>
      </c>
      <c r="D36" s="38" t="s">
        <v>63</v>
      </c>
      <c r="E36" s="38" t="s">
        <v>362</v>
      </c>
      <c r="F36" s="37" t="s">
        <v>44</v>
      </c>
      <c r="G36" s="38"/>
      <c r="H36" s="33"/>
      <c r="I36" s="33"/>
      <c r="J36" s="33"/>
    </row>
    <row r="37" spans="2:11">
      <c r="B37" s="41"/>
      <c r="C37" s="38" t="s">
        <v>1922</v>
      </c>
      <c r="D37" s="38" t="s">
        <v>1502</v>
      </c>
      <c r="E37" s="38" t="s">
        <v>1503</v>
      </c>
      <c r="F37" s="37" t="s">
        <v>44</v>
      </c>
      <c r="G37" s="38"/>
      <c r="H37" s="581"/>
      <c r="I37" s="581"/>
      <c r="J37" s="581"/>
    </row>
    <row r="38" spans="2:11" s="1161" customFormat="1">
      <c r="B38" s="582"/>
      <c r="C38" s="38" t="s">
        <v>1922</v>
      </c>
      <c r="D38" s="38" t="s">
        <v>64</v>
      </c>
      <c r="E38" s="38" t="s">
        <v>363</v>
      </c>
      <c r="F38" s="37" t="s">
        <v>44</v>
      </c>
      <c r="G38" s="38"/>
      <c r="H38" s="33"/>
      <c r="I38" s="33"/>
      <c r="J38" s="33"/>
    </row>
    <row r="39" spans="2:11">
      <c r="B39" s="582"/>
      <c r="C39" s="38" t="s">
        <v>1922</v>
      </c>
      <c r="D39" s="38" t="s">
        <v>65</v>
      </c>
      <c r="E39" s="38" t="s">
        <v>365</v>
      </c>
      <c r="F39" s="37" t="s">
        <v>44</v>
      </c>
      <c r="G39" s="38"/>
      <c r="H39" s="33"/>
      <c r="I39" s="33"/>
      <c r="J39" s="33"/>
    </row>
    <row r="40" spans="2:11">
      <c r="B40" s="688"/>
      <c r="C40" s="38" t="s">
        <v>1922</v>
      </c>
      <c r="D40" s="38" t="s">
        <v>1412</v>
      </c>
      <c r="E40" s="38" t="s">
        <v>1411</v>
      </c>
      <c r="F40" s="37" t="s">
        <v>44</v>
      </c>
      <c r="G40" s="38"/>
      <c r="H40" s="581"/>
      <c r="I40" s="581"/>
      <c r="J40" s="581"/>
    </row>
    <row r="41" spans="2:11">
      <c r="B41" s="582"/>
      <c r="C41" s="38" t="s">
        <v>1922</v>
      </c>
      <c r="D41" s="38" t="s">
        <v>62</v>
      </c>
      <c r="E41" s="38" t="s">
        <v>364</v>
      </c>
      <c r="F41" s="37" t="s">
        <v>44</v>
      </c>
      <c r="G41" s="38"/>
      <c r="H41" s="33"/>
      <c r="I41" s="33"/>
      <c r="J41" s="33"/>
    </row>
    <row r="42" spans="2:11">
      <c r="B42" s="688"/>
      <c r="C42" s="38" t="s">
        <v>1922</v>
      </c>
      <c r="D42" s="38" t="s">
        <v>1505</v>
      </c>
      <c r="E42" s="38" t="s">
        <v>1506</v>
      </c>
      <c r="F42" s="37" t="s">
        <v>44</v>
      </c>
      <c r="G42" s="38"/>
      <c r="H42" s="581"/>
      <c r="I42" s="581"/>
      <c r="J42" s="581"/>
    </row>
    <row r="43" spans="2:11" s="1161" customFormat="1">
      <c r="B43" s="688"/>
      <c r="C43" s="38" t="s">
        <v>1922</v>
      </c>
      <c r="D43" s="1176" t="s">
        <v>360</v>
      </c>
      <c r="E43" s="1176" t="s">
        <v>560</v>
      </c>
      <c r="F43" s="37" t="s">
        <v>44</v>
      </c>
      <c r="G43" s="38"/>
      <c r="H43" s="33"/>
      <c r="I43" s="33"/>
      <c r="J43" s="33"/>
    </row>
    <row r="44" spans="2:11" s="1161" customFormat="1">
      <c r="B44" s="688"/>
      <c r="C44" s="38" t="s">
        <v>1922</v>
      </c>
      <c r="D44" s="1176" t="s">
        <v>1859</v>
      </c>
      <c r="E44" s="1176" t="s">
        <v>1864</v>
      </c>
      <c r="F44" s="37" t="s">
        <v>44</v>
      </c>
      <c r="G44" s="38"/>
      <c r="H44" s="581"/>
      <c r="I44" s="581"/>
      <c r="J44" s="581"/>
    </row>
    <row r="45" spans="2:11" s="1161" customFormat="1">
      <c r="B45" s="688"/>
      <c r="C45" s="38" t="s">
        <v>1922</v>
      </c>
      <c r="D45" s="1176" t="s">
        <v>1518</v>
      </c>
      <c r="E45" s="1176" t="s">
        <v>1519</v>
      </c>
      <c r="F45" s="37" t="s">
        <v>44</v>
      </c>
      <c r="G45" s="38"/>
      <c r="H45" s="581"/>
      <c r="I45" s="581"/>
      <c r="J45" s="581"/>
    </row>
    <row r="46" spans="2:11">
      <c r="B46" s="688"/>
      <c r="C46" s="689" t="s">
        <v>1922</v>
      </c>
      <c r="D46" s="37" t="s">
        <v>66</v>
      </c>
      <c r="E46" s="37" t="s">
        <v>366</v>
      </c>
      <c r="F46" s="37" t="s">
        <v>44</v>
      </c>
      <c r="G46" s="689"/>
      <c r="H46" s="42" t="s">
        <v>57</v>
      </c>
      <c r="I46" s="42"/>
      <c r="J46" s="42" t="s">
        <v>58</v>
      </c>
    </row>
    <row r="47" spans="2:11">
      <c r="B47" s="1278"/>
      <c r="C47" s="689" t="s">
        <v>1922</v>
      </c>
      <c r="D47" s="659" t="s">
        <v>1176</v>
      </c>
      <c r="E47" s="659" t="s">
        <v>1408</v>
      </c>
      <c r="F47" s="659" t="s">
        <v>44</v>
      </c>
      <c r="G47" s="689"/>
      <c r="H47" s="689" t="s">
        <v>57</v>
      </c>
      <c r="I47" s="689"/>
      <c r="J47" s="688" t="s">
        <v>58</v>
      </c>
      <c r="K47" s="580"/>
    </row>
    <row r="48" spans="2:11">
      <c r="B48" s="1278"/>
      <c r="C48" s="689" t="s">
        <v>1922</v>
      </c>
      <c r="D48" s="659" t="s">
        <v>1406</v>
      </c>
      <c r="E48" s="659" t="s">
        <v>1177</v>
      </c>
      <c r="F48" s="659" t="s">
        <v>44</v>
      </c>
      <c r="G48" s="689"/>
      <c r="H48" s="689" t="s">
        <v>57</v>
      </c>
      <c r="I48" s="689"/>
      <c r="J48" s="688" t="s">
        <v>58</v>
      </c>
      <c r="K48" s="580"/>
    </row>
    <row r="49" spans="1:11" s="1161" customFormat="1">
      <c r="B49" s="688"/>
      <c r="C49" s="689" t="s">
        <v>1922</v>
      </c>
      <c r="D49" s="37" t="s">
        <v>359</v>
      </c>
      <c r="E49" s="49" t="s">
        <v>558</v>
      </c>
      <c r="F49" s="37" t="s">
        <v>44</v>
      </c>
      <c r="G49" s="689"/>
      <c r="H49" s="42"/>
      <c r="I49" s="42"/>
      <c r="J49" s="42"/>
    </row>
    <row r="50" spans="1:11" s="1161" customFormat="1">
      <c r="B50" s="688"/>
      <c r="C50" s="689" t="s">
        <v>1922</v>
      </c>
      <c r="D50" s="659" t="s">
        <v>1861</v>
      </c>
      <c r="E50" s="1175" t="s">
        <v>1862</v>
      </c>
      <c r="F50" s="37" t="s">
        <v>44</v>
      </c>
      <c r="G50" s="689"/>
      <c r="H50" s="688"/>
      <c r="I50" s="688"/>
      <c r="J50" s="688"/>
    </row>
    <row r="51" spans="1:11">
      <c r="B51" s="688"/>
      <c r="C51" s="689" t="s">
        <v>1922</v>
      </c>
      <c r="D51" s="659" t="s">
        <v>358</v>
      </c>
      <c r="E51" s="37" t="s">
        <v>559</v>
      </c>
      <c r="F51" s="37" t="s">
        <v>44</v>
      </c>
      <c r="G51" s="689"/>
      <c r="H51" s="582"/>
      <c r="I51" s="582"/>
      <c r="J51" s="582"/>
    </row>
    <row r="52" spans="1:11" s="1161" customFormat="1">
      <c r="B52" s="688"/>
      <c r="C52" s="689" t="s">
        <v>1922</v>
      </c>
      <c r="D52" s="659" t="s">
        <v>1860</v>
      </c>
      <c r="E52" s="659" t="s">
        <v>1863</v>
      </c>
      <c r="F52" s="37" t="s">
        <v>44</v>
      </c>
      <c r="G52" s="689"/>
      <c r="H52" s="688"/>
      <c r="I52" s="688"/>
      <c r="J52" s="688"/>
    </row>
    <row r="53" spans="1:11" s="580" customFormat="1">
      <c r="B53" s="582"/>
      <c r="C53" s="689" t="s">
        <v>1922</v>
      </c>
      <c r="D53" s="659" t="s">
        <v>1130</v>
      </c>
      <c r="E53" s="659" t="s">
        <v>701</v>
      </c>
      <c r="F53" s="37" t="s">
        <v>44</v>
      </c>
      <c r="G53" s="689"/>
      <c r="H53" s="582"/>
      <c r="I53" s="582"/>
      <c r="J53" s="582"/>
      <c r="K53"/>
    </row>
    <row r="54" spans="1:11" s="580" customFormat="1">
      <c r="B54" s="688"/>
      <c r="C54" s="689" t="s">
        <v>1922</v>
      </c>
      <c r="D54" s="659" t="s">
        <v>1668</v>
      </c>
      <c r="E54" s="659" t="s">
        <v>1108</v>
      </c>
      <c r="F54" s="659" t="s">
        <v>44</v>
      </c>
      <c r="G54" s="689"/>
      <c r="H54" s="688"/>
      <c r="I54" s="688"/>
      <c r="J54" s="688"/>
      <c r="K54"/>
    </row>
    <row r="55" spans="1:11" s="1161" customFormat="1">
      <c r="B55" s="688"/>
      <c r="C55" s="689" t="s">
        <v>1922</v>
      </c>
      <c r="D55" s="659" t="s">
        <v>1853</v>
      </c>
      <c r="E55" s="659" t="s">
        <v>1854</v>
      </c>
      <c r="F55" s="659" t="s">
        <v>44</v>
      </c>
      <c r="G55" s="689"/>
      <c r="H55" s="688"/>
      <c r="I55" s="688"/>
      <c r="J55" s="688"/>
    </row>
    <row r="56" spans="1:11">
      <c r="B56" s="688"/>
      <c r="C56" s="689" t="s">
        <v>1922</v>
      </c>
      <c r="D56" s="659" t="s">
        <v>1832</v>
      </c>
      <c r="E56" s="659" t="s">
        <v>1831</v>
      </c>
      <c r="F56" s="659" t="s">
        <v>44</v>
      </c>
      <c r="G56" s="689"/>
      <c r="H56" s="688"/>
      <c r="I56" s="688"/>
      <c r="J56" s="688"/>
    </row>
    <row r="57" spans="1:11">
      <c r="B57" s="582"/>
      <c r="C57" s="689" t="s">
        <v>1922</v>
      </c>
      <c r="D57" s="37" t="s">
        <v>357</v>
      </c>
      <c r="E57" s="1175" t="s">
        <v>367</v>
      </c>
      <c r="F57" s="37" t="s">
        <v>44</v>
      </c>
      <c r="G57" s="689"/>
      <c r="H57" s="42"/>
      <c r="I57" s="42"/>
      <c r="J57" s="42"/>
    </row>
    <row r="58" spans="1:11" s="1161" customFormat="1">
      <c r="B58" s="688"/>
      <c r="C58" s="689" t="s">
        <v>1922</v>
      </c>
      <c r="D58" s="659" t="s">
        <v>1912</v>
      </c>
      <c r="E58" s="1175" t="s">
        <v>1914</v>
      </c>
      <c r="F58" s="37" t="s">
        <v>44</v>
      </c>
      <c r="G58" s="689"/>
      <c r="H58" s="688"/>
      <c r="I58" s="688"/>
      <c r="J58" s="688"/>
    </row>
    <row r="59" spans="1:11" s="1161" customFormat="1">
      <c r="B59" s="688"/>
      <c r="C59" s="689" t="s">
        <v>1922</v>
      </c>
      <c r="D59" s="659" t="s">
        <v>1913</v>
      </c>
      <c r="E59" s="1175" t="s">
        <v>1915</v>
      </c>
      <c r="F59" s="37" t="s">
        <v>44</v>
      </c>
      <c r="G59" s="689"/>
      <c r="H59" s="688"/>
      <c r="I59" s="688"/>
      <c r="J59" s="688"/>
    </row>
    <row r="60" spans="1:11">
      <c r="B60" s="582"/>
      <c r="C60" s="689" t="s">
        <v>1922</v>
      </c>
      <c r="D60" s="37" t="s">
        <v>356</v>
      </c>
      <c r="E60" s="37" t="s">
        <v>368</v>
      </c>
      <c r="F60" s="1176" t="s">
        <v>44</v>
      </c>
      <c r="G60" s="689"/>
      <c r="H60" s="42"/>
      <c r="I60" s="42"/>
      <c r="J60" s="42"/>
    </row>
    <row r="61" spans="1:11">
      <c r="B61" s="688"/>
      <c r="C61" s="689" t="s">
        <v>1922</v>
      </c>
      <c r="D61" s="659" t="s">
        <v>1499</v>
      </c>
      <c r="E61" s="659" t="s">
        <v>1500</v>
      </c>
      <c r="F61" s="37" t="s">
        <v>44</v>
      </c>
      <c r="G61" s="689"/>
      <c r="H61" s="688"/>
      <c r="I61" s="688"/>
      <c r="J61" s="688"/>
    </row>
    <row r="62" spans="1:11" s="1161" customFormat="1">
      <c r="A62" s="714"/>
      <c r="B62" s="688"/>
      <c r="C62" s="688" t="s">
        <v>1922</v>
      </c>
      <c r="D62" s="1644" t="s">
        <v>1651</v>
      </c>
      <c r="E62" s="1645" t="s">
        <v>1669</v>
      </c>
      <c r="F62" s="659" t="s">
        <v>44</v>
      </c>
      <c r="G62" s="688"/>
      <c r="H62" s="688"/>
      <c r="I62" s="688"/>
      <c r="J62" s="688"/>
    </row>
    <row r="63" spans="1:11">
      <c r="B63" s="688"/>
      <c r="C63" s="689" t="s">
        <v>1922</v>
      </c>
      <c r="D63" s="1177" t="s">
        <v>361</v>
      </c>
      <c r="E63" s="1177" t="s">
        <v>369</v>
      </c>
      <c r="F63" s="37" t="s">
        <v>44</v>
      </c>
      <c r="G63" s="689"/>
      <c r="H63" s="688"/>
      <c r="I63" s="688"/>
      <c r="J63" s="688"/>
    </row>
    <row r="64" spans="1:11">
      <c r="C64" t="s">
        <v>1922</v>
      </c>
      <c r="D64" s="1176" t="s">
        <v>1518</v>
      </c>
      <c r="E64" s="1176" t="s">
        <v>1519</v>
      </c>
      <c r="F64" s="659" t="s">
        <v>44</v>
      </c>
    </row>
    <row r="65" spans="2:10">
      <c r="C65" t="s">
        <v>1922</v>
      </c>
      <c r="D65" s="659" t="s">
        <v>1607</v>
      </c>
      <c r="E65" s="1175" t="s">
        <v>1608</v>
      </c>
      <c r="F65" s="659" t="s">
        <v>44</v>
      </c>
    </row>
    <row r="66" spans="2:10">
      <c r="C66" t="s">
        <v>1922</v>
      </c>
      <c r="D66" s="659" t="s">
        <v>1609</v>
      </c>
      <c r="E66" s="659" t="s">
        <v>1610</v>
      </c>
      <c r="F66" s="659" t="s">
        <v>44</v>
      </c>
    </row>
    <row r="67" spans="2:10">
      <c r="C67" t="s">
        <v>1922</v>
      </c>
      <c r="D67" s="1177" t="s">
        <v>1611</v>
      </c>
      <c r="E67" s="1177" t="s">
        <v>1612</v>
      </c>
      <c r="F67" s="659" t="s">
        <v>44</v>
      </c>
    </row>
    <row r="68" spans="2:10" s="1161" customFormat="1">
      <c r="C68" s="1161" t="s">
        <v>1922</v>
      </c>
      <c r="D68" s="1177" t="s">
        <v>1855</v>
      </c>
      <c r="E68" s="1177" t="s">
        <v>1856</v>
      </c>
      <c r="F68" s="659" t="s">
        <v>44</v>
      </c>
    </row>
    <row r="69" spans="2:10">
      <c r="B69" s="1618"/>
      <c r="C69" s="1618" t="s">
        <v>1922</v>
      </c>
      <c r="D69" s="1647" t="s">
        <v>1613</v>
      </c>
      <c r="E69" s="1647" t="s">
        <v>1614</v>
      </c>
      <c r="F69" s="1636" t="s">
        <v>44</v>
      </c>
      <c r="G69" s="1618"/>
      <c r="H69" s="1618"/>
      <c r="I69" s="1618"/>
      <c r="J69" s="1618"/>
    </row>
    <row r="70" spans="2:10">
      <c r="B70" s="582"/>
      <c r="C70" s="689" t="s">
        <v>1922</v>
      </c>
      <c r="D70" s="1177" t="str">
        <f>TRA_Fuel!E55</f>
        <v>TRADSBL1</v>
      </c>
      <c r="E70" s="1177" t="s">
        <v>561</v>
      </c>
      <c r="F70" s="37" t="s">
        <v>44</v>
      </c>
      <c r="G70" s="689"/>
      <c r="H70" s="42"/>
      <c r="I70" s="42"/>
      <c r="J70" s="42"/>
    </row>
    <row r="71" spans="2:10">
      <c r="B71" s="582"/>
      <c r="C71" s="689" t="s">
        <v>1922</v>
      </c>
      <c r="D71" s="1177" t="str">
        <f>TRA_Fuel!E57</f>
        <v>TRADSBL2</v>
      </c>
      <c r="E71" s="1177" t="s">
        <v>562</v>
      </c>
      <c r="F71" s="1176" t="s">
        <v>44</v>
      </c>
      <c r="G71" s="689"/>
      <c r="H71" s="42"/>
      <c r="I71" s="42"/>
      <c r="J71" s="42"/>
    </row>
    <row r="72" spans="2:10">
      <c r="B72" s="582"/>
      <c r="C72" s="689" t="s">
        <v>1922</v>
      </c>
      <c r="D72" s="1177" t="str">
        <f>TRA_Fuel!E59</f>
        <v>TRADSBL3</v>
      </c>
      <c r="E72" s="1177" t="s">
        <v>563</v>
      </c>
      <c r="F72" s="37" t="s">
        <v>44</v>
      </c>
      <c r="G72" s="689"/>
      <c r="H72" s="42"/>
      <c r="I72" s="42"/>
      <c r="J72" s="42"/>
    </row>
    <row r="73" spans="2:10">
      <c r="B73" s="582"/>
      <c r="C73" s="42" t="s">
        <v>1922</v>
      </c>
      <c r="D73" s="439" t="str">
        <f>TRA_Fuel!E61</f>
        <v>TRADSBL4</v>
      </c>
      <c r="E73" s="439" t="s">
        <v>564</v>
      </c>
      <c r="F73" s="37" t="s">
        <v>44</v>
      </c>
      <c r="G73" s="42"/>
      <c r="H73" s="42"/>
      <c r="I73" s="42"/>
      <c r="J73" s="42"/>
    </row>
    <row r="74" spans="2:10">
      <c r="B74" s="582"/>
      <c r="C74" s="42" t="s">
        <v>1922</v>
      </c>
      <c r="D74" s="439" t="str">
        <f>TRA_Fuel!E64</f>
        <v>TRADSBL5</v>
      </c>
      <c r="E74" s="439" t="s">
        <v>565</v>
      </c>
      <c r="F74" s="37" t="s">
        <v>44</v>
      </c>
      <c r="G74" s="42"/>
      <c r="H74" s="42"/>
      <c r="I74" s="42"/>
      <c r="J74" s="42"/>
    </row>
    <row r="75" spans="2:10">
      <c r="B75" s="582"/>
      <c r="C75" s="42" t="s">
        <v>1922</v>
      </c>
      <c r="D75" s="439" t="str">
        <f>TRA_Fuel!E67</f>
        <v>TRAGSBL1</v>
      </c>
      <c r="E75" s="439" t="s">
        <v>566</v>
      </c>
      <c r="F75" s="37" t="s">
        <v>44</v>
      </c>
      <c r="G75" s="42"/>
      <c r="H75" s="42"/>
      <c r="I75" s="42"/>
      <c r="J75" s="42"/>
    </row>
    <row r="76" spans="2:10">
      <c r="B76" s="582"/>
      <c r="C76" s="42" t="s">
        <v>1922</v>
      </c>
      <c r="D76" s="439" t="str">
        <f>TRA_Fuel!E69</f>
        <v>TRAGSBL2</v>
      </c>
      <c r="E76" s="439" t="s">
        <v>567</v>
      </c>
      <c r="F76" s="37" t="s">
        <v>44</v>
      </c>
      <c r="G76" s="42"/>
      <c r="H76" s="42"/>
      <c r="I76" s="42"/>
      <c r="J76" s="42"/>
    </row>
    <row r="77" spans="2:10">
      <c r="B77" s="582"/>
      <c r="C77" s="42" t="s">
        <v>1922</v>
      </c>
      <c r="D77" s="439" t="str">
        <f>TRA_Fuel!E71</f>
        <v>TRAGSBL3</v>
      </c>
      <c r="E77" s="439" t="s">
        <v>568</v>
      </c>
      <c r="F77" s="37" t="s">
        <v>44</v>
      </c>
      <c r="G77" s="42"/>
      <c r="H77" s="42"/>
      <c r="I77" s="42"/>
      <c r="J77" s="42"/>
    </row>
    <row r="78" spans="2:10">
      <c r="B78" s="582"/>
      <c r="C78" s="42" t="s">
        <v>1922</v>
      </c>
      <c r="D78" s="439" t="str">
        <f>TRA_Fuel!E73</f>
        <v>TRAGSBL4</v>
      </c>
      <c r="E78" s="439" t="s">
        <v>569</v>
      </c>
      <c r="F78" s="37" t="s">
        <v>44</v>
      </c>
      <c r="G78" s="42"/>
      <c r="H78" s="42"/>
      <c r="I78" s="42"/>
      <c r="J78" s="42"/>
    </row>
    <row r="79" spans="2:10" s="1161" customFormat="1">
      <c r="B79" s="582"/>
      <c r="C79" s="42" t="s">
        <v>1922</v>
      </c>
      <c r="D79" s="439" t="str">
        <f>TRA_Fuel!E76</f>
        <v>TRAGSBL5</v>
      </c>
      <c r="E79" s="439" t="s">
        <v>570</v>
      </c>
      <c r="F79" s="37" t="s">
        <v>44</v>
      </c>
      <c r="G79" s="42"/>
      <c r="H79" s="42"/>
      <c r="I79" s="42"/>
      <c r="J79" s="42"/>
    </row>
    <row r="80" spans="2:10" s="1161" customFormat="1">
      <c r="B80" s="582"/>
      <c r="C80" s="42" t="s">
        <v>1922</v>
      </c>
      <c r="D80" s="439" t="s">
        <v>1892</v>
      </c>
      <c r="E80" s="439" t="s">
        <v>1902</v>
      </c>
      <c r="F80" s="37" t="s">
        <v>44</v>
      </c>
      <c r="G80" s="42"/>
      <c r="H80" s="42"/>
      <c r="I80" s="42"/>
      <c r="J80" s="42"/>
    </row>
    <row r="81" spans="2:10" s="1161" customFormat="1">
      <c r="B81" s="582"/>
      <c r="C81" s="42" t="s">
        <v>1922</v>
      </c>
      <c r="D81" s="439" t="s">
        <v>1893</v>
      </c>
      <c r="E81" s="439" t="s">
        <v>1911</v>
      </c>
      <c r="F81" s="37" t="s">
        <v>44</v>
      </c>
      <c r="G81" s="42"/>
      <c r="H81" s="42"/>
      <c r="I81" s="42"/>
      <c r="J81" s="42"/>
    </row>
    <row r="82" spans="2:10" s="1161" customFormat="1">
      <c r="B82" s="582"/>
      <c r="C82" s="42" t="s">
        <v>1922</v>
      </c>
      <c r="D82" s="439" t="s">
        <v>1894</v>
      </c>
      <c r="E82" s="439" t="s">
        <v>1903</v>
      </c>
      <c r="F82" s="37" t="s">
        <v>44</v>
      </c>
      <c r="G82" s="42"/>
      <c r="H82" s="42"/>
      <c r="I82" s="42"/>
      <c r="J82" s="42"/>
    </row>
    <row r="83" spans="2:10" s="1161" customFormat="1">
      <c r="B83" s="582"/>
      <c r="C83" s="42" t="s">
        <v>1922</v>
      </c>
      <c r="D83" s="439" t="s">
        <v>1895</v>
      </c>
      <c r="E83" s="439" t="s">
        <v>1904</v>
      </c>
      <c r="F83" s="37" t="s">
        <v>44</v>
      </c>
      <c r="G83" s="42"/>
      <c r="H83" s="42"/>
      <c r="I83" s="42"/>
      <c r="J83" s="42"/>
    </row>
    <row r="84" spans="2:10" s="1161" customFormat="1">
      <c r="B84" s="688"/>
      <c r="C84" s="42" t="s">
        <v>1922</v>
      </c>
      <c r="D84" s="439" t="s">
        <v>1896</v>
      </c>
      <c r="E84" s="439" t="s">
        <v>1910</v>
      </c>
      <c r="F84" s="37" t="s">
        <v>44</v>
      </c>
      <c r="G84" s="42"/>
      <c r="H84" s="42"/>
      <c r="I84" s="42"/>
      <c r="J84" s="42"/>
    </row>
    <row r="85" spans="2:10" s="1161" customFormat="1">
      <c r="B85" s="688"/>
      <c r="C85" s="688" t="s">
        <v>1922</v>
      </c>
      <c r="D85" s="439" t="s">
        <v>1897</v>
      </c>
      <c r="E85" s="439" t="s">
        <v>1905</v>
      </c>
      <c r="F85" s="37" t="s">
        <v>44</v>
      </c>
      <c r="G85" s="688"/>
      <c r="H85" s="688"/>
      <c r="I85" s="688"/>
      <c r="J85" s="688"/>
    </row>
    <row r="86" spans="2:10" s="1161" customFormat="1">
      <c r="B86" s="688"/>
      <c r="C86" s="688" t="s">
        <v>1922</v>
      </c>
      <c r="D86" s="439" t="s">
        <v>1898</v>
      </c>
      <c r="E86" s="439" t="s">
        <v>1906</v>
      </c>
      <c r="F86" s="37" t="s">
        <v>44</v>
      </c>
      <c r="G86" s="688"/>
      <c r="H86" s="688"/>
      <c r="I86" s="688"/>
      <c r="J86" s="688"/>
    </row>
    <row r="87" spans="2:10" s="1161" customFormat="1">
      <c r="B87" s="688"/>
      <c r="C87" s="688" t="s">
        <v>1922</v>
      </c>
      <c r="D87" s="439" t="s">
        <v>1899</v>
      </c>
      <c r="E87" s="439" t="s">
        <v>1907</v>
      </c>
      <c r="F87" s="37" t="s">
        <v>44</v>
      </c>
      <c r="G87" s="688"/>
      <c r="H87" s="688"/>
      <c r="I87" s="688"/>
      <c r="J87" s="688"/>
    </row>
    <row r="88" spans="2:10" s="1161" customFormat="1">
      <c r="B88" s="688"/>
      <c r="C88" s="688" t="s">
        <v>1922</v>
      </c>
      <c r="D88" s="439" t="s">
        <v>1900</v>
      </c>
      <c r="E88" s="439" t="s">
        <v>1908</v>
      </c>
      <c r="F88" s="37" t="s">
        <v>44</v>
      </c>
      <c r="G88" s="688"/>
      <c r="H88" s="688"/>
      <c r="I88" s="688"/>
      <c r="J88" s="688"/>
    </row>
    <row r="89" spans="2:10" s="1161" customFormat="1">
      <c r="B89" s="688"/>
      <c r="C89" s="688" t="s">
        <v>1922</v>
      </c>
      <c r="D89" s="439" t="s">
        <v>1901</v>
      </c>
      <c r="E89" s="439" t="s">
        <v>1909</v>
      </c>
      <c r="F89" s="37" t="s">
        <v>44</v>
      </c>
      <c r="G89" s="688"/>
      <c r="H89" s="688"/>
      <c r="I89" s="688"/>
      <c r="J89" s="688"/>
    </row>
    <row r="90" spans="2:10" s="1161" customFormat="1">
      <c r="B90" s="582"/>
      <c r="C90" s="42" t="s">
        <v>1922</v>
      </c>
      <c r="D90" s="439" t="str">
        <f>TRA_Fuel!E98</f>
        <v>TRANGBL1</v>
      </c>
      <c r="E90" s="439" t="s">
        <v>571</v>
      </c>
      <c r="F90" s="37" t="s">
        <v>44</v>
      </c>
      <c r="G90" s="42"/>
      <c r="H90" s="42"/>
      <c r="I90" s="42"/>
      <c r="J90" s="42"/>
    </row>
    <row r="91" spans="2:10" s="1161" customFormat="1">
      <c r="B91" s="582"/>
      <c r="C91" s="42" t="s">
        <v>1922</v>
      </c>
      <c r="D91" s="439" t="str">
        <f>TRA_Fuel!E100</f>
        <v>TRANGBL2</v>
      </c>
      <c r="E91" s="439" t="s">
        <v>572</v>
      </c>
      <c r="F91" s="37" t="s">
        <v>44</v>
      </c>
      <c r="G91" s="42"/>
      <c r="H91" s="42"/>
      <c r="I91" s="42"/>
      <c r="J91" s="42"/>
    </row>
    <row r="92" spans="2:10" s="1161" customFormat="1">
      <c r="B92" s="582"/>
      <c r="C92" s="42" t="s">
        <v>1922</v>
      </c>
      <c r="D92" s="439" t="str">
        <f>TRA_Fuel!E102</f>
        <v>TRANGBL3</v>
      </c>
      <c r="E92" s="439" t="s">
        <v>573</v>
      </c>
      <c r="F92" s="37" t="s">
        <v>44</v>
      </c>
      <c r="G92" s="42"/>
      <c r="H92" s="42"/>
      <c r="I92" s="42"/>
      <c r="J92" s="42"/>
    </row>
    <row r="93" spans="2:10" s="1161" customFormat="1">
      <c r="B93" s="688"/>
      <c r="C93" s="688" t="s">
        <v>1922</v>
      </c>
      <c r="D93" s="439" t="str">
        <f>TRA_Fuel!E106</f>
        <v>TRANGBL4</v>
      </c>
      <c r="E93" s="439" t="s">
        <v>574</v>
      </c>
      <c r="F93" s="37" t="s">
        <v>44</v>
      </c>
      <c r="G93" s="688"/>
      <c r="H93" s="688"/>
      <c r="I93" s="688"/>
      <c r="J93" s="688"/>
    </row>
    <row r="94" spans="2:10" s="1161" customFormat="1">
      <c r="B94" s="39"/>
      <c r="C94" s="39" t="s">
        <v>1922</v>
      </c>
      <c r="D94" s="1279" t="str">
        <f>TRA_Fuel!E110</f>
        <v>TRANGBL5</v>
      </c>
      <c r="E94" s="1279" t="s">
        <v>575</v>
      </c>
      <c r="F94" s="40" t="s">
        <v>44</v>
      </c>
      <c r="G94" s="39"/>
      <c r="H94" s="39"/>
      <c r="I94" s="39"/>
      <c r="J94" s="39"/>
    </row>
    <row r="95" spans="2:10" s="1161" customFormat="1">
      <c r="B95" s="688"/>
      <c r="C95" s="1278" t="s">
        <v>1922</v>
      </c>
      <c r="D95" s="1278" t="s">
        <v>1508</v>
      </c>
      <c r="E95" s="1177" t="s">
        <v>1513</v>
      </c>
      <c r="F95" s="37" t="s">
        <v>44</v>
      </c>
      <c r="G95" s="688"/>
      <c r="H95" s="688"/>
      <c r="I95" s="688"/>
      <c r="J95" s="688"/>
    </row>
    <row r="96" spans="2:10" s="1161" customFormat="1">
      <c r="B96" s="688"/>
      <c r="C96" s="688" t="s">
        <v>1922</v>
      </c>
      <c r="D96" s="1278" t="s">
        <v>1509</v>
      </c>
      <c r="E96" s="1177" t="s">
        <v>1514</v>
      </c>
      <c r="F96" s="37" t="s">
        <v>44</v>
      </c>
      <c r="G96" s="688"/>
      <c r="H96" s="688"/>
      <c r="I96" s="688"/>
      <c r="J96" s="688"/>
    </row>
    <row r="97" spans="1:10" s="1161" customFormat="1">
      <c r="A97" s="714"/>
      <c r="B97" s="688"/>
      <c r="C97" s="688" t="s">
        <v>1922</v>
      </c>
      <c r="D97" s="1278" t="s">
        <v>1510</v>
      </c>
      <c r="E97" s="1177" t="s">
        <v>1515</v>
      </c>
      <c r="F97" s="37" t="s">
        <v>44</v>
      </c>
      <c r="G97" s="688"/>
      <c r="H97" s="688"/>
      <c r="I97" s="688"/>
      <c r="J97" s="688"/>
    </row>
    <row r="98" spans="1:10" s="1161" customFormat="1">
      <c r="A98" s="714"/>
      <c r="B98" s="688"/>
      <c r="C98" s="688" t="s">
        <v>1922</v>
      </c>
      <c r="D98" s="1278" t="s">
        <v>1511</v>
      </c>
      <c r="E98" s="1177" t="s">
        <v>1516</v>
      </c>
      <c r="F98" s="37" t="s">
        <v>44</v>
      </c>
      <c r="G98" s="688"/>
      <c r="H98" s="688"/>
      <c r="I98" s="688"/>
      <c r="J98" s="688"/>
    </row>
    <row r="99" spans="1:10" s="1161" customFormat="1">
      <c r="A99" s="714"/>
      <c r="B99" s="688"/>
      <c r="C99" s="688" t="s">
        <v>1922</v>
      </c>
      <c r="D99" s="1278" t="s">
        <v>1512</v>
      </c>
      <c r="E99" s="1177" t="s">
        <v>1517</v>
      </c>
      <c r="F99" s="37" t="s">
        <v>44</v>
      </c>
      <c r="G99" s="688"/>
      <c r="H99" s="688"/>
      <c r="I99" s="688"/>
      <c r="J99" s="688"/>
    </row>
    <row r="100" spans="1:10" s="1161" customFormat="1">
      <c r="A100" s="714"/>
      <c r="B100" s="688"/>
      <c r="C100" s="688" t="s">
        <v>1922</v>
      </c>
      <c r="D100" s="439" t="str">
        <f>D90&amp;"N"</f>
        <v>TRANGBL1N</v>
      </c>
      <c r="E100" s="439" t="str">
        <f>"Liqufied "&amp;E90&amp;" Navigation"</f>
        <v>Liqufied Blended Fuel - NGA &amp; SNG - level 1 - TRA Navigation</v>
      </c>
      <c r="F100" s="37" t="s">
        <v>44</v>
      </c>
      <c r="G100" s="688"/>
      <c r="H100" s="688"/>
      <c r="I100" s="688"/>
      <c r="J100" s="688"/>
    </row>
    <row r="101" spans="1:10" s="1161" customFormat="1">
      <c r="A101" s="714"/>
      <c r="B101" s="688"/>
      <c r="C101" s="688" t="s">
        <v>1922</v>
      </c>
      <c r="D101" s="439" t="str">
        <f t="shared" ref="D101:D104" si="0">D91&amp;"N"</f>
        <v>TRANGBL2N</v>
      </c>
      <c r="E101" s="439" t="str">
        <f t="shared" ref="E101:E104" si="1">"Liqufied "&amp;E91&amp;" Navigation"</f>
        <v>Liqufied Blended Fuel - NGA &amp; SNG - level 2 - TRA Navigation</v>
      </c>
      <c r="F101" s="37" t="s">
        <v>44</v>
      </c>
      <c r="G101" s="688"/>
      <c r="H101" s="688"/>
      <c r="I101" s="688"/>
      <c r="J101" s="688"/>
    </row>
    <row r="102" spans="1:10" s="1161" customFormat="1">
      <c r="A102" s="714"/>
      <c r="B102" s="688"/>
      <c r="C102" s="688" t="s">
        <v>1922</v>
      </c>
      <c r="D102" s="1177" t="str">
        <f t="shared" si="0"/>
        <v>TRANGBL3N</v>
      </c>
      <c r="E102" s="439" t="str">
        <f t="shared" si="1"/>
        <v>Liqufied Blended Fuel - NGA &amp; SNG - level 3 - TRA Navigation</v>
      </c>
      <c r="F102" s="37" t="s">
        <v>44</v>
      </c>
      <c r="G102" s="689"/>
      <c r="H102" s="688"/>
      <c r="I102" s="688"/>
      <c r="J102" s="688"/>
    </row>
    <row r="103" spans="1:10" s="1161" customFormat="1">
      <c r="A103" s="714"/>
      <c r="B103" s="688"/>
      <c r="C103" s="688" t="s">
        <v>1922</v>
      </c>
      <c r="D103" s="1177" t="str">
        <f t="shared" si="0"/>
        <v>TRANGBL4N</v>
      </c>
      <c r="E103" s="439" t="str">
        <f t="shared" si="1"/>
        <v>Liqufied Blended Fuel - NGA &amp; SNG - level 4 - TRA Navigation</v>
      </c>
      <c r="F103" s="37" t="s">
        <v>44</v>
      </c>
      <c r="G103" s="689"/>
      <c r="H103" s="688"/>
      <c r="I103" s="688"/>
      <c r="J103" s="688"/>
    </row>
    <row r="104" spans="1:10" s="1161" customFormat="1">
      <c r="A104" s="714"/>
      <c r="B104" s="688"/>
      <c r="C104" s="688" t="s">
        <v>1922</v>
      </c>
      <c r="D104" s="1177" t="str">
        <f t="shared" si="0"/>
        <v>TRANGBL5N</v>
      </c>
      <c r="E104" s="439" t="str">
        <f t="shared" si="1"/>
        <v>Liqufied Blended Fuel - NGA &amp; SNG - level 5 - TRA Navigation</v>
      </c>
      <c r="F104" s="37" t="s">
        <v>44</v>
      </c>
      <c r="G104" s="689"/>
      <c r="H104" s="688"/>
      <c r="I104" s="688"/>
      <c r="J104" s="688"/>
    </row>
    <row r="105" spans="1:10" s="1161" customFormat="1">
      <c r="A105" s="714"/>
      <c r="B105" s="688"/>
      <c r="C105" s="688" t="s">
        <v>1922</v>
      </c>
      <c r="D105" s="1646" t="s">
        <v>1639</v>
      </c>
      <c r="E105" s="659" t="s">
        <v>1835</v>
      </c>
      <c r="F105" s="659" t="s">
        <v>44</v>
      </c>
      <c r="G105" s="689"/>
      <c r="H105" s="688"/>
      <c r="I105" s="688"/>
      <c r="J105" s="688"/>
    </row>
    <row r="106" spans="1:10" s="1161" customFormat="1">
      <c r="A106" s="714"/>
      <c r="B106" s="688"/>
      <c r="C106" s="688" t="s">
        <v>1922</v>
      </c>
      <c r="D106" s="1646" t="s">
        <v>1665</v>
      </c>
      <c r="E106" s="659" t="s">
        <v>1666</v>
      </c>
      <c r="F106" s="659" t="s">
        <v>44</v>
      </c>
      <c r="G106" s="689"/>
      <c r="H106" s="688"/>
      <c r="I106" s="688"/>
      <c r="J106" s="688"/>
    </row>
    <row r="107" spans="1:10" s="1161" customFormat="1">
      <c r="A107" s="714"/>
      <c r="B107" s="688"/>
      <c r="C107" s="688" t="s">
        <v>1922</v>
      </c>
      <c r="D107" s="1646" t="s">
        <v>1663</v>
      </c>
      <c r="E107" s="659" t="s">
        <v>1667</v>
      </c>
      <c r="F107" s="659" t="s">
        <v>44</v>
      </c>
      <c r="G107" s="689"/>
      <c r="H107" s="688"/>
      <c r="I107" s="688"/>
      <c r="J107" s="688"/>
    </row>
    <row r="108" spans="1:10" s="1161" customFormat="1">
      <c r="A108" s="714"/>
      <c r="B108" s="688"/>
      <c r="C108" s="688" t="s">
        <v>1922</v>
      </c>
      <c r="D108" s="1646" t="s">
        <v>1664</v>
      </c>
      <c r="E108" s="659" t="s">
        <v>1724</v>
      </c>
      <c r="F108" s="659" t="s">
        <v>44</v>
      </c>
      <c r="G108" s="689"/>
      <c r="H108" s="688"/>
      <c r="I108" s="688"/>
      <c r="J108" s="688"/>
    </row>
    <row r="109" spans="1:10" s="1161" customFormat="1">
      <c r="A109" s="714"/>
      <c r="B109" s="688"/>
      <c r="C109" s="688" t="s">
        <v>1922</v>
      </c>
      <c r="D109" s="1177" t="str">
        <f>TRA_Fuel!E152</f>
        <v>TRADSBL1C</v>
      </c>
      <c r="E109" s="1177" t="str">
        <f>Commodities!E70&amp;" - Cars"</f>
        <v>Blended Fuel - Diesel &amp; Biodiesel - level 1 - TRA - Cars</v>
      </c>
      <c r="F109" s="37" t="s">
        <v>44</v>
      </c>
      <c r="G109" s="689"/>
      <c r="H109" s="688"/>
      <c r="I109" s="688"/>
      <c r="J109" s="688"/>
    </row>
    <row r="110" spans="1:10" s="1161" customFormat="1">
      <c r="A110" s="714"/>
      <c r="B110" s="688"/>
      <c r="C110" s="688" t="s">
        <v>1922</v>
      </c>
      <c r="D110" s="1177" t="str">
        <f>TRA_Fuel!E153</f>
        <v>TRADSBL2C</v>
      </c>
      <c r="E110" s="1177" t="str">
        <f>Commodities!E71&amp;" - Cars"</f>
        <v>Blended Fuel - Diesel &amp; Biodiesel - level 2 - TRA - Cars</v>
      </c>
      <c r="F110" s="37" t="s">
        <v>44</v>
      </c>
      <c r="G110" s="689"/>
      <c r="H110" s="688"/>
      <c r="I110" s="688"/>
      <c r="J110" s="688"/>
    </row>
    <row r="111" spans="1:10" s="1161" customFormat="1">
      <c r="A111" s="714"/>
      <c r="B111" s="688"/>
      <c r="C111" s="688" t="s">
        <v>1922</v>
      </c>
      <c r="D111" s="1177" t="str">
        <f>TRA_Fuel!E154</f>
        <v>TRADSBL3C</v>
      </c>
      <c r="E111" s="1177" t="str">
        <f>Commodities!E72&amp;" - Cars"</f>
        <v>Blended Fuel - Diesel &amp; Biodiesel - level 3 - TRA - Cars</v>
      </c>
      <c r="F111" s="37" t="s">
        <v>44</v>
      </c>
      <c r="G111" s="689"/>
      <c r="H111" s="688"/>
      <c r="I111" s="688"/>
      <c r="J111" s="688"/>
    </row>
    <row r="112" spans="1:10" s="1161" customFormat="1">
      <c r="A112" s="714"/>
      <c r="B112" s="688"/>
      <c r="C112" s="688" t="s">
        <v>1922</v>
      </c>
      <c r="D112" s="439" t="str">
        <f>TRA_Fuel!E155</f>
        <v>TRADSBL4C</v>
      </c>
      <c r="E112" s="439" t="str">
        <f>Commodities!E73&amp;" - Cars"</f>
        <v>Blended Fuel - Diesel &amp; Biodiesel - level 4 - TRA - Cars</v>
      </c>
      <c r="F112" s="37" t="s">
        <v>44</v>
      </c>
      <c r="G112" s="688"/>
      <c r="H112" s="688"/>
      <c r="I112" s="688"/>
      <c r="J112" s="688"/>
    </row>
    <row r="113" spans="1:15" s="1161" customFormat="1">
      <c r="A113" s="714"/>
      <c r="B113" s="688"/>
      <c r="C113" s="688" t="s">
        <v>1922</v>
      </c>
      <c r="D113" s="439" t="str">
        <f>TRA_Fuel!E156</f>
        <v>TRADSBL5C</v>
      </c>
      <c r="E113" s="439" t="str">
        <f>Commodities!E74&amp;" - Cars"</f>
        <v>Blended Fuel - Diesel &amp; Biodiesel - level 5 - TRA - Cars</v>
      </c>
      <c r="F113" s="37" t="s">
        <v>44</v>
      </c>
      <c r="G113" s="688"/>
      <c r="H113" s="688"/>
      <c r="I113" s="688"/>
      <c r="J113" s="688"/>
      <c r="K113"/>
      <c r="L113"/>
    </row>
    <row r="114" spans="1:15" s="1161" customFormat="1">
      <c r="A114" s="714"/>
      <c r="B114" s="688"/>
      <c r="C114" s="688" t="s">
        <v>1922</v>
      </c>
      <c r="D114" s="439" t="str">
        <f>TRA_Fuel!E157</f>
        <v>TRAGSBL1C</v>
      </c>
      <c r="E114" s="439" t="str">
        <f>Commodities!E75&amp;" - Cars"</f>
        <v>Blended Fuel - Gasoline &amp; Bioethanol - level 1 - TRA - Cars</v>
      </c>
      <c r="F114" s="37" t="s">
        <v>44</v>
      </c>
      <c r="G114" s="688"/>
      <c r="H114" s="688"/>
      <c r="I114" s="688"/>
      <c r="J114" s="688"/>
      <c r="K114"/>
      <c r="L114"/>
      <c r="M114"/>
    </row>
    <row r="115" spans="1:15" s="1161" customFormat="1">
      <c r="A115" s="714"/>
      <c r="B115" s="688"/>
      <c r="C115" s="688" t="s">
        <v>1922</v>
      </c>
      <c r="D115" s="439" t="str">
        <f>TRA_Fuel!E158</f>
        <v>TRAGSBL2C</v>
      </c>
      <c r="E115" s="439" t="str">
        <f>Commodities!E76&amp;" - Cars"</f>
        <v>Blended Fuel - Gasoline &amp; Bioethanol - level 2 - TRA - Cars</v>
      </c>
      <c r="F115" s="37" t="s">
        <v>44</v>
      </c>
      <c r="G115" s="688"/>
      <c r="H115" s="688"/>
      <c r="I115" s="688"/>
      <c r="J115" s="688"/>
      <c r="K115"/>
      <c r="L115"/>
      <c r="M115"/>
    </row>
    <row r="116" spans="1:15" s="1161" customFormat="1">
      <c r="A116" s="714"/>
      <c r="B116" s="688"/>
      <c r="C116" s="688" t="s">
        <v>1922</v>
      </c>
      <c r="D116" s="439" t="str">
        <f>TRA_Fuel!E159</f>
        <v>TRAGSBL3C</v>
      </c>
      <c r="E116" s="439" t="str">
        <f>Commodities!E77&amp;" - Cars"</f>
        <v>Blended Fuel - Gasoline &amp; Bioethanol - level 3 - TRA - Cars</v>
      </c>
      <c r="F116" s="37" t="s">
        <v>44</v>
      </c>
      <c r="G116" s="688"/>
      <c r="H116" s="688"/>
      <c r="I116" s="688"/>
      <c r="J116" s="688"/>
      <c r="K116"/>
      <c r="L116"/>
      <c r="M116"/>
    </row>
    <row r="117" spans="1:15" s="1161" customFormat="1">
      <c r="A117" s="714"/>
      <c r="B117" s="688"/>
      <c r="C117" s="688" t="s">
        <v>1922</v>
      </c>
      <c r="D117" s="439" t="str">
        <f>TRA_Fuel!E160</f>
        <v>TRAGSBL4C</v>
      </c>
      <c r="E117" s="439" t="str">
        <f>Commodities!E78&amp;" - Cars"</f>
        <v>Blended Fuel - Gasoline &amp; Bioethanol - level 4 - TRA - Cars</v>
      </c>
      <c r="F117" s="37" t="s">
        <v>44</v>
      </c>
      <c r="G117" s="688"/>
      <c r="H117" s="688"/>
      <c r="I117" s="688"/>
      <c r="J117" s="688"/>
      <c r="K117" s="442"/>
      <c r="L117"/>
      <c r="M117"/>
    </row>
    <row r="118" spans="1:15" s="1161" customFormat="1">
      <c r="A118" s="714"/>
      <c r="B118" s="688"/>
      <c r="C118" s="688" t="s">
        <v>1922</v>
      </c>
      <c r="D118" s="439" t="str">
        <f>TRA_Fuel!E161</f>
        <v>TRAGSBL5C</v>
      </c>
      <c r="E118" s="439" t="str">
        <f>Commodities!E79&amp;" - Cars"</f>
        <v>Blended Fuel - Gasoline &amp; Bioethanol - level 5 - TRA - Cars</v>
      </c>
      <c r="F118" s="37" t="s">
        <v>44</v>
      </c>
      <c r="G118" s="688"/>
      <c r="H118" s="688"/>
      <c r="I118" s="688"/>
      <c r="J118" s="688"/>
      <c r="K118"/>
      <c r="L118"/>
      <c r="M118"/>
    </row>
    <row r="119" spans="1:15" s="1161" customFormat="1">
      <c r="A119" s="714"/>
      <c r="B119" s="688"/>
      <c r="C119" s="688" t="s">
        <v>1922</v>
      </c>
      <c r="D119" s="439" t="str">
        <f>TRA_Fuel!E162</f>
        <v>TRANGBL1C</v>
      </c>
      <c r="E119" s="439" t="str">
        <f>Commodities!E90&amp;" - Cars"</f>
        <v>Blended Fuel - NGA &amp; SNG - level 1 - TRA - Cars</v>
      </c>
      <c r="F119" s="37" t="s">
        <v>44</v>
      </c>
      <c r="G119" s="688"/>
      <c r="H119" s="688"/>
      <c r="I119" s="688"/>
      <c r="J119" s="688"/>
      <c r="M119"/>
    </row>
    <row r="120" spans="1:15" s="1161" customFormat="1">
      <c r="A120" s="714"/>
      <c r="B120" s="688"/>
      <c r="C120" s="688" t="s">
        <v>1922</v>
      </c>
      <c r="D120" s="439" t="str">
        <f>TRA_Fuel!E163</f>
        <v>TRANGBL2C</v>
      </c>
      <c r="E120" s="439" t="str">
        <f>Commodities!E91&amp;" - Cars"</f>
        <v>Blended Fuel - NGA &amp; SNG - level 2 - TRA - Cars</v>
      </c>
      <c r="F120" s="37" t="s">
        <v>44</v>
      </c>
      <c r="G120" s="688"/>
      <c r="H120" s="688"/>
      <c r="I120" s="688"/>
      <c r="J120" s="688"/>
    </row>
    <row r="121" spans="1:15" s="1161" customFormat="1">
      <c r="A121" s="714"/>
      <c r="B121" s="688"/>
      <c r="C121" s="688" t="s">
        <v>1922</v>
      </c>
      <c r="D121" s="439" t="str">
        <f>TRA_Fuel!E164</f>
        <v>TRANGBL3C</v>
      </c>
      <c r="E121" s="439" t="str">
        <f>Commodities!E92&amp;" - Cars"</f>
        <v>Blended Fuel - NGA &amp; SNG - level 3 - TRA - Cars</v>
      </c>
      <c r="F121" s="37" t="s">
        <v>44</v>
      </c>
      <c r="G121" s="688"/>
      <c r="H121" s="688"/>
      <c r="I121" s="688"/>
      <c r="J121" s="688"/>
      <c r="K121"/>
      <c r="L121"/>
    </row>
    <row r="122" spans="1:15" s="1161" customFormat="1">
      <c r="B122" s="688"/>
      <c r="C122" s="688" t="s">
        <v>1922</v>
      </c>
      <c r="D122" s="439" t="str">
        <f>TRA_Fuel!E165</f>
        <v>TRANGBL4C</v>
      </c>
      <c r="E122" s="439" t="str">
        <f>Commodities!E93&amp;" - Cars"</f>
        <v>Blended Fuel - NGA &amp; SNG - level 4 - TRA - Cars</v>
      </c>
      <c r="F122" s="37" t="s">
        <v>44</v>
      </c>
      <c r="G122" s="688"/>
      <c r="H122" s="688"/>
      <c r="I122" s="688"/>
      <c r="J122" s="688"/>
      <c r="K122"/>
      <c r="L122"/>
      <c r="M122"/>
    </row>
    <row r="123" spans="1:15" s="1161" customFormat="1">
      <c r="B123" s="688"/>
      <c r="C123" s="39" t="s">
        <v>1922</v>
      </c>
      <c r="D123" s="1279" t="str">
        <f>TRA_Fuel!E166</f>
        <v>TRANGBL5C</v>
      </c>
      <c r="E123" s="1279" t="str">
        <f>Commodities!E94&amp;" - Cars"</f>
        <v>Blended Fuel - NGA &amp; SNG - level 5 - TRA - Cars</v>
      </c>
      <c r="F123" s="40" t="s">
        <v>44</v>
      </c>
      <c r="G123" s="39"/>
      <c r="H123" s="39"/>
      <c r="I123" s="39"/>
      <c r="J123" s="39"/>
      <c r="K123"/>
      <c r="L123" s="442"/>
      <c r="M123"/>
    </row>
    <row r="124" spans="1:15" s="1161" customFormat="1">
      <c r="B124" s="43" t="s">
        <v>59</v>
      </c>
      <c r="C124" s="33" t="s">
        <v>1922</v>
      </c>
      <c r="D124" s="36" t="s">
        <v>61</v>
      </c>
      <c r="E124" s="37" t="s">
        <v>71</v>
      </c>
      <c r="F124" s="37" t="s">
        <v>60</v>
      </c>
      <c r="G124" s="33"/>
      <c r="H124" s="33"/>
      <c r="I124" s="33"/>
      <c r="J124" s="33"/>
      <c r="K124"/>
      <c r="L124" s="442"/>
      <c r="M124"/>
    </row>
    <row r="125" spans="1:15" s="1161" customFormat="1">
      <c r="B125" s="688"/>
      <c r="C125" s="688" t="s">
        <v>1922</v>
      </c>
      <c r="D125" s="36" t="s">
        <v>67</v>
      </c>
      <c r="E125" s="37" t="s">
        <v>69</v>
      </c>
      <c r="F125" s="37" t="s">
        <v>60</v>
      </c>
      <c r="G125" s="688"/>
      <c r="H125" s="688"/>
      <c r="I125" s="688"/>
      <c r="J125" s="688"/>
      <c r="K125"/>
      <c r="L125" s="442"/>
      <c r="M125"/>
    </row>
    <row r="126" spans="1:15" s="1161" customFormat="1">
      <c r="B126" s="689"/>
      <c r="C126" s="689" t="s">
        <v>1922</v>
      </c>
      <c r="D126" s="1622" t="s">
        <v>68</v>
      </c>
      <c r="E126" s="659" t="s">
        <v>70</v>
      </c>
      <c r="F126" s="659" t="s">
        <v>60</v>
      </c>
      <c r="G126" s="689"/>
      <c r="H126" s="689"/>
      <c r="I126" s="689"/>
      <c r="J126" s="689"/>
      <c r="K126"/>
      <c r="L126" s="549"/>
      <c r="M126"/>
      <c r="N126"/>
      <c r="O126"/>
    </row>
    <row r="127" spans="1:15" s="1161" customFormat="1">
      <c r="B127" s="688"/>
      <c r="C127" s="688" t="s">
        <v>1922</v>
      </c>
      <c r="D127" s="1622" t="s">
        <v>1874</v>
      </c>
      <c r="E127" s="659" t="s">
        <v>1878</v>
      </c>
      <c r="F127" s="37" t="s">
        <v>60</v>
      </c>
      <c r="G127" s="688"/>
      <c r="H127" s="688"/>
      <c r="I127" s="688"/>
      <c r="J127" s="688"/>
      <c r="L127" s="714"/>
    </row>
    <row r="128" spans="1:15" s="1161" customFormat="1">
      <c r="B128" s="689"/>
      <c r="C128" s="689" t="s">
        <v>1922</v>
      </c>
      <c r="D128" s="1622" t="s">
        <v>1875</v>
      </c>
      <c r="E128" s="659" t="s">
        <v>1879</v>
      </c>
      <c r="F128" s="659" t="s">
        <v>60</v>
      </c>
      <c r="G128" s="689"/>
      <c r="H128" s="689"/>
      <c r="I128" s="689"/>
      <c r="J128" s="689"/>
    </row>
    <row r="129" spans="2:15" s="1161" customFormat="1">
      <c r="B129" s="688"/>
      <c r="C129" s="688" t="s">
        <v>1922</v>
      </c>
      <c r="D129" s="1622" t="s">
        <v>1876</v>
      </c>
      <c r="E129" s="659" t="s">
        <v>1881</v>
      </c>
      <c r="F129" s="37" t="s">
        <v>60</v>
      </c>
      <c r="G129" s="688"/>
      <c r="H129" s="688"/>
      <c r="I129" s="688"/>
      <c r="J129" s="688"/>
      <c r="L129" s="714"/>
    </row>
    <row r="130" spans="2:15" s="1161" customFormat="1">
      <c r="B130" s="689"/>
      <c r="C130" s="689" t="s">
        <v>1922</v>
      </c>
      <c r="D130" s="1622" t="s">
        <v>1877</v>
      </c>
      <c r="E130" s="659" t="s">
        <v>1880</v>
      </c>
      <c r="F130" s="659" t="s">
        <v>60</v>
      </c>
      <c r="G130" s="689"/>
      <c r="H130" s="689"/>
      <c r="I130" s="689"/>
      <c r="J130" s="689"/>
    </row>
    <row r="131" spans="2:15" s="1161" customFormat="1">
      <c r="B131" s="689"/>
      <c r="C131" s="689" t="s">
        <v>1922</v>
      </c>
      <c r="D131" s="1622" t="s">
        <v>1640</v>
      </c>
      <c r="E131" s="659" t="s">
        <v>1865</v>
      </c>
      <c r="F131" s="659" t="s">
        <v>60</v>
      </c>
      <c r="G131" s="689"/>
      <c r="H131" s="689"/>
      <c r="I131" s="689"/>
      <c r="J131" s="689"/>
      <c r="K131"/>
      <c r="L131"/>
      <c r="M131"/>
      <c r="N131"/>
      <c r="O131"/>
    </row>
    <row r="132" spans="2:15" s="1161" customFormat="1">
      <c r="B132" s="689"/>
      <c r="C132" s="689" t="s">
        <v>1922</v>
      </c>
      <c r="D132" s="1622" t="s">
        <v>1866</v>
      </c>
      <c r="E132" s="659" t="s">
        <v>1870</v>
      </c>
      <c r="F132" s="659" t="s">
        <v>1869</v>
      </c>
      <c r="G132" s="689"/>
      <c r="H132" s="689"/>
      <c r="I132" s="689"/>
      <c r="J132" s="689"/>
    </row>
    <row r="133" spans="2:15" s="1161" customFormat="1">
      <c r="B133" s="689"/>
      <c r="C133" s="689" t="s">
        <v>1922</v>
      </c>
      <c r="D133" s="1622" t="s">
        <v>1867</v>
      </c>
      <c r="E133" s="659" t="s">
        <v>1871</v>
      </c>
      <c r="F133" s="659" t="s">
        <v>1869</v>
      </c>
      <c r="G133" s="689"/>
      <c r="H133" s="689"/>
      <c r="I133" s="689"/>
      <c r="J133" s="689"/>
    </row>
    <row r="134" spans="2:15" s="1161" customFormat="1">
      <c r="B134" s="689"/>
      <c r="C134" s="689" t="s">
        <v>1922</v>
      </c>
      <c r="D134" s="1622" t="s">
        <v>1868</v>
      </c>
      <c r="E134" s="659" t="s">
        <v>1872</v>
      </c>
      <c r="F134" s="659" t="s">
        <v>1869</v>
      </c>
      <c r="G134" s="689"/>
      <c r="H134" s="689"/>
      <c r="I134" s="689"/>
      <c r="J134" s="689"/>
    </row>
    <row r="135" spans="2:15" s="1161" customFormat="1">
      <c r="B135" s="39"/>
      <c r="C135" s="39" t="s">
        <v>1922</v>
      </c>
      <c r="D135" s="1423" t="s">
        <v>1603</v>
      </c>
      <c r="E135" s="1261" t="s">
        <v>1605</v>
      </c>
      <c r="F135" s="40" t="s">
        <v>60</v>
      </c>
      <c r="G135" s="39"/>
      <c r="H135" s="39"/>
      <c r="I135" s="39"/>
      <c r="J135" s="39"/>
      <c r="K135"/>
      <c r="L135"/>
      <c r="M135"/>
      <c r="N135"/>
      <c r="O135"/>
    </row>
    <row r="136" spans="2:15" s="1161" customFormat="1">
      <c r="B136" s="688" t="s">
        <v>48</v>
      </c>
      <c r="C136" s="689" t="s">
        <v>1922</v>
      </c>
      <c r="D136" s="659" t="s">
        <v>1199</v>
      </c>
      <c r="E136" s="659" t="s">
        <v>1200</v>
      </c>
      <c r="F136" s="689" t="s">
        <v>1201</v>
      </c>
      <c r="G136"/>
      <c r="H136"/>
      <c r="I136"/>
      <c r="J136"/>
      <c r="K136"/>
      <c r="L136"/>
      <c r="M136"/>
      <c r="N136"/>
      <c r="O136"/>
    </row>
    <row r="137" spans="2:15" s="1161" customFormat="1">
      <c r="B137" s="688"/>
      <c r="C137" s="689" t="s">
        <v>1922</v>
      </c>
      <c r="D137" s="659" t="s">
        <v>1202</v>
      </c>
      <c r="E137" s="659" t="s">
        <v>1203</v>
      </c>
      <c r="F137" s="689" t="s">
        <v>1201</v>
      </c>
      <c r="G137"/>
      <c r="H137"/>
      <c r="I137"/>
      <c r="J137"/>
      <c r="K137"/>
      <c r="L137"/>
      <c r="M137"/>
      <c r="N137"/>
      <c r="O137"/>
    </row>
    <row r="138" spans="2:15" s="1161" customFormat="1">
      <c r="B138" s="688"/>
      <c r="C138" s="689" t="s">
        <v>1922</v>
      </c>
      <c r="D138" s="659" t="s">
        <v>1204</v>
      </c>
      <c r="E138" s="659" t="s">
        <v>1205</v>
      </c>
      <c r="F138" s="689" t="s">
        <v>1201</v>
      </c>
      <c r="G138"/>
      <c r="H138"/>
      <c r="I138"/>
      <c r="J138"/>
      <c r="K138"/>
      <c r="L138"/>
      <c r="M138"/>
      <c r="N138"/>
      <c r="O138"/>
    </row>
    <row r="139" spans="2:15" s="1161" customFormat="1">
      <c r="B139" s="688"/>
      <c r="C139" s="689" t="s">
        <v>1922</v>
      </c>
      <c r="D139" s="659" t="s">
        <v>1206</v>
      </c>
      <c r="E139" s="659" t="s">
        <v>1207</v>
      </c>
      <c r="F139" s="689" t="s">
        <v>1201</v>
      </c>
      <c r="G139"/>
      <c r="H139"/>
      <c r="I139"/>
      <c r="J139"/>
      <c r="K139"/>
      <c r="L139"/>
      <c r="M139"/>
    </row>
    <row r="140" spans="2:15" s="1161" customFormat="1">
      <c r="B140" s="688"/>
      <c r="C140" s="689" t="s">
        <v>1922</v>
      </c>
      <c r="D140" s="659" t="s">
        <v>1208</v>
      </c>
      <c r="E140" s="659" t="s">
        <v>1209</v>
      </c>
      <c r="F140" s="689" t="s">
        <v>1201</v>
      </c>
      <c r="G140"/>
      <c r="H140"/>
      <c r="I140"/>
      <c r="J140"/>
      <c r="K140"/>
      <c r="L140"/>
      <c r="M140"/>
    </row>
    <row r="141" spans="2:15">
      <c r="B141" s="688"/>
      <c r="C141" s="689" t="s">
        <v>1922</v>
      </c>
      <c r="D141" s="659" t="s">
        <v>1210</v>
      </c>
      <c r="E141" s="659" t="s">
        <v>1211</v>
      </c>
      <c r="F141" s="689" t="s">
        <v>1201</v>
      </c>
    </row>
    <row r="142" spans="2:15">
      <c r="B142" s="688"/>
      <c r="C142" s="689" t="s">
        <v>1922</v>
      </c>
      <c r="D142" s="659" t="s">
        <v>1212</v>
      </c>
      <c r="E142" s="659" t="s">
        <v>1213</v>
      </c>
      <c r="F142" s="689" t="s">
        <v>1201</v>
      </c>
    </row>
    <row r="143" spans="2:15">
      <c r="B143" s="688"/>
      <c r="C143" s="689" t="s">
        <v>1922</v>
      </c>
      <c r="D143" s="659" t="s">
        <v>1214</v>
      </c>
      <c r="E143" s="659" t="s">
        <v>1215</v>
      </c>
      <c r="F143" s="689" t="s">
        <v>1201</v>
      </c>
    </row>
    <row r="144" spans="2:15">
      <c r="B144" s="688"/>
      <c r="C144" s="689" t="s">
        <v>1922</v>
      </c>
      <c r="D144" s="659" t="s">
        <v>1216</v>
      </c>
      <c r="E144" s="659" t="s">
        <v>1217</v>
      </c>
      <c r="F144" s="689" t="s">
        <v>1201</v>
      </c>
    </row>
    <row r="145" spans="2:15">
      <c r="B145" s="688"/>
      <c r="C145" s="689" t="s">
        <v>1922</v>
      </c>
      <c r="D145" s="659" t="s">
        <v>1218</v>
      </c>
      <c r="E145" s="659" t="s">
        <v>1219</v>
      </c>
      <c r="F145" s="689" t="s">
        <v>1201</v>
      </c>
    </row>
    <row r="146" spans="2:15">
      <c r="B146" s="688"/>
      <c r="C146" s="689" t="s">
        <v>1922</v>
      </c>
      <c r="D146" s="659" t="s">
        <v>1220</v>
      </c>
      <c r="E146" s="659" t="s">
        <v>1221</v>
      </c>
      <c r="F146" s="689" t="s">
        <v>1201</v>
      </c>
    </row>
    <row r="147" spans="2:15" s="1161" customFormat="1">
      <c r="B147" s="688"/>
      <c r="C147" s="689" t="s">
        <v>1922</v>
      </c>
      <c r="D147" s="659" t="s">
        <v>1222</v>
      </c>
      <c r="E147" s="659" t="s">
        <v>1223</v>
      </c>
      <c r="F147" s="689" t="s">
        <v>1201</v>
      </c>
      <c r="G147"/>
      <c r="H147"/>
      <c r="I147"/>
      <c r="J147"/>
      <c r="K147"/>
      <c r="L147"/>
      <c r="M147"/>
      <c r="N147"/>
      <c r="O147"/>
    </row>
    <row r="148" spans="2:15" s="1161" customFormat="1">
      <c r="B148" s="688"/>
      <c r="C148" s="689" t="s">
        <v>1922</v>
      </c>
      <c r="D148" s="659" t="s">
        <v>1224</v>
      </c>
      <c r="E148" s="659" t="s">
        <v>1225</v>
      </c>
      <c r="F148" s="689" t="s">
        <v>1201</v>
      </c>
      <c r="G148"/>
      <c r="H148"/>
      <c r="I148"/>
      <c r="J148"/>
      <c r="K148"/>
      <c r="L148"/>
      <c r="M148"/>
      <c r="N148"/>
      <c r="O148"/>
    </row>
    <row r="149" spans="2:15">
      <c r="B149" s="688"/>
      <c r="C149" s="689" t="s">
        <v>1922</v>
      </c>
      <c r="D149" s="659" t="s">
        <v>1226</v>
      </c>
      <c r="E149" s="659" t="s">
        <v>1227</v>
      </c>
      <c r="F149" s="689" t="s">
        <v>1201</v>
      </c>
    </row>
    <row r="150" spans="2:15">
      <c r="B150" s="688"/>
      <c r="C150" s="689" t="s">
        <v>1922</v>
      </c>
      <c r="D150" s="659" t="s">
        <v>1228</v>
      </c>
      <c r="E150" s="659" t="s">
        <v>1229</v>
      </c>
      <c r="F150" s="689" t="s">
        <v>1201</v>
      </c>
    </row>
    <row r="151" spans="2:15">
      <c r="B151" s="688"/>
      <c r="C151" s="689" t="s">
        <v>1922</v>
      </c>
      <c r="D151" s="659" t="s">
        <v>1230</v>
      </c>
      <c r="E151" s="659" t="s">
        <v>1231</v>
      </c>
      <c r="F151" s="689" t="s">
        <v>1201</v>
      </c>
    </row>
    <row r="152" spans="2:15" s="549" customFormat="1">
      <c r="B152" s="688"/>
      <c r="C152" s="689" t="s">
        <v>1922</v>
      </c>
      <c r="D152" s="659" t="s">
        <v>1232</v>
      </c>
      <c r="E152" s="659" t="s">
        <v>1233</v>
      </c>
      <c r="F152" s="689" t="s">
        <v>1201</v>
      </c>
      <c r="G152"/>
      <c r="H152"/>
      <c r="I152"/>
      <c r="J152"/>
      <c r="K152"/>
      <c r="L152"/>
      <c r="M152"/>
      <c r="N152"/>
      <c r="O152"/>
    </row>
    <row r="153" spans="2:15" s="549" customFormat="1">
      <c r="B153" s="688"/>
      <c r="C153" s="689" t="s">
        <v>1922</v>
      </c>
      <c r="D153" s="659" t="s">
        <v>1234</v>
      </c>
      <c r="E153" s="659" t="s">
        <v>1235</v>
      </c>
      <c r="F153" s="689" t="s">
        <v>1201</v>
      </c>
      <c r="G153"/>
      <c r="H153"/>
      <c r="I153"/>
      <c r="J153"/>
      <c r="K153"/>
      <c r="L153"/>
      <c r="M153"/>
      <c r="N153"/>
      <c r="O153"/>
    </row>
    <row r="154" spans="2:15" s="549" customFormat="1">
      <c r="B154" s="688"/>
      <c r="C154" s="689" t="s">
        <v>1922</v>
      </c>
      <c r="D154" s="659" t="s">
        <v>1236</v>
      </c>
      <c r="E154" s="659" t="s">
        <v>1237</v>
      </c>
      <c r="F154" s="689" t="s">
        <v>1201</v>
      </c>
      <c r="G154"/>
      <c r="H154"/>
      <c r="I154"/>
      <c r="J154"/>
      <c r="K154"/>
      <c r="L154"/>
      <c r="M154"/>
      <c r="N154"/>
      <c r="O154"/>
    </row>
    <row r="155" spans="2:15">
      <c r="B155" s="688"/>
      <c r="C155" s="689" t="s">
        <v>1922</v>
      </c>
      <c r="D155" s="659" t="s">
        <v>1238</v>
      </c>
      <c r="E155" s="659" t="s">
        <v>1239</v>
      </c>
      <c r="F155" s="689" t="s">
        <v>1201</v>
      </c>
    </row>
    <row r="156" spans="2:15">
      <c r="B156" s="688"/>
      <c r="C156" s="689" t="s">
        <v>1922</v>
      </c>
      <c r="D156" s="659" t="s">
        <v>1240</v>
      </c>
      <c r="E156" s="659" t="s">
        <v>1241</v>
      </c>
      <c r="F156" s="689" t="s">
        <v>1201</v>
      </c>
    </row>
    <row r="157" spans="2:15">
      <c r="B157" s="688"/>
      <c r="C157" s="689" t="s">
        <v>1922</v>
      </c>
      <c r="D157" s="659" t="s">
        <v>1242</v>
      </c>
      <c r="E157" s="659" t="s">
        <v>1243</v>
      </c>
      <c r="F157" s="689" t="s">
        <v>1201</v>
      </c>
    </row>
    <row r="158" spans="2:15">
      <c r="B158" s="688"/>
      <c r="C158" s="689" t="s">
        <v>1922</v>
      </c>
      <c r="D158" s="659" t="s">
        <v>1244</v>
      </c>
      <c r="E158" s="659" t="s">
        <v>1245</v>
      </c>
      <c r="F158" s="689" t="s">
        <v>1201</v>
      </c>
    </row>
    <row r="159" spans="2:15">
      <c r="B159" s="1161"/>
      <c r="C159" s="1161" t="s">
        <v>1922</v>
      </c>
      <c r="D159" s="1161" t="s">
        <v>1246</v>
      </c>
      <c r="E159" s="1161" t="s">
        <v>1247</v>
      </c>
      <c r="F159" s="689" t="s">
        <v>1201</v>
      </c>
    </row>
    <row r="160" spans="2:15">
      <c r="B160" s="1161"/>
      <c r="C160" s="1161" t="s">
        <v>1922</v>
      </c>
      <c r="D160" s="659" t="s">
        <v>1248</v>
      </c>
      <c r="E160" s="1161" t="s">
        <v>1249</v>
      </c>
      <c r="F160" s="689" t="s">
        <v>1201</v>
      </c>
    </row>
    <row r="161" spans="2:6">
      <c r="B161" s="1161"/>
      <c r="C161" s="1161" t="s">
        <v>1922</v>
      </c>
      <c r="D161" s="1161" t="s">
        <v>1250</v>
      </c>
      <c r="E161" s="1161" t="s">
        <v>1251</v>
      </c>
      <c r="F161" s="689" t="s">
        <v>1201</v>
      </c>
    </row>
    <row r="162" spans="2:6">
      <c r="B162" s="1161"/>
      <c r="C162" s="1161" t="s">
        <v>1922</v>
      </c>
      <c r="D162" s="659" t="s">
        <v>1252</v>
      </c>
      <c r="E162" s="1161" t="s">
        <v>1253</v>
      </c>
      <c r="F162" s="689" t="s">
        <v>1201</v>
      </c>
    </row>
    <row r="163" spans="2:6">
      <c r="B163" s="1161"/>
      <c r="C163" s="1161" t="s">
        <v>1922</v>
      </c>
      <c r="D163" s="1161" t="s">
        <v>1254</v>
      </c>
      <c r="E163" s="1161" t="s">
        <v>1255</v>
      </c>
      <c r="F163" s="689" t="s">
        <v>1201</v>
      </c>
    </row>
    <row r="164" spans="2:6">
      <c r="B164" s="1161"/>
      <c r="C164" s="1161" t="s">
        <v>1922</v>
      </c>
      <c r="D164" s="1161" t="s">
        <v>1256</v>
      </c>
      <c r="E164" s="1161" t="s">
        <v>1257</v>
      </c>
      <c r="F164" s="1161" t="s">
        <v>1201</v>
      </c>
    </row>
    <row r="165" spans="2:6">
      <c r="B165" s="1161"/>
      <c r="C165" s="1161" t="s">
        <v>1922</v>
      </c>
      <c r="D165" s="1161" t="s">
        <v>1258</v>
      </c>
      <c r="E165" s="1161" t="s">
        <v>1259</v>
      </c>
      <c r="F165" s="1161" t="s">
        <v>819</v>
      </c>
    </row>
    <row r="166" spans="2:6">
      <c r="B166" s="1161"/>
      <c r="C166" s="1161" t="s">
        <v>1922</v>
      </c>
      <c r="D166" s="1161" t="s">
        <v>1260</v>
      </c>
      <c r="E166" s="1161" t="s">
        <v>1261</v>
      </c>
      <c r="F166" s="1161" t="s">
        <v>819</v>
      </c>
    </row>
    <row r="167" spans="2:6">
      <c r="B167" s="1161"/>
      <c r="C167" s="1161" t="s">
        <v>1922</v>
      </c>
      <c r="D167" s="1161" t="s">
        <v>1262</v>
      </c>
      <c r="E167" s="1161" t="s">
        <v>1263</v>
      </c>
      <c r="F167" s="1161" t="s">
        <v>819</v>
      </c>
    </row>
    <row r="168" spans="2:6">
      <c r="B168" s="1161"/>
      <c r="C168" s="1161" t="s">
        <v>1922</v>
      </c>
      <c r="D168" s="1161" t="s">
        <v>1264</v>
      </c>
      <c r="E168" s="1161" t="s">
        <v>1265</v>
      </c>
      <c r="F168" s="1161" t="s">
        <v>819</v>
      </c>
    </row>
    <row r="169" spans="2:6">
      <c r="B169" s="1161"/>
      <c r="C169" s="1161" t="s">
        <v>1922</v>
      </c>
      <c r="D169" s="1161" t="s">
        <v>1266</v>
      </c>
      <c r="E169" s="1161" t="s">
        <v>1267</v>
      </c>
      <c r="F169" s="1161" t="s">
        <v>819</v>
      </c>
    </row>
    <row r="170" spans="2:6">
      <c r="B170" s="1161"/>
      <c r="C170" s="1161" t="s">
        <v>1922</v>
      </c>
      <c r="D170" s="1161" t="s">
        <v>1268</v>
      </c>
      <c r="E170" s="1161" t="s">
        <v>1269</v>
      </c>
      <c r="F170" s="1161" t="s">
        <v>819</v>
      </c>
    </row>
    <row r="171" spans="2:6">
      <c r="C171" t="s">
        <v>1922</v>
      </c>
      <c r="D171" t="s">
        <v>1348</v>
      </c>
      <c r="E171" t="s">
        <v>1349</v>
      </c>
      <c r="F171" t="s">
        <v>44</v>
      </c>
    </row>
  </sheetData>
  <phoneticPr fontId="42"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3:V155"/>
  <sheetViews>
    <sheetView tabSelected="1" topLeftCell="A5" zoomScale="110" zoomScaleNormal="110" workbookViewId="0">
      <selection activeCell="C6" sqref="C6:C143"/>
    </sheetView>
  </sheetViews>
  <sheetFormatPr defaultRowHeight="12.75"/>
  <cols>
    <col min="1" max="1" width="2.42578125" customWidth="1"/>
    <col min="2" max="2" width="11.85546875" bestFit="1" customWidth="1"/>
    <col min="3" max="3" width="9.85546875" bestFit="1" customWidth="1"/>
    <col min="4" max="4" width="15.5703125" customWidth="1"/>
    <col min="5" max="5" width="69.85546875" bestFit="1" customWidth="1"/>
    <col min="6" max="6" width="10.28515625" bestFit="1" customWidth="1"/>
    <col min="7" max="7" width="10" bestFit="1" customWidth="1"/>
    <col min="8" max="8" width="12.85546875" customWidth="1"/>
    <col min="9" max="9" width="14" customWidth="1"/>
    <col min="16" max="16" width="12.7109375" bestFit="1" customWidth="1"/>
    <col min="17" max="17" width="29.140625" bestFit="1" customWidth="1"/>
  </cols>
  <sheetData>
    <row r="3" spans="1:22">
      <c r="B3" s="32" t="s">
        <v>18</v>
      </c>
      <c r="C3" s="32"/>
      <c r="D3" s="33"/>
      <c r="E3" s="33"/>
      <c r="F3" s="33"/>
      <c r="G3" s="33"/>
      <c r="H3" s="33"/>
      <c r="I3" s="33"/>
      <c r="J3" s="33"/>
      <c r="N3" s="32" t="s">
        <v>18</v>
      </c>
      <c r="O3" s="32"/>
      <c r="P3" s="581"/>
      <c r="Q3" s="581"/>
      <c r="R3" s="581"/>
      <c r="S3" s="581"/>
      <c r="T3" s="581"/>
      <c r="U3" s="581"/>
      <c r="V3" s="581"/>
    </row>
    <row r="4" spans="1:22" ht="25.5">
      <c r="B4" s="34" t="s">
        <v>19</v>
      </c>
      <c r="C4" s="34" t="s">
        <v>1</v>
      </c>
      <c r="D4" s="34" t="s">
        <v>2</v>
      </c>
      <c r="E4" s="34" t="s">
        <v>3</v>
      </c>
      <c r="F4" s="34" t="s">
        <v>20</v>
      </c>
      <c r="G4" s="34" t="s">
        <v>21</v>
      </c>
      <c r="H4" s="34" t="s">
        <v>22</v>
      </c>
      <c r="I4" s="34" t="s">
        <v>23</v>
      </c>
      <c r="J4" s="34" t="s">
        <v>24</v>
      </c>
      <c r="N4" s="1280" t="s">
        <v>19</v>
      </c>
      <c r="O4" s="1280" t="s">
        <v>1</v>
      </c>
      <c r="P4" s="1280" t="s">
        <v>2</v>
      </c>
      <c r="Q4" s="1280" t="s">
        <v>3</v>
      </c>
      <c r="R4" s="1280" t="s">
        <v>20</v>
      </c>
      <c r="S4" s="1280" t="s">
        <v>21</v>
      </c>
      <c r="T4" s="1280" t="s">
        <v>22</v>
      </c>
      <c r="U4" s="1280" t="s">
        <v>23</v>
      </c>
      <c r="V4" s="1280" t="s">
        <v>24</v>
      </c>
    </row>
    <row r="5" spans="1:22" ht="45.75" thickBot="1">
      <c r="B5" s="35" t="s">
        <v>28</v>
      </c>
      <c r="C5" s="35" t="s">
        <v>29</v>
      </c>
      <c r="D5" s="35" t="s">
        <v>30</v>
      </c>
      <c r="E5" s="35" t="s">
        <v>31</v>
      </c>
      <c r="F5" s="35" t="s">
        <v>32</v>
      </c>
      <c r="G5" s="35" t="s">
        <v>33</v>
      </c>
      <c r="H5" s="35" t="s">
        <v>34</v>
      </c>
      <c r="I5" s="35" t="s">
        <v>35</v>
      </c>
      <c r="J5" s="35" t="s">
        <v>36</v>
      </c>
      <c r="N5" s="35" t="s">
        <v>28</v>
      </c>
      <c r="O5" s="35" t="s">
        <v>29</v>
      </c>
      <c r="P5" s="35" t="s">
        <v>30</v>
      </c>
      <c r="Q5" s="35" t="s">
        <v>31</v>
      </c>
      <c r="R5" s="35" t="s">
        <v>32</v>
      </c>
      <c r="S5" s="35" t="s">
        <v>33</v>
      </c>
      <c r="T5" s="35" t="s">
        <v>34</v>
      </c>
      <c r="U5" s="35" t="s">
        <v>35</v>
      </c>
      <c r="V5" s="35" t="s">
        <v>36</v>
      </c>
    </row>
    <row r="6" spans="1:22" s="7" customFormat="1">
      <c r="A6" s="3"/>
      <c r="B6" s="43" t="s">
        <v>25</v>
      </c>
      <c r="C6" s="44" t="s">
        <v>1922</v>
      </c>
      <c r="D6" s="37" t="s">
        <v>1270</v>
      </c>
      <c r="E6" s="45" t="s">
        <v>576</v>
      </c>
      <c r="F6" s="43" t="s">
        <v>72</v>
      </c>
      <c r="G6" s="37" t="s">
        <v>148</v>
      </c>
      <c r="H6" s="43"/>
      <c r="I6" s="46"/>
      <c r="J6" s="43"/>
      <c r="K6" s="3"/>
      <c r="N6" s="681" t="s">
        <v>49</v>
      </c>
      <c r="O6" s="681"/>
      <c r="P6" s="681" t="s">
        <v>1289</v>
      </c>
      <c r="Q6" s="681" t="s">
        <v>1290</v>
      </c>
      <c r="R6" s="681" t="s">
        <v>1201</v>
      </c>
      <c r="S6" s="681" t="s">
        <v>1291</v>
      </c>
      <c r="T6" s="681"/>
      <c r="U6" s="681"/>
      <c r="V6" s="681"/>
    </row>
    <row r="7" spans="1:22" s="7" customFormat="1">
      <c r="A7" s="3"/>
      <c r="B7" s="443"/>
      <c r="C7" s="44" t="s">
        <v>1922</v>
      </c>
      <c r="D7" s="37" t="s">
        <v>1271</v>
      </c>
      <c r="E7" s="45" t="s">
        <v>577</v>
      </c>
      <c r="F7" s="43" t="s">
        <v>72</v>
      </c>
      <c r="G7" s="37" t="s">
        <v>148</v>
      </c>
      <c r="H7" s="43"/>
      <c r="I7" s="46"/>
      <c r="J7" s="43"/>
      <c r="K7" s="3"/>
      <c r="N7" s="681"/>
      <c r="O7" s="681"/>
      <c r="P7" s="681" t="s">
        <v>1292</v>
      </c>
      <c r="Q7" s="681" t="s">
        <v>1293</v>
      </c>
      <c r="R7" s="681" t="s">
        <v>1201</v>
      </c>
      <c r="S7" s="681" t="s">
        <v>1291</v>
      </c>
      <c r="T7" s="681"/>
      <c r="U7" s="681"/>
      <c r="V7" s="681"/>
    </row>
    <row r="8" spans="1:22" s="7" customFormat="1">
      <c r="A8" s="3"/>
      <c r="B8" s="443"/>
      <c r="C8" s="44" t="s">
        <v>1922</v>
      </c>
      <c r="D8" s="37" t="s">
        <v>1272</v>
      </c>
      <c r="E8" s="45" t="s">
        <v>578</v>
      </c>
      <c r="F8" s="43" t="s">
        <v>72</v>
      </c>
      <c r="G8" s="37" t="s">
        <v>148</v>
      </c>
      <c r="H8" s="43"/>
      <c r="I8" s="46"/>
      <c r="J8" s="43"/>
      <c r="K8" s="3"/>
      <c r="N8" s="681"/>
      <c r="O8" s="681"/>
      <c r="P8" s="681" t="s">
        <v>1294</v>
      </c>
      <c r="Q8" s="681" t="s">
        <v>1295</v>
      </c>
      <c r="R8" s="681" t="s">
        <v>1201</v>
      </c>
      <c r="S8" s="681" t="s">
        <v>1291</v>
      </c>
      <c r="T8" s="681"/>
      <c r="U8" s="681"/>
      <c r="V8" s="681"/>
    </row>
    <row r="9" spans="1:22" s="7" customFormat="1">
      <c r="A9" s="3"/>
      <c r="B9" s="443"/>
      <c r="C9" s="44" t="s">
        <v>1922</v>
      </c>
      <c r="D9" s="37" t="s">
        <v>1273</v>
      </c>
      <c r="E9" s="45" t="s">
        <v>579</v>
      </c>
      <c r="F9" s="43" t="s">
        <v>72</v>
      </c>
      <c r="G9" s="37" t="s">
        <v>148</v>
      </c>
      <c r="H9" s="43"/>
      <c r="I9" s="46"/>
      <c r="J9" s="43"/>
      <c r="K9" s="3"/>
      <c r="N9" s="681"/>
      <c r="O9" s="681"/>
      <c r="P9" s="681" t="s">
        <v>1296</v>
      </c>
      <c r="Q9" s="681" t="s">
        <v>1297</v>
      </c>
      <c r="R9" s="681" t="s">
        <v>1201</v>
      </c>
      <c r="S9" s="681" t="s">
        <v>1291</v>
      </c>
      <c r="T9" s="681"/>
      <c r="U9" s="681"/>
      <c r="V9" s="681"/>
    </row>
    <row r="10" spans="1:22" s="7" customFormat="1">
      <c r="A10" s="3"/>
      <c r="B10" s="443"/>
      <c r="C10" s="44" t="s">
        <v>1922</v>
      </c>
      <c r="D10" s="37" t="s">
        <v>1274</v>
      </c>
      <c r="E10" s="1178" t="s">
        <v>773</v>
      </c>
      <c r="F10" s="689" t="s">
        <v>72</v>
      </c>
      <c r="G10" s="37" t="s">
        <v>148</v>
      </c>
      <c r="H10" s="689"/>
      <c r="I10" s="47"/>
      <c r="J10" s="43"/>
      <c r="K10" s="3"/>
      <c r="N10" s="681"/>
      <c r="O10" s="681"/>
      <c r="P10" s="681" t="s">
        <v>1298</v>
      </c>
      <c r="Q10" s="681" t="s">
        <v>1299</v>
      </c>
      <c r="R10" s="681" t="s">
        <v>1201</v>
      </c>
      <c r="S10" s="681" t="s">
        <v>1291</v>
      </c>
      <c r="T10" s="681"/>
      <c r="U10" s="681"/>
      <c r="V10" s="681"/>
    </row>
    <row r="11" spans="1:22" s="678" customFormat="1">
      <c r="B11" s="681"/>
      <c r="C11" s="689" t="s">
        <v>1922</v>
      </c>
      <c r="D11" s="37" t="s">
        <v>1275</v>
      </c>
      <c r="E11" s="681" t="s">
        <v>840</v>
      </c>
      <c r="F11" s="689" t="s">
        <v>72</v>
      </c>
      <c r="G11" s="689" t="s">
        <v>148</v>
      </c>
      <c r="H11" s="689"/>
      <c r="I11" s="690"/>
      <c r="J11" s="688"/>
      <c r="N11" s="1161"/>
      <c r="O11" s="1161"/>
      <c r="P11" s="1161" t="s">
        <v>1300</v>
      </c>
      <c r="Q11" s="1161" t="s">
        <v>1301</v>
      </c>
      <c r="R11" s="1161" t="s">
        <v>1201</v>
      </c>
      <c r="S11" s="1161" t="s">
        <v>1291</v>
      </c>
      <c r="T11" s="1161"/>
      <c r="U11" s="1161"/>
      <c r="V11" s="1161"/>
    </row>
    <row r="12" spans="1:22" s="678" customFormat="1">
      <c r="B12" s="681"/>
      <c r="C12" s="659" t="s">
        <v>1922</v>
      </c>
      <c r="D12" s="678" t="s">
        <v>1276</v>
      </c>
      <c r="E12" s="681" t="s">
        <v>831</v>
      </c>
      <c r="F12" s="689" t="s">
        <v>72</v>
      </c>
      <c r="G12" s="689" t="s">
        <v>148</v>
      </c>
      <c r="H12" s="689"/>
      <c r="I12" s="690"/>
      <c r="J12" s="688"/>
      <c r="N12" s="1161"/>
      <c r="O12" s="1161"/>
      <c r="P12" s="1161" t="s">
        <v>1302</v>
      </c>
      <c r="Q12" s="1161" t="s">
        <v>1303</v>
      </c>
      <c r="R12" s="1161" t="s">
        <v>1201</v>
      </c>
      <c r="S12" s="1161" t="s">
        <v>1291</v>
      </c>
      <c r="T12" s="1161"/>
      <c r="U12" s="1161"/>
      <c r="V12" s="1161"/>
    </row>
    <row r="13" spans="1:22" s="678" customFormat="1">
      <c r="B13" s="679"/>
      <c r="C13" s="714" t="s">
        <v>1922</v>
      </c>
      <c r="D13" s="689" t="s">
        <v>1277</v>
      </c>
      <c r="E13" s="679" t="s">
        <v>832</v>
      </c>
      <c r="F13" s="689" t="s">
        <v>72</v>
      </c>
      <c r="G13" s="689" t="s">
        <v>148</v>
      </c>
      <c r="H13" s="689"/>
      <c r="I13" s="690"/>
      <c r="J13" s="688"/>
      <c r="K13" s="714"/>
      <c r="N13" s="1161"/>
      <c r="O13" s="1161"/>
      <c r="P13" s="1161" t="s">
        <v>1304</v>
      </c>
      <c r="Q13" s="1161" t="s">
        <v>1305</v>
      </c>
      <c r="R13" s="1161" t="s">
        <v>1201</v>
      </c>
      <c r="S13" s="1161" t="s">
        <v>1291</v>
      </c>
      <c r="T13" s="1161"/>
      <c r="U13" s="1161"/>
      <c r="V13" s="1161"/>
    </row>
    <row r="14" spans="1:22" s="678" customFormat="1">
      <c r="B14" s="679"/>
      <c r="C14" s="714" t="s">
        <v>1922</v>
      </c>
      <c r="D14" s="689" t="s">
        <v>1278</v>
      </c>
      <c r="E14" s="679" t="s">
        <v>833</v>
      </c>
      <c r="F14" s="689" t="s">
        <v>72</v>
      </c>
      <c r="G14" s="689" t="s">
        <v>148</v>
      </c>
      <c r="H14" s="689"/>
      <c r="I14" s="690"/>
      <c r="J14" s="688"/>
      <c r="K14" s="714"/>
      <c r="N14" s="22"/>
      <c r="O14" s="22"/>
      <c r="P14" s="22" t="s">
        <v>1306</v>
      </c>
      <c r="Q14" s="22" t="s">
        <v>1307</v>
      </c>
      <c r="R14" s="22" t="s">
        <v>1201</v>
      </c>
      <c r="S14" s="22" t="s">
        <v>1291</v>
      </c>
      <c r="T14" s="1161"/>
      <c r="U14" s="1161"/>
      <c r="V14" s="1161"/>
    </row>
    <row r="15" spans="1:22" s="657" customFormat="1">
      <c r="B15" s="679"/>
      <c r="C15" s="689" t="s">
        <v>1922</v>
      </c>
      <c r="D15" s="37" t="s">
        <v>1279</v>
      </c>
      <c r="E15" s="659" t="s">
        <v>796</v>
      </c>
      <c r="F15" s="689" t="s">
        <v>72</v>
      </c>
      <c r="G15" s="689" t="s">
        <v>148</v>
      </c>
      <c r="H15" s="689"/>
      <c r="I15" s="690"/>
      <c r="J15" s="688"/>
      <c r="K15" s="714"/>
      <c r="N15" s="1161" t="s">
        <v>1308</v>
      </c>
      <c r="O15" s="1161"/>
      <c r="P15" s="1161" t="s">
        <v>1309</v>
      </c>
      <c r="Q15" s="1161" t="s">
        <v>1310</v>
      </c>
      <c r="R15" s="1161" t="s">
        <v>1201</v>
      </c>
      <c r="S15" s="1161"/>
      <c r="T15" s="1161"/>
      <c r="U15" s="1161"/>
      <c r="V15" s="1161"/>
    </row>
    <row r="16" spans="1:22" s="657" customFormat="1">
      <c r="B16" s="679"/>
      <c r="C16" s="689" t="s">
        <v>1922</v>
      </c>
      <c r="D16" s="37" t="s">
        <v>1280</v>
      </c>
      <c r="E16" s="659" t="s">
        <v>797</v>
      </c>
      <c r="F16" s="689" t="s">
        <v>72</v>
      </c>
      <c r="G16" s="689" t="s">
        <v>148</v>
      </c>
      <c r="H16" s="689"/>
      <c r="I16" s="690"/>
      <c r="J16" s="688"/>
      <c r="K16" s="714"/>
      <c r="N16" s="22"/>
      <c r="O16" s="22"/>
      <c r="P16" s="22" t="s">
        <v>1311</v>
      </c>
      <c r="Q16" s="22" t="s">
        <v>1312</v>
      </c>
      <c r="R16" s="22" t="s">
        <v>819</v>
      </c>
      <c r="S16" s="22"/>
      <c r="T16" s="1161"/>
      <c r="U16" s="1161"/>
      <c r="V16" s="1161"/>
    </row>
    <row r="17" spans="2:22" s="580" customFormat="1">
      <c r="B17" s="714"/>
      <c r="C17" s="689" t="s">
        <v>1922</v>
      </c>
      <c r="D17" s="37" t="s">
        <v>1281</v>
      </c>
      <c r="E17" s="37" t="s">
        <v>762</v>
      </c>
      <c r="F17" s="689" t="s">
        <v>72</v>
      </c>
      <c r="G17" s="689" t="s">
        <v>148</v>
      </c>
      <c r="H17" s="689"/>
      <c r="I17" s="690"/>
      <c r="J17" s="688"/>
      <c r="K17" s="714"/>
      <c r="L17"/>
      <c r="M17"/>
      <c r="N17" s="1161" t="s">
        <v>49</v>
      </c>
      <c r="O17" s="1161"/>
      <c r="P17" s="1161" t="s">
        <v>1313</v>
      </c>
      <c r="Q17" s="1161" t="s">
        <v>1314</v>
      </c>
      <c r="R17" s="1161" t="s">
        <v>819</v>
      </c>
      <c r="S17" s="1161" t="s">
        <v>1315</v>
      </c>
      <c r="T17" s="1161"/>
      <c r="U17" s="1161"/>
      <c r="V17" s="1161"/>
    </row>
    <row r="18" spans="2:22" s="580" customFormat="1">
      <c r="B18" s="688"/>
      <c r="C18" s="689" t="s">
        <v>1922</v>
      </c>
      <c r="D18" s="37" t="s">
        <v>1282</v>
      </c>
      <c r="E18" s="37" t="s">
        <v>763</v>
      </c>
      <c r="F18" s="689" t="s">
        <v>72</v>
      </c>
      <c r="G18" s="37" t="s">
        <v>148</v>
      </c>
      <c r="H18" s="689"/>
      <c r="I18" s="690"/>
      <c r="J18" s="688"/>
      <c r="K18" s="714"/>
      <c r="L18"/>
      <c r="M18"/>
      <c r="N18" s="1161"/>
      <c r="O18" s="1161"/>
      <c r="P18" s="1161" t="s">
        <v>1316</v>
      </c>
      <c r="Q18" s="1161" t="s">
        <v>1317</v>
      </c>
      <c r="R18" s="1161" t="s">
        <v>819</v>
      </c>
      <c r="S18" s="1161" t="s">
        <v>1315</v>
      </c>
      <c r="T18" s="1161"/>
      <c r="U18" s="1161"/>
      <c r="V18" s="1161"/>
    </row>
    <row r="19" spans="2:22" s="580" customFormat="1">
      <c r="B19" s="37"/>
      <c r="C19" s="714" t="s">
        <v>1922</v>
      </c>
      <c r="D19" s="659" t="s">
        <v>1716</v>
      </c>
      <c r="E19" s="1175" t="s">
        <v>1641</v>
      </c>
      <c r="F19" s="689" t="s">
        <v>72</v>
      </c>
      <c r="G19" s="37" t="s">
        <v>148</v>
      </c>
      <c r="H19" s="689"/>
      <c r="I19" s="690"/>
      <c r="J19" s="688"/>
      <c r="K19" s="714"/>
      <c r="L19"/>
      <c r="M19"/>
      <c r="N19" s="1161"/>
      <c r="O19" s="1161"/>
      <c r="P19" s="1161" t="s">
        <v>1318</v>
      </c>
      <c r="Q19" s="1161" t="s">
        <v>1319</v>
      </c>
      <c r="R19" s="1161" t="s">
        <v>819</v>
      </c>
      <c r="S19" s="1161" t="s">
        <v>1315</v>
      </c>
      <c r="T19" s="1161"/>
      <c r="U19" s="1161"/>
      <c r="V19" s="1161"/>
    </row>
    <row r="20" spans="2:22" s="1161" customFormat="1">
      <c r="B20" s="37"/>
      <c r="C20" s="714" t="s">
        <v>1922</v>
      </c>
      <c r="D20" s="659" t="s">
        <v>1717</v>
      </c>
      <c r="E20" s="659" t="s">
        <v>1642</v>
      </c>
      <c r="F20" s="689" t="s">
        <v>72</v>
      </c>
      <c r="G20" s="37" t="s">
        <v>148</v>
      </c>
      <c r="H20" s="689"/>
      <c r="I20" s="690"/>
      <c r="J20" s="688"/>
      <c r="K20" s="714"/>
      <c r="P20" s="1161" t="s">
        <v>1320</v>
      </c>
      <c r="Q20" s="1161" t="s">
        <v>1321</v>
      </c>
      <c r="R20" s="1161" t="s">
        <v>819</v>
      </c>
      <c r="S20" s="1161" t="s">
        <v>1315</v>
      </c>
    </row>
    <row r="21" spans="2:22" s="1161" customFormat="1">
      <c r="B21" s="37"/>
      <c r="C21" s="714" t="s">
        <v>1922</v>
      </c>
      <c r="D21" s="659" t="s">
        <v>1718</v>
      </c>
      <c r="E21" s="659" t="s">
        <v>1643</v>
      </c>
      <c r="F21" s="689" t="s">
        <v>72</v>
      </c>
      <c r="G21" s="37" t="s">
        <v>148</v>
      </c>
      <c r="H21" s="689"/>
      <c r="I21" s="690"/>
      <c r="J21" s="688"/>
      <c r="K21" s="714"/>
      <c r="P21" s="1161" t="s">
        <v>1322</v>
      </c>
      <c r="Q21" s="1161" t="s">
        <v>1323</v>
      </c>
      <c r="R21" s="1161" t="s">
        <v>819</v>
      </c>
      <c r="S21" s="1161" t="s">
        <v>1315</v>
      </c>
    </row>
    <row r="22" spans="2:22" s="1161" customFormat="1">
      <c r="B22" s="37"/>
      <c r="C22" s="714" t="s">
        <v>1922</v>
      </c>
      <c r="D22" s="659" t="s">
        <v>1719</v>
      </c>
      <c r="E22" s="659" t="s">
        <v>1644</v>
      </c>
      <c r="F22" s="689" t="s">
        <v>72</v>
      </c>
      <c r="G22" s="37" t="s">
        <v>148</v>
      </c>
      <c r="H22" s="689"/>
      <c r="I22" s="690"/>
      <c r="J22" s="688"/>
      <c r="K22" s="714"/>
      <c r="P22" s="1161" t="s">
        <v>1324</v>
      </c>
      <c r="Q22" s="1161" t="s">
        <v>1325</v>
      </c>
      <c r="R22" s="1161" t="s">
        <v>819</v>
      </c>
      <c r="S22" s="1161" t="s">
        <v>1315</v>
      </c>
    </row>
    <row r="23" spans="2:22">
      <c r="B23" s="37"/>
      <c r="C23" s="689" t="s">
        <v>1922</v>
      </c>
      <c r="D23" s="679" t="str">
        <f>Navi!C65</f>
        <v>TPSIFOICI1E</v>
      </c>
      <c r="E23" s="1181" t="s">
        <v>242</v>
      </c>
      <c r="F23" s="689" t="s">
        <v>72</v>
      </c>
      <c r="G23" s="37" t="s">
        <v>148</v>
      </c>
      <c r="H23" s="689"/>
      <c r="I23" s="690"/>
      <c r="J23" s="688"/>
      <c r="K23" s="714"/>
      <c r="N23" s="1161"/>
      <c r="O23" s="1161"/>
      <c r="P23" s="659" t="s">
        <v>1326</v>
      </c>
      <c r="Q23" s="1161" t="s">
        <v>1327</v>
      </c>
      <c r="R23" s="1161" t="s">
        <v>819</v>
      </c>
      <c r="S23" s="1161" t="s">
        <v>1315</v>
      </c>
      <c r="T23" s="1161"/>
      <c r="U23" s="1161"/>
      <c r="V23" s="1161"/>
    </row>
    <row r="24" spans="2:22">
      <c r="B24" s="688"/>
      <c r="C24" s="689" t="s">
        <v>1922</v>
      </c>
      <c r="D24" s="682" t="s">
        <v>1887</v>
      </c>
      <c r="E24" s="1177" t="s">
        <v>580</v>
      </c>
      <c r="F24" s="689" t="s">
        <v>72</v>
      </c>
      <c r="G24" s="37" t="s">
        <v>148</v>
      </c>
      <c r="H24" s="689"/>
      <c r="I24" s="682"/>
      <c r="J24" s="688"/>
      <c r="K24" s="714"/>
      <c r="N24" s="1161"/>
      <c r="O24" s="1161"/>
      <c r="P24" s="1161" t="s">
        <v>1328</v>
      </c>
      <c r="Q24" s="1161" t="s">
        <v>1329</v>
      </c>
      <c r="R24" s="1161" t="s">
        <v>819</v>
      </c>
      <c r="S24" s="1161" t="s">
        <v>1315</v>
      </c>
      <c r="T24" s="1161"/>
      <c r="U24" s="1161"/>
      <c r="V24" s="1161"/>
    </row>
    <row r="25" spans="2:22" s="580" customFormat="1">
      <c r="B25" s="688"/>
      <c r="C25" s="689" t="s">
        <v>1922</v>
      </c>
      <c r="D25" s="689" t="s">
        <v>1283</v>
      </c>
      <c r="E25" s="1177" t="s">
        <v>702</v>
      </c>
      <c r="F25" s="689" t="s">
        <v>72</v>
      </c>
      <c r="G25" s="37" t="s">
        <v>148</v>
      </c>
      <c r="H25" s="689"/>
      <c r="J25" s="688"/>
      <c r="K25" s="714"/>
      <c r="L25"/>
      <c r="M25"/>
      <c r="N25" s="1161"/>
      <c r="O25" s="1161"/>
      <c r="P25" s="1161" t="s">
        <v>1330</v>
      </c>
      <c r="Q25" s="1161" t="s">
        <v>1331</v>
      </c>
      <c r="R25" s="1161" t="s">
        <v>819</v>
      </c>
      <c r="S25" s="1161" t="s">
        <v>1315</v>
      </c>
      <c r="T25" s="1161"/>
      <c r="U25" s="1161"/>
      <c r="V25" s="1161"/>
    </row>
    <row r="26" spans="2:22" s="1161" customFormat="1">
      <c r="B26" s="688"/>
      <c r="C26" s="689" t="s">
        <v>1922</v>
      </c>
      <c r="D26" s="682" t="s">
        <v>1888</v>
      </c>
      <c r="E26" s="1177" t="s">
        <v>1890</v>
      </c>
      <c r="F26" s="689" t="s">
        <v>72</v>
      </c>
      <c r="G26" s="37" t="s">
        <v>148</v>
      </c>
      <c r="H26" s="689"/>
      <c r="I26" s="682"/>
      <c r="J26" s="688"/>
      <c r="K26" s="714"/>
    </row>
    <row r="27" spans="2:22">
      <c r="B27" s="688"/>
      <c r="C27" s="689" t="s">
        <v>1922</v>
      </c>
      <c r="D27" s="682" t="s">
        <v>1889</v>
      </c>
      <c r="E27" s="1181" t="s">
        <v>1891</v>
      </c>
      <c r="F27" s="689" t="s">
        <v>72</v>
      </c>
      <c r="G27" s="37" t="s">
        <v>148</v>
      </c>
      <c r="H27" s="689"/>
      <c r="I27" s="682"/>
      <c r="J27" s="688"/>
      <c r="K27" s="714"/>
      <c r="N27" s="1161"/>
      <c r="O27" s="1161"/>
      <c r="P27" s="1161" t="s">
        <v>1332</v>
      </c>
      <c r="Q27" s="1161" t="s">
        <v>1333</v>
      </c>
      <c r="R27" s="1161" t="s">
        <v>819</v>
      </c>
      <c r="S27" s="1161" t="s">
        <v>1315</v>
      </c>
      <c r="T27" s="1161"/>
      <c r="U27" s="1161"/>
      <c r="V27" s="1161"/>
    </row>
    <row r="28" spans="2:22" s="580" customFormat="1">
      <c r="B28" s="688"/>
      <c r="C28" s="689" t="s">
        <v>1922</v>
      </c>
      <c r="D28" s="659" t="s">
        <v>1284</v>
      </c>
      <c r="E28" s="1178" t="s">
        <v>755</v>
      </c>
      <c r="F28" s="689" t="s">
        <v>72</v>
      </c>
      <c r="G28" s="37" t="s">
        <v>148</v>
      </c>
      <c r="H28" s="689"/>
      <c r="I28" s="690"/>
      <c r="J28" s="688"/>
      <c r="K28" s="714"/>
      <c r="L28"/>
      <c r="M28"/>
      <c r="N28" s="1161"/>
      <c r="O28" s="1161"/>
      <c r="P28"/>
      <c r="Q28"/>
      <c r="R28"/>
      <c r="S28"/>
      <c r="T28" s="1161"/>
      <c r="U28" s="1161"/>
      <c r="V28" s="1161"/>
    </row>
    <row r="29" spans="2:22" s="580" customFormat="1">
      <c r="B29" s="688"/>
      <c r="C29" s="689" t="s">
        <v>1922</v>
      </c>
      <c r="D29" s="659" t="s">
        <v>1285</v>
      </c>
      <c r="E29" s="1178" t="s">
        <v>756</v>
      </c>
      <c r="F29" s="689" t="s">
        <v>72</v>
      </c>
      <c r="G29" s="689" t="s">
        <v>72</v>
      </c>
      <c r="H29" s="689"/>
      <c r="I29" s="690"/>
      <c r="J29" s="688"/>
      <c r="K29" s="714"/>
      <c r="L29"/>
      <c r="M29"/>
      <c r="N29" s="1161"/>
      <c r="O29" s="1161"/>
      <c r="T29" s="1161"/>
      <c r="U29" s="1161"/>
      <c r="V29" s="1161"/>
    </row>
    <row r="30" spans="2:22">
      <c r="B30" s="688"/>
      <c r="C30" s="689" t="s">
        <v>1922</v>
      </c>
      <c r="D30" s="1356" t="str">
        <f>Freight_Road_New!C6</f>
        <v>TFTDSB2E</v>
      </c>
      <c r="E30" s="1178" t="s">
        <v>1813</v>
      </c>
      <c r="F30" s="689" t="s">
        <v>73</v>
      </c>
      <c r="G30" s="37" t="s">
        <v>148</v>
      </c>
      <c r="H30" s="689"/>
      <c r="I30" s="690"/>
      <c r="J30" s="689"/>
      <c r="K30" s="714"/>
      <c r="N30" s="1161"/>
      <c r="O30" s="1161"/>
      <c r="T30" s="1161"/>
      <c r="U30" s="1161"/>
      <c r="V30" s="1161"/>
    </row>
    <row r="31" spans="2:22">
      <c r="B31" s="688"/>
      <c r="C31" s="689" t="s">
        <v>1922</v>
      </c>
      <c r="D31" s="1356" t="str">
        <f>Freight_Road_New!C9</f>
        <v>TFTDSB3E</v>
      </c>
      <c r="E31" s="1178" t="s">
        <v>1816</v>
      </c>
      <c r="F31" s="689" t="s">
        <v>73</v>
      </c>
      <c r="G31" s="37" t="s">
        <v>148</v>
      </c>
      <c r="H31" s="689"/>
      <c r="I31" s="690"/>
      <c r="J31" s="689"/>
      <c r="K31" s="714"/>
    </row>
    <row r="32" spans="2:22">
      <c r="B32" s="688"/>
      <c r="C32" s="689" t="s">
        <v>1922</v>
      </c>
      <c r="D32" s="1356" t="str">
        <f>Freight_Road_New!C18</f>
        <v>TFTIDSB2E</v>
      </c>
      <c r="E32" s="1178" t="s">
        <v>1841</v>
      </c>
      <c r="F32" s="689" t="s">
        <v>73</v>
      </c>
      <c r="G32" s="37" t="s">
        <v>148</v>
      </c>
      <c r="H32" s="689"/>
      <c r="I32" s="690"/>
      <c r="J32" s="688"/>
      <c r="K32" s="714"/>
    </row>
    <row r="33" spans="2:21">
      <c r="B33" s="688"/>
      <c r="C33" s="689" t="s">
        <v>1922</v>
      </c>
      <c r="D33" s="1356" t="str">
        <f>Freight_Road_New!C21</f>
        <v>TFTIDSB3E</v>
      </c>
      <c r="E33" s="1178" t="s">
        <v>1842</v>
      </c>
      <c r="F33" s="689" t="s">
        <v>73</v>
      </c>
      <c r="G33" s="37" t="s">
        <v>148</v>
      </c>
      <c r="H33" s="689"/>
      <c r="I33" s="690"/>
      <c r="J33" s="688"/>
      <c r="K33" s="714"/>
    </row>
    <row r="34" spans="2:21">
      <c r="B34" s="688"/>
      <c r="C34" s="689" t="s">
        <v>1922</v>
      </c>
      <c r="D34" s="1356" t="str">
        <f>Freight_Road_New!C34</f>
        <v>TFVDSBLE</v>
      </c>
      <c r="E34" s="1178" t="s">
        <v>1821</v>
      </c>
      <c r="F34" s="689" t="s">
        <v>73</v>
      </c>
      <c r="G34" s="37" t="s">
        <v>148</v>
      </c>
      <c r="H34" s="689"/>
      <c r="I34" s="690"/>
      <c r="J34" s="688"/>
      <c r="K34" s="714"/>
    </row>
    <row r="35" spans="2:21">
      <c r="B35" s="679"/>
      <c r="C35" s="1180" t="s">
        <v>1922</v>
      </c>
      <c r="D35" s="1356" t="str">
        <f>Freight_Road_New!C36</f>
        <v>TFVGSBLE</v>
      </c>
      <c r="E35" s="1178" t="s">
        <v>1822</v>
      </c>
      <c r="F35" s="689" t="s">
        <v>73</v>
      </c>
      <c r="G35" s="37" t="s">
        <v>148</v>
      </c>
      <c r="H35" s="689"/>
      <c r="I35" s="690"/>
      <c r="J35" s="688"/>
      <c r="K35" s="714"/>
    </row>
    <row r="36" spans="2:21" s="1161" customFormat="1">
      <c r="B36" s="679"/>
      <c r="C36" s="1180" t="s">
        <v>1922</v>
      </c>
      <c r="D36" s="1356" t="str">
        <f>Freight_Road_New!C38</f>
        <v>TFVLPGE</v>
      </c>
      <c r="E36" s="1178" t="s">
        <v>1823</v>
      </c>
      <c r="F36" s="689" t="s">
        <v>73</v>
      </c>
      <c r="G36" s="37" t="s">
        <v>148</v>
      </c>
      <c r="H36" s="689"/>
      <c r="I36" s="690"/>
      <c r="J36" s="688"/>
      <c r="K36" s="714"/>
    </row>
    <row r="37" spans="2:21" s="1161" customFormat="1">
      <c r="B37" s="679"/>
      <c r="C37" s="1180" t="s">
        <v>1922</v>
      </c>
      <c r="D37" s="1356" t="str">
        <f>Freight_Road_New!C40</f>
        <v>TFVELCEE</v>
      </c>
      <c r="E37" s="1178" t="s">
        <v>1824</v>
      </c>
      <c r="F37" s="689" t="s">
        <v>73</v>
      </c>
      <c r="G37" s="37" t="s">
        <v>148</v>
      </c>
      <c r="H37" s="689"/>
      <c r="I37" s="690"/>
      <c r="J37" s="688"/>
      <c r="K37" s="714"/>
    </row>
    <row r="38" spans="2:21" s="1161" customFormat="1">
      <c r="B38" s="679"/>
      <c r="C38" s="1180" t="s">
        <v>1922</v>
      </c>
      <c r="D38" s="689" t="s">
        <v>1286</v>
      </c>
      <c r="E38" s="1177" t="s">
        <v>581</v>
      </c>
      <c r="F38" s="689" t="s">
        <v>73</v>
      </c>
      <c r="G38" s="37" t="s">
        <v>148</v>
      </c>
      <c r="H38" s="689"/>
      <c r="I38" s="688"/>
      <c r="J38" s="688"/>
      <c r="K38" s="714"/>
    </row>
    <row r="39" spans="2:21" s="1161" customFormat="1">
      <c r="B39" s="679"/>
      <c r="C39" s="1180" t="s">
        <v>1922</v>
      </c>
      <c r="D39" s="689" t="s">
        <v>1287</v>
      </c>
      <c r="E39" s="1177" t="s">
        <v>582</v>
      </c>
      <c r="F39" s="689" t="s">
        <v>73</v>
      </c>
      <c r="G39" s="37" t="s">
        <v>148</v>
      </c>
      <c r="H39" s="689"/>
      <c r="I39" s="688"/>
      <c r="J39" s="688"/>
      <c r="K39" s="714"/>
    </row>
    <row r="40" spans="2:21" s="1161" customFormat="1">
      <c r="B40" s="679"/>
      <c r="C40" s="1180" t="s">
        <v>1922</v>
      </c>
      <c r="D40" s="659" t="s">
        <v>1701</v>
      </c>
      <c r="E40" s="659" t="s">
        <v>1698</v>
      </c>
      <c r="F40" s="689" t="s">
        <v>73</v>
      </c>
      <c r="G40" s="37" t="s">
        <v>148</v>
      </c>
      <c r="H40" s="689"/>
      <c r="I40" s="688"/>
      <c r="J40" s="688"/>
      <c r="K40" s="714"/>
    </row>
    <row r="41" spans="2:21" s="1161" customFormat="1">
      <c r="B41" s="679"/>
      <c r="C41" s="1180" t="s">
        <v>1922</v>
      </c>
      <c r="D41" s="659" t="s">
        <v>1702</v>
      </c>
      <c r="E41" s="659" t="s">
        <v>1699</v>
      </c>
      <c r="F41" s="689" t="s">
        <v>73</v>
      </c>
      <c r="G41" s="37" t="s">
        <v>148</v>
      </c>
      <c r="H41" s="689"/>
      <c r="I41" s="688"/>
      <c r="J41" s="688"/>
      <c r="K41" s="714"/>
    </row>
    <row r="42" spans="2:21" s="1161" customFormat="1">
      <c r="B42" s="679"/>
      <c r="C42" s="1180" t="s">
        <v>1922</v>
      </c>
      <c r="D42" s="659" t="s">
        <v>1703</v>
      </c>
      <c r="E42" s="659" t="s">
        <v>1700</v>
      </c>
      <c r="F42" s="689" t="s">
        <v>73</v>
      </c>
      <c r="G42" s="37" t="s">
        <v>148</v>
      </c>
      <c r="H42" s="689"/>
      <c r="I42" s="688"/>
      <c r="J42" s="688"/>
      <c r="K42" s="714"/>
    </row>
    <row r="43" spans="2:21" s="1161" customFormat="1">
      <c r="B43" s="679"/>
      <c r="C43" s="1180" t="s">
        <v>1922</v>
      </c>
      <c r="D43" s="659" t="s">
        <v>1704</v>
      </c>
      <c r="E43" s="659" t="s">
        <v>1695</v>
      </c>
      <c r="F43" s="689" t="s">
        <v>73</v>
      </c>
      <c r="G43" s="37" t="s">
        <v>148</v>
      </c>
      <c r="H43" s="689"/>
      <c r="I43" s="688"/>
      <c r="J43" s="688"/>
      <c r="K43" s="714"/>
    </row>
    <row r="44" spans="2:21" s="1161" customFormat="1">
      <c r="B44" s="679"/>
      <c r="C44" s="1180" t="s">
        <v>1922</v>
      </c>
      <c r="D44" s="659" t="s">
        <v>1705</v>
      </c>
      <c r="E44" s="659" t="s">
        <v>1696</v>
      </c>
      <c r="F44" s="689" t="s">
        <v>73</v>
      </c>
      <c r="G44" s="37" t="s">
        <v>148</v>
      </c>
      <c r="H44" s="689"/>
      <c r="I44" s="688"/>
      <c r="J44" s="688"/>
      <c r="K44" s="714"/>
    </row>
    <row r="45" spans="2:21" s="1161" customFormat="1">
      <c r="B45" s="679"/>
      <c r="C45" s="1180" t="s">
        <v>1922</v>
      </c>
      <c r="D45" s="659" t="s">
        <v>1706</v>
      </c>
      <c r="E45" s="659" t="s">
        <v>1697</v>
      </c>
      <c r="F45" s="689" t="s">
        <v>73</v>
      </c>
      <c r="G45" s="37" t="s">
        <v>148</v>
      </c>
      <c r="H45" s="689"/>
      <c r="I45" s="688"/>
      <c r="J45" s="688"/>
      <c r="K45" s="714"/>
    </row>
    <row r="46" spans="2:21" s="1161" customFormat="1">
      <c r="B46" s="679"/>
      <c r="C46" s="1180" t="s">
        <v>1922</v>
      </c>
      <c r="D46" s="659" t="s">
        <v>1707</v>
      </c>
      <c r="E46" s="659" t="s">
        <v>1645</v>
      </c>
      <c r="F46" s="689" t="s">
        <v>73</v>
      </c>
      <c r="G46" s="37" t="s">
        <v>148</v>
      </c>
      <c r="H46" s="689"/>
      <c r="I46" s="688"/>
      <c r="J46" s="688"/>
      <c r="K46" s="714"/>
      <c r="M46"/>
      <c r="N46"/>
      <c r="O46"/>
      <c r="P46"/>
      <c r="Q46"/>
      <c r="R46"/>
      <c r="S46"/>
      <c r="T46"/>
      <c r="U46"/>
    </row>
    <row r="47" spans="2:21" s="1161" customFormat="1">
      <c r="B47" s="37"/>
      <c r="C47" s="1180" t="s">
        <v>1922</v>
      </c>
      <c r="D47" s="659" t="s">
        <v>1708</v>
      </c>
      <c r="E47" s="659" t="s">
        <v>1646</v>
      </c>
      <c r="F47" s="689" t="s">
        <v>73</v>
      </c>
      <c r="G47" s="37" t="s">
        <v>148</v>
      </c>
      <c r="H47" s="689"/>
      <c r="I47" s="688"/>
      <c r="J47"/>
      <c r="K47"/>
      <c r="M47"/>
      <c r="N47"/>
      <c r="O47"/>
      <c r="P47"/>
      <c r="Q47"/>
      <c r="R47"/>
      <c r="S47"/>
      <c r="T47"/>
      <c r="U47"/>
    </row>
    <row r="48" spans="2:21" s="1161" customFormat="1">
      <c r="B48"/>
      <c r="C48" t="s">
        <v>1922</v>
      </c>
      <c r="D48" s="659" t="s">
        <v>1709</v>
      </c>
      <c r="E48" s="659" t="s">
        <v>1647</v>
      </c>
      <c r="F48" s="689" t="s">
        <v>73</v>
      </c>
      <c r="G48" s="37" t="s">
        <v>148</v>
      </c>
      <c r="H48" s="689"/>
      <c r="I48" s="688"/>
      <c r="J48" s="33"/>
      <c r="K48"/>
      <c r="M48"/>
      <c r="N48"/>
      <c r="O48"/>
      <c r="P48"/>
      <c r="Q48"/>
      <c r="R48"/>
      <c r="S48"/>
      <c r="T48"/>
      <c r="U48"/>
    </row>
    <row r="49" spans="2:21" s="1161" customFormat="1">
      <c r="B49" s="49"/>
      <c r="C49" s="38" t="s">
        <v>1922</v>
      </c>
      <c r="D49" s="659" t="s">
        <v>1710</v>
      </c>
      <c r="E49" s="659" t="s">
        <v>1648</v>
      </c>
      <c r="F49" s="689" t="s">
        <v>73</v>
      </c>
      <c r="G49" s="37" t="s">
        <v>148</v>
      </c>
      <c r="H49" s="689"/>
      <c r="I49" s="688"/>
      <c r="J49" s="33"/>
      <c r="K49"/>
      <c r="M49"/>
      <c r="N49"/>
      <c r="O49"/>
      <c r="P49"/>
      <c r="Q49"/>
      <c r="R49"/>
      <c r="S49"/>
      <c r="T49"/>
      <c r="U49"/>
    </row>
    <row r="50" spans="2:21">
      <c r="B50" s="38"/>
      <c r="C50" s="38" t="s">
        <v>1922</v>
      </c>
      <c r="D50" s="659" t="s">
        <v>1711</v>
      </c>
      <c r="E50" s="659" t="s">
        <v>1649</v>
      </c>
      <c r="F50" s="689" t="s">
        <v>73</v>
      </c>
      <c r="G50" s="37" t="s">
        <v>148</v>
      </c>
      <c r="H50" s="689"/>
      <c r="I50" s="688"/>
      <c r="J50" s="581"/>
      <c r="K50" s="580"/>
    </row>
    <row r="51" spans="2:21">
      <c r="B51" s="580"/>
      <c r="C51" s="38" t="s">
        <v>1922</v>
      </c>
      <c r="D51" s="659" t="s">
        <v>1712</v>
      </c>
      <c r="E51" s="659" t="s">
        <v>1692</v>
      </c>
      <c r="F51" s="689" t="s">
        <v>73</v>
      </c>
      <c r="G51" s="37" t="s">
        <v>148</v>
      </c>
      <c r="H51" s="689"/>
      <c r="I51" s="688"/>
      <c r="J51" s="33"/>
    </row>
    <row r="52" spans="2:21">
      <c r="B52" s="38"/>
      <c r="C52" s="38" t="s">
        <v>1922</v>
      </c>
      <c r="D52" s="659" t="s">
        <v>1713</v>
      </c>
      <c r="E52" s="659" t="s">
        <v>1691</v>
      </c>
      <c r="F52" s="689" t="s">
        <v>73</v>
      </c>
      <c r="G52" s="37" t="s">
        <v>148</v>
      </c>
      <c r="H52" s="689"/>
      <c r="I52" s="688"/>
      <c r="J52" s="581"/>
      <c r="K52" s="1161"/>
    </row>
    <row r="53" spans="2:21" s="580" customFormat="1">
      <c r="B53" s="38"/>
      <c r="C53" s="38" t="s">
        <v>1922</v>
      </c>
      <c r="D53" s="659" t="s">
        <v>1714</v>
      </c>
      <c r="E53" s="659" t="s">
        <v>1693</v>
      </c>
      <c r="F53" s="689" t="s">
        <v>73</v>
      </c>
      <c r="G53" s="37" t="s">
        <v>148</v>
      </c>
      <c r="H53" s="689"/>
      <c r="I53" s="688"/>
      <c r="J53" s="33"/>
      <c r="K53"/>
      <c r="M53"/>
      <c r="N53"/>
      <c r="O53"/>
      <c r="P53"/>
      <c r="Q53"/>
      <c r="R53"/>
      <c r="S53"/>
      <c r="T53"/>
      <c r="U53"/>
    </row>
    <row r="54" spans="2:21">
      <c r="B54" s="38"/>
      <c r="C54" s="38" t="s">
        <v>1922</v>
      </c>
      <c r="D54" s="659" t="s">
        <v>1715</v>
      </c>
      <c r="E54" s="659" t="s">
        <v>1694</v>
      </c>
      <c r="F54" s="689" t="s">
        <v>73</v>
      </c>
      <c r="G54" s="37" t="s">
        <v>148</v>
      </c>
      <c r="H54" s="689"/>
      <c r="I54" s="688"/>
      <c r="J54" s="33"/>
    </row>
    <row r="55" spans="2:21" s="1161" customFormat="1">
      <c r="B55" s="1634"/>
      <c r="C55" s="1634" t="s">
        <v>1922</v>
      </c>
      <c r="D55" s="22" t="s">
        <v>1288</v>
      </c>
      <c r="E55" s="1179" t="s">
        <v>583</v>
      </c>
      <c r="F55" s="687" t="s">
        <v>73</v>
      </c>
      <c r="G55" s="40" t="s">
        <v>148</v>
      </c>
      <c r="H55" s="687"/>
      <c r="I55" s="48"/>
      <c r="J55" s="581"/>
      <c r="M55"/>
      <c r="N55"/>
      <c r="O55"/>
      <c r="P55"/>
      <c r="Q55"/>
      <c r="R55"/>
      <c r="S55"/>
      <c r="T55"/>
      <c r="U55"/>
    </row>
    <row r="56" spans="2:21">
      <c r="B56" s="49" t="s">
        <v>49</v>
      </c>
      <c r="C56" s="38" t="s">
        <v>1922</v>
      </c>
      <c r="D56" s="38" t="str">
        <f>"FT-TRA"&amp;RIGHT(Commodities!D36,3)</f>
        <v>FT-TRADSL</v>
      </c>
      <c r="E56" s="50" t="str">
        <f>"Fuel Technology "&amp;Commodities!E36</f>
        <v>Fuel Technology Diesel TRA</v>
      </c>
      <c r="F56" s="37" t="s">
        <v>44</v>
      </c>
      <c r="G56" s="37" t="s">
        <v>50</v>
      </c>
      <c r="H56" s="38"/>
      <c r="I56" s="33"/>
      <c r="J56" s="33"/>
    </row>
    <row r="57" spans="2:21">
      <c r="B57" s="38"/>
      <c r="C57" s="38" t="s">
        <v>1922</v>
      </c>
      <c r="D57" s="38" t="str">
        <f>"FT-TRA"&amp;RIGHT(Commodities!D37,4)</f>
        <v>FT-TRADSLN</v>
      </c>
      <c r="E57" s="50" t="str">
        <f>"Fuel Technology "&amp;Commodities!E37</f>
        <v>Fuel Technology Diesel TRA Navigation</v>
      </c>
      <c r="F57" s="37" t="s">
        <v>44</v>
      </c>
      <c r="G57" s="37" t="s">
        <v>50</v>
      </c>
      <c r="H57" s="38"/>
      <c r="I57" s="581"/>
      <c r="J57" s="1161"/>
      <c r="K57" s="1161"/>
    </row>
    <row r="58" spans="2:21" s="1161" customFormat="1">
      <c r="B58" s="1175"/>
      <c r="C58" s="38" t="s">
        <v>1922</v>
      </c>
      <c r="D58" s="38" t="str">
        <f>"FT-TRA"&amp;RIGHT(Commodities!D38,3)</f>
        <v>FT-TRAGSL</v>
      </c>
      <c r="E58" s="50" t="str">
        <f>"Fuel Technology "&amp;Commodities!E38</f>
        <v>Fuel Technology Gasoline TRA</v>
      </c>
      <c r="F58" s="37" t="s">
        <v>44</v>
      </c>
      <c r="G58" s="37" t="s">
        <v>50</v>
      </c>
      <c r="H58" s="38"/>
      <c r="I58" s="33"/>
      <c r="J58" s="33"/>
      <c r="K58"/>
      <c r="M58"/>
      <c r="N58"/>
      <c r="O58"/>
      <c r="P58"/>
      <c r="Q58"/>
      <c r="R58"/>
      <c r="S58"/>
      <c r="T58"/>
      <c r="U58"/>
    </row>
    <row r="59" spans="2:21">
      <c r="B59" s="38"/>
      <c r="C59" s="38" t="s">
        <v>1922</v>
      </c>
      <c r="D59" s="38" t="str">
        <f>"FT-TRA"&amp;RIGHT(Commodities!D53,4)</f>
        <v>FT-TRAAGSL</v>
      </c>
      <c r="E59" s="50" t="str">
        <f>"Fuel Technology "&amp;Commodities!E53</f>
        <v>Fuel Technology Aviation gasoline TRA</v>
      </c>
      <c r="F59" s="37" t="s">
        <v>44</v>
      </c>
      <c r="G59" s="37" t="s">
        <v>50</v>
      </c>
      <c r="H59" s="38"/>
      <c r="I59" s="581"/>
      <c r="J59" s="33"/>
    </row>
    <row r="60" spans="2:21" s="1161" customFormat="1">
      <c r="B60" s="38"/>
      <c r="C60" s="38" t="s">
        <v>1922</v>
      </c>
      <c r="D60" s="38" t="str">
        <f>"FT-TRA"&amp;RIGHT(Commodities!D39,3)</f>
        <v>FT-TRALPG</v>
      </c>
      <c r="E60" s="50" t="str">
        <f>"Fuel Technology "&amp;Commodities!E39</f>
        <v>Fuel Technology Liquid petrol gas TRA</v>
      </c>
      <c r="F60" s="37" t="s">
        <v>44</v>
      </c>
      <c r="G60" s="37" t="s">
        <v>50</v>
      </c>
      <c r="H60" s="38"/>
      <c r="I60" s="33"/>
      <c r="J60" s="33"/>
      <c r="K60"/>
      <c r="M60"/>
      <c r="N60"/>
      <c r="O60"/>
      <c r="P60"/>
      <c r="Q60"/>
      <c r="R60"/>
      <c r="S60"/>
      <c r="T60"/>
      <c r="U60"/>
    </row>
    <row r="61" spans="2:21">
      <c r="B61" s="38"/>
      <c r="C61" s="38" t="s">
        <v>1922</v>
      </c>
      <c r="D61" s="38" t="str">
        <f>"FT-TRA"&amp;RIGHT(Commodities!D40,4)</f>
        <v>FT-TRALPGC</v>
      </c>
      <c r="E61" s="50" t="str">
        <f>"Fuel Technology "&amp;Commodities!E40</f>
        <v>Fuel Technology Liquid petrol gas TRA Cars</v>
      </c>
      <c r="F61" s="37" t="s">
        <v>44</v>
      </c>
      <c r="G61" s="37" t="s">
        <v>50</v>
      </c>
      <c r="H61" s="38"/>
      <c r="I61" s="581"/>
      <c r="J61" s="581"/>
      <c r="K61" s="1161"/>
    </row>
    <row r="62" spans="2:21">
      <c r="B62" s="38"/>
      <c r="C62" s="38" t="s">
        <v>1922</v>
      </c>
      <c r="D62" s="38" t="str">
        <f>"FT-TRA"&amp;RIGHT(Commodities!D41,3)</f>
        <v>FT-TRANGA</v>
      </c>
      <c r="E62" s="50" t="str">
        <f>"Fuel Technology "&amp;Commodities!E41</f>
        <v>Fuel Technology Nat. Gas TRA</v>
      </c>
      <c r="F62" s="37" t="s">
        <v>44</v>
      </c>
      <c r="G62" s="37" t="s">
        <v>50</v>
      </c>
      <c r="H62" s="38"/>
      <c r="I62" s="33"/>
      <c r="J62" s="33"/>
    </row>
    <row r="63" spans="2:21">
      <c r="B63" s="38"/>
      <c r="C63" s="38" t="s">
        <v>1922</v>
      </c>
      <c r="D63" s="38" t="str">
        <f>"FT-TRA"&amp;RIGHT(Commodities!D42,4)</f>
        <v>FT-TRANGAN</v>
      </c>
      <c r="E63" s="50" t="str">
        <f>"Fuel Technology "&amp;Commodities!E42</f>
        <v>Fuel Technology Nat. Gas TRA Navigation</v>
      </c>
      <c r="F63" s="37" t="s">
        <v>44</v>
      </c>
      <c r="G63" s="37" t="s">
        <v>50</v>
      </c>
      <c r="H63" s="38"/>
      <c r="I63" s="581"/>
      <c r="J63" s="33"/>
    </row>
    <row r="64" spans="2:21" s="1161" customFormat="1">
      <c r="B64" s="38"/>
      <c r="C64" s="38" t="s">
        <v>1922</v>
      </c>
      <c r="D64" s="38" t="str">
        <f>"FT-TRA"&amp;RIGHT(Commodities!D43,3)</f>
        <v>FT-TRASNG</v>
      </c>
      <c r="E64" s="50" t="str">
        <f>"Fuel Technology "&amp;Commodities!E43</f>
        <v>Fuel Technology Bio Synt. Nat. Gas (1G &amp; 2G) TRA</v>
      </c>
      <c r="F64" s="37" t="s">
        <v>44</v>
      </c>
      <c r="G64" s="37" t="s">
        <v>50</v>
      </c>
      <c r="H64" s="38"/>
      <c r="I64" s="33"/>
      <c r="J64" s="581"/>
      <c r="M64"/>
      <c r="N64"/>
      <c r="O64"/>
      <c r="P64"/>
      <c r="Q64"/>
      <c r="R64"/>
      <c r="S64"/>
      <c r="T64"/>
      <c r="U64"/>
    </row>
    <row r="65" spans="2:21" s="1161" customFormat="1">
      <c r="B65" s="38"/>
      <c r="C65" s="38" t="s">
        <v>1922</v>
      </c>
      <c r="D65" s="38" t="str">
        <f>"FT-TRA"&amp;RIGHT(Commodities!D44,3)</f>
        <v>FT-TRASNE</v>
      </c>
      <c r="E65" s="50" t="str">
        <f>"Fuel Technology "&amp;Commodities!E44</f>
        <v>Fuel Technology Electro Synt. Nat. Gas (1G &amp; 2G) TRA</v>
      </c>
      <c r="F65" s="37" t="s">
        <v>44</v>
      </c>
      <c r="G65" s="37" t="s">
        <v>50</v>
      </c>
      <c r="H65" s="38"/>
      <c r="I65" s="581"/>
      <c r="J65" s="581"/>
    </row>
    <row r="66" spans="2:21">
      <c r="B66" s="38"/>
      <c r="C66" s="38" t="s">
        <v>1922</v>
      </c>
      <c r="D66" s="38" t="str">
        <f>"FT-TRA"&amp;RIGHT(Commodities!D46,3)</f>
        <v>FT-TRAELC</v>
      </c>
      <c r="E66" s="50" t="str">
        <f>"Fuel Technology "&amp;Commodities!E46</f>
        <v>Fuel Technology Electricity TRA</v>
      </c>
      <c r="F66" s="37" t="s">
        <v>44</v>
      </c>
      <c r="G66" s="37" t="s">
        <v>50</v>
      </c>
      <c r="H66" s="1176" t="s">
        <v>57</v>
      </c>
      <c r="I66" s="33"/>
      <c r="J66" s="33"/>
    </row>
    <row r="67" spans="2:21">
      <c r="B67" s="38"/>
      <c r="C67" s="38" t="s">
        <v>1922</v>
      </c>
      <c r="D67" s="38" t="s">
        <v>1178</v>
      </c>
      <c r="E67" s="50" t="s">
        <v>1179</v>
      </c>
      <c r="F67" s="659" t="s">
        <v>44</v>
      </c>
      <c r="G67" s="659" t="s">
        <v>50</v>
      </c>
      <c r="H67" s="1176" t="s">
        <v>57</v>
      </c>
      <c r="I67" s="1161"/>
      <c r="J67" s="33"/>
    </row>
    <row r="68" spans="2:21" s="1161" customFormat="1">
      <c r="B68" s="38"/>
      <c r="C68" s="38" t="s">
        <v>1922</v>
      </c>
      <c r="D68" s="38" t="s">
        <v>1405</v>
      </c>
      <c r="E68" s="50" t="s">
        <v>1407</v>
      </c>
      <c r="F68" s="659" t="s">
        <v>44</v>
      </c>
      <c r="G68" s="659" t="s">
        <v>50</v>
      </c>
      <c r="H68" s="1176" t="s">
        <v>57</v>
      </c>
      <c r="I68" s="33"/>
      <c r="J68" s="33"/>
      <c r="K68"/>
    </row>
    <row r="69" spans="2:21">
      <c r="B69" s="38"/>
      <c r="C69" s="38" t="s">
        <v>1922</v>
      </c>
      <c r="D69" s="38" t="str">
        <f>"FT-TRA"&amp;RIGHT(Commodities!D49,3)</f>
        <v>FT-TRADSB</v>
      </c>
      <c r="E69" s="50" t="str">
        <f>"Fuel Technology "&amp;Commodities!E49</f>
        <v>Fuel Technology Biodiesel (1G &amp; 2G) TRA</v>
      </c>
      <c r="F69" s="37" t="s">
        <v>44</v>
      </c>
      <c r="G69" s="37" t="s">
        <v>50</v>
      </c>
      <c r="H69" s="38"/>
      <c r="I69" s="33"/>
      <c r="J69" s="33"/>
      <c r="M69" s="1161"/>
      <c r="N69" s="1161"/>
      <c r="O69" s="1161"/>
      <c r="P69" s="1161"/>
      <c r="Q69" s="1161"/>
      <c r="R69" s="1161"/>
      <c r="S69" s="1161"/>
      <c r="T69" s="1161"/>
      <c r="U69" s="1161"/>
    </row>
    <row r="70" spans="2:21" s="1161" customFormat="1">
      <c r="B70" s="38"/>
      <c r="C70" s="38" t="s">
        <v>1922</v>
      </c>
      <c r="D70" s="38" t="str">
        <f>"FT-TRA"&amp;RIGHT(Commodities!D50,3)</f>
        <v>FT-TRADSE</v>
      </c>
      <c r="E70" s="50" t="str">
        <f>"Fuel Technology "&amp;Commodities!E50</f>
        <v>Fuel Technology Electro diesel (1G &amp; 2G) TRA</v>
      </c>
      <c r="F70" s="37" t="s">
        <v>44</v>
      </c>
      <c r="G70" s="37" t="s">
        <v>50</v>
      </c>
      <c r="H70" s="38"/>
      <c r="I70" s="581"/>
      <c r="J70" s="581"/>
    </row>
    <row r="71" spans="2:21">
      <c r="B71" s="38"/>
      <c r="C71" s="38" t="s">
        <v>1922</v>
      </c>
      <c r="D71" s="38" t="str">
        <f>"FT-TRA"&amp;RIGHT(Commodities!D51,3)</f>
        <v>FT-TRAGSB</v>
      </c>
      <c r="E71" s="50" t="str">
        <f>"Fuel Technology "&amp;Commodities!E51</f>
        <v>Fuel Technology Bioethanol (1G &amp; 2G) TRA</v>
      </c>
      <c r="F71" s="37" t="s">
        <v>44</v>
      </c>
      <c r="G71" s="37" t="s">
        <v>50</v>
      </c>
      <c r="H71" s="38"/>
      <c r="I71" s="33"/>
      <c r="J71" s="33"/>
      <c r="M71" s="1161"/>
      <c r="N71" s="1161"/>
      <c r="O71" s="1161"/>
      <c r="P71" s="1161"/>
      <c r="Q71" s="1161"/>
      <c r="R71" s="1161"/>
      <c r="S71" s="1161"/>
      <c r="T71" s="1161"/>
      <c r="U71" s="1161"/>
    </row>
    <row r="72" spans="2:21" s="1161" customFormat="1">
      <c r="B72" s="38"/>
      <c r="C72" s="38" t="s">
        <v>1922</v>
      </c>
      <c r="D72" s="38" t="str">
        <f>"FT-TRA"&amp;RIGHT(Commodities!D52,3)</f>
        <v>FT-TRAGSE</v>
      </c>
      <c r="E72" s="50" t="str">
        <f>"Fuel Technology "&amp;Commodities!E52</f>
        <v>Fuel Technology Electro ethanol (1G &amp; 2G) TRA</v>
      </c>
      <c r="F72" s="37" t="s">
        <v>44</v>
      </c>
      <c r="G72" s="37" t="s">
        <v>50</v>
      </c>
      <c r="H72" s="38"/>
      <c r="I72" s="581"/>
      <c r="J72" s="581"/>
    </row>
    <row r="73" spans="2:21" s="1161" customFormat="1">
      <c r="B73" s="38"/>
      <c r="C73" s="38" t="s">
        <v>1922</v>
      </c>
      <c r="D73" s="38" t="str">
        <f>"FT-TRA"&amp;RIGHT(Commodities!D54,2)</f>
        <v>FT-TRAH2</v>
      </c>
      <c r="E73" s="50" t="str">
        <f>"Fuel Technology "&amp;Commodities!E54</f>
        <v>Fuel Technology Hydrogen TRA</v>
      </c>
      <c r="F73" s="37" t="s">
        <v>44</v>
      </c>
      <c r="G73" s="37" t="s">
        <v>50</v>
      </c>
      <c r="H73" s="38"/>
      <c r="I73" s="581"/>
      <c r="J73" s="581"/>
    </row>
    <row r="74" spans="2:21" s="1161" customFormat="1">
      <c r="B74" s="38"/>
      <c r="C74" s="38" t="s">
        <v>1922</v>
      </c>
      <c r="D74" s="38" t="str">
        <f>"FT-TRA"&amp;RIGHT(Commodities!D55,3)</f>
        <v>FT-TRAH2N</v>
      </c>
      <c r="E74" s="50" t="str">
        <f>"Fuel Technology "&amp;Commodities!E55</f>
        <v>Fuel Technology Hydrogen TRA Navigation</v>
      </c>
      <c r="F74" s="37" t="s">
        <v>44</v>
      </c>
      <c r="G74" s="37" t="s">
        <v>50</v>
      </c>
      <c r="H74" s="38"/>
      <c r="I74" s="581"/>
      <c r="J74" s="581"/>
    </row>
    <row r="75" spans="2:21">
      <c r="B75" s="38"/>
      <c r="C75" s="38" t="s">
        <v>1922</v>
      </c>
      <c r="D75" s="38" t="str">
        <f>"FT-TRA"&amp;RIGHT(Commodities!D56,3)</f>
        <v>FT-TRAH2C</v>
      </c>
      <c r="E75" s="50" t="str">
        <f>"Fuel Technology "&amp;Commodities!E56</f>
        <v>Fuel Technology Hydrogen Compressed TRA</v>
      </c>
      <c r="F75" s="37" t="s">
        <v>44</v>
      </c>
      <c r="G75" s="37" t="s">
        <v>50</v>
      </c>
      <c r="H75" s="38"/>
      <c r="I75" s="581"/>
      <c r="J75" s="33"/>
      <c r="M75" s="1161"/>
      <c r="N75" s="1161"/>
      <c r="O75" s="1161"/>
      <c r="P75" s="1161"/>
      <c r="Q75" s="1161"/>
      <c r="R75" s="1161"/>
      <c r="S75" s="1161"/>
      <c r="T75" s="1161"/>
      <c r="U75" s="1161"/>
    </row>
    <row r="76" spans="2:21">
      <c r="B76" s="38"/>
      <c r="C76" s="38" t="s">
        <v>1922</v>
      </c>
      <c r="D76" s="38" t="str">
        <f>"FT-TRA"&amp;RIGHT(Commodities!D57,3)</f>
        <v>FT-TRAKER</v>
      </c>
      <c r="E76" s="50" t="str">
        <f>"Fuel Technology "&amp;Commodities!E57</f>
        <v>Fuel Technology Kerosene TRA</v>
      </c>
      <c r="F76" s="37" t="s">
        <v>44</v>
      </c>
      <c r="G76" s="37" t="s">
        <v>50</v>
      </c>
      <c r="H76" s="38"/>
      <c r="I76" s="33"/>
      <c r="J76" s="33"/>
      <c r="M76" s="1161"/>
      <c r="N76" s="1161"/>
      <c r="O76" s="1161"/>
      <c r="P76" s="1161"/>
      <c r="Q76" s="1161"/>
      <c r="R76" s="1161"/>
      <c r="S76" s="1161"/>
      <c r="T76" s="1161"/>
      <c r="U76" s="1161"/>
    </row>
    <row r="77" spans="2:21" s="1161" customFormat="1">
      <c r="B77" s="38"/>
      <c r="C77" s="38" t="s">
        <v>1922</v>
      </c>
      <c r="D77" s="38" t="str">
        <f>"FT-TRA"&amp;RIGHT(Commodities!D58,3)</f>
        <v>FT-TRAKEI</v>
      </c>
      <c r="E77" s="50" t="str">
        <f>"Fuel Technology "&amp;Commodities!E58</f>
        <v>Fuel Technology Kerosene TRA - International</v>
      </c>
      <c r="F77" s="37" t="s">
        <v>44</v>
      </c>
      <c r="G77" s="37" t="s">
        <v>50</v>
      </c>
      <c r="H77" s="38"/>
      <c r="I77" s="581"/>
      <c r="J77" s="581"/>
    </row>
    <row r="78" spans="2:21" s="1161" customFormat="1">
      <c r="B78" s="38"/>
      <c r="C78" s="38" t="s">
        <v>1922</v>
      </c>
      <c r="D78" s="38" t="str">
        <f>"FT-TRA"&amp;RIGHT(Commodities!D59,3)</f>
        <v>FT-TRAKEN</v>
      </c>
      <c r="E78" s="50" t="str">
        <f>"Fuel Technology "&amp;Commodities!E59</f>
        <v>Fuel Technology Kerosene TRA - National</v>
      </c>
      <c r="F78" s="37" t="s">
        <v>44</v>
      </c>
      <c r="G78" s="37" t="s">
        <v>50</v>
      </c>
      <c r="H78" s="38"/>
      <c r="I78" s="581"/>
      <c r="J78" s="581"/>
    </row>
    <row r="79" spans="2:21">
      <c r="B79" s="38"/>
      <c r="C79" s="38" t="s">
        <v>1922</v>
      </c>
      <c r="D79" s="38" t="str">
        <f>"FT-TRA"&amp;RIGHT(Commodities!D60,3)</f>
        <v>FT-TRAHFO</v>
      </c>
      <c r="E79" s="50" t="str">
        <f>"Fuel Technology "&amp;Commodities!E60</f>
        <v>Fuel Technology Heavy Fuel Oil TRA</v>
      </c>
      <c r="F79" s="37" t="s">
        <v>44</v>
      </c>
      <c r="G79" s="37" t="s">
        <v>50</v>
      </c>
      <c r="H79" s="38"/>
      <c r="I79" s="33"/>
      <c r="J79" s="33"/>
    </row>
    <row r="80" spans="2:21">
      <c r="B80" s="38"/>
      <c r="C80" s="38" t="s">
        <v>1922</v>
      </c>
      <c r="D80" s="38" t="str">
        <f>"FT-TRA"&amp;RIGHT(Commodities!D61,4)</f>
        <v>FT-TRAHFON</v>
      </c>
      <c r="E80" s="50" t="str">
        <f>"Fuel Technology "&amp;Commodities!E61</f>
        <v>Fuel Technology Heavy Fuel Oil TRA Navigation</v>
      </c>
      <c r="F80" s="37" t="s">
        <v>44</v>
      </c>
      <c r="G80" s="37" t="s">
        <v>50</v>
      </c>
      <c r="H80" s="38"/>
      <c r="I80" s="581"/>
      <c r="J80" s="33"/>
      <c r="M80" s="1161"/>
      <c r="N80" s="1161"/>
      <c r="O80" s="1161"/>
      <c r="P80" s="1161"/>
      <c r="Q80" s="1161"/>
      <c r="R80" s="1161"/>
      <c r="S80" s="1161"/>
      <c r="T80" s="1161"/>
      <c r="U80" s="1161"/>
    </row>
    <row r="81" spans="2:21">
      <c r="B81" s="38"/>
      <c r="C81" s="38" t="s">
        <v>1922</v>
      </c>
      <c r="D81" s="38" t="str">
        <f>"FT-TRA"&amp;RIGHT(Commodities!D63,3)</f>
        <v>FT-TRAKRB</v>
      </c>
      <c r="E81" s="50" t="str">
        <f>"Fuel Technology "&amp;Commodities!E63</f>
        <v>Fuel Technology Biokerosene TRA</v>
      </c>
      <c r="F81" s="37" t="s">
        <v>44</v>
      </c>
      <c r="G81" s="37" t="s">
        <v>50</v>
      </c>
      <c r="H81" s="38"/>
      <c r="I81" s="33"/>
      <c r="J81" s="33"/>
      <c r="M81" s="1161"/>
      <c r="N81" s="1161"/>
      <c r="O81" s="1161"/>
      <c r="P81" s="1161"/>
      <c r="Q81" s="1161"/>
      <c r="R81" s="1161"/>
      <c r="S81" s="1161"/>
      <c r="T81" s="1161"/>
      <c r="U81" s="1161"/>
    </row>
    <row r="82" spans="2:21">
      <c r="B82" s="38"/>
      <c r="C82" s="38" t="s">
        <v>1922</v>
      </c>
      <c r="D82" s="245" t="s">
        <v>1657</v>
      </c>
      <c r="E82" s="694" t="s">
        <v>1656</v>
      </c>
      <c r="F82" s="659" t="s">
        <v>44</v>
      </c>
      <c r="G82" s="659" t="s">
        <v>50</v>
      </c>
      <c r="H82" s="38"/>
      <c r="I82" s="33"/>
      <c r="J82" s="33"/>
      <c r="M82" s="1161"/>
      <c r="N82" s="1161"/>
      <c r="O82" s="1161"/>
      <c r="P82" s="1161"/>
      <c r="Q82" s="1161"/>
      <c r="R82" s="1161"/>
      <c r="S82" s="1161"/>
      <c r="T82" s="1161"/>
      <c r="U82" s="1161"/>
    </row>
    <row r="83" spans="2:21">
      <c r="B83" s="33"/>
      <c r="C83" s="38" t="s">
        <v>1922</v>
      </c>
      <c r="D83" s="1632" t="s">
        <v>1615</v>
      </c>
      <c r="E83" s="679" t="str">
        <f>"Fuel Technology "&amp;Commodities!E64</f>
        <v>Fuel Technology Bio Synt. Nat. Gas (1G &amp; 2G) TRA Navigation</v>
      </c>
      <c r="F83" s="679" t="s">
        <v>44</v>
      </c>
      <c r="G83" s="679" t="s">
        <v>50</v>
      </c>
      <c r="H83" s="38"/>
      <c r="I83" s="33"/>
      <c r="J83" s="33"/>
      <c r="M83" s="1161"/>
      <c r="N83" s="1161"/>
      <c r="O83" s="1161"/>
      <c r="P83" s="1161"/>
      <c r="Q83" s="1161"/>
      <c r="R83" s="1161"/>
      <c r="S83" s="1161"/>
      <c r="T83" s="1161"/>
      <c r="U83" s="1161"/>
    </row>
    <row r="84" spans="2:21">
      <c r="B84" s="581"/>
      <c r="C84" s="38" t="s">
        <v>1922</v>
      </c>
      <c r="D84" s="1624" t="str">
        <f>TRA_Fuel!B40</f>
        <v>FT-TRADSBN</v>
      </c>
      <c r="E84" s="679" t="str">
        <f>"Fuel Technology "&amp;Commodities!E65</f>
        <v>Fuel Technology Biodiesel (1G &amp; 2G) TRA Navigation</v>
      </c>
      <c r="F84" s="679" t="s">
        <v>44</v>
      </c>
      <c r="G84" s="679" t="s">
        <v>50</v>
      </c>
      <c r="H84" s="38"/>
      <c r="I84" s="33"/>
      <c r="J84" s="33"/>
      <c r="M84" s="1161"/>
      <c r="N84" s="1161"/>
      <c r="O84" s="1161"/>
      <c r="P84" s="1161"/>
      <c r="Q84" s="1161"/>
      <c r="R84" s="1161"/>
      <c r="S84" s="1161"/>
      <c r="T84" s="1161"/>
      <c r="U84" s="1161"/>
    </row>
    <row r="85" spans="2:21">
      <c r="B85" s="581"/>
      <c r="C85" s="33" t="s">
        <v>1922</v>
      </c>
      <c r="D85" s="1624" t="str">
        <f>TRA_Fuel!B44</f>
        <v>FT-TRAGSBN</v>
      </c>
      <c r="E85" s="679" t="str">
        <f>"Fuel Technology "&amp;Commodities!E66</f>
        <v>Fuel Technology Bioethanol (1G &amp; 2G) TRA Navigation</v>
      </c>
      <c r="F85" s="679" t="s">
        <v>44</v>
      </c>
      <c r="G85" s="679" t="s">
        <v>50</v>
      </c>
      <c r="H85" s="38"/>
      <c r="I85" s="33"/>
      <c r="J85" s="33"/>
    </row>
    <row r="86" spans="2:21">
      <c r="B86" s="581"/>
      <c r="C86" s="33" t="s">
        <v>1922</v>
      </c>
      <c r="D86" s="38" t="str">
        <f>"FT-TRA"&amp;RIGHT(Commodities!D67,3)</f>
        <v>FT-TRAMOB</v>
      </c>
      <c r="E86" s="679" t="str">
        <f>"Fuel Technology "&amp;Commodities!E67</f>
        <v>Fuel Technology Methanol TRA</v>
      </c>
      <c r="F86" s="679" t="s">
        <v>44</v>
      </c>
      <c r="G86" s="679" t="s">
        <v>50</v>
      </c>
      <c r="H86" s="38"/>
      <c r="I86" s="33"/>
      <c r="J86" s="33"/>
    </row>
    <row r="87" spans="2:21" s="1161" customFormat="1">
      <c r="B87" s="581"/>
      <c r="C87" s="581" t="s">
        <v>1922</v>
      </c>
      <c r="D87" s="38" t="str">
        <f>"FT-TRA"&amp;RIGHT(Commodities!D68,4)</f>
        <v>FT-TRAMOBN</v>
      </c>
      <c r="E87" s="679" t="str">
        <f>"Fuel Technology "&amp;Commodities!E68</f>
        <v>Fuel Technology Methanol TRA Navigation</v>
      </c>
      <c r="F87" s="679" t="s">
        <v>44</v>
      </c>
      <c r="G87" s="679" t="s">
        <v>50</v>
      </c>
      <c r="H87" s="38"/>
      <c r="I87" s="581"/>
      <c r="J87" s="581"/>
    </row>
    <row r="88" spans="2:21">
      <c r="B88" s="1633"/>
      <c r="C88" s="1633" t="s">
        <v>1922</v>
      </c>
      <c r="D88" s="1627" t="str">
        <f>TRA_Fuel!B54</f>
        <v>FT-TRAAMM</v>
      </c>
      <c r="E88" s="1642" t="str">
        <f>"Fuel Technology "&amp;Commodities!E69</f>
        <v>Fuel Technology Ammonia TRA</v>
      </c>
      <c r="F88" s="1642" t="s">
        <v>44</v>
      </c>
      <c r="G88" s="1642" t="s">
        <v>50</v>
      </c>
      <c r="H88" s="1634"/>
      <c r="I88" s="33"/>
      <c r="J88" s="33"/>
    </row>
    <row r="89" spans="2:21">
      <c r="B89" s="581"/>
      <c r="C89" s="33" t="s">
        <v>1922</v>
      </c>
      <c r="D89" s="38" t="str">
        <f>TRA_Fuel!B55</f>
        <v>FT-TRADSBLD1</v>
      </c>
      <c r="E89" s="38" t="str">
        <f>TRA_Fuel!C55</f>
        <v>Fuel Technology Diesel &amp; Biodiesel Blending - level 1</v>
      </c>
      <c r="F89" s="37" t="s">
        <v>44</v>
      </c>
      <c r="G89" s="37" t="s">
        <v>50</v>
      </c>
      <c r="H89" s="38"/>
      <c r="I89" s="33"/>
      <c r="J89" s="33"/>
    </row>
    <row r="90" spans="2:21">
      <c r="B90" s="581"/>
      <c r="C90" s="33" t="s">
        <v>1922</v>
      </c>
      <c r="D90" s="38" t="str">
        <f>TRA_Fuel!B57</f>
        <v>FT-TRADSBLD2</v>
      </c>
      <c r="E90" s="38" t="str">
        <f>TRA_Fuel!C57</f>
        <v>Fuel Technology Diesel &amp; Biodiesel Blending - level 2</v>
      </c>
      <c r="F90" s="37" t="s">
        <v>44</v>
      </c>
      <c r="G90" s="37" t="s">
        <v>50</v>
      </c>
      <c r="H90" s="38"/>
      <c r="I90" s="33"/>
      <c r="J90" s="33"/>
    </row>
    <row r="91" spans="2:21">
      <c r="B91" s="581"/>
      <c r="C91" s="33" t="s">
        <v>1922</v>
      </c>
      <c r="D91" s="38" t="str">
        <f>TRA_Fuel!B59</f>
        <v>FT-TRADSBLD3</v>
      </c>
      <c r="E91" s="38" t="str">
        <f>TRA_Fuel!C59</f>
        <v>Fuel Technology Diesel &amp; Biodiesel Blending - level 3</v>
      </c>
      <c r="F91" s="37" t="s">
        <v>44</v>
      </c>
      <c r="G91" s="37" t="s">
        <v>50</v>
      </c>
      <c r="H91" s="38"/>
      <c r="I91" s="33"/>
    </row>
    <row r="92" spans="2:21">
      <c r="C92" t="s">
        <v>1922</v>
      </c>
      <c r="D92" s="38" t="str">
        <f>TRA_Fuel!B61</f>
        <v>FT-TRADSBLD4</v>
      </c>
      <c r="E92" s="38" t="str">
        <f>TRA_Fuel!C61</f>
        <v>Fuel Technology Diesel &amp; Biodiesel Blending - level 4</v>
      </c>
      <c r="F92" s="37" t="s">
        <v>44</v>
      </c>
      <c r="G92" s="37" t="s">
        <v>50</v>
      </c>
      <c r="H92" s="38"/>
      <c r="I92" s="33"/>
      <c r="J92" s="1161"/>
      <c r="K92" s="1161"/>
    </row>
    <row r="93" spans="2:21">
      <c r="B93" s="1161"/>
      <c r="C93" s="1161" t="s">
        <v>1922</v>
      </c>
      <c r="D93" s="38" t="str">
        <f>TRA_Fuel!B64</f>
        <v>FT-TRADSBLD5</v>
      </c>
      <c r="E93" s="38" t="str">
        <f>TRA_Fuel!C64</f>
        <v>Fuel Technology Diesel &amp; Biodiesel Blending - level 5</v>
      </c>
      <c r="F93" s="37" t="s">
        <v>44</v>
      </c>
      <c r="G93" s="37" t="s">
        <v>50</v>
      </c>
      <c r="H93" s="33"/>
      <c r="I93" s="33"/>
      <c r="J93" s="1161"/>
      <c r="K93" s="1161"/>
    </row>
    <row r="94" spans="2:21">
      <c r="B94" s="1161"/>
      <c r="C94" s="1161" t="s">
        <v>1922</v>
      </c>
      <c r="D94" s="38" t="str">
        <f>TRA_Fuel!B67</f>
        <v>FT-TRAGSBLD1</v>
      </c>
      <c r="E94" s="38" t="str">
        <f>TRA_Fuel!C67</f>
        <v>Fuel Technology Gasoline &amp; Bioethanol Blending - level 1</v>
      </c>
      <c r="F94" s="37" t="s">
        <v>44</v>
      </c>
      <c r="G94" s="37" t="s">
        <v>50</v>
      </c>
      <c r="H94" s="33"/>
      <c r="I94" s="33"/>
      <c r="J94" s="1161"/>
      <c r="K94" s="1161"/>
    </row>
    <row r="95" spans="2:21" s="1161" customFormat="1">
      <c r="C95" s="1161" t="s">
        <v>1922</v>
      </c>
      <c r="D95" s="38" t="str">
        <f>TRA_Fuel!B69</f>
        <v>FT-TRAGSBLD2</v>
      </c>
      <c r="E95" s="38" t="str">
        <f>TRA_Fuel!C69</f>
        <v>Fuel Technology Gasoline &amp; Bioethanol Blending - level 2</v>
      </c>
      <c r="F95" s="37" t="s">
        <v>44</v>
      </c>
      <c r="G95" s="37" t="s">
        <v>50</v>
      </c>
      <c r="H95" s="33"/>
      <c r="I95" s="33"/>
      <c r="M95"/>
      <c r="N95"/>
    </row>
    <row r="96" spans="2:21" s="1161" customFormat="1">
      <c r="C96" s="1161" t="s">
        <v>1922</v>
      </c>
      <c r="D96" s="38" t="str">
        <f>TRA_Fuel!B71</f>
        <v>FT-TRAGSBLD3</v>
      </c>
      <c r="E96" s="38" t="str">
        <f>TRA_Fuel!C71</f>
        <v>Fuel Technology Gasoline &amp; Bioethanol Blending - level 3</v>
      </c>
      <c r="F96" s="37" t="s">
        <v>44</v>
      </c>
      <c r="G96" s="37" t="s">
        <v>50</v>
      </c>
      <c r="H96" s="33"/>
      <c r="I96" s="33"/>
      <c r="M96"/>
      <c r="N96"/>
    </row>
    <row r="97" spans="2:21" s="1161" customFormat="1">
      <c r="C97" s="1161" t="s">
        <v>1922</v>
      </c>
      <c r="D97" s="38" t="str">
        <f>TRA_Fuel!B73</f>
        <v>FT-TRAGSBLD4</v>
      </c>
      <c r="E97" s="38" t="str">
        <f>TRA_Fuel!C73</f>
        <v>Fuel Technology Gasoline &amp; Bioethanol Blending - level 4</v>
      </c>
      <c r="F97" s="37" t="s">
        <v>44</v>
      </c>
      <c r="G97" s="37" t="s">
        <v>50</v>
      </c>
      <c r="H97" s="33"/>
      <c r="I97" s="33"/>
      <c r="J97"/>
      <c r="K97"/>
      <c r="M97"/>
      <c r="N97"/>
    </row>
    <row r="98" spans="2:21" s="1161" customFormat="1">
      <c r="B98" s="581"/>
      <c r="C98" s="581" t="s">
        <v>1922</v>
      </c>
      <c r="D98" s="38" t="str">
        <f>TRA_Fuel!B76</f>
        <v>FT-TRAGSBLD5</v>
      </c>
      <c r="E98" s="38" t="str">
        <f>TRA_Fuel!C76</f>
        <v>Fuel Technology Gasoline &amp; Bioethanol Blending - level 5</v>
      </c>
      <c r="F98" s="37" t="s">
        <v>44</v>
      </c>
      <c r="G98" s="37" t="s">
        <v>50</v>
      </c>
      <c r="H98" s="33"/>
      <c r="I98" s="33"/>
      <c r="J98" s="581"/>
      <c r="M98"/>
      <c r="N98"/>
    </row>
    <row r="99" spans="2:21" s="1161" customFormat="1">
      <c r="B99" s="581"/>
      <c r="C99" s="581" t="s">
        <v>1922</v>
      </c>
      <c r="D99" s="38" t="str">
        <f>TRA_Fuel!B78</f>
        <v>FT-TRAKEIN1</v>
      </c>
      <c r="E99" s="38" t="str">
        <f>TRA_Fuel!C78</f>
        <v>Fuel Technology Kerosene &amp; Biokerosene Blending - level 1</v>
      </c>
      <c r="F99" s="37" t="s">
        <v>44</v>
      </c>
      <c r="G99" s="37" t="s">
        <v>50</v>
      </c>
      <c r="H99" s="33"/>
      <c r="I99" s="33"/>
      <c r="J99" s="581"/>
    </row>
    <row r="100" spans="2:21">
      <c r="B100" s="581"/>
      <c r="C100" s="581" t="s">
        <v>1922</v>
      </c>
      <c r="D100" s="38" t="str">
        <f>TRA_Fuel!B80</f>
        <v>FT-TRAKEIN2</v>
      </c>
      <c r="E100" s="38" t="str">
        <f>TRA_Fuel!C80</f>
        <v>Fuel Technology Kerosene &amp; Biokerosene Blending - level 2</v>
      </c>
      <c r="F100" s="37" t="s">
        <v>44</v>
      </c>
      <c r="G100" s="37" t="s">
        <v>50</v>
      </c>
      <c r="H100" s="33"/>
      <c r="J100" s="581"/>
      <c r="K100" s="1161"/>
      <c r="M100" s="1161"/>
      <c r="N100" s="1161"/>
    </row>
    <row r="101" spans="2:21" s="1161" customFormat="1">
      <c r="B101" s="581"/>
      <c r="C101" s="581" t="s">
        <v>1922</v>
      </c>
      <c r="D101" s="33" t="str">
        <f>TRA_Fuel!B82</f>
        <v>FT-TRAKEIN3</v>
      </c>
      <c r="E101" s="33" t="str">
        <f>TRA_Fuel!C82</f>
        <v>Fuel Technology Kerosene &amp; Biokerosene Blending - level 3</v>
      </c>
      <c r="F101" s="37" t="s">
        <v>44</v>
      </c>
      <c r="G101" s="37" t="s">
        <v>50</v>
      </c>
    </row>
    <row r="102" spans="2:21" s="1161" customFormat="1">
      <c r="C102" s="1161" t="s">
        <v>1922</v>
      </c>
      <c r="D102" s="33" t="str">
        <f>TRA_Fuel!B84</f>
        <v>FT-TRAKEIN4</v>
      </c>
      <c r="E102" s="33" t="str">
        <f>TRA_Fuel!C84</f>
        <v>Fuel Technology Kerosene &amp; Biokerosene Blending - level 4</v>
      </c>
      <c r="F102" s="37" t="s">
        <v>44</v>
      </c>
      <c r="G102" s="37" t="s">
        <v>50</v>
      </c>
    </row>
    <row r="103" spans="2:21" s="1161" customFormat="1">
      <c r="B103"/>
      <c r="C103" t="s">
        <v>1922</v>
      </c>
      <c r="D103" s="33" t="str">
        <f>TRA_Fuel!B86</f>
        <v>FT-TRAKEIN5</v>
      </c>
      <c r="E103" s="33" t="str">
        <f>TRA_Fuel!C86</f>
        <v>Fuel Technology Kerosene &amp; Biokerosene Blending - level 5</v>
      </c>
      <c r="F103" s="37" t="s">
        <v>44</v>
      </c>
      <c r="G103" s="37" t="s">
        <v>50</v>
      </c>
      <c r="J103"/>
      <c r="K103"/>
    </row>
    <row r="104" spans="2:21" s="1161" customFormat="1">
      <c r="B104" s="581"/>
      <c r="C104" s="581" t="s">
        <v>1922</v>
      </c>
      <c r="D104" s="38" t="str">
        <f>TRA_Fuel!B88</f>
        <v>FT-TRAKENA1</v>
      </c>
      <c r="E104" s="38" t="str">
        <f>TRA_Fuel!C88</f>
        <v>Fuel Technology Kerosene &amp; Biokerosene Blending - level 1</v>
      </c>
      <c r="F104" s="37" t="s">
        <v>44</v>
      </c>
      <c r="G104" s="37" t="s">
        <v>50</v>
      </c>
      <c r="H104" s="581"/>
      <c r="I104" s="581"/>
      <c r="J104" s="581"/>
    </row>
    <row r="105" spans="2:21" s="1161" customFormat="1">
      <c r="B105" s="581"/>
      <c r="C105" s="581" t="s">
        <v>1922</v>
      </c>
      <c r="D105" s="38" t="str">
        <f>TRA_Fuel!B90</f>
        <v>FT-TRAKENA2</v>
      </c>
      <c r="E105" s="38" t="str">
        <f>TRA_Fuel!C90</f>
        <v>Fuel Technology Kerosene &amp; Biokerosene Blending - level 2</v>
      </c>
      <c r="F105" s="37" t="s">
        <v>44</v>
      </c>
      <c r="G105" s="37" t="s">
        <v>50</v>
      </c>
      <c r="H105" s="581"/>
      <c r="J105" s="581"/>
    </row>
    <row r="106" spans="2:21" s="1161" customFormat="1">
      <c r="B106" s="581"/>
      <c r="C106" s="581" t="s">
        <v>1922</v>
      </c>
      <c r="D106" s="581" t="str">
        <f>TRA_Fuel!B92</f>
        <v>FT-TRAKENA3</v>
      </c>
      <c r="E106" s="581" t="str">
        <f>TRA_Fuel!C92</f>
        <v>Fuel Technology Kerosene &amp; Biokerosene Blending - level 3</v>
      </c>
      <c r="F106" s="37" t="s">
        <v>44</v>
      </c>
      <c r="G106" s="37" t="s">
        <v>50</v>
      </c>
    </row>
    <row r="107" spans="2:21" s="1161" customFormat="1">
      <c r="C107" s="1161" t="s">
        <v>1922</v>
      </c>
      <c r="D107" s="581" t="str">
        <f>TRA_Fuel!B94</f>
        <v>FT-TRAKENA4</v>
      </c>
      <c r="E107" s="581" t="str">
        <f>TRA_Fuel!C94</f>
        <v>Fuel Technology Kerosene &amp; Biokerosene Blending - level 4</v>
      </c>
      <c r="F107" s="37" t="s">
        <v>44</v>
      </c>
      <c r="G107" s="37" t="s">
        <v>50</v>
      </c>
    </row>
    <row r="108" spans="2:21" s="1161" customFormat="1">
      <c r="C108" s="1161" t="s">
        <v>1922</v>
      </c>
      <c r="D108" s="581" t="str">
        <f>TRA_Fuel!B96</f>
        <v>FT-TRAKENA5</v>
      </c>
      <c r="E108" s="581" t="str">
        <f>TRA_Fuel!C96</f>
        <v>Fuel Technology Kerosene &amp; Biokerosene Blending - level 5</v>
      </c>
      <c r="F108" s="37" t="s">
        <v>44</v>
      </c>
      <c r="G108" s="37" t="s">
        <v>50</v>
      </c>
    </row>
    <row r="109" spans="2:21" s="1161" customFormat="1">
      <c r="B109"/>
      <c r="C109" t="s">
        <v>1922</v>
      </c>
      <c r="D109" s="33" t="str">
        <f>TRA_Fuel!B98</f>
        <v>FT-TRANGBLD1</v>
      </c>
      <c r="E109" s="33" t="str">
        <f>TRA_Fuel!C98</f>
        <v>Fuel Technology Compressed Nat. Gas &amp; Bio Synt. Nat. Gas Blending - level 1</v>
      </c>
      <c r="F109" s="37" t="s">
        <v>44</v>
      </c>
      <c r="G109" s="37" t="s">
        <v>50</v>
      </c>
      <c r="J109"/>
      <c r="K109"/>
    </row>
    <row r="110" spans="2:21" s="1161" customFormat="1">
      <c r="B110"/>
      <c r="C110" t="s">
        <v>1922</v>
      </c>
      <c r="D110" s="33" t="str">
        <f>TRA_Fuel!B100</f>
        <v>FT-TRANGBLD2</v>
      </c>
      <c r="E110" s="33" t="str">
        <f>TRA_Fuel!C100</f>
        <v>Fuel Technology Compressed Nat. Gas &amp; Bio Synt. Nat. Gas Blending - level 2</v>
      </c>
      <c r="F110" s="37" t="s">
        <v>44</v>
      </c>
      <c r="G110" s="37" t="s">
        <v>50</v>
      </c>
      <c r="J110"/>
      <c r="K110"/>
    </row>
    <row r="111" spans="2:21">
      <c r="C111" t="s">
        <v>1922</v>
      </c>
      <c r="D111" s="33" t="str">
        <f>TRA_Fuel!B102</f>
        <v>FT-TRANGBLD3</v>
      </c>
      <c r="E111" s="33" t="str">
        <f>TRA_Fuel!C102</f>
        <v>Fuel Technology Compressed Nat. Gas &amp; Bio Synt. Nat. Gas Blending - level 3</v>
      </c>
      <c r="F111" s="37" t="s">
        <v>44</v>
      </c>
      <c r="G111" s="37" t="s">
        <v>50</v>
      </c>
      <c r="H111" s="581"/>
      <c r="I111" s="581"/>
      <c r="M111" s="1161"/>
      <c r="N111" s="1161"/>
      <c r="O111" s="1161"/>
      <c r="P111" s="1161"/>
      <c r="Q111" s="1161"/>
      <c r="R111" s="1161"/>
      <c r="S111" s="1161"/>
      <c r="T111" s="1161"/>
      <c r="U111" s="1161"/>
    </row>
    <row r="112" spans="2:21">
      <c r="C112" t="s">
        <v>1922</v>
      </c>
      <c r="D112" s="33" t="str">
        <f>TRA_Fuel!B106</f>
        <v>FT-TRANGBLD4</v>
      </c>
      <c r="E112" s="33" t="str">
        <f>TRA_Fuel!C106</f>
        <v>Fuel Technology Compressed Nat. Gas &amp; Bio Synt. Nat. Gas Blending - level 4</v>
      </c>
      <c r="F112" s="37" t="s">
        <v>44</v>
      </c>
      <c r="G112" s="37" t="s">
        <v>50</v>
      </c>
      <c r="H112" s="581"/>
      <c r="I112" s="581"/>
      <c r="M112" s="1161"/>
      <c r="N112" s="1161"/>
      <c r="O112" s="1161"/>
      <c r="P112" s="1161"/>
      <c r="Q112" s="1161"/>
      <c r="R112" s="1161"/>
      <c r="S112" s="1161"/>
      <c r="T112" s="1161"/>
      <c r="U112" s="1161"/>
    </row>
    <row r="113" spans="2:21">
      <c r="C113" t="s">
        <v>1922</v>
      </c>
      <c r="D113" s="33" t="str">
        <f>TRA_Fuel!B110</f>
        <v>FT-TRANGBLD5</v>
      </c>
      <c r="E113" s="33" t="str">
        <f>TRA_Fuel!C110</f>
        <v>Fuel Technology Compressed Nat. Gas &amp; Bio Synt. Nat. Gas Blending - level 5</v>
      </c>
      <c r="F113" s="37" t="s">
        <v>44</v>
      </c>
      <c r="G113" s="37" t="s">
        <v>50</v>
      </c>
      <c r="H113" s="581"/>
      <c r="I113" s="581"/>
      <c r="M113" s="1161"/>
      <c r="N113" s="1161"/>
      <c r="O113" s="1161"/>
      <c r="P113" s="1161"/>
      <c r="Q113" s="1161"/>
      <c r="R113" s="1161"/>
      <c r="S113" s="1161"/>
      <c r="T113" s="1161"/>
      <c r="U113" s="1161"/>
    </row>
    <row r="114" spans="2:21">
      <c r="C114" t="s">
        <v>1922</v>
      </c>
      <c r="D114" s="1161" t="str">
        <f>"FT-"&amp;Commodities!D95</f>
        <v>FT-TRAOILBL1N</v>
      </c>
      <c r="E114" s="1161" t="str">
        <f>"Fuel Technology "&amp;Commodities!E95</f>
        <v>Fuel Technology Blended Fuel - Oil products bio and renewable - level 1 - TRA Navigation</v>
      </c>
      <c r="F114" s="1161" t="s">
        <v>44</v>
      </c>
      <c r="G114" s="1161" t="s">
        <v>50</v>
      </c>
      <c r="H114" s="581"/>
      <c r="I114" s="581"/>
    </row>
    <row r="115" spans="2:21">
      <c r="C115" t="s">
        <v>1922</v>
      </c>
      <c r="D115" s="1161" t="str">
        <f>"FT-"&amp;Commodities!D96</f>
        <v>FT-TRAOILBL2N</v>
      </c>
      <c r="E115" s="1161" t="str">
        <f>"Fuel Technology "&amp;Commodities!E96</f>
        <v>Fuel Technology Blended Fuel - Oil products bio and renewable - level 2 - TRA Navigation</v>
      </c>
      <c r="F115" s="1161" t="s">
        <v>44</v>
      </c>
      <c r="G115" s="1161" t="s">
        <v>50</v>
      </c>
      <c r="H115" s="581"/>
      <c r="I115" s="1161"/>
    </row>
    <row r="116" spans="2:21">
      <c r="C116" t="s">
        <v>1922</v>
      </c>
      <c r="D116" s="1161" t="str">
        <f>"FT-"&amp;Commodities!D97</f>
        <v>FT-TRAOILBL3N</v>
      </c>
      <c r="E116" s="1161" t="str">
        <f>"Fuel Technology "&amp;Commodities!E97</f>
        <v>Fuel Technology Blended Fuel - Oil products bio and renewable - level 3 - TRA Navigation</v>
      </c>
      <c r="F116" s="1161" t="s">
        <v>44</v>
      </c>
      <c r="G116" s="1161" t="s">
        <v>50</v>
      </c>
    </row>
    <row r="117" spans="2:21">
      <c r="C117" t="s">
        <v>1922</v>
      </c>
      <c r="D117" s="1161" t="str">
        <f>"FT-"&amp;Commodities!D98</f>
        <v>FT-TRAOILBL4N</v>
      </c>
      <c r="E117" s="1161" t="str">
        <f>"Fuel Technology "&amp;Commodities!E98</f>
        <v>Fuel Technology Blended Fuel - Oil products bio and renewable - level 4 - TRA Navigation</v>
      </c>
      <c r="F117" s="1161" t="s">
        <v>44</v>
      </c>
      <c r="G117" s="1161" t="s">
        <v>50</v>
      </c>
    </row>
    <row r="118" spans="2:21">
      <c r="C118" t="s">
        <v>1922</v>
      </c>
      <c r="D118" s="1161" t="str">
        <f>"FT-"&amp;Commodities!D99</f>
        <v>FT-TRAOILBL5N</v>
      </c>
      <c r="E118" s="1161" t="str">
        <f>"Fuel Technology "&amp;Commodities!E99</f>
        <v>Fuel Technology Blended Fuel - Oil products bio and renewable - level 5 - TRA Navigation</v>
      </c>
      <c r="F118" s="1161" t="s">
        <v>44</v>
      </c>
      <c r="G118" s="1161" t="s">
        <v>50</v>
      </c>
    </row>
    <row r="119" spans="2:21">
      <c r="C119" t="s">
        <v>1922</v>
      </c>
      <c r="D119" s="1161" t="str">
        <f>"FT-"&amp;Commodities!D100</f>
        <v>FT-TRANGBL1N</v>
      </c>
      <c r="E119" s="1161" t="str">
        <f>"Fuel Technology "&amp;Commodities!E100</f>
        <v>Fuel Technology Liqufied Blended Fuel - NGA &amp; SNG - level 1 - TRA Navigation</v>
      </c>
      <c r="F119" s="37" t="s">
        <v>44</v>
      </c>
      <c r="G119" s="37" t="s">
        <v>50</v>
      </c>
    </row>
    <row r="120" spans="2:21">
      <c r="C120" t="s">
        <v>1922</v>
      </c>
      <c r="D120" s="1161" t="str">
        <f>"FT-"&amp;Commodities!D101</f>
        <v>FT-TRANGBL2N</v>
      </c>
      <c r="E120" s="1161" t="str">
        <f>"Fuel Technology "&amp;Commodities!E101</f>
        <v>Fuel Technology Liqufied Blended Fuel - NGA &amp; SNG - level 2 - TRA Navigation</v>
      </c>
      <c r="F120" s="37" t="s">
        <v>44</v>
      </c>
      <c r="G120" s="37" t="s">
        <v>50</v>
      </c>
    </row>
    <row r="121" spans="2:21">
      <c r="C121" t="s">
        <v>1922</v>
      </c>
      <c r="D121" s="1161" t="str">
        <f>"FT-"&amp;Commodities!D102</f>
        <v>FT-TRANGBL3N</v>
      </c>
      <c r="E121" s="1161" t="str">
        <f>"Fuel Technology "&amp;Commodities!E102</f>
        <v>Fuel Technology Liqufied Blended Fuel - NGA &amp; SNG - level 3 - TRA Navigation</v>
      </c>
      <c r="F121" s="37" t="s">
        <v>44</v>
      </c>
      <c r="G121" s="37" t="s">
        <v>50</v>
      </c>
    </row>
    <row r="122" spans="2:21">
      <c r="B122" s="714"/>
      <c r="C122" s="714" t="s">
        <v>1922</v>
      </c>
      <c r="D122" s="1161" t="str">
        <f>"FT-"&amp;Commodities!D103</f>
        <v>FT-TRANGBL4N</v>
      </c>
      <c r="E122" s="1161" t="str">
        <f>"Fuel Technology "&amp;Commodities!E103</f>
        <v>Fuel Technology Liqufied Blended Fuel - NGA &amp; SNG - level 4 - TRA Navigation</v>
      </c>
      <c r="F122" s="37" t="s">
        <v>44</v>
      </c>
      <c r="G122" s="37" t="s">
        <v>50</v>
      </c>
    </row>
    <row r="123" spans="2:21">
      <c r="B123" s="714"/>
      <c r="C123" s="714" t="s">
        <v>1922</v>
      </c>
      <c r="D123" s="1161" t="str">
        <f>"FT-"&amp;Commodities!D104</f>
        <v>FT-TRANGBL5N</v>
      </c>
      <c r="E123" s="1161" t="str">
        <f>"Fuel Technology "&amp;Commodities!E104</f>
        <v>Fuel Technology Liqufied Blended Fuel - NGA &amp; SNG - level 5 - TRA Navigation</v>
      </c>
      <c r="F123" s="37" t="s">
        <v>44</v>
      </c>
      <c r="G123" s="37" t="s">
        <v>50</v>
      </c>
      <c r="J123" s="1161"/>
      <c r="K123" s="1161"/>
    </row>
    <row r="124" spans="2:21">
      <c r="B124" s="714"/>
      <c r="C124" s="714" t="s">
        <v>1922</v>
      </c>
      <c r="D124" t="str">
        <f>TRA_Fuel!B152</f>
        <v>FT-TRADSBLD1C</v>
      </c>
      <c r="E124" s="1161" t="str">
        <f>TRA_Fuel!C152</f>
        <v>Fuel Technology Diesel &amp; Biodiesel Blending - level 1 cars</v>
      </c>
      <c r="F124" s="1161" t="s">
        <v>44</v>
      </c>
      <c r="G124" s="1161" t="s">
        <v>50</v>
      </c>
      <c r="J124" s="1161"/>
      <c r="K124" s="1161"/>
    </row>
    <row r="125" spans="2:21">
      <c r="B125" s="714"/>
      <c r="C125" s="714" t="s">
        <v>1922</v>
      </c>
      <c r="D125" s="1161" t="str">
        <f>TRA_Fuel!B153</f>
        <v>FT-TRADSBLD2C</v>
      </c>
      <c r="E125" s="1161" t="str">
        <f>TRA_Fuel!C153</f>
        <v>Fuel Technology Diesel &amp; Biodiesel Blending - level 2 cars</v>
      </c>
      <c r="F125" s="1161" t="s">
        <v>44</v>
      </c>
      <c r="G125" s="1161" t="s">
        <v>50</v>
      </c>
      <c r="J125" s="1161"/>
      <c r="K125" s="1161"/>
    </row>
    <row r="126" spans="2:21" s="1161" customFormat="1">
      <c r="B126" s="714"/>
      <c r="C126" s="714" t="s">
        <v>1922</v>
      </c>
      <c r="D126" s="1161" t="str">
        <f>TRA_Fuel!B154</f>
        <v>FT-TRADSBLD3C</v>
      </c>
      <c r="E126" s="1161" t="str">
        <f>TRA_Fuel!C154</f>
        <v>Fuel Technology Diesel &amp; Biodiesel Blending - level 3 cars</v>
      </c>
      <c r="F126" s="1161" t="s">
        <v>44</v>
      </c>
      <c r="G126" s="1161" t="s">
        <v>50</v>
      </c>
      <c r="H126"/>
      <c r="I126"/>
      <c r="M126"/>
      <c r="N126"/>
      <c r="O126"/>
      <c r="P126"/>
      <c r="Q126"/>
      <c r="R126"/>
      <c r="S126"/>
      <c r="T126"/>
      <c r="U126"/>
    </row>
    <row r="127" spans="2:21" s="1161" customFormat="1">
      <c r="B127" s="714"/>
      <c r="C127" s="714" t="s">
        <v>1922</v>
      </c>
      <c r="D127" s="1161" t="str">
        <f>TRA_Fuel!B155</f>
        <v>FT-TRADSBLD4C</v>
      </c>
      <c r="E127" s="1161" t="str">
        <f>TRA_Fuel!C155</f>
        <v>Fuel Technology Diesel &amp; Biodiesel Blending - level 4 cars</v>
      </c>
      <c r="F127" s="1161" t="s">
        <v>44</v>
      </c>
      <c r="G127" s="1161" t="s">
        <v>50</v>
      </c>
      <c r="H127"/>
      <c r="I127"/>
      <c r="M127"/>
      <c r="N127"/>
      <c r="O127"/>
      <c r="P127"/>
      <c r="Q127"/>
      <c r="R127"/>
      <c r="S127"/>
      <c r="T127"/>
      <c r="U127"/>
    </row>
    <row r="128" spans="2:21" s="1161" customFormat="1">
      <c r="B128" s="714"/>
      <c r="C128" s="714" t="s">
        <v>1922</v>
      </c>
      <c r="D128" s="1161" t="str">
        <f>TRA_Fuel!B156</f>
        <v>FT-TRADSBLD5C</v>
      </c>
      <c r="E128" s="1161" t="str">
        <f>TRA_Fuel!C156</f>
        <v>Fuel Technology Diesel &amp; Biodiesel Blending - level 5 cars</v>
      </c>
      <c r="F128" s="1161" t="s">
        <v>44</v>
      </c>
      <c r="G128" s="1161" t="s">
        <v>50</v>
      </c>
      <c r="H128"/>
      <c r="I128"/>
      <c r="M128"/>
      <c r="N128"/>
      <c r="O128"/>
      <c r="P128"/>
      <c r="Q128"/>
      <c r="R128"/>
      <c r="S128"/>
      <c r="T128"/>
      <c r="U128"/>
    </row>
    <row r="129" spans="1:21" s="1161" customFormat="1">
      <c r="B129" s="714"/>
      <c r="C129" s="714" t="s">
        <v>1922</v>
      </c>
      <c r="D129" s="1161" t="str">
        <f>TRA_Fuel!B157</f>
        <v>FT-TRAGSBLD1C</v>
      </c>
      <c r="E129" s="1161" t="str">
        <f>TRA_Fuel!C157</f>
        <v>Fuel Technology Gasoline &amp; Bioethanol Blending - level 1 cars</v>
      </c>
      <c r="F129" s="1161" t="s">
        <v>44</v>
      </c>
      <c r="G129" s="1161" t="s">
        <v>50</v>
      </c>
      <c r="H129"/>
      <c r="I129"/>
      <c r="M129"/>
      <c r="N129"/>
      <c r="O129"/>
      <c r="P129"/>
      <c r="Q129"/>
      <c r="R129"/>
      <c r="S129"/>
      <c r="T129"/>
      <c r="U129"/>
    </row>
    <row r="130" spans="1:21" s="1161" customFormat="1">
      <c r="B130" s="714"/>
      <c r="C130" s="714" t="s">
        <v>1922</v>
      </c>
      <c r="D130" s="1161" t="str">
        <f>TRA_Fuel!B158</f>
        <v>FT-TRAGSBLD2C</v>
      </c>
      <c r="E130" s="1161" t="str">
        <f>TRA_Fuel!C158</f>
        <v>Fuel Technology Gasoline &amp; Bioethanol Blending - level 2 cars</v>
      </c>
      <c r="F130" s="1161" t="s">
        <v>44</v>
      </c>
      <c r="G130" s="1161" t="s">
        <v>50</v>
      </c>
      <c r="H130"/>
      <c r="I130"/>
      <c r="M130"/>
      <c r="N130"/>
      <c r="O130"/>
      <c r="P130"/>
      <c r="Q130"/>
      <c r="R130"/>
      <c r="S130"/>
      <c r="T130"/>
      <c r="U130"/>
    </row>
    <row r="131" spans="1:21" s="1161" customFormat="1">
      <c r="A131" s="714"/>
      <c r="B131" s="714"/>
      <c r="C131" s="714" t="s">
        <v>1922</v>
      </c>
      <c r="D131" s="1161" t="str">
        <f>TRA_Fuel!B159</f>
        <v>FT-TRAGSBLD3C</v>
      </c>
      <c r="E131" s="1161" t="str">
        <f>TRA_Fuel!C159</f>
        <v>Fuel Technology Gasoline &amp; Bioethanol Blending - level 3 cars</v>
      </c>
      <c r="F131" s="1161" t="s">
        <v>44</v>
      </c>
      <c r="G131" s="1161" t="s">
        <v>50</v>
      </c>
      <c r="M131"/>
      <c r="N131"/>
      <c r="O131"/>
      <c r="P131"/>
      <c r="Q131"/>
      <c r="R131"/>
      <c r="S131"/>
      <c r="T131"/>
      <c r="U131"/>
    </row>
    <row r="132" spans="1:21" s="1161" customFormat="1">
      <c r="A132" s="714"/>
      <c r="B132" s="714"/>
      <c r="C132" s="714" t="s">
        <v>1922</v>
      </c>
      <c r="D132" s="1161" t="str">
        <f>TRA_Fuel!B160</f>
        <v>FT-TRAGSBLD4C</v>
      </c>
      <c r="E132" s="1161" t="str">
        <f>TRA_Fuel!C160</f>
        <v>Fuel Technology Gasoline &amp; Bioethanol Blending - level 4 cars</v>
      </c>
      <c r="F132" s="1161" t="s">
        <v>44</v>
      </c>
      <c r="G132" s="1161" t="s">
        <v>50</v>
      </c>
      <c r="M132"/>
      <c r="N132"/>
      <c r="O132"/>
      <c r="P132"/>
      <c r="Q132"/>
      <c r="R132"/>
      <c r="S132"/>
      <c r="T132"/>
      <c r="U132"/>
    </row>
    <row r="133" spans="1:21" s="1161" customFormat="1">
      <c r="A133" s="714"/>
      <c r="C133" s="38" t="s">
        <v>1922</v>
      </c>
      <c r="D133" s="1161" t="str">
        <f>TRA_Fuel!B161</f>
        <v>FT-TRAGSBLD5C</v>
      </c>
      <c r="E133" s="1161" t="str">
        <f>TRA_Fuel!C161</f>
        <v>Fuel Technology Gasoline &amp; Bioethanol Blending - level 5 cars</v>
      </c>
      <c r="F133" s="1161" t="s">
        <v>44</v>
      </c>
      <c r="G133" s="1161" t="s">
        <v>50</v>
      </c>
      <c r="J133"/>
      <c r="K133"/>
      <c r="M133"/>
      <c r="N133"/>
      <c r="O133"/>
      <c r="P133"/>
      <c r="Q133"/>
      <c r="R133"/>
      <c r="S133"/>
      <c r="T133"/>
      <c r="U133"/>
    </row>
    <row r="134" spans="1:21" s="1161" customFormat="1">
      <c r="A134" s="714"/>
      <c r="B134"/>
      <c r="C134" t="s">
        <v>1922</v>
      </c>
      <c r="D134" s="1161" t="str">
        <f>TRA_Fuel!B162</f>
        <v>FT-TRANGBLD1C</v>
      </c>
      <c r="E134" s="1161" t="str">
        <f>TRA_Fuel!C162</f>
        <v>Fuel Technology Compressed Nat. Gas &amp; Bio Synt. Nat. Gas Blending - level 1 cars</v>
      </c>
      <c r="F134" s="1161" t="s">
        <v>44</v>
      </c>
      <c r="G134" s="1161" t="s">
        <v>50</v>
      </c>
      <c r="J134"/>
      <c r="K134"/>
      <c r="M134"/>
      <c r="N134"/>
      <c r="O134"/>
      <c r="P134"/>
      <c r="Q134"/>
      <c r="R134"/>
      <c r="S134"/>
      <c r="T134"/>
      <c r="U134"/>
    </row>
    <row r="135" spans="1:21" s="1161" customFormat="1">
      <c r="A135" s="714"/>
      <c r="B135"/>
      <c r="C135" t="s">
        <v>1922</v>
      </c>
      <c r="D135" s="1161" t="str">
        <f>TRA_Fuel!B163</f>
        <v>FT-TRANGBLD2C</v>
      </c>
      <c r="E135" s="1161" t="str">
        <f>TRA_Fuel!C163</f>
        <v>Fuel Technology Compressed Nat. Gas &amp; Bio Synt. Nat. Gas Blending - level 2 cars</v>
      </c>
      <c r="F135" s="1161" t="s">
        <v>44</v>
      </c>
      <c r="G135" s="1161" t="s">
        <v>50</v>
      </c>
      <c r="J135"/>
      <c r="K135"/>
      <c r="M135"/>
      <c r="N135"/>
      <c r="O135"/>
      <c r="P135"/>
      <c r="Q135"/>
      <c r="R135"/>
      <c r="S135"/>
      <c r="T135"/>
      <c r="U135"/>
    </row>
    <row r="136" spans="1:21">
      <c r="C136" t="s">
        <v>1922</v>
      </c>
      <c r="D136" s="1161" t="str">
        <f>TRA_Fuel!B164</f>
        <v>FT-TRANGBLD3C</v>
      </c>
      <c r="E136" s="1161" t="str">
        <f>TRA_Fuel!C164</f>
        <v>Fuel Technology Compressed Nat. Gas &amp; Bio Synt. Nat. Gas Blending - level 3 cars</v>
      </c>
      <c r="F136" s="1161" t="s">
        <v>44</v>
      </c>
      <c r="G136" s="1161" t="s">
        <v>50</v>
      </c>
      <c r="H136" s="1161"/>
      <c r="I136" s="1161"/>
    </row>
    <row r="137" spans="1:21">
      <c r="C137" t="s">
        <v>1922</v>
      </c>
      <c r="D137" s="1161" t="str">
        <f>TRA_Fuel!B165</f>
        <v>FT-TRANGBLD4C</v>
      </c>
      <c r="E137" s="1161" t="str">
        <f>TRA_Fuel!C165</f>
        <v>Fuel Technology Compressed Nat. Gas &amp; Bio Synt. Nat. Gas Blending - level 4 cars</v>
      </c>
      <c r="F137" s="1161" t="s">
        <v>44</v>
      </c>
      <c r="G137" s="1161" t="s">
        <v>50</v>
      </c>
      <c r="H137" s="1161"/>
      <c r="I137" s="1161"/>
    </row>
    <row r="138" spans="1:21">
      <c r="C138" t="s">
        <v>1922</v>
      </c>
      <c r="D138" s="714" t="str">
        <f>TRA_Fuel!B166</f>
        <v>FT-TRANGBLD5C</v>
      </c>
      <c r="E138" s="714" t="str">
        <f>TRA_Fuel!C166</f>
        <v>Fuel Technology Compressed Nat. Gas &amp; Bio Synt. Nat. Gas Blending - level 5 cars</v>
      </c>
      <c r="F138" s="714" t="s">
        <v>44</v>
      </c>
      <c r="G138" s="714" t="s">
        <v>50</v>
      </c>
      <c r="H138" s="1161"/>
      <c r="I138" s="1161"/>
    </row>
    <row r="139" spans="1:21">
      <c r="C139" t="s">
        <v>1922</v>
      </c>
      <c r="D139" s="1454" t="s">
        <v>1650</v>
      </c>
      <c r="E139" s="1454" t="s">
        <v>1833</v>
      </c>
      <c r="F139" s="659" t="s">
        <v>44</v>
      </c>
      <c r="G139" s="659" t="s">
        <v>50</v>
      </c>
      <c r="H139" s="1161"/>
      <c r="I139" s="1161"/>
    </row>
    <row r="140" spans="1:21">
      <c r="C140" t="s">
        <v>1922</v>
      </c>
      <c r="D140" s="245" t="s">
        <v>1658</v>
      </c>
      <c r="E140" s="1454" t="s">
        <v>1834</v>
      </c>
      <c r="F140" s="659" t="s">
        <v>44</v>
      </c>
      <c r="G140" s="659" t="s">
        <v>50</v>
      </c>
      <c r="H140" s="1161"/>
      <c r="I140" s="1161"/>
    </row>
    <row r="141" spans="1:21" s="1161" customFormat="1">
      <c r="C141" s="1161" t="s">
        <v>1922</v>
      </c>
      <c r="D141" s="1454" t="s">
        <v>1659</v>
      </c>
      <c r="E141" s="1454" t="s">
        <v>1660</v>
      </c>
      <c r="F141" s="659" t="s">
        <v>44</v>
      </c>
      <c r="G141" s="659" t="s">
        <v>50</v>
      </c>
    </row>
    <row r="142" spans="1:21" s="1161" customFormat="1">
      <c r="B142" s="1618"/>
      <c r="C142" s="1618" t="s">
        <v>1922</v>
      </c>
      <c r="D142" s="1635" t="s">
        <v>1661</v>
      </c>
      <c r="E142" s="1635" t="s">
        <v>1662</v>
      </c>
      <c r="F142" s="1636" t="s">
        <v>44</v>
      </c>
      <c r="G142" s="1636" t="s">
        <v>50</v>
      </c>
      <c r="H142" s="1618"/>
      <c r="I142" s="1618"/>
      <c r="J142" s="1618"/>
    </row>
    <row r="143" spans="1:21">
      <c r="B143" s="1175" t="s">
        <v>1557</v>
      </c>
      <c r="C143" t="s">
        <v>1922</v>
      </c>
      <c r="D143" s="38" t="str">
        <f>"FT-TRA"&amp;RIGHT(Commodities!D171,7)</f>
        <v>FT-TRABIKEcom</v>
      </c>
      <c r="E143" s="50" t="str">
        <f>"Fuel Technology "&amp;Commodities!E171</f>
        <v>Fuel Technology Dummy commodity for bike/walk</v>
      </c>
      <c r="F143" s="37" t="s">
        <v>44</v>
      </c>
      <c r="G143" s="37" t="s">
        <v>50</v>
      </c>
      <c r="H143" s="38"/>
      <c r="I143" s="581"/>
    </row>
    <row r="144" spans="1:21">
      <c r="D144" s="1161"/>
      <c r="E144" s="1161"/>
      <c r="F144" s="1161"/>
      <c r="G144" s="1161"/>
    </row>
    <row r="151" spans="4:7">
      <c r="D151" s="1161"/>
      <c r="E151" s="1161"/>
      <c r="F151" s="1161"/>
      <c r="G151" s="1161"/>
    </row>
    <row r="152" spans="4:7">
      <c r="D152" s="1161"/>
      <c r="E152" s="1161"/>
      <c r="F152" s="1161"/>
      <c r="G152" s="1161"/>
    </row>
    <row r="153" spans="4:7">
      <c r="D153" s="1161"/>
      <c r="E153" s="1161"/>
      <c r="F153" s="1161"/>
      <c r="G153" s="1161"/>
    </row>
    <row r="154" spans="4:7">
      <c r="D154" s="1161"/>
      <c r="E154" s="1161"/>
      <c r="F154" s="1161"/>
      <c r="G154" s="1161"/>
    </row>
    <row r="155" spans="4:7">
      <c r="D155" s="1161"/>
      <c r="E155" s="1161"/>
      <c r="F155" s="1161"/>
      <c r="G155" s="1161"/>
    </row>
  </sheetData>
  <phoneticPr fontId="42" type="noConversion"/>
  <pageMargins left="0.75" right="0.75" top="1" bottom="1" header="0.5" footer="0.5"/>
  <pageSetup paperSize="9" orientation="portrait" horizontalDpi="300" verticalDpi="300"/>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5"/>
  <dimension ref="A1:BK182"/>
  <sheetViews>
    <sheetView topLeftCell="A69" zoomScale="90" zoomScaleNormal="90" workbookViewId="0">
      <selection activeCell="I92" sqref="I92"/>
    </sheetView>
  </sheetViews>
  <sheetFormatPr defaultRowHeight="12.75"/>
  <cols>
    <col min="1" max="1" width="4.7109375" customWidth="1"/>
    <col min="2" max="2" width="17" bestFit="1" customWidth="1"/>
    <col min="3" max="3" width="56.85546875" bestFit="1" customWidth="1"/>
    <col min="4" max="4" width="11.140625" bestFit="1" customWidth="1"/>
    <col min="5" max="5" width="19.7109375" bestFit="1" customWidth="1"/>
    <col min="6" max="6" width="5.140625" bestFit="1" customWidth="1"/>
    <col min="7" max="7" width="5.42578125" bestFit="1" customWidth="1"/>
    <col min="8" max="8" width="8.28515625" bestFit="1" customWidth="1"/>
    <col min="9" max="9" width="8.5703125" bestFit="1" customWidth="1"/>
    <col min="10" max="11" width="10.28515625" bestFit="1" customWidth="1"/>
    <col min="12" max="12" width="7.5703125" bestFit="1" customWidth="1"/>
    <col min="17" max="17" width="12.7109375" bestFit="1" customWidth="1"/>
    <col min="18" max="18" width="29.140625" bestFit="1" customWidth="1"/>
    <col min="30" max="30" width="50.7109375" bestFit="1" customWidth="1"/>
    <col min="31" max="31" width="8.85546875" bestFit="1" customWidth="1"/>
    <col min="39" max="39" width="20.5703125" customWidth="1"/>
    <col min="42" max="42" width="13.85546875" customWidth="1"/>
    <col min="43" max="43" width="17.42578125" customWidth="1"/>
  </cols>
  <sheetData>
    <row r="1" spans="1:63">
      <c r="G1" s="30"/>
      <c r="H1" s="31"/>
    </row>
    <row r="2" spans="1:63">
      <c r="AH2" s="1356"/>
      <c r="AI2" s="1356"/>
      <c r="AJ2" s="1356"/>
      <c r="AK2" s="1356"/>
      <c r="AL2" s="1356"/>
      <c r="AM2" s="1356"/>
      <c r="AN2" s="1356"/>
      <c r="AO2" s="1356"/>
      <c r="AP2" s="1356"/>
      <c r="AQ2" s="1356"/>
      <c r="AR2" s="1356"/>
      <c r="AS2" s="1356"/>
      <c r="AT2" s="1356"/>
      <c r="AU2" s="1356"/>
      <c r="AV2" s="1356"/>
      <c r="BD2" s="1356"/>
      <c r="BE2" s="1356"/>
    </row>
    <row r="3" spans="1:63">
      <c r="B3" s="8"/>
      <c r="C3" s="13"/>
      <c r="D3" s="13"/>
      <c r="E3" s="14" t="s">
        <v>8</v>
      </c>
      <c r="F3" s="13"/>
      <c r="Q3" s="8"/>
      <c r="R3" s="13"/>
      <c r="S3" s="13"/>
      <c r="T3" s="1161"/>
      <c r="U3" s="14" t="s">
        <v>8</v>
      </c>
      <c r="V3" s="13"/>
      <c r="W3" s="1161"/>
      <c r="X3" s="1161"/>
      <c r="Y3" s="1161"/>
      <c r="Z3" s="1161"/>
      <c r="AA3" s="1161"/>
      <c r="AB3" s="1161"/>
      <c r="AC3" s="1161"/>
      <c r="AD3" s="1161"/>
      <c r="AE3" s="1161"/>
      <c r="AH3" s="1356"/>
      <c r="AI3" s="1356"/>
      <c r="AJ3" s="1356"/>
      <c r="AK3" s="1356"/>
      <c r="AL3" s="1356"/>
      <c r="AM3" s="1356"/>
      <c r="AN3" s="1356"/>
      <c r="AO3" s="1356"/>
      <c r="AP3" s="1356"/>
      <c r="AQ3" s="1356"/>
      <c r="AR3" s="1356"/>
      <c r="AS3" s="1356"/>
      <c r="AT3" s="1356"/>
      <c r="AU3" s="1356"/>
      <c r="AV3" s="1356"/>
      <c r="BD3" s="1356"/>
      <c r="BE3" s="1356"/>
    </row>
    <row r="4" spans="1:63" ht="25.5">
      <c r="B4" s="12" t="s">
        <v>2</v>
      </c>
      <c r="C4" s="12" t="s">
        <v>26</v>
      </c>
      <c r="D4" s="12" t="s">
        <v>14</v>
      </c>
      <c r="E4" s="15" t="s">
        <v>15</v>
      </c>
      <c r="F4" s="16" t="s">
        <v>16</v>
      </c>
      <c r="G4" s="16" t="s">
        <v>55</v>
      </c>
      <c r="H4" s="16" t="s">
        <v>521</v>
      </c>
      <c r="I4" s="16" t="s">
        <v>519</v>
      </c>
      <c r="J4" s="16" t="s">
        <v>600</v>
      </c>
      <c r="K4" s="16" t="s">
        <v>599</v>
      </c>
      <c r="L4" s="16" t="s">
        <v>520</v>
      </c>
      <c r="Q4" s="757" t="s">
        <v>2</v>
      </c>
      <c r="R4" s="757" t="s">
        <v>26</v>
      </c>
      <c r="S4" s="757" t="s">
        <v>14</v>
      </c>
      <c r="T4" s="1281" t="s">
        <v>15</v>
      </c>
      <c r="U4" s="1282" t="s">
        <v>1334</v>
      </c>
      <c r="V4" s="1282" t="s">
        <v>16</v>
      </c>
      <c r="W4" s="1282" t="s">
        <v>55</v>
      </c>
      <c r="X4" s="1282" t="s">
        <v>1335</v>
      </c>
      <c r="Y4" s="1282" t="s">
        <v>1073</v>
      </c>
      <c r="Z4" s="1282" t="s">
        <v>1074</v>
      </c>
      <c r="AA4" s="1282" t="s">
        <v>1336</v>
      </c>
      <c r="AB4" s="1282" t="s">
        <v>1337</v>
      </c>
      <c r="AC4" s="1282" t="s">
        <v>1338</v>
      </c>
      <c r="AD4" s="1282" t="s">
        <v>1339</v>
      </c>
      <c r="AE4" s="1282" t="s">
        <v>1340</v>
      </c>
      <c r="AF4" s="1420"/>
      <c r="AH4" s="1356" t="s">
        <v>1350</v>
      </c>
      <c r="AI4" s="1356"/>
      <c r="AJ4" s="1356"/>
      <c r="AK4" s="1356"/>
      <c r="AL4" s="1356"/>
      <c r="AM4" s="1658" t="s">
        <v>1559</v>
      </c>
      <c r="AN4" s="1658"/>
      <c r="AO4" s="1658"/>
      <c r="AP4" s="1658"/>
      <c r="AQ4" s="1658"/>
      <c r="AR4" s="1356"/>
      <c r="AS4" s="1389" t="s">
        <v>1560</v>
      </c>
      <c r="AT4" s="1389"/>
      <c r="AU4" s="1390"/>
      <c r="AV4" s="1390"/>
      <c r="BD4" s="1356"/>
      <c r="BE4" s="1356"/>
    </row>
    <row r="5" spans="1:63" ht="39" thickBot="1">
      <c r="B5" s="17" t="s">
        <v>45</v>
      </c>
      <c r="C5" s="18"/>
      <c r="D5" s="18"/>
      <c r="E5" s="19"/>
      <c r="F5" s="20"/>
      <c r="G5" s="20"/>
      <c r="H5" s="20"/>
      <c r="I5" s="20"/>
      <c r="J5" s="20"/>
      <c r="K5" s="20"/>
      <c r="L5" s="20"/>
      <c r="Q5" s="17" t="s">
        <v>45</v>
      </c>
      <c r="R5" s="18"/>
      <c r="S5" s="18"/>
      <c r="T5" s="19"/>
      <c r="U5" s="20"/>
      <c r="V5" s="20"/>
      <c r="W5" s="20"/>
      <c r="X5" s="20"/>
      <c r="Y5" s="20" t="s">
        <v>1315</v>
      </c>
      <c r="Z5" s="20" t="s">
        <v>1315</v>
      </c>
      <c r="AA5" s="20"/>
      <c r="AB5" s="20" t="s">
        <v>1315</v>
      </c>
      <c r="AC5" s="20" t="s">
        <v>1315</v>
      </c>
      <c r="AD5" s="20" t="s">
        <v>1341</v>
      </c>
      <c r="AE5" s="20" t="s">
        <v>1342</v>
      </c>
      <c r="AH5" s="1356" t="s">
        <v>145</v>
      </c>
      <c r="AI5" s="1356" t="s">
        <v>146</v>
      </c>
      <c r="AJ5" s="1356"/>
      <c r="AK5" s="1356"/>
      <c r="AL5" s="1356"/>
      <c r="AM5" s="1391" t="s">
        <v>1561</v>
      </c>
      <c r="AN5" s="1391" t="s">
        <v>1562</v>
      </c>
      <c r="AO5" s="1356" t="s">
        <v>1563</v>
      </c>
      <c r="AP5" s="1391" t="s">
        <v>1564</v>
      </c>
      <c r="AQ5" s="1391" t="s">
        <v>1565</v>
      </c>
      <c r="AR5" s="1356"/>
      <c r="AS5" s="1390"/>
      <c r="AT5" s="1390"/>
      <c r="AU5" s="1390"/>
      <c r="AV5" s="1390"/>
      <c r="AW5" s="1390"/>
      <c r="AX5" s="1390"/>
      <c r="AY5" s="1390"/>
      <c r="AZ5" s="1390"/>
      <c r="BA5" s="1390"/>
      <c r="BB5" s="1390"/>
      <c r="BC5" s="1356"/>
      <c r="BD5" s="1356"/>
      <c r="BE5" s="1356"/>
    </row>
    <row r="6" spans="1:63" s="580" customFormat="1" ht="15">
      <c r="B6" s="681" t="str">
        <f>Processes!D59</f>
        <v>FT-TRAAGSL</v>
      </c>
      <c r="C6" s="681" t="str">
        <f>Processes!E59</f>
        <v>Fuel Technology Aviation gasoline TRA</v>
      </c>
      <c r="D6" s="681" t="str">
        <f>RIGHT(Commodities!D53,4)</f>
        <v>AGSL</v>
      </c>
      <c r="E6" s="681" t="str">
        <f>Commodities!D53</f>
        <v>TRAAGSL</v>
      </c>
      <c r="F6" s="1182">
        <v>1</v>
      </c>
      <c r="G6" s="681">
        <v>100</v>
      </c>
      <c r="H6" s="681"/>
      <c r="I6" s="681"/>
      <c r="J6" s="681"/>
      <c r="K6" s="681"/>
      <c r="L6" s="681"/>
      <c r="Q6" s="1161" t="s">
        <v>1309</v>
      </c>
      <c r="R6" s="1161" t="s">
        <v>1310</v>
      </c>
      <c r="S6" s="1161"/>
      <c r="T6" s="1161" t="s">
        <v>1199</v>
      </c>
      <c r="U6" s="1161"/>
      <c r="V6" s="1161">
        <v>1</v>
      </c>
      <c r="W6" s="1161">
        <v>100</v>
      </c>
      <c r="X6" s="1161"/>
      <c r="Y6" s="1161"/>
      <c r="Z6" s="1161"/>
      <c r="AA6" s="1161"/>
      <c r="AB6" s="1161"/>
      <c r="AC6" s="1161"/>
      <c r="AD6" s="1161"/>
      <c r="AE6" s="1161"/>
      <c r="AH6" s="1356"/>
      <c r="AI6" s="1356"/>
      <c r="AJ6" s="1356"/>
      <c r="AK6" s="1356"/>
      <c r="AL6" s="1356"/>
      <c r="AM6" s="1391" t="s">
        <v>1566</v>
      </c>
      <c r="AN6" s="1391">
        <f>0.1+0.58+0.04</f>
        <v>0.72</v>
      </c>
      <c r="AO6" s="1356">
        <f t="shared" ref="AO6:AO11" si="0">AN6-AP6-AQ6</f>
        <v>0.72</v>
      </c>
      <c r="AP6" s="1356"/>
      <c r="AQ6" s="1356"/>
      <c r="AR6" s="1356"/>
      <c r="AS6" s="1392" t="s">
        <v>1567</v>
      </c>
      <c r="AT6" s="1392"/>
      <c r="AU6" s="1390"/>
      <c r="AV6" s="1390"/>
      <c r="AW6" s="1390"/>
      <c r="AX6" s="1390"/>
      <c r="AY6" s="1390"/>
      <c r="AZ6" s="1390"/>
      <c r="BA6" s="1390"/>
      <c r="BB6" s="1390"/>
      <c r="BC6" s="1356"/>
      <c r="BD6" s="1356"/>
      <c r="BE6" s="1356" t="s">
        <v>1602</v>
      </c>
    </row>
    <row r="7" spans="1:63">
      <c r="B7" t="str">
        <f>Processes!D56</f>
        <v>FT-TRADSL</v>
      </c>
      <c r="C7" t="str">
        <f>Processes!E56</f>
        <v>Fuel Technology Diesel TRA</v>
      </c>
      <c r="D7" t="str">
        <f>RIGHT(Commodities!D36,3)</f>
        <v>DSL</v>
      </c>
      <c r="E7" t="str">
        <f>Commodities!D36</f>
        <v>TRADSL</v>
      </c>
      <c r="F7" s="684">
        <v>1</v>
      </c>
      <c r="G7" s="1161">
        <v>100</v>
      </c>
      <c r="H7" s="580"/>
      <c r="I7" s="580"/>
      <c r="J7" s="580"/>
      <c r="K7" s="580"/>
      <c r="L7" s="580"/>
      <c r="Q7" s="1161" t="s">
        <v>1311</v>
      </c>
      <c r="R7" s="1161" t="s">
        <v>1312</v>
      </c>
      <c r="S7" s="1161"/>
      <c r="T7" s="1161" t="s">
        <v>1258</v>
      </c>
      <c r="U7" s="22"/>
      <c r="V7" s="1161">
        <v>1</v>
      </c>
      <c r="W7" s="1161">
        <v>100</v>
      </c>
      <c r="X7" s="1161"/>
      <c r="Y7" s="1161"/>
      <c r="Z7" s="1161"/>
      <c r="AA7" s="1161"/>
      <c r="AB7" s="1161"/>
      <c r="AC7" s="1161"/>
      <c r="AD7" s="1161"/>
      <c r="AE7" s="1161"/>
      <c r="AH7" s="1356"/>
      <c r="AI7" s="1356"/>
      <c r="AJ7" s="1356"/>
      <c r="AK7" s="1356"/>
      <c r="AL7" s="1356"/>
      <c r="AM7" s="1391" t="s">
        <v>1568</v>
      </c>
      <c r="AN7" s="1391">
        <v>3.8</v>
      </c>
      <c r="AO7" s="1356">
        <f t="shared" si="0"/>
        <v>1.9299999999999997</v>
      </c>
      <c r="AP7" s="1356">
        <v>1.87</v>
      </c>
      <c r="AQ7" s="1356"/>
      <c r="AR7" s="1356"/>
      <c r="AS7" s="1390"/>
      <c r="AT7" s="1390"/>
      <c r="AU7" s="1390"/>
      <c r="AV7" s="1390"/>
      <c r="AW7" s="1390"/>
      <c r="AX7" s="1390"/>
      <c r="AY7" s="1390"/>
      <c r="AZ7" s="1390"/>
      <c r="BA7" s="1390"/>
      <c r="BB7" s="1390"/>
      <c r="BC7" s="1356"/>
      <c r="BD7" s="1356"/>
      <c r="BE7" s="1356"/>
    </row>
    <row r="8" spans="1:63" ht="15">
      <c r="B8" s="1161" t="str">
        <f>Processes!D57</f>
        <v>FT-TRADSLN</v>
      </c>
      <c r="C8" s="1161" t="str">
        <f>Processes!E57</f>
        <v>Fuel Technology Diesel TRA Navigation</v>
      </c>
      <c r="D8" s="1161" t="s">
        <v>1504</v>
      </c>
      <c r="E8" s="1161" t="str">
        <f>Commodities!D37</f>
        <v>TRADSLN</v>
      </c>
      <c r="F8" s="684">
        <v>1</v>
      </c>
      <c r="G8" s="1161">
        <v>100</v>
      </c>
      <c r="H8" s="1161"/>
      <c r="I8" s="1161"/>
      <c r="J8" s="1161"/>
      <c r="K8" s="1161"/>
      <c r="L8" s="1161"/>
      <c r="Q8" s="700" t="s">
        <v>1313</v>
      </c>
      <c r="R8" s="700" t="s">
        <v>1314</v>
      </c>
      <c r="S8" s="700" t="s">
        <v>1258</v>
      </c>
      <c r="T8" s="700" t="s">
        <v>1260</v>
      </c>
      <c r="U8" s="1161"/>
      <c r="V8" s="700">
        <v>1</v>
      </c>
      <c r="W8" s="700"/>
      <c r="X8" s="700"/>
      <c r="Y8" s="718">
        <f>(SUM(Dem!E42:E48)+SUM(Dem!E56:E62)+SUM(Dem!E71:E74))*(2-AH8)</f>
        <v>30024.271200000003</v>
      </c>
      <c r="Z8" s="718">
        <f>(SUM(Dem!F42:F48)+SUM(Dem!F56:F62)+SUM(Dem!F71:F74))*(2-AI8)</f>
        <v>41247.756200000003</v>
      </c>
      <c r="AA8" s="1283"/>
      <c r="AB8" s="1283">
        <f t="shared" ref="AB8:AC10" si="1">Y8</f>
        <v>30024.271200000003</v>
      </c>
      <c r="AC8" s="1283">
        <f t="shared" si="1"/>
        <v>41247.756200000003</v>
      </c>
      <c r="AD8" s="700"/>
      <c r="AE8" s="702">
        <f>($AO$7/$AQ$20*$AN$20+$AY$10/1000)/SUM(Y8:Z9)*1000</f>
        <v>9.3190748074736068E-2</v>
      </c>
      <c r="AH8" s="1378">
        <v>0.81</v>
      </c>
      <c r="AI8" s="1378">
        <v>0.81</v>
      </c>
      <c r="AJ8" s="1356"/>
      <c r="AK8" s="1356"/>
      <c r="AL8" s="1356"/>
      <c r="AM8" s="1391" t="s">
        <v>1569</v>
      </c>
      <c r="AN8" s="1391">
        <v>4.5</v>
      </c>
      <c r="AO8" s="1356">
        <f t="shared" si="0"/>
        <v>0.5</v>
      </c>
      <c r="AP8" s="1356"/>
      <c r="AQ8" s="1356">
        <v>4</v>
      </c>
      <c r="AR8" s="1356"/>
      <c r="AS8" s="1393" t="s">
        <v>1570</v>
      </c>
      <c r="AT8" s="1394"/>
      <c r="AU8" s="1395" t="s">
        <v>1571</v>
      </c>
      <c r="AV8" s="1394"/>
      <c r="AW8" s="1395" t="s">
        <v>1572</v>
      </c>
      <c r="AX8" s="1394"/>
      <c r="AY8" s="1394" t="s">
        <v>1573</v>
      </c>
      <c r="AZ8" s="1394"/>
      <c r="BA8" s="1395" t="s">
        <v>1574</v>
      </c>
      <c r="BB8" s="1396"/>
      <c r="BC8" s="1356"/>
      <c r="BD8" s="1356"/>
      <c r="BE8" s="1422" t="s">
        <v>1598</v>
      </c>
      <c r="BF8" s="1422"/>
      <c r="BG8" s="1422">
        <v>1</v>
      </c>
      <c r="BH8" s="1422">
        <v>4</v>
      </c>
      <c r="BI8" s="1422">
        <v>5</v>
      </c>
      <c r="BJ8" s="1422">
        <v>8</v>
      </c>
    </row>
    <row r="9" spans="1:63" ht="15">
      <c r="A9" s="580"/>
      <c r="B9" t="str">
        <f>Processes!D58</f>
        <v>FT-TRAGSL</v>
      </c>
      <c r="C9" t="str">
        <f>Processes!E58</f>
        <v>Fuel Technology Gasoline TRA</v>
      </c>
      <c r="D9" t="str">
        <f>RIGHT(Commodities!D38,3)</f>
        <v>GSL</v>
      </c>
      <c r="E9" t="str">
        <f>Commodities!D38</f>
        <v>TRAGSL</v>
      </c>
      <c r="F9" s="21">
        <v>1</v>
      </c>
      <c r="G9">
        <v>100</v>
      </c>
      <c r="H9" s="580"/>
      <c r="I9" s="580"/>
      <c r="J9" s="580"/>
      <c r="K9" s="580"/>
      <c r="L9" s="580"/>
      <c r="Q9" s="1161" t="s">
        <v>1316</v>
      </c>
      <c r="R9" s="1161" t="s">
        <v>1317</v>
      </c>
      <c r="S9" s="1161" t="s">
        <v>1258</v>
      </c>
      <c r="T9" s="1161" t="s">
        <v>1262</v>
      </c>
      <c r="U9" s="1161"/>
      <c r="V9" s="1161">
        <v>1</v>
      </c>
      <c r="W9" s="1161"/>
      <c r="X9" s="1161"/>
      <c r="Y9" s="718">
        <f>SUM(Dem!E49:E50)*(2-AH9)</f>
        <v>1164.9000000000001</v>
      </c>
      <c r="Z9" s="718">
        <f>SUM(Dem!F49:F50)*(2-AI9)</f>
        <v>1428.9</v>
      </c>
      <c r="AA9" s="451"/>
      <c r="AB9" s="1283">
        <f t="shared" si="1"/>
        <v>1164.9000000000001</v>
      </c>
      <c r="AC9" s="1283">
        <f t="shared" si="1"/>
        <v>1428.9</v>
      </c>
      <c r="AD9" s="1161"/>
      <c r="AE9" s="720">
        <f>AE8</f>
        <v>9.3190748074736068E-2</v>
      </c>
      <c r="AH9" s="1378">
        <v>0.9</v>
      </c>
      <c r="AI9" s="1378">
        <v>0.9</v>
      </c>
      <c r="AJ9" s="1356"/>
      <c r="AK9" s="1356"/>
      <c r="AL9" s="1356"/>
      <c r="AM9" s="1391" t="s">
        <v>1575</v>
      </c>
      <c r="AN9" s="1391">
        <v>0.85</v>
      </c>
      <c r="AO9" s="1356">
        <f t="shared" si="0"/>
        <v>1.0000000000000009E-2</v>
      </c>
      <c r="AP9" s="1356">
        <v>0.84</v>
      </c>
      <c r="AQ9" s="1356"/>
      <c r="AR9" s="1356"/>
      <c r="AS9" s="1397"/>
      <c r="AT9" s="1398"/>
      <c r="AU9" s="1399" t="s">
        <v>1576</v>
      </c>
      <c r="AV9" s="1398"/>
      <c r="AW9" s="1399"/>
      <c r="AX9" s="1398"/>
      <c r="AY9" s="1399"/>
      <c r="AZ9" s="1398"/>
      <c r="BA9" s="1400" t="s">
        <v>1577</v>
      </c>
      <c r="BB9" s="1401"/>
      <c r="BC9" s="1356"/>
      <c r="BD9" s="1356"/>
      <c r="BE9" s="1422" t="s">
        <v>1599</v>
      </c>
      <c r="BF9" s="1422"/>
      <c r="BG9" s="1422">
        <f>1.22</f>
        <v>1.22</v>
      </c>
      <c r="BH9" s="1422"/>
      <c r="BI9" s="1422"/>
      <c r="BJ9" s="1422">
        <v>3.02</v>
      </c>
      <c r="BK9" s="1356"/>
    </row>
    <row r="10" spans="1:63" ht="15">
      <c r="A10" s="580"/>
      <c r="B10" t="str">
        <f>Processes!D60</f>
        <v>FT-TRALPG</v>
      </c>
      <c r="C10" t="str">
        <f>Processes!E60</f>
        <v>Fuel Technology Liquid petrol gas TRA</v>
      </c>
      <c r="D10" t="str">
        <f>RIGHT(Commodities!D39,3)</f>
        <v>LPG</v>
      </c>
      <c r="E10" t="str">
        <f>Commodities!D39</f>
        <v>TRALPG</v>
      </c>
      <c r="F10" s="21">
        <v>1</v>
      </c>
      <c r="G10">
        <v>100</v>
      </c>
      <c r="H10" s="29"/>
      <c r="I10" s="29"/>
      <c r="J10" s="29"/>
      <c r="K10" s="29"/>
      <c r="Q10" s="1161" t="s">
        <v>1318</v>
      </c>
      <c r="R10" s="1161" t="s">
        <v>1319</v>
      </c>
      <c r="S10" s="1161" t="s">
        <v>1258</v>
      </c>
      <c r="T10" s="1161" t="s">
        <v>1264</v>
      </c>
      <c r="U10" s="1161"/>
      <c r="V10" s="1161">
        <v>1</v>
      </c>
      <c r="W10" s="1161"/>
      <c r="X10" s="1161"/>
      <c r="Y10" s="718">
        <f>SUM(Dem!E68:E70)*(2-AH10)</f>
        <v>2986.5999999999995</v>
      </c>
      <c r="Z10" s="718">
        <f>SUM(Dem!F68:F70)*(2-AI10)</f>
        <v>1969.6299999999997</v>
      </c>
      <c r="AA10" s="451"/>
      <c r="AB10" s="1283">
        <f t="shared" si="1"/>
        <v>2986.5999999999995</v>
      </c>
      <c r="AC10" s="1283">
        <f t="shared" si="1"/>
        <v>1969.6299999999997</v>
      </c>
      <c r="AD10" s="1161"/>
      <c r="AE10" s="720">
        <f>($AO$8/AQ20*AN20+$AO$12)/SUM(Y10:Z12)*1000</f>
        <v>0.78763256040365515</v>
      </c>
      <c r="AH10" s="1378">
        <v>0.91</v>
      </c>
      <c r="AI10" s="1378">
        <v>0.91</v>
      </c>
      <c r="AJ10" s="1356"/>
      <c r="AK10" s="1356"/>
      <c r="AL10" s="1356"/>
      <c r="AM10" s="1391" t="s">
        <v>1578</v>
      </c>
      <c r="AN10" s="1391">
        <v>0.43</v>
      </c>
      <c r="AO10" s="1356">
        <f t="shared" si="0"/>
        <v>0.43</v>
      </c>
      <c r="AP10" s="1356"/>
      <c r="AQ10" s="1356"/>
      <c r="AR10" s="1356"/>
      <c r="AS10" s="1402">
        <v>2015</v>
      </c>
      <c r="AT10" s="1403"/>
      <c r="AU10" s="1404">
        <v>987.61389469000005</v>
      </c>
      <c r="AV10" s="1405"/>
      <c r="AW10" s="1406"/>
      <c r="AX10" s="1405"/>
      <c r="AY10" s="1404">
        <v>5037.2361053100003</v>
      </c>
      <c r="AZ10" s="1405"/>
      <c r="BA10" s="1407">
        <v>6024.85</v>
      </c>
      <c r="BB10" s="1408"/>
      <c r="BC10" s="1356"/>
      <c r="BD10" s="1356"/>
      <c r="BE10" s="1422" t="s">
        <v>1600</v>
      </c>
      <c r="BF10" s="1422"/>
      <c r="BG10" s="1422">
        <v>1.03</v>
      </c>
      <c r="BH10" s="1422"/>
      <c r="BI10" s="1422">
        <v>1.8009999999999999</v>
      </c>
      <c r="BJ10" s="1422"/>
      <c r="BK10" s="1356"/>
    </row>
    <row r="11" spans="1:63" ht="15">
      <c r="A11" s="580"/>
      <c r="B11" s="1161" t="str">
        <f>Processes!D61</f>
        <v>FT-TRALPGC</v>
      </c>
      <c r="C11" s="1161" t="str">
        <f>Processes!E61</f>
        <v>Fuel Technology Liquid petrol gas TRA Cars</v>
      </c>
      <c r="D11" s="1161" t="s">
        <v>53</v>
      </c>
      <c r="E11" s="1161" t="str">
        <f>Commodities!D40</f>
        <v>TRALPGC</v>
      </c>
      <c r="F11" s="684">
        <v>1</v>
      </c>
      <c r="G11" s="1161">
        <v>100</v>
      </c>
      <c r="H11" s="29"/>
      <c r="I11" s="29"/>
      <c r="J11" s="29"/>
      <c r="K11" s="29"/>
      <c r="L11" s="1161"/>
      <c r="Q11" s="1161" t="s">
        <v>1320</v>
      </c>
      <c r="R11" s="1161" t="s">
        <v>1321</v>
      </c>
      <c r="S11" s="1161" t="s">
        <v>1258</v>
      </c>
      <c r="T11" s="1161" t="s">
        <v>1266</v>
      </c>
      <c r="U11" s="1161"/>
      <c r="V11" s="1161">
        <v>1</v>
      </c>
      <c r="W11" s="1161"/>
      <c r="X11" s="1161"/>
      <c r="Y11" s="451">
        <f>SUM(Dem!E65:E67)*(2-AH11)</f>
        <v>1445.2699999999998</v>
      </c>
      <c r="Z11" s="451">
        <f>SUM(Dem!F65:F67)*(2-AI11)</f>
        <v>0</v>
      </c>
      <c r="AA11" s="451"/>
      <c r="AB11" s="1283">
        <f>Y11</f>
        <v>1445.2699999999998</v>
      </c>
      <c r="AC11" s="1283">
        <v>0</v>
      </c>
      <c r="AD11" s="1161"/>
      <c r="AE11" s="720">
        <f>AE10</f>
        <v>0.78763256040365515</v>
      </c>
      <c r="AH11" s="1378">
        <v>0.87</v>
      </c>
      <c r="AI11" s="1378">
        <v>0.87</v>
      </c>
      <c r="AJ11" s="1356"/>
      <c r="AK11" s="1356"/>
      <c r="AL11" s="1356"/>
      <c r="AM11" s="1391" t="s">
        <v>1579</v>
      </c>
      <c r="AN11" s="1391">
        <v>0.15</v>
      </c>
      <c r="AO11" s="1356">
        <f t="shared" si="0"/>
        <v>0.15</v>
      </c>
      <c r="AP11" s="1356"/>
      <c r="AQ11" s="1356"/>
      <c r="AR11" s="1356"/>
      <c r="AS11" s="1402">
        <v>2014</v>
      </c>
      <c r="AT11" s="1403"/>
      <c r="AU11" s="1404">
        <v>872.58054088282267</v>
      </c>
      <c r="AV11" s="1405"/>
      <c r="AW11" s="1404"/>
      <c r="AX11" s="1405"/>
      <c r="AY11" s="1404">
        <v>4868.1215007169503</v>
      </c>
      <c r="AZ11" s="1405"/>
      <c r="BA11" s="1407">
        <v>5740.7020415997731</v>
      </c>
      <c r="BB11" s="1408"/>
      <c r="BC11" s="1356"/>
      <c r="BD11" s="1356"/>
      <c r="BE11" s="1422" t="s">
        <v>1601</v>
      </c>
      <c r="BF11" s="1422"/>
      <c r="BG11" s="1422">
        <f>0.736</f>
        <v>0.73599999999999999</v>
      </c>
      <c r="BH11" s="1422">
        <v>0.372</v>
      </c>
      <c r="BI11" s="1422">
        <v>0.86199999999999999</v>
      </c>
      <c r="BJ11" s="1422"/>
      <c r="BK11" s="1356"/>
    </row>
    <row r="12" spans="1:63" ht="14.25">
      <c r="A12" s="580"/>
      <c r="B12" t="str">
        <f>Processes!D62</f>
        <v>FT-TRANGA</v>
      </c>
      <c r="C12" t="str">
        <f>Processes!E62</f>
        <v>Fuel Technology Nat. Gas TRA</v>
      </c>
      <c r="D12" t="str">
        <f>RIGHT(Commodities!D41,3)</f>
        <v>NGA</v>
      </c>
      <c r="E12" t="str">
        <f>Commodities!D41</f>
        <v>TRANGA</v>
      </c>
      <c r="F12" s="21">
        <v>1</v>
      </c>
      <c r="G12">
        <v>100</v>
      </c>
      <c r="H12" s="29"/>
      <c r="I12" s="29"/>
      <c r="J12" s="29"/>
      <c r="K12" s="29"/>
      <c r="Q12" s="1161" t="s">
        <v>1322</v>
      </c>
      <c r="R12" s="1161" t="s">
        <v>1323</v>
      </c>
      <c r="S12" s="1161" t="s">
        <v>1258</v>
      </c>
      <c r="T12" s="1161" t="s">
        <v>1268</v>
      </c>
      <c r="U12" s="1161"/>
      <c r="V12" s="1161">
        <v>1</v>
      </c>
      <c r="W12" s="1161"/>
      <c r="X12" s="1161"/>
      <c r="Y12" s="718">
        <f>SUM(Dem!E63:E64)*(2-AH12)</f>
        <v>301.28999999999996</v>
      </c>
      <c r="Z12" s="718">
        <f>SUM(Dem!F63:F64)*(2-AI12)</f>
        <v>0</v>
      </c>
      <c r="AA12" s="456">
        <v>588</v>
      </c>
      <c r="AB12" s="456">
        <v>588</v>
      </c>
      <c r="AC12" s="1283">
        <v>0</v>
      </c>
      <c r="AD12" s="1161"/>
      <c r="AE12" s="720">
        <f>AE11</f>
        <v>0.78763256040365515</v>
      </c>
      <c r="AH12" s="1378">
        <v>0.79</v>
      </c>
      <c r="AI12" s="1378">
        <v>0.79</v>
      </c>
      <c r="AJ12" s="1356"/>
      <c r="AK12" s="1356"/>
      <c r="AL12" s="1356"/>
      <c r="AM12" s="1391" t="s">
        <v>1580</v>
      </c>
      <c r="AN12" s="1391">
        <v>9.67</v>
      </c>
      <c r="AO12" s="1356">
        <f>SUM(BG10:BJ11)</f>
        <v>4.8010000000000002</v>
      </c>
      <c r="AP12" s="1356">
        <f>AN12-AO12-AQ12</f>
        <v>0.62899999999999956</v>
      </c>
      <c r="AQ12" s="1356">
        <f>SUM(BG9:BJ9)</f>
        <v>4.24</v>
      </c>
      <c r="AR12" s="1356"/>
      <c r="AS12" s="1402">
        <v>2013</v>
      </c>
      <c r="AT12" s="1403"/>
      <c r="AU12" s="1404">
        <v>1341.9430855862852</v>
      </c>
      <c r="AV12" s="1405"/>
      <c r="AW12" s="1404"/>
      <c r="AX12" s="1405"/>
      <c r="AY12" s="1404">
        <v>5308.227390141441</v>
      </c>
      <c r="AZ12" s="1405"/>
      <c r="BA12" s="1407">
        <v>6650.1704757277257</v>
      </c>
      <c r="BB12" s="1408"/>
      <c r="BC12" s="1356"/>
      <c r="BD12" s="1356"/>
      <c r="BE12" s="1356"/>
    </row>
    <row r="13" spans="1:63" ht="25.5">
      <c r="A13" s="580"/>
      <c r="B13" s="1161" t="str">
        <f>Processes!D63</f>
        <v>FT-TRANGAN</v>
      </c>
      <c r="C13" s="1161" t="str">
        <f>Processes!E63</f>
        <v>Fuel Technology Nat. Gas TRA Navigation</v>
      </c>
      <c r="D13" s="1161" t="str">
        <f>D12</f>
        <v>NGA</v>
      </c>
      <c r="E13" s="1161" t="str">
        <f>Commodities!D42</f>
        <v>TRANGAN</v>
      </c>
      <c r="F13" s="684">
        <v>1</v>
      </c>
      <c r="G13" s="1161">
        <v>100</v>
      </c>
      <c r="H13" s="29"/>
      <c r="I13" s="29"/>
      <c r="J13" s="29"/>
      <c r="K13" s="29"/>
      <c r="L13" s="1161"/>
      <c r="Q13" s="1161" t="s">
        <v>1324</v>
      </c>
      <c r="R13" s="1161" t="s">
        <v>1325</v>
      </c>
      <c r="S13" s="1161" t="s">
        <v>1258</v>
      </c>
      <c r="T13" s="1161" t="s">
        <v>1260</v>
      </c>
      <c r="U13" s="1161" t="s">
        <v>1343</v>
      </c>
      <c r="V13" s="1161">
        <v>1</v>
      </c>
      <c r="W13" s="1161">
        <v>50</v>
      </c>
      <c r="X13" s="1161">
        <v>2012</v>
      </c>
      <c r="Y13" s="1161"/>
      <c r="Z13" s="1161"/>
      <c r="AA13" s="1161"/>
      <c r="AB13" s="1161"/>
      <c r="AD13" s="1284">
        <v>12.927619999999999</v>
      </c>
      <c r="AE13" s="1419">
        <f>AE8</f>
        <v>9.3190748074736068E-2</v>
      </c>
      <c r="AH13" s="1356"/>
      <c r="AI13" s="1356"/>
      <c r="AJ13" s="1356"/>
      <c r="AK13" s="1356"/>
      <c r="AL13" s="1356"/>
      <c r="AM13" s="1391" t="s">
        <v>1581</v>
      </c>
      <c r="AN13" s="1391">
        <v>3.59</v>
      </c>
      <c r="AO13" s="1356">
        <f>AN13-AP13-AQ13</f>
        <v>3.59</v>
      </c>
      <c r="AP13" s="1356"/>
      <c r="AQ13" s="1356"/>
      <c r="AR13" s="1356"/>
      <c r="AS13" s="1402">
        <v>2012</v>
      </c>
      <c r="AT13" s="1403"/>
      <c r="AU13" s="1404">
        <v>1917.1038416129036</v>
      </c>
      <c r="AV13" s="1405"/>
      <c r="AW13" s="1404"/>
      <c r="AX13" s="1405"/>
      <c r="AY13" s="1404">
        <v>4886.8816422580639</v>
      </c>
      <c r="AZ13" s="1405"/>
      <c r="BA13" s="1407">
        <v>6803.9854838709671</v>
      </c>
      <c r="BB13" s="1408"/>
      <c r="BC13" s="1356"/>
      <c r="BD13" s="1356"/>
      <c r="BE13" s="1356"/>
    </row>
    <row r="14" spans="1:63" s="1161" customFormat="1" ht="14.25">
      <c r="B14" t="str">
        <f>Processes!D64</f>
        <v>FT-TRASNG</v>
      </c>
      <c r="C14" t="str">
        <f>Processes!E64</f>
        <v>Fuel Technology Bio Synt. Nat. Gas (1G &amp; 2G) TRA</v>
      </c>
      <c r="D14" t="s">
        <v>534</v>
      </c>
      <c r="E14" t="str">
        <f>Commodities!D43</f>
        <v>TRASNG</v>
      </c>
      <c r="F14" s="21">
        <v>1</v>
      </c>
      <c r="G14">
        <v>100</v>
      </c>
      <c r="H14" s="29"/>
      <c r="I14" s="29"/>
      <c r="J14" s="29"/>
      <c r="K14" s="29"/>
      <c r="L14"/>
      <c r="Q14" s="1161" t="s">
        <v>1326</v>
      </c>
      <c r="R14" s="1161" t="s">
        <v>1327</v>
      </c>
      <c r="S14" s="1161" t="s">
        <v>1258</v>
      </c>
      <c r="T14" s="1161" t="s">
        <v>1262</v>
      </c>
      <c r="U14" s="1161" t="s">
        <v>1343</v>
      </c>
      <c r="V14" s="1161">
        <v>1</v>
      </c>
      <c r="W14" s="1161">
        <v>50</v>
      </c>
      <c r="X14" s="1161">
        <v>2012</v>
      </c>
      <c r="AD14" s="1284">
        <v>2.7963231999999998</v>
      </c>
      <c r="AE14" s="1419">
        <f t="shared" ref="AE14:AE17" si="2">AE9</f>
        <v>9.3190748074736068E-2</v>
      </c>
      <c r="AF14"/>
      <c r="AH14" s="1356"/>
      <c r="AI14" s="1356"/>
      <c r="AJ14" s="1356"/>
      <c r="AK14" s="1356"/>
      <c r="AL14" s="1356"/>
      <c r="AM14" s="1391" t="s">
        <v>1582</v>
      </c>
      <c r="AN14" s="1391">
        <v>1.39</v>
      </c>
      <c r="AO14" s="1356">
        <f>AN14-AP14-AQ14</f>
        <v>0</v>
      </c>
      <c r="AP14" s="1356">
        <f>AN14</f>
        <v>1.39</v>
      </c>
      <c r="AQ14" s="1356"/>
      <c r="AR14" s="1356"/>
      <c r="AS14" s="1402">
        <v>2011</v>
      </c>
      <c r="AT14" s="1403"/>
      <c r="AU14" s="1404">
        <v>2157.5056438356164</v>
      </c>
      <c r="AV14" s="1405"/>
      <c r="AW14" s="1404"/>
      <c r="AX14" s="1405"/>
      <c r="AY14" s="1404">
        <v>4315.5162739726029</v>
      </c>
      <c r="AZ14" s="1405"/>
      <c r="BA14" s="1407">
        <v>6473.0219178082189</v>
      </c>
      <c r="BB14" s="1408"/>
      <c r="BC14" s="1356"/>
      <c r="BD14" s="1356"/>
      <c r="BE14" s="1356"/>
    </row>
    <row r="15" spans="1:63" ht="14.25">
      <c r="A15" s="580"/>
      <c r="D15" t="s">
        <v>535</v>
      </c>
      <c r="F15" s="21"/>
      <c r="H15" s="29"/>
      <c r="I15" s="29"/>
      <c r="J15" s="29"/>
      <c r="K15" s="29"/>
      <c r="Q15" s="1161" t="s">
        <v>1328</v>
      </c>
      <c r="R15" s="1161" t="s">
        <v>1329</v>
      </c>
      <c r="S15" s="1161" t="s">
        <v>1258</v>
      </c>
      <c r="T15" s="1161" t="s">
        <v>1264</v>
      </c>
      <c r="U15" s="1161" t="s">
        <v>1343</v>
      </c>
      <c r="V15" s="1161">
        <v>1</v>
      </c>
      <c r="W15" s="1161">
        <v>50</v>
      </c>
      <c r="X15" s="1161">
        <v>2012</v>
      </c>
      <c r="Y15" s="1161"/>
      <c r="Z15" s="1161"/>
      <c r="AA15" s="1161"/>
      <c r="AB15" s="1161"/>
      <c r="AC15" s="1161"/>
      <c r="AD15" s="1284">
        <v>17.904610000000002</v>
      </c>
      <c r="AE15" s="1419">
        <f t="shared" si="2"/>
        <v>0.78763256040365515</v>
      </c>
      <c r="AH15" s="1356"/>
      <c r="AI15" s="1356"/>
      <c r="AJ15" s="1356"/>
      <c r="AK15" s="1356"/>
      <c r="AL15" s="1356"/>
      <c r="AM15" s="1391" t="s">
        <v>120</v>
      </c>
      <c r="AN15" s="1391">
        <v>25.099999999999998</v>
      </c>
      <c r="AO15" s="1356">
        <f>SUM(AO6:AO14)</f>
        <v>12.131</v>
      </c>
      <c r="AP15" s="1356">
        <f>SUM(AP6:AP14)</f>
        <v>4.7289999999999992</v>
      </c>
      <c r="AQ15" s="1356">
        <f>SUM(AQ6:AQ14)</f>
        <v>8.24</v>
      </c>
      <c r="AR15" s="1356"/>
      <c r="AS15" s="1402">
        <v>2010</v>
      </c>
      <c r="AT15" s="1403"/>
      <c r="AU15" s="1404">
        <v>2335.602358887953</v>
      </c>
      <c r="AV15" s="1405"/>
      <c r="AW15" s="1404"/>
      <c r="AX15" s="1405"/>
      <c r="AY15" s="1404">
        <v>5787.9629317607414</v>
      </c>
      <c r="AZ15" s="1405"/>
      <c r="BA15" s="1407">
        <v>8123.5652906486939</v>
      </c>
      <c r="BB15" s="1408"/>
      <c r="BC15" s="1356"/>
      <c r="BD15" s="1356"/>
      <c r="BE15" s="1356"/>
    </row>
    <row r="16" spans="1:63" ht="38.25">
      <c r="A16" s="580"/>
      <c r="B16" s="1161" t="str">
        <f>Processes!D65</f>
        <v>FT-TRASNE</v>
      </c>
      <c r="C16" s="1161" t="str">
        <f>Processes!E65</f>
        <v>Fuel Technology Electro Synt. Nat. Gas (1G &amp; 2G) TRA</v>
      </c>
      <c r="D16" s="682" t="s">
        <v>1848</v>
      </c>
      <c r="E16" s="1161" t="str">
        <f>Commodities!D44</f>
        <v>TRASNE</v>
      </c>
      <c r="F16" s="684">
        <v>1</v>
      </c>
      <c r="G16" s="1161">
        <v>100</v>
      </c>
      <c r="H16" s="29"/>
      <c r="I16" s="29"/>
      <c r="J16" s="29"/>
      <c r="K16" s="29"/>
      <c r="L16" s="1161"/>
      <c r="Q16" s="1161" t="s">
        <v>1330</v>
      </c>
      <c r="R16" s="1161" t="s">
        <v>1331</v>
      </c>
      <c r="S16" s="1161" t="s">
        <v>1258</v>
      </c>
      <c r="T16" s="1161" t="s">
        <v>1266</v>
      </c>
      <c r="U16" s="1161" t="s">
        <v>1343</v>
      </c>
      <c r="V16" s="1161">
        <v>1</v>
      </c>
      <c r="W16" s="1161">
        <v>50</v>
      </c>
      <c r="X16" s="1161">
        <v>2012</v>
      </c>
      <c r="Y16" s="1161"/>
      <c r="Z16" s="1161"/>
      <c r="AA16" s="1161"/>
      <c r="AB16" s="1161"/>
      <c r="AC16" s="1161"/>
      <c r="AD16" s="1284">
        <v>17.904610000000002</v>
      </c>
      <c r="AE16" s="1419">
        <f t="shared" si="2"/>
        <v>0.78763256040365515</v>
      </c>
      <c r="AH16" s="1356"/>
      <c r="AI16" s="1356"/>
      <c r="AJ16" s="1356"/>
      <c r="AK16" s="1356"/>
      <c r="AL16" s="1356"/>
      <c r="AM16" s="1391" t="s">
        <v>1583</v>
      </c>
      <c r="AN16" s="1356">
        <f>AN12+AN11+AN10+AN9+AN8+AN7</f>
        <v>19.399999999999999</v>
      </c>
      <c r="AO16" s="1356">
        <f>AO7+AO8+AO12</f>
        <v>7.2309999999999999</v>
      </c>
      <c r="AP16" s="1356">
        <f>AP12+AP11+AP10+AP9+AP8+AP7</f>
        <v>3.3389999999999995</v>
      </c>
      <c r="AQ16" s="1356">
        <f>AQ12+AQ11+AQ10+AQ9+AQ8+AQ7</f>
        <v>8.24</v>
      </c>
      <c r="AR16" s="1356"/>
      <c r="AS16" s="1402">
        <v>2009</v>
      </c>
      <c r="AT16" s="1403"/>
      <c r="AU16" s="1404">
        <v>1804.2427440633244</v>
      </c>
      <c r="AV16" s="1405"/>
      <c r="AW16" s="1404"/>
      <c r="AX16" s="1405"/>
      <c r="AY16" s="1404">
        <v>5140.3693931398411</v>
      </c>
      <c r="AZ16" s="1405"/>
      <c r="BA16" s="1407">
        <v>6944.6121372031657</v>
      </c>
      <c r="BB16" s="1408"/>
      <c r="BC16" s="1356"/>
      <c r="BD16" s="1356"/>
      <c r="BE16" s="1356"/>
    </row>
    <row r="17" spans="1:57" ht="14.25">
      <c r="A17" s="580"/>
      <c r="B17" s="1161" t="str">
        <f>Processes!D83</f>
        <v>FT-TRASNGN</v>
      </c>
      <c r="C17" s="1161" t="str">
        <f>Processes!E83</f>
        <v>Fuel Technology Bio Synt. Nat. Gas (1G &amp; 2G) TRA Navigation</v>
      </c>
      <c r="D17" s="1161" t="s">
        <v>534</v>
      </c>
      <c r="E17" s="1161" t="str">
        <f>Commodities!D45</f>
        <v>TRASNGN</v>
      </c>
      <c r="F17" s="684">
        <v>1</v>
      </c>
      <c r="G17" s="1161">
        <v>100</v>
      </c>
      <c r="H17" s="29"/>
      <c r="I17" s="29"/>
      <c r="J17" s="29"/>
      <c r="K17" s="29"/>
      <c r="L17" s="1161"/>
      <c r="Q17" s="1161" t="s">
        <v>1332</v>
      </c>
      <c r="R17" s="1161" t="s">
        <v>1333</v>
      </c>
      <c r="S17" s="1161" t="s">
        <v>1258</v>
      </c>
      <c r="T17" s="22" t="s">
        <v>1268</v>
      </c>
      <c r="U17" s="22" t="s">
        <v>1343</v>
      </c>
      <c r="V17" s="1161">
        <v>1</v>
      </c>
      <c r="W17" s="1161">
        <v>50</v>
      </c>
      <c r="X17" s="1161">
        <v>2012</v>
      </c>
      <c r="Y17" s="1161"/>
      <c r="Z17" s="1161"/>
      <c r="AA17" s="1161"/>
      <c r="AB17" s="1161"/>
      <c r="AC17" s="1161"/>
      <c r="AD17" s="1284">
        <v>91.466080000000005</v>
      </c>
      <c r="AE17" s="1419">
        <f t="shared" si="2"/>
        <v>0.78763256040365515</v>
      </c>
      <c r="AF17" s="1421"/>
      <c r="AH17" s="1356"/>
      <c r="AI17" s="1356"/>
      <c r="AJ17" s="1356"/>
      <c r="AK17" s="1356"/>
      <c r="AL17" s="1356"/>
      <c r="AM17" s="1356"/>
      <c r="AN17" s="1356"/>
      <c r="AO17" s="1356"/>
      <c r="AP17" s="1356"/>
      <c r="AQ17" s="1356"/>
      <c r="AR17" s="1356"/>
      <c r="AS17" s="1402">
        <v>2008</v>
      </c>
      <c r="AT17" s="1403"/>
      <c r="AU17" s="1404">
        <v>1188.6826051112942</v>
      </c>
      <c r="AV17" s="1405"/>
      <c r="AW17" s="1404"/>
      <c r="AX17" s="1405"/>
      <c r="AY17" s="1404">
        <v>4168.4616652926625</v>
      </c>
      <c r="AZ17" s="1405"/>
      <c r="BA17" s="1407">
        <v>5357.1442704039564</v>
      </c>
      <c r="BB17" s="1408"/>
      <c r="BC17" s="1356"/>
      <c r="BD17" s="1356"/>
      <c r="BE17" s="1356"/>
    </row>
    <row r="18" spans="1:57" ht="14.25">
      <c r="A18" s="580"/>
      <c r="B18" s="1161"/>
      <c r="C18" s="1161"/>
      <c r="D18" s="1161" t="s">
        <v>535</v>
      </c>
      <c r="E18" s="1161"/>
      <c r="F18" s="684"/>
      <c r="G18" s="1161"/>
      <c r="H18" s="29"/>
      <c r="I18" s="29"/>
      <c r="J18" s="29"/>
      <c r="K18" s="29"/>
      <c r="L18" s="1161"/>
      <c r="Q18" s="700" t="s">
        <v>1289</v>
      </c>
      <c r="R18" s="700" t="s">
        <v>1290</v>
      </c>
      <c r="S18" s="700" t="s">
        <v>1199</v>
      </c>
      <c r="T18" s="679" t="s">
        <v>1202</v>
      </c>
      <c r="U18" s="679"/>
      <c r="V18" s="700">
        <v>1</v>
      </c>
      <c r="W18" s="700">
        <v>100</v>
      </c>
      <c r="X18" s="700"/>
      <c r="Y18" s="700"/>
      <c r="Z18" s="700"/>
      <c r="AA18" s="700"/>
      <c r="AB18" s="700"/>
      <c r="AC18" s="700"/>
      <c r="AD18" s="700"/>
      <c r="AE18" s="700"/>
      <c r="AH18" s="1356"/>
      <c r="AI18" s="1356"/>
      <c r="AJ18" s="1356"/>
      <c r="AK18" s="1356"/>
      <c r="AL18" s="1356"/>
      <c r="AM18" s="1356"/>
      <c r="AN18" s="1356"/>
      <c r="AO18" s="1356"/>
      <c r="AP18" s="1356"/>
      <c r="AQ18" s="1356"/>
      <c r="AR18" s="1356"/>
      <c r="AS18" s="1402">
        <v>2007</v>
      </c>
      <c r="AT18" s="1403"/>
      <c r="AU18" s="1404">
        <v>1270.905109489051</v>
      </c>
      <c r="AV18" s="1405"/>
      <c r="AW18" s="1404"/>
      <c r="AX18" s="1405"/>
      <c r="AY18" s="1404">
        <v>4792.1386861313867</v>
      </c>
      <c r="AZ18" s="1405"/>
      <c r="BA18" s="1407">
        <v>6063.0437956204378</v>
      </c>
      <c r="BB18" s="1408"/>
      <c r="BC18" s="1356"/>
      <c r="BD18" s="1356"/>
      <c r="BE18" s="1356"/>
    </row>
    <row r="19" spans="1:57" ht="14.25">
      <c r="A19" s="580"/>
      <c r="B19" s="1161"/>
      <c r="C19" s="1161"/>
      <c r="D19" s="8" t="s">
        <v>1848</v>
      </c>
      <c r="E19" s="1161"/>
      <c r="F19" s="684">
        <v>1</v>
      </c>
      <c r="G19" s="1161">
        <v>100</v>
      </c>
      <c r="H19" s="29"/>
      <c r="I19" s="29"/>
      <c r="J19" s="29"/>
      <c r="K19" s="29"/>
      <c r="L19" s="1161"/>
      <c r="Q19" s="1161"/>
      <c r="R19" s="1161"/>
      <c r="S19" s="1161"/>
      <c r="T19" s="714" t="s">
        <v>1204</v>
      </c>
      <c r="U19" s="714"/>
      <c r="V19" s="1161">
        <v>1</v>
      </c>
      <c r="W19" s="1161">
        <v>100</v>
      </c>
      <c r="X19" s="1161"/>
      <c r="Y19" s="1161"/>
      <c r="Z19" s="1161"/>
      <c r="AA19" s="1161"/>
      <c r="AB19" s="1161"/>
      <c r="AC19" s="1161"/>
      <c r="AD19" s="1161"/>
      <c r="AE19" s="1161"/>
      <c r="AH19" s="1371" t="s">
        <v>1584</v>
      </c>
      <c r="AI19" s="1356">
        <v>2010</v>
      </c>
      <c r="AJ19" s="1356">
        <v>2011</v>
      </c>
      <c r="AK19" s="1356">
        <v>2012</v>
      </c>
      <c r="AL19" s="1356">
        <v>2013</v>
      </c>
      <c r="AM19" s="1356">
        <v>2014</v>
      </c>
      <c r="AN19" s="1356">
        <v>2015</v>
      </c>
      <c r="AO19" s="1356">
        <v>2016</v>
      </c>
      <c r="AP19" s="1356">
        <v>2017</v>
      </c>
      <c r="AQ19" s="1356">
        <v>2018</v>
      </c>
      <c r="AR19" s="1356"/>
      <c r="AS19" s="1402">
        <v>2006</v>
      </c>
      <c r="AT19" s="1403"/>
      <c r="AU19" s="1404">
        <v>764.98837606837606</v>
      </c>
      <c r="AV19" s="1405"/>
      <c r="AW19" s="1404">
        <v>1345.7130256410258</v>
      </c>
      <c r="AX19" s="1405"/>
      <c r="AY19" s="1404">
        <v>3969.3471452991453</v>
      </c>
      <c r="AZ19" s="1405"/>
      <c r="BA19" s="1407">
        <v>6080.0485470085468</v>
      </c>
      <c r="BB19" s="1408"/>
      <c r="BC19" s="1356"/>
      <c r="BD19" s="1356"/>
      <c r="BE19" s="1356"/>
    </row>
    <row r="20" spans="1:57" ht="14.25">
      <c r="A20" s="580"/>
      <c r="B20" t="str">
        <f>Processes!D66</f>
        <v>FT-TRAELC</v>
      </c>
      <c r="C20" t="str">
        <f>Processes!E66</f>
        <v>Fuel Technology Electricity TRA</v>
      </c>
      <c r="D20" t="str">
        <f>RIGHT(Commodities!D46,3)&amp;"C"</f>
        <v>ELCC</v>
      </c>
      <c r="E20" t="str">
        <f>Commodities!D46</f>
        <v>TRAELC</v>
      </c>
      <c r="F20" s="21">
        <v>1</v>
      </c>
      <c r="G20">
        <v>100</v>
      </c>
      <c r="H20" s="29"/>
      <c r="I20" s="29"/>
      <c r="J20" s="29"/>
      <c r="K20" s="29"/>
      <c r="Q20" s="1161"/>
      <c r="R20" s="1161"/>
      <c r="S20" s="1161"/>
      <c r="T20" s="1161" t="s">
        <v>1206</v>
      </c>
      <c r="U20" s="1161"/>
      <c r="V20" s="1161">
        <v>1</v>
      </c>
      <c r="W20" s="1161">
        <v>100</v>
      </c>
      <c r="X20" s="1161"/>
      <c r="Y20" s="1161"/>
      <c r="Z20" s="1161"/>
      <c r="AA20" s="1161"/>
      <c r="AB20" s="1161"/>
      <c r="AC20" s="1161"/>
      <c r="AD20" s="1161"/>
      <c r="AE20" s="1161"/>
      <c r="AH20" s="1409" t="s">
        <v>1585</v>
      </c>
      <c r="AI20" s="1410">
        <v>1</v>
      </c>
      <c r="AJ20" s="1410">
        <v>1.0058039426803589</v>
      </c>
      <c r="AK20" s="1410">
        <v>1.0346649885177612</v>
      </c>
      <c r="AL20" s="1410">
        <v>1.0521329641342163</v>
      </c>
      <c r="AM20" s="1410">
        <v>1.0617790222167969</v>
      </c>
      <c r="AN20" s="1410">
        <v>1.0780400037765503</v>
      </c>
      <c r="AO20" s="1410">
        <v>1.085224947599817</v>
      </c>
      <c r="AP20" s="1410">
        <v>1.1048349065903711</v>
      </c>
      <c r="AQ20" s="1410">
        <v>1.1268656275098909</v>
      </c>
      <c r="AR20" s="1356"/>
      <c r="AS20" s="1402">
        <v>2005</v>
      </c>
      <c r="AT20" s="1403"/>
      <c r="AU20" s="1404">
        <v>787.46983812390636</v>
      </c>
      <c r="AV20" s="1405"/>
      <c r="AW20" s="1404">
        <v>1544.8598343237161</v>
      </c>
      <c r="AX20" s="1405"/>
      <c r="AY20" s="1404">
        <v>4641.0730809420475</v>
      </c>
      <c r="AZ20" s="1405"/>
      <c r="BA20" s="1407">
        <v>6973.4027533896697</v>
      </c>
      <c r="BB20" s="1408"/>
      <c r="BC20" s="1356"/>
      <c r="BD20" s="1356"/>
      <c r="BE20" s="1356"/>
    </row>
    <row r="21" spans="1:57" ht="14.25">
      <c r="A21" s="580"/>
      <c r="B21" s="725" t="s">
        <v>1178</v>
      </c>
      <c r="C21" s="725" t="s">
        <v>1179</v>
      </c>
      <c r="D21" s="1274" t="s">
        <v>66</v>
      </c>
      <c r="E21" s="725" t="s">
        <v>1176</v>
      </c>
      <c r="F21" s="725">
        <v>1</v>
      </c>
      <c r="G21" s="725">
        <v>100</v>
      </c>
      <c r="H21" s="1161"/>
      <c r="I21" s="1161"/>
      <c r="J21" s="1161"/>
      <c r="K21" s="1161"/>
      <c r="L21" s="1161"/>
      <c r="Q21" s="1161"/>
      <c r="R21" s="1161"/>
      <c r="S21" s="1161"/>
      <c r="T21" s="1161" t="s">
        <v>1208</v>
      </c>
      <c r="U21" s="1161"/>
      <c r="V21" s="1161">
        <v>1</v>
      </c>
      <c r="W21" s="1161">
        <v>100</v>
      </c>
      <c r="X21" s="1161"/>
      <c r="Y21" s="1161"/>
      <c r="Z21" s="1161"/>
      <c r="AA21" s="1161"/>
      <c r="AB21" s="1161"/>
      <c r="AC21" s="1161"/>
      <c r="AD21" s="1161"/>
      <c r="AE21" s="1161"/>
      <c r="AH21" s="1356"/>
      <c r="AI21" s="1356"/>
      <c r="AJ21" s="1356"/>
      <c r="AK21" s="1356"/>
      <c r="AL21" s="1356"/>
      <c r="AM21" s="1356"/>
      <c r="AN21" s="1356"/>
      <c r="AO21" s="1356"/>
      <c r="AP21" s="1356"/>
      <c r="AQ21" s="1356"/>
      <c r="AR21" s="1356"/>
      <c r="AS21" s="1402">
        <v>2004</v>
      </c>
      <c r="AT21" s="1403"/>
      <c r="AU21" s="1404">
        <v>829.7245615014798</v>
      </c>
      <c r="AV21" s="1405"/>
      <c r="AW21" s="1404">
        <v>1624.7258716992812</v>
      </c>
      <c r="AX21" s="1405"/>
      <c r="AY21" s="1404">
        <v>4601.4334230360255</v>
      </c>
      <c r="AZ21" s="1405"/>
      <c r="BA21" s="1407">
        <v>7055.8838562367864</v>
      </c>
      <c r="BB21" s="1408"/>
      <c r="BC21" s="1356"/>
      <c r="BD21" s="1356"/>
      <c r="BE21" s="1356"/>
    </row>
    <row r="22" spans="1:57" ht="14.25">
      <c r="A22" s="580"/>
      <c r="B22" s="725" t="s">
        <v>1405</v>
      </c>
      <c r="C22" s="725" t="s">
        <v>1407</v>
      </c>
      <c r="D22" s="1274" t="s">
        <v>66</v>
      </c>
      <c r="E22" s="725" t="s">
        <v>1406</v>
      </c>
      <c r="F22" s="725">
        <v>1</v>
      </c>
      <c r="G22" s="725">
        <v>100</v>
      </c>
      <c r="H22" s="1161"/>
      <c r="I22" s="1161"/>
      <c r="J22" s="1161"/>
      <c r="K22" s="1161"/>
      <c r="L22" s="1161"/>
      <c r="Q22" s="1161" t="s">
        <v>1292</v>
      </c>
      <c r="R22" s="1161" t="s">
        <v>1293</v>
      </c>
      <c r="S22" s="1161" t="s">
        <v>1199</v>
      </c>
      <c r="T22" s="1161" t="s">
        <v>1234</v>
      </c>
      <c r="U22" s="1161"/>
      <c r="V22" s="1161">
        <v>1</v>
      </c>
      <c r="W22" s="1161">
        <v>100</v>
      </c>
      <c r="X22" s="1161"/>
      <c r="Y22" s="1161"/>
      <c r="Z22" s="1161"/>
      <c r="AA22" s="1161"/>
      <c r="AB22" s="1161"/>
      <c r="AC22" s="1161"/>
      <c r="AD22" s="1161"/>
      <c r="AE22" s="1161"/>
      <c r="AH22" s="1356"/>
      <c r="AI22" s="1356"/>
      <c r="AJ22" s="1356"/>
      <c r="AK22" s="1356"/>
      <c r="AL22" s="1356"/>
      <c r="AM22" s="1356"/>
      <c r="AN22" s="1356"/>
      <c r="AO22" s="1356"/>
      <c r="AP22" s="1356"/>
      <c r="AQ22" s="1356"/>
      <c r="AR22" s="1356"/>
      <c r="AS22" s="1402">
        <v>2003</v>
      </c>
      <c r="AT22" s="1403"/>
      <c r="AU22" s="1404">
        <v>875.68953673699116</v>
      </c>
      <c r="AV22" s="1405"/>
      <c r="AW22" s="1404">
        <v>1671.2667320328319</v>
      </c>
      <c r="AX22" s="1405"/>
      <c r="AY22" s="1404">
        <v>4490.2205099912389</v>
      </c>
      <c r="AZ22" s="1405"/>
      <c r="BA22" s="1407">
        <v>7037.1767787610625</v>
      </c>
      <c r="BB22" s="1408"/>
      <c r="BC22" s="1356"/>
      <c r="BD22" s="1356"/>
      <c r="BE22" s="1356"/>
    </row>
    <row r="23" spans="1:57" ht="14.25">
      <c r="A23" s="580"/>
      <c r="B23" t="str">
        <f>Processes!D69</f>
        <v>FT-TRADSB</v>
      </c>
      <c r="C23" t="str">
        <f>Processes!E69</f>
        <v>Fuel Technology Biodiesel (1G &amp; 2G) TRA</v>
      </c>
      <c r="D23" t="s">
        <v>517</v>
      </c>
      <c r="E23" t="str">
        <f>Commodities!D49</f>
        <v>TRADSB</v>
      </c>
      <c r="F23" s="21">
        <v>1</v>
      </c>
      <c r="G23">
        <v>100</v>
      </c>
      <c r="Q23" s="1161"/>
      <c r="R23" s="1161"/>
      <c r="S23" s="1161"/>
      <c r="T23" s="1161" t="s">
        <v>1236</v>
      </c>
      <c r="U23" s="1161"/>
      <c r="V23" s="1161">
        <v>1</v>
      </c>
      <c r="W23" s="1161">
        <v>100</v>
      </c>
      <c r="X23" s="1161"/>
      <c r="Y23" s="1161"/>
      <c r="Z23" s="1161"/>
      <c r="AA23" s="1161"/>
      <c r="AB23" s="1161"/>
      <c r="AC23" s="1161"/>
      <c r="AD23" s="1161"/>
      <c r="AE23" s="1161"/>
      <c r="AH23" s="1356"/>
      <c r="AI23" s="1356"/>
      <c r="AJ23" s="1356"/>
      <c r="AK23" s="1356"/>
      <c r="AL23" s="1356"/>
      <c r="AM23" s="1356"/>
      <c r="AN23" s="1356"/>
      <c r="AO23" s="1356"/>
      <c r="AP23" s="1356"/>
      <c r="AQ23" s="1356"/>
      <c r="AR23" s="1356"/>
      <c r="AS23" s="1402">
        <v>2002</v>
      </c>
      <c r="AT23" s="1403"/>
      <c r="AU23" s="1404">
        <v>818.38808922417343</v>
      </c>
      <c r="AV23" s="1405"/>
      <c r="AW23" s="1404">
        <v>1699.4319909290766</v>
      </c>
      <c r="AX23" s="1405"/>
      <c r="AY23" s="1404">
        <v>4444.3226245217793</v>
      </c>
      <c r="AZ23" s="1405"/>
      <c r="BA23" s="1407">
        <v>6962.1427046750296</v>
      </c>
      <c r="BB23" s="1408"/>
      <c r="BC23" s="1356"/>
      <c r="BD23" s="1356"/>
      <c r="BE23" s="1356"/>
    </row>
    <row r="24" spans="1:57" ht="14.25">
      <c r="A24" s="580"/>
      <c r="D24" t="s">
        <v>518</v>
      </c>
      <c r="F24" s="21"/>
      <c r="Q24" s="1161"/>
      <c r="R24" s="1161"/>
      <c r="S24" s="1161"/>
      <c r="T24" s="1161" t="s">
        <v>1238</v>
      </c>
      <c r="U24" s="1161"/>
      <c r="V24" s="1161">
        <v>1</v>
      </c>
      <c r="W24" s="1161">
        <v>100</v>
      </c>
      <c r="X24" s="1161"/>
      <c r="Y24" s="1161"/>
      <c r="Z24" s="1161"/>
      <c r="AA24" s="1161"/>
      <c r="AB24" s="1161"/>
      <c r="AC24" s="1161"/>
      <c r="AD24" s="1161"/>
      <c r="AE24" s="1161"/>
      <c r="AH24" s="1356"/>
      <c r="AI24" s="1356"/>
      <c r="AJ24" s="1356"/>
      <c r="AK24" s="1356"/>
      <c r="AL24" s="1356"/>
      <c r="AM24" s="1356"/>
      <c r="AN24" s="1356"/>
      <c r="AO24" s="1356"/>
      <c r="AP24" s="1356"/>
      <c r="AQ24" s="1356"/>
      <c r="AR24" s="1356"/>
      <c r="AS24" s="1402">
        <v>2001</v>
      </c>
      <c r="AT24" s="1403"/>
      <c r="AU24" s="1404">
        <v>764.74156038568128</v>
      </c>
      <c r="AV24" s="1405"/>
      <c r="AW24" s="1404">
        <v>1779.8363776625406</v>
      </c>
      <c r="AX24" s="1405"/>
      <c r="AY24" s="1404">
        <v>4399.46098112037</v>
      </c>
      <c r="AZ24" s="1405"/>
      <c r="BA24" s="1407">
        <v>6944.0389191685917</v>
      </c>
      <c r="BB24" s="1408"/>
      <c r="BC24" s="1356"/>
      <c r="BD24" s="1356"/>
      <c r="BE24" s="1356"/>
    </row>
    <row r="25" spans="1:57" ht="14.25">
      <c r="A25" s="1161"/>
      <c r="B25" s="1161" t="str">
        <f>Processes!D70</f>
        <v>FT-TRADSE</v>
      </c>
      <c r="C25" s="1161" t="str">
        <f>Processes!E70</f>
        <v>Fuel Technology Electro diesel (1G &amp; 2G) TRA</v>
      </c>
      <c r="D25" s="682" t="s">
        <v>1845</v>
      </c>
      <c r="E25" s="1161" t="str">
        <f>Commodities!D50</f>
        <v>TRADSE</v>
      </c>
      <c r="F25" s="684">
        <v>1</v>
      </c>
      <c r="G25" s="1161">
        <v>100</v>
      </c>
      <c r="H25" s="1161"/>
      <c r="I25" s="1161"/>
      <c r="J25" s="1161"/>
      <c r="K25" s="1161"/>
      <c r="L25" s="1161"/>
      <c r="M25" s="1161"/>
      <c r="Q25" s="1161"/>
      <c r="R25" s="1161"/>
      <c r="S25" s="1161"/>
      <c r="T25" s="1161" t="s">
        <v>1240</v>
      </c>
      <c r="U25" s="1161"/>
      <c r="V25" s="1161">
        <v>1</v>
      </c>
      <c r="W25" s="1161">
        <v>100</v>
      </c>
      <c r="X25" s="1161"/>
      <c r="Y25" s="1161"/>
      <c r="Z25" s="1161"/>
      <c r="AA25" s="1161"/>
      <c r="AB25" s="1161"/>
      <c r="AC25" s="1161"/>
      <c r="AD25" s="1161"/>
      <c r="AE25" s="1161"/>
      <c r="AH25" s="1356"/>
      <c r="AI25" s="1356"/>
      <c r="AJ25" s="1356"/>
      <c r="AK25" s="1356"/>
      <c r="AL25" s="1356"/>
      <c r="AM25" s="1356"/>
      <c r="AN25" s="1356"/>
      <c r="AO25" s="1356"/>
      <c r="AP25" s="1356"/>
      <c r="AQ25" s="1356"/>
      <c r="AR25" s="1356"/>
      <c r="AS25" s="1402">
        <v>2000</v>
      </c>
      <c r="AT25" s="1403"/>
      <c r="AU25" s="1404">
        <v>752.6296937799043</v>
      </c>
      <c r="AV25" s="1405"/>
      <c r="AW25" s="1404">
        <v>1654.9303769569378</v>
      </c>
      <c r="AX25" s="1405"/>
      <c r="AY25" s="1404">
        <v>4091.8715311004785</v>
      </c>
      <c r="AZ25" s="1405"/>
      <c r="BA25" s="1407">
        <v>6499.4316018373211</v>
      </c>
      <c r="BB25" s="1408"/>
      <c r="BC25" s="1356"/>
      <c r="BD25" s="1356"/>
      <c r="BE25" s="1356"/>
    </row>
    <row r="26" spans="1:57" ht="14.25">
      <c r="A26" s="580"/>
      <c r="B26" t="str">
        <f>Processes!D71</f>
        <v>FT-TRAGSB</v>
      </c>
      <c r="C26" t="str">
        <f>Processes!E71</f>
        <v>Fuel Technology Bioethanol (1G &amp; 2G) TRA</v>
      </c>
      <c r="D26" t="s">
        <v>522</v>
      </c>
      <c r="E26" t="str">
        <f>Commodities!D51</f>
        <v>TRAGSB</v>
      </c>
      <c r="F26" s="21">
        <v>1</v>
      </c>
      <c r="G26">
        <v>100</v>
      </c>
      <c r="Q26" s="1161" t="s">
        <v>1294</v>
      </c>
      <c r="R26" s="1161" t="s">
        <v>1295</v>
      </c>
      <c r="S26" s="1161" t="s">
        <v>1199</v>
      </c>
      <c r="T26" s="1161" t="s">
        <v>1242</v>
      </c>
      <c r="U26" s="1161"/>
      <c r="V26" s="1161">
        <v>1</v>
      </c>
      <c r="W26" s="1161">
        <v>100</v>
      </c>
      <c r="X26" s="1161"/>
      <c r="Y26" s="1161"/>
      <c r="Z26" s="1161"/>
      <c r="AA26" s="1161"/>
      <c r="AB26" s="1161"/>
      <c r="AC26" s="1161"/>
      <c r="AD26" s="1161"/>
      <c r="AE26" s="1161"/>
      <c r="AH26" s="1356"/>
      <c r="AI26" s="1356"/>
      <c r="AJ26" s="1356"/>
      <c r="AK26" s="1356"/>
      <c r="AL26" s="1356"/>
      <c r="AM26" s="1356"/>
      <c r="AN26" s="1356"/>
      <c r="AO26" s="1356"/>
      <c r="AP26" s="1356"/>
      <c r="AQ26" s="1356"/>
      <c r="AR26" s="1356"/>
      <c r="AS26" s="1402">
        <v>1999</v>
      </c>
      <c r="AT26" s="1403"/>
      <c r="AU26" s="1404">
        <v>645.18537200504409</v>
      </c>
      <c r="AV26" s="1405"/>
      <c r="AW26" s="1404">
        <v>1799.7276166456493</v>
      </c>
      <c r="AX26" s="1405"/>
      <c r="AY26" s="1404">
        <v>4230.7490542244641</v>
      </c>
      <c r="AZ26" s="1405"/>
      <c r="BA26" s="1407">
        <v>6675.6620428751576</v>
      </c>
      <c r="BB26" s="1408"/>
      <c r="BC26" s="1356"/>
      <c r="BD26" s="1356"/>
      <c r="BE26" s="1356"/>
    </row>
    <row r="27" spans="1:57" ht="14.25">
      <c r="A27" s="580"/>
      <c r="D27" t="s">
        <v>523</v>
      </c>
      <c r="F27" s="21"/>
      <c r="Q27" s="1161"/>
      <c r="R27" s="1161"/>
      <c r="S27" s="1161"/>
      <c r="T27" s="1161" t="s">
        <v>1244</v>
      </c>
      <c r="U27" s="1161"/>
      <c r="V27" s="1161">
        <v>1</v>
      </c>
      <c r="W27" s="1161">
        <v>100</v>
      </c>
      <c r="X27" s="1161"/>
      <c r="Y27" s="1161"/>
      <c r="Z27" s="1161"/>
      <c r="AA27" s="1161"/>
      <c r="AH27" s="1161"/>
      <c r="AI27" s="1161"/>
      <c r="AJ27" s="1161"/>
      <c r="AK27" s="1161"/>
      <c r="AL27" s="1161"/>
      <c r="AM27" s="1161"/>
      <c r="AN27" s="1356"/>
      <c r="AO27" s="1356"/>
      <c r="AP27" s="1356"/>
      <c r="AQ27" s="1356"/>
      <c r="AR27" s="1356"/>
      <c r="AS27" s="1402">
        <v>1998</v>
      </c>
      <c r="AT27" s="1403"/>
      <c r="AU27" s="1404">
        <v>671.68790637191159</v>
      </c>
      <c r="AV27" s="1405"/>
      <c r="AW27" s="1404">
        <v>1760.3953185955786</v>
      </c>
      <c r="AX27" s="1405"/>
      <c r="AY27" s="1404">
        <v>4211.5786736020809</v>
      </c>
      <c r="AZ27" s="1405"/>
      <c r="BA27" s="1407">
        <v>6643.6618985695713</v>
      </c>
      <c r="BB27" s="1408"/>
      <c r="BC27" s="1356"/>
      <c r="BD27" s="1356"/>
      <c r="BE27" s="1356"/>
    </row>
    <row r="28" spans="1:57" ht="14.25">
      <c r="A28" s="580"/>
      <c r="B28" s="1161" t="str">
        <f>Processes!D72</f>
        <v>FT-TRAGSE</v>
      </c>
      <c r="C28" s="1161" t="str">
        <f>Processes!E72</f>
        <v>Fuel Technology Electro ethanol (1G &amp; 2G) TRA</v>
      </c>
      <c r="D28" s="682" t="s">
        <v>1844</v>
      </c>
      <c r="E28" s="1161" t="str">
        <f>Commodities!D52</f>
        <v>TRAGSE</v>
      </c>
      <c r="F28" s="684">
        <v>1</v>
      </c>
      <c r="G28" s="1161">
        <v>100</v>
      </c>
      <c r="H28" s="1161"/>
      <c r="I28" s="1161"/>
      <c r="J28" s="1161"/>
      <c r="K28" s="1161"/>
      <c r="L28" s="1161"/>
      <c r="Q28" s="1161"/>
      <c r="R28" s="1161"/>
      <c r="S28" s="1161"/>
      <c r="T28" s="1161" t="s">
        <v>1246</v>
      </c>
      <c r="U28" s="1161"/>
      <c r="V28" s="1161">
        <v>1</v>
      </c>
      <c r="W28" s="1161">
        <v>100</v>
      </c>
      <c r="X28" s="1161"/>
      <c r="Y28" s="1161"/>
      <c r="Z28" s="1161"/>
      <c r="AA28" s="1161"/>
      <c r="AH28" s="1356"/>
      <c r="AI28" s="1356"/>
      <c r="AJ28" s="1356"/>
      <c r="AK28" s="1356"/>
      <c r="AL28" s="1356"/>
      <c r="AM28" s="1161"/>
      <c r="AN28" s="1356"/>
      <c r="AO28" s="1356"/>
      <c r="AP28" s="1356"/>
      <c r="AQ28" s="1356"/>
      <c r="AR28" s="1356"/>
      <c r="AS28" s="1402">
        <v>1997</v>
      </c>
      <c r="AT28" s="1403"/>
      <c r="AU28" s="1404">
        <v>804.11125827814567</v>
      </c>
      <c r="AV28" s="1405"/>
      <c r="AW28" s="1404">
        <v>1238.5907284768211</v>
      </c>
      <c r="AX28" s="1405"/>
      <c r="AY28" s="1404">
        <v>4085.4039735099341</v>
      </c>
      <c r="AZ28" s="1405"/>
      <c r="BA28" s="1407">
        <v>6128.1059602649011</v>
      </c>
      <c r="BB28" s="1408"/>
      <c r="BC28" s="1356"/>
      <c r="BD28" s="1356"/>
      <c r="BE28" s="1356"/>
    </row>
    <row r="29" spans="1:57" ht="14.25">
      <c r="A29" s="580"/>
      <c r="B29" s="1161" t="str">
        <f>Processes!D73</f>
        <v>FT-TRAH2</v>
      </c>
      <c r="C29" s="1161" t="str">
        <f>Processes!E73</f>
        <v>Fuel Technology Hydrogen TRA</v>
      </c>
      <c r="D29" s="1161" t="s">
        <v>1873</v>
      </c>
      <c r="E29" s="1161" t="str">
        <f>Commodities!D54</f>
        <v>TRAH2</v>
      </c>
      <c r="F29" s="684">
        <v>1</v>
      </c>
      <c r="G29" s="1161">
        <v>100</v>
      </c>
      <c r="H29" s="1161"/>
      <c r="I29" s="1161"/>
      <c r="J29" s="1161"/>
      <c r="K29" s="1161"/>
      <c r="L29" s="1161"/>
      <c r="Q29" s="1161" t="s">
        <v>1296</v>
      </c>
      <c r="R29" s="1161" t="s">
        <v>1297</v>
      </c>
      <c r="S29" s="1161" t="s">
        <v>1199</v>
      </c>
      <c r="T29" s="1161" t="s">
        <v>1252</v>
      </c>
      <c r="U29" s="1161"/>
      <c r="V29" s="1161">
        <v>1</v>
      </c>
      <c r="W29" s="1161">
        <v>100</v>
      </c>
      <c r="X29" s="1161"/>
      <c r="Y29" s="1161"/>
      <c r="Z29" s="1161"/>
      <c r="AA29" s="1161"/>
      <c r="AH29" s="1356"/>
      <c r="AI29" s="1356"/>
      <c r="AJ29" s="1356"/>
      <c r="AK29" s="1356"/>
      <c r="AL29" s="1356"/>
      <c r="AM29" s="1161"/>
      <c r="AN29" s="1356"/>
      <c r="AO29" s="1356"/>
      <c r="AP29" s="1356"/>
      <c r="AQ29" s="1356"/>
      <c r="AR29" s="1356"/>
      <c r="AS29" s="1402">
        <v>1996</v>
      </c>
      <c r="AT29" s="1403"/>
      <c r="AU29" s="1404">
        <v>1230.7438016528927</v>
      </c>
      <c r="AV29" s="1405"/>
      <c r="AW29" s="1404">
        <v>1340.3305785123966</v>
      </c>
      <c r="AX29" s="1405"/>
      <c r="AY29" s="1404">
        <v>4548.6942148760336</v>
      </c>
      <c r="AZ29" s="1405"/>
      <c r="BA29" s="1407">
        <v>7119.7685950413234</v>
      </c>
      <c r="BB29" s="1408"/>
      <c r="BC29" s="1356"/>
      <c r="BD29" s="1356"/>
      <c r="BE29" s="1356"/>
    </row>
    <row r="30" spans="1:57" ht="14.25">
      <c r="A30" s="580"/>
      <c r="B30" s="1161" t="str">
        <f>Processes!D74</f>
        <v>FT-TRAH2N</v>
      </c>
      <c r="C30" s="1161" t="str">
        <f>Processes!E74</f>
        <v>Fuel Technology Hydrogen TRA Navigation</v>
      </c>
      <c r="D30" s="1161" t="s">
        <v>1873</v>
      </c>
      <c r="E30" s="1161" t="str">
        <f>Commodities!D55</f>
        <v>TRAH2N</v>
      </c>
      <c r="F30" s="684">
        <v>1</v>
      </c>
      <c r="G30" s="1161">
        <v>100</v>
      </c>
      <c r="H30" s="1161"/>
      <c r="I30" s="1161"/>
      <c r="J30" s="1161"/>
      <c r="K30" s="1161"/>
      <c r="L30" s="1161"/>
      <c r="M30" s="1161"/>
      <c r="Q30" s="1161"/>
      <c r="R30" s="1161"/>
      <c r="S30" s="1161"/>
      <c r="T30" s="1161" t="s">
        <v>1254</v>
      </c>
      <c r="U30" s="1161"/>
      <c r="V30" s="1161">
        <v>1</v>
      </c>
      <c r="W30" s="1161">
        <v>100</v>
      </c>
      <c r="X30" s="1161"/>
      <c r="Y30" s="1161"/>
      <c r="Z30" s="1161"/>
      <c r="AA30" s="1161"/>
      <c r="AH30" s="1356"/>
      <c r="AI30" s="1356"/>
      <c r="AJ30" s="1356"/>
      <c r="AK30" s="1356"/>
      <c r="AL30" s="1356"/>
      <c r="AM30" s="1161"/>
      <c r="AN30" s="1356"/>
      <c r="AO30" s="1356"/>
      <c r="AP30" s="1356"/>
      <c r="AQ30" s="1356"/>
      <c r="AR30" s="1356"/>
      <c r="AS30" s="1402">
        <v>1995</v>
      </c>
      <c r="AT30" s="1403"/>
      <c r="AU30" s="1404">
        <v>1320.1714285714286</v>
      </c>
      <c r="AV30" s="1405"/>
      <c r="AW30" s="1404">
        <v>1309.68</v>
      </c>
      <c r="AX30" s="1405"/>
      <c r="AY30" s="1404">
        <v>4478.091428571428</v>
      </c>
      <c r="AZ30" s="1405"/>
      <c r="BA30" s="1407">
        <v>7107.9428571428562</v>
      </c>
      <c r="BB30" s="1408"/>
      <c r="BC30" s="1356"/>
      <c r="BD30" s="1356"/>
      <c r="BE30" s="1356"/>
    </row>
    <row r="31" spans="1:57" s="1161" customFormat="1" ht="14.25">
      <c r="A31" s="580"/>
      <c r="B31" s="1161" t="str">
        <f>Processes!D75</f>
        <v>FT-TRAH2C</v>
      </c>
      <c r="C31" s="1161" t="str">
        <f>Processes!E75</f>
        <v>Fuel Technology Hydrogen Compressed TRA</v>
      </c>
      <c r="D31" s="1161" t="str">
        <f>Commodities!D54</f>
        <v>TRAH2</v>
      </c>
      <c r="E31" s="1161" t="str">
        <f>Commodities!D56</f>
        <v>TRAH2C</v>
      </c>
      <c r="F31" s="684">
        <v>1</v>
      </c>
      <c r="G31" s="1161">
        <v>100</v>
      </c>
      <c r="T31" s="1161" t="s">
        <v>1256</v>
      </c>
      <c r="V31" s="1161">
        <v>1</v>
      </c>
      <c r="W31" s="1161">
        <v>100</v>
      </c>
      <c r="AH31" s="1356"/>
      <c r="AI31" s="1356"/>
      <c r="AJ31" s="1356"/>
      <c r="AK31" s="1356"/>
      <c r="AL31" s="1356"/>
      <c r="AN31" s="1356"/>
      <c r="AO31" s="1356"/>
      <c r="AP31" s="1356"/>
      <c r="AQ31" s="1356"/>
      <c r="AR31" s="1356"/>
      <c r="AS31" s="1402"/>
      <c r="AT31" s="1403"/>
      <c r="AU31" s="1404"/>
      <c r="AV31" s="1405"/>
      <c r="AW31" s="1404"/>
      <c r="AX31" s="1405"/>
      <c r="AY31" s="1404"/>
      <c r="AZ31" s="1405"/>
      <c r="BA31" s="1407"/>
      <c r="BB31" s="1408"/>
      <c r="BC31" s="1356"/>
      <c r="BD31" s="1356"/>
      <c r="BE31" s="1356"/>
    </row>
    <row r="32" spans="1:57" s="1161" customFormat="1" ht="14.25">
      <c r="B32" t="str">
        <f>Processes!D76</f>
        <v>FT-TRAKER</v>
      </c>
      <c r="C32" t="str">
        <f>Processes!E76</f>
        <v>Fuel Technology Kerosene TRA</v>
      </c>
      <c r="D32" t="str">
        <f>RIGHT(Commodities!D57,3)</f>
        <v>KER</v>
      </c>
      <c r="E32" t="str">
        <f>Commodities!D57</f>
        <v>TRAKER</v>
      </c>
      <c r="F32" s="21">
        <v>1</v>
      </c>
      <c r="G32">
        <v>100</v>
      </c>
      <c r="H32"/>
      <c r="I32"/>
      <c r="J32"/>
      <c r="K32"/>
      <c r="L32"/>
      <c r="Q32" s="1161" t="s">
        <v>1298</v>
      </c>
      <c r="R32" s="1161" t="s">
        <v>1299</v>
      </c>
      <c r="S32" s="1161" t="s">
        <v>1199</v>
      </c>
      <c r="T32" s="1161" t="s">
        <v>1248</v>
      </c>
      <c r="V32" s="1161">
        <v>1</v>
      </c>
      <c r="W32" s="1161">
        <v>100</v>
      </c>
      <c r="AH32" s="1356"/>
      <c r="AI32" s="1356"/>
      <c r="AJ32" s="1356"/>
      <c r="AK32" s="1356"/>
      <c r="AL32" s="1356"/>
      <c r="AN32" s="1356"/>
      <c r="AO32" s="1356"/>
      <c r="AP32" s="1356"/>
      <c r="AQ32" s="1356"/>
      <c r="AR32" s="1356"/>
      <c r="AS32" s="1402"/>
      <c r="AT32" s="1403"/>
      <c r="AU32" s="1404"/>
      <c r="AV32" s="1405"/>
      <c r="AW32" s="1404"/>
      <c r="AX32" s="1405"/>
      <c r="AY32" s="1404"/>
      <c r="AZ32" s="1405"/>
      <c r="BA32" s="1407"/>
      <c r="BB32" s="1408"/>
      <c r="BC32" s="1356"/>
      <c r="BD32" s="1356"/>
      <c r="BE32" s="1356"/>
    </row>
    <row r="33" spans="1:57" s="1161" customFormat="1" ht="14.25">
      <c r="B33" s="1161" t="str">
        <f>Processes!D77</f>
        <v>FT-TRAKEI</v>
      </c>
      <c r="C33" s="1161" t="str">
        <f>Processes!E77</f>
        <v>Fuel Technology Kerosene TRA - International</v>
      </c>
      <c r="D33" s="1161" t="str">
        <f>E32</f>
        <v>TRAKER</v>
      </c>
      <c r="E33" s="1161" t="str">
        <f>Commodities!D58</f>
        <v>TRAKEI</v>
      </c>
      <c r="F33" s="684">
        <v>1</v>
      </c>
      <c r="G33" s="1161">
        <v>100</v>
      </c>
      <c r="T33" s="1161" t="s">
        <v>1250</v>
      </c>
      <c r="V33" s="1161">
        <v>1</v>
      </c>
      <c r="W33" s="1161">
        <v>100</v>
      </c>
      <c r="AH33" s="1356"/>
      <c r="AI33" s="1356"/>
      <c r="AJ33" s="1356"/>
      <c r="AK33" s="1356"/>
      <c r="AL33" s="1356"/>
      <c r="AN33" s="1356"/>
      <c r="AO33" s="1356"/>
      <c r="AP33" s="1356"/>
      <c r="AQ33" s="1356"/>
      <c r="AR33" s="1356"/>
      <c r="AS33" s="1402"/>
      <c r="AT33" s="1403"/>
      <c r="AU33" s="1404"/>
      <c r="AV33" s="1405"/>
      <c r="AW33" s="1404"/>
      <c r="AX33" s="1405"/>
      <c r="AY33" s="1404"/>
      <c r="AZ33" s="1405"/>
      <c r="BA33" s="1407"/>
      <c r="BB33" s="1408"/>
      <c r="BC33" s="1356"/>
      <c r="BD33" s="1356"/>
      <c r="BE33" s="1356"/>
    </row>
    <row r="34" spans="1:57" s="1161" customFormat="1" ht="14.25">
      <c r="B34" s="1161" t="str">
        <f>Processes!D78</f>
        <v>FT-TRAKEN</v>
      </c>
      <c r="C34" s="1161" t="str">
        <f>Processes!E78</f>
        <v>Fuel Technology Kerosene TRA - National</v>
      </c>
      <c r="D34" s="1161" t="str">
        <f>E32</f>
        <v>TRAKER</v>
      </c>
      <c r="E34" s="1161" t="str">
        <f>Commodities!D59</f>
        <v>TRAKEN</v>
      </c>
      <c r="F34" s="684">
        <v>1</v>
      </c>
      <c r="G34" s="1161">
        <v>100</v>
      </c>
      <c r="Q34" s="1161" t="s">
        <v>1300</v>
      </c>
      <c r="R34" s="1161" t="s">
        <v>1301</v>
      </c>
      <c r="S34" s="1161" t="s">
        <v>1199</v>
      </c>
      <c r="T34" s="1161" t="s">
        <v>1210</v>
      </c>
      <c r="V34" s="1161">
        <v>1</v>
      </c>
      <c r="W34" s="1161">
        <v>100</v>
      </c>
      <c r="AH34" s="1356"/>
      <c r="AI34" s="1356"/>
      <c r="AJ34" s="1356"/>
      <c r="AK34" s="1356"/>
      <c r="AL34" s="1356"/>
      <c r="AN34" s="1356"/>
      <c r="AO34" s="1356"/>
      <c r="AP34" s="1356"/>
      <c r="AQ34" s="1356"/>
      <c r="AR34" s="1356"/>
      <c r="AS34" s="1402"/>
      <c r="AT34" s="1403"/>
      <c r="AU34" s="1404"/>
      <c r="AV34" s="1405"/>
      <c r="AW34" s="1404"/>
      <c r="AX34" s="1405"/>
      <c r="AY34" s="1404"/>
      <c r="AZ34" s="1405"/>
      <c r="BA34" s="1407"/>
      <c r="BB34" s="1408"/>
      <c r="BC34" s="1356"/>
      <c r="BD34" s="1356"/>
      <c r="BE34" s="1356"/>
    </row>
    <row r="35" spans="1:57" s="1161" customFormat="1" ht="14.25">
      <c r="B35" t="str">
        <f>Processes!D79</f>
        <v>FT-TRAHFO</v>
      </c>
      <c r="C35" t="str">
        <f>Processes!E79</f>
        <v>Fuel Technology Heavy Fuel Oil TRA</v>
      </c>
      <c r="D35" t="str">
        <f>RIGHT(Commodities!D60,3)</f>
        <v>HFO</v>
      </c>
      <c r="E35" t="str">
        <f>Commodities!D60</f>
        <v>TRAHFO</v>
      </c>
      <c r="F35" s="21">
        <v>1</v>
      </c>
      <c r="G35">
        <v>100</v>
      </c>
      <c r="H35"/>
      <c r="I35"/>
      <c r="J35"/>
      <c r="K35"/>
      <c r="L35"/>
      <c r="T35" s="1161" t="s">
        <v>1212</v>
      </c>
      <c r="V35" s="1161">
        <v>1</v>
      </c>
      <c r="W35" s="1161">
        <v>100</v>
      </c>
      <c r="AH35" s="1356"/>
      <c r="AI35" s="1356"/>
      <c r="AJ35" s="1356"/>
      <c r="AK35" s="1356"/>
      <c r="AL35" s="1356"/>
      <c r="AN35" s="1356"/>
      <c r="AO35" s="1356"/>
      <c r="AP35" s="1356"/>
      <c r="AQ35" s="1356"/>
      <c r="AR35" s="1356"/>
      <c r="AS35" s="1402"/>
      <c r="AT35" s="1403"/>
      <c r="AU35" s="1404"/>
      <c r="AV35" s="1405"/>
      <c r="AW35" s="1404"/>
      <c r="AX35" s="1405"/>
      <c r="AY35" s="1404"/>
      <c r="AZ35" s="1405"/>
      <c r="BA35" s="1407"/>
      <c r="BB35" s="1408"/>
      <c r="BC35" s="1356"/>
      <c r="BD35" s="1356"/>
      <c r="BE35" s="1356"/>
    </row>
    <row r="36" spans="1:57" s="1161" customFormat="1" ht="14.25">
      <c r="B36" s="1161" t="str">
        <f>Processes!D80</f>
        <v>FT-TRAHFON</v>
      </c>
      <c r="C36" s="1161" t="str">
        <f>Processes!E80</f>
        <v>Fuel Technology Heavy Fuel Oil TRA Navigation</v>
      </c>
      <c r="D36" s="1161" t="str">
        <f>D35</f>
        <v>HFO</v>
      </c>
      <c r="E36" s="1161" t="str">
        <f>Commodities!D61</f>
        <v>TRAHFON</v>
      </c>
      <c r="F36" s="684">
        <v>1</v>
      </c>
      <c r="G36" s="1161">
        <v>100</v>
      </c>
      <c r="T36" s="1161" t="s">
        <v>1214</v>
      </c>
      <c r="V36" s="1161">
        <v>1</v>
      </c>
      <c r="W36" s="1161">
        <v>100</v>
      </c>
      <c r="AH36" s="1356"/>
      <c r="AI36" s="1356"/>
      <c r="AJ36" s="1356"/>
      <c r="AK36" s="1356"/>
      <c r="AL36" s="1356"/>
      <c r="AN36" s="1356"/>
      <c r="AO36" s="1356"/>
      <c r="AP36" s="1356"/>
      <c r="AQ36" s="1356"/>
      <c r="AR36" s="1356"/>
      <c r="AS36" s="1402"/>
      <c r="AT36" s="1403"/>
      <c r="AU36" s="1404"/>
      <c r="AV36" s="1405"/>
      <c r="AW36" s="1404"/>
      <c r="AX36" s="1405"/>
      <c r="AY36" s="1404"/>
      <c r="AZ36" s="1405"/>
      <c r="BA36" s="1407"/>
      <c r="BB36" s="1408"/>
      <c r="BC36" s="1356"/>
      <c r="BD36" s="1356"/>
      <c r="BE36" s="1356"/>
    </row>
    <row r="37" spans="1:57" s="1161" customFormat="1" ht="14.25">
      <c r="B37" t="str">
        <f>Processes!D81</f>
        <v>FT-TRAKRB</v>
      </c>
      <c r="C37" t="str">
        <f>Processes!E81</f>
        <v>Fuel Technology Biokerosene TRA</v>
      </c>
      <c r="D37" t="s">
        <v>524</v>
      </c>
      <c r="E37" t="str">
        <f>Commodities!D63</f>
        <v>TRAKRB</v>
      </c>
      <c r="F37" s="21">
        <v>1</v>
      </c>
      <c r="G37">
        <v>100</v>
      </c>
      <c r="H37"/>
      <c r="I37"/>
      <c r="J37"/>
      <c r="K37"/>
      <c r="L37"/>
      <c r="Q37" s="1161" t="s">
        <v>1302</v>
      </c>
      <c r="R37" s="1161" t="s">
        <v>1303</v>
      </c>
      <c r="S37" s="1161" t="s">
        <v>1199</v>
      </c>
      <c r="T37" s="1161" t="s">
        <v>1216</v>
      </c>
      <c r="V37" s="1161">
        <v>1</v>
      </c>
      <c r="W37" s="1161">
        <v>100</v>
      </c>
      <c r="AH37" s="1356"/>
      <c r="AI37" s="1356"/>
      <c r="AJ37" s="1356"/>
      <c r="AK37" s="1356"/>
      <c r="AL37" s="1356"/>
      <c r="AM37" s="1356"/>
      <c r="AN37" s="1356"/>
      <c r="AO37" s="1356"/>
      <c r="AP37" s="1356"/>
      <c r="AQ37" s="1356"/>
      <c r="AR37" s="1356"/>
      <c r="AS37" s="1402"/>
      <c r="AT37" s="1403"/>
      <c r="AU37" s="1404"/>
      <c r="AV37" s="1405"/>
      <c r="AW37" s="1404"/>
      <c r="AX37" s="1405"/>
      <c r="AY37" s="1404"/>
      <c r="AZ37" s="1405"/>
      <c r="BA37" s="1407"/>
      <c r="BB37" s="1408"/>
      <c r="BC37" s="1356"/>
      <c r="BD37" s="1356"/>
      <c r="BE37" s="1356"/>
    </row>
    <row r="38" spans="1:57" ht="14.25">
      <c r="A38" s="1161"/>
      <c r="B38" s="714"/>
      <c r="C38" s="714"/>
      <c r="D38" s="714" t="s">
        <v>525</v>
      </c>
      <c r="E38" s="714"/>
      <c r="F38" s="1424"/>
      <c r="G38" s="714"/>
      <c r="H38" s="714"/>
      <c r="I38" s="714"/>
      <c r="J38" s="714"/>
      <c r="K38" s="714"/>
      <c r="L38" s="714"/>
      <c r="N38" s="1161"/>
      <c r="O38" s="1161"/>
      <c r="Q38" s="1161"/>
      <c r="R38" s="1161"/>
      <c r="S38" s="1161"/>
      <c r="T38" s="1161" t="s">
        <v>1218</v>
      </c>
      <c r="U38" s="1161"/>
      <c r="V38" s="1161">
        <v>1</v>
      </c>
      <c r="W38" s="1161">
        <v>100</v>
      </c>
      <c r="X38" s="1161"/>
      <c r="Y38" s="1161"/>
      <c r="Z38" s="1161"/>
      <c r="AA38" s="1161"/>
      <c r="AH38" s="1356"/>
      <c r="AI38" s="1356"/>
      <c r="AJ38" s="1356"/>
      <c r="AK38" s="1356"/>
      <c r="AL38" s="1356"/>
      <c r="AM38" s="1356"/>
      <c r="AN38" s="1356"/>
      <c r="AO38" s="1356"/>
      <c r="AP38" s="1356"/>
      <c r="AQ38" s="1356"/>
      <c r="AR38" s="1356"/>
      <c r="AS38" s="1402">
        <v>1994</v>
      </c>
      <c r="AT38" s="1403"/>
      <c r="AU38" s="1404">
        <v>1490.1656804733727</v>
      </c>
      <c r="AV38" s="1405"/>
      <c r="AW38" s="1404">
        <v>1243.9171597633137</v>
      </c>
      <c r="AX38" s="1405"/>
      <c r="AY38" s="1404">
        <v>4360.0473372781062</v>
      </c>
      <c r="AZ38" s="1405"/>
      <c r="BA38" s="1407">
        <v>7094.1301775147931</v>
      </c>
      <c r="BB38" s="1408"/>
      <c r="BC38" s="1356"/>
      <c r="BD38" s="1356"/>
      <c r="BE38" s="1356"/>
    </row>
    <row r="39" spans="1:57" ht="14.25">
      <c r="A39" s="1161"/>
      <c r="B39" s="714"/>
      <c r="C39" s="714"/>
      <c r="D39" s="440" t="s">
        <v>1846</v>
      </c>
      <c r="E39" s="714"/>
      <c r="F39" s="714"/>
      <c r="G39" s="714"/>
      <c r="H39" s="714"/>
      <c r="I39" s="714"/>
      <c r="J39" s="714"/>
      <c r="K39" s="714"/>
      <c r="L39" s="714"/>
      <c r="N39" s="1161"/>
      <c r="O39" s="1161"/>
      <c r="Q39" s="1161"/>
      <c r="R39" s="1161"/>
      <c r="S39" s="1161"/>
      <c r="T39" s="1161" t="s">
        <v>1220</v>
      </c>
      <c r="U39" s="1161"/>
      <c r="V39" s="1161">
        <v>1</v>
      </c>
      <c r="W39" s="1161">
        <v>100</v>
      </c>
      <c r="X39" s="1161"/>
      <c r="Y39" s="1161"/>
      <c r="Z39" s="1161"/>
      <c r="AA39" s="1161"/>
      <c r="AH39" s="1356"/>
      <c r="AI39" s="1356"/>
      <c r="AJ39" s="1356"/>
      <c r="AK39" s="1356"/>
      <c r="AL39" s="1356"/>
      <c r="AM39" s="1356"/>
      <c r="AN39" s="1356"/>
      <c r="AO39" s="1356"/>
      <c r="AP39" s="1356"/>
      <c r="AQ39" s="1356"/>
      <c r="AR39" s="1356"/>
      <c r="AS39" s="1402">
        <v>1993</v>
      </c>
      <c r="AT39" s="1403"/>
      <c r="AU39" s="1404">
        <v>1638.7286356821589</v>
      </c>
      <c r="AV39" s="1405"/>
      <c r="AW39" s="1404">
        <v>1394.6626686656673</v>
      </c>
      <c r="AX39" s="1405"/>
      <c r="AY39" s="1404">
        <v>4185.8230884557715</v>
      </c>
      <c r="AZ39" s="1405"/>
      <c r="BA39" s="1407">
        <v>7219.2143928035975</v>
      </c>
      <c r="BB39" s="1408"/>
      <c r="BC39" s="1356"/>
      <c r="BD39" s="1356"/>
      <c r="BE39" s="1356"/>
    </row>
    <row r="40" spans="1:57" ht="14.25">
      <c r="A40" s="1161"/>
      <c r="B40" s="679" t="s">
        <v>1616</v>
      </c>
      <c r="C40" s="679" t="s">
        <v>1617</v>
      </c>
      <c r="D40" s="679" t="s">
        <v>517</v>
      </c>
      <c r="E40" s="1623" t="s">
        <v>1607</v>
      </c>
      <c r="F40" s="679">
        <v>1</v>
      </c>
      <c r="G40" s="679">
        <v>100</v>
      </c>
      <c r="H40" s="679"/>
      <c r="I40" s="679"/>
      <c r="J40" s="679"/>
      <c r="K40" s="679"/>
      <c r="L40" s="679"/>
      <c r="Q40" s="1161"/>
      <c r="R40" s="1161"/>
      <c r="S40" s="1161"/>
      <c r="T40" s="1161" t="s">
        <v>1222</v>
      </c>
      <c r="U40" s="1161"/>
      <c r="V40" s="1161">
        <v>1</v>
      </c>
      <c r="W40" s="1161">
        <v>100</v>
      </c>
      <c r="X40" s="1161"/>
      <c r="Y40" s="1161"/>
      <c r="Z40" s="1161"/>
      <c r="AA40" s="1161"/>
      <c r="AH40" s="1356"/>
      <c r="AI40" s="1356"/>
      <c r="AJ40" s="1356"/>
      <c r="AK40" s="1356"/>
      <c r="AL40" s="1356"/>
      <c r="AM40" s="1356"/>
      <c r="AN40" s="1356"/>
      <c r="AO40" s="1356"/>
      <c r="AP40" s="1356"/>
      <c r="AQ40" s="1356"/>
      <c r="AR40" s="1356"/>
      <c r="AS40" s="1402">
        <v>1992</v>
      </c>
      <c r="AT40" s="1403"/>
      <c r="AU40" s="1404">
        <v>1502.9581395348839</v>
      </c>
      <c r="AV40" s="1405"/>
      <c r="AW40" s="1404">
        <v>1296.1116279069768</v>
      </c>
      <c r="AX40" s="1405"/>
      <c r="AY40" s="1404">
        <v>4023.0697674418607</v>
      </c>
      <c r="AZ40" s="1405"/>
      <c r="BA40" s="1407">
        <v>6822.1395348837214</v>
      </c>
      <c r="BB40" s="1408"/>
      <c r="BC40" s="1356"/>
      <c r="BD40" s="1356"/>
      <c r="BE40" s="1356"/>
    </row>
    <row r="41" spans="1:57" ht="14.25">
      <c r="A41" s="580"/>
      <c r="B41" s="679"/>
      <c r="C41" s="679"/>
      <c r="D41" s="679" t="s">
        <v>518</v>
      </c>
      <c r="E41" s="679"/>
      <c r="F41" s="1624"/>
      <c r="G41" s="679"/>
      <c r="H41" s="679"/>
      <c r="I41" s="679"/>
      <c r="J41" s="679"/>
      <c r="K41" s="679"/>
      <c r="L41" s="679"/>
      <c r="Q41" s="1161" t="s">
        <v>1304</v>
      </c>
      <c r="R41" s="1161" t="s">
        <v>1305</v>
      </c>
      <c r="S41" s="1161" t="s">
        <v>1199</v>
      </c>
      <c r="T41" s="1161" t="s">
        <v>1224</v>
      </c>
      <c r="U41" s="1161"/>
      <c r="V41" s="1161">
        <v>1</v>
      </c>
      <c r="W41" s="1161">
        <v>100</v>
      </c>
      <c r="X41" s="1161"/>
      <c r="Y41" s="1161"/>
      <c r="Z41" s="1161"/>
      <c r="AA41" s="1161"/>
      <c r="AH41" s="1356"/>
      <c r="AI41" s="1356"/>
      <c r="AJ41" s="1356"/>
      <c r="AK41" s="1356"/>
      <c r="AL41" s="1356"/>
      <c r="AM41" s="1356"/>
      <c r="AN41" s="1356"/>
      <c r="AO41" s="1356"/>
      <c r="AP41" s="1356"/>
      <c r="AQ41" s="1356"/>
      <c r="AR41" s="1356"/>
      <c r="AS41" s="1402">
        <v>1991</v>
      </c>
      <c r="AT41" s="1403"/>
      <c r="AU41" s="1404">
        <v>1539.8106870229008</v>
      </c>
      <c r="AV41" s="1405"/>
      <c r="AW41" s="1404">
        <v>1311.8290076335877</v>
      </c>
      <c r="AX41" s="1405"/>
      <c r="AY41" s="1404">
        <v>3918.668702290076</v>
      </c>
      <c r="AZ41" s="1405"/>
      <c r="BA41" s="1407">
        <v>6770.3083969465642</v>
      </c>
      <c r="BB41" s="1408"/>
      <c r="BC41" s="1356"/>
      <c r="BD41" s="1356"/>
      <c r="BE41" s="1356"/>
    </row>
    <row r="42" spans="1:57" ht="14.25">
      <c r="A42" s="580"/>
      <c r="B42" s="679"/>
      <c r="C42" s="679"/>
      <c r="D42" s="245" t="s">
        <v>1845</v>
      </c>
      <c r="E42" s="679"/>
      <c r="F42" s="1624"/>
      <c r="G42" s="679"/>
      <c r="H42" s="679"/>
      <c r="I42" s="679"/>
      <c r="J42" s="679"/>
      <c r="K42" s="679"/>
      <c r="L42" s="679"/>
      <c r="Q42" s="1161"/>
      <c r="R42" s="1161"/>
      <c r="S42" s="1161"/>
      <c r="T42" s="1161" t="s">
        <v>1226</v>
      </c>
      <c r="U42" s="1161"/>
      <c r="V42" s="1161">
        <v>1</v>
      </c>
      <c r="W42" s="1161">
        <v>100</v>
      </c>
      <c r="X42" s="1161"/>
      <c r="Y42" s="1161"/>
      <c r="Z42" s="1161"/>
      <c r="AA42" s="1161"/>
      <c r="AH42" s="1356"/>
      <c r="AI42" s="1356"/>
      <c r="AJ42" s="1356"/>
      <c r="AK42" s="1356"/>
      <c r="AL42" s="1356"/>
      <c r="AM42" s="1356"/>
      <c r="AN42" s="1356"/>
      <c r="AO42" s="1356"/>
      <c r="AP42" s="1356"/>
      <c r="AQ42" s="1356"/>
      <c r="AR42" s="1356"/>
      <c r="AS42" s="1402">
        <v>1990</v>
      </c>
      <c r="AT42" s="1403"/>
      <c r="AU42" s="1404">
        <v>1431.5562599049128</v>
      </c>
      <c r="AV42" s="1405"/>
      <c r="AW42" s="1404">
        <v>1237.578446909667</v>
      </c>
      <c r="AX42" s="1405"/>
      <c r="AY42" s="1404">
        <v>3939.6893819334391</v>
      </c>
      <c r="AZ42" s="1405"/>
      <c r="BA42" s="1407">
        <v>6608.8240887480188</v>
      </c>
      <c r="BB42" s="1408"/>
      <c r="BC42" s="1356"/>
      <c r="BD42" s="1356"/>
      <c r="BE42" s="1356"/>
    </row>
    <row r="43" spans="1:57" ht="14.25">
      <c r="A43" s="580"/>
      <c r="B43" s="679"/>
      <c r="C43" s="679"/>
      <c r="D43" s="682" t="s">
        <v>1847</v>
      </c>
      <c r="E43" s="679"/>
      <c r="F43" s="1624"/>
      <c r="G43" s="679"/>
      <c r="H43" s="679"/>
      <c r="I43" s="679"/>
      <c r="J43" s="679"/>
      <c r="K43" s="679"/>
      <c r="L43" s="679"/>
      <c r="Q43" s="1161"/>
      <c r="R43" s="1161"/>
      <c r="S43" s="1161"/>
      <c r="T43" s="1161" t="s">
        <v>1228</v>
      </c>
      <c r="U43" s="1161"/>
      <c r="V43" s="1161">
        <v>1</v>
      </c>
      <c r="W43" s="1161">
        <v>100</v>
      </c>
      <c r="X43" s="1161"/>
      <c r="Y43" s="1161"/>
      <c r="Z43" s="1161"/>
      <c r="AA43" s="1161"/>
      <c r="AH43" s="1356"/>
      <c r="AI43" s="1356"/>
      <c r="AJ43" s="1356"/>
      <c r="AK43" s="1356"/>
      <c r="AL43" s="1356"/>
      <c r="AM43" s="1356"/>
      <c r="AN43" s="1356"/>
      <c r="AO43" s="1356"/>
      <c r="AP43" s="1356"/>
      <c r="AQ43" s="1356"/>
      <c r="AR43" s="1356"/>
      <c r="AS43" s="1402">
        <v>1989</v>
      </c>
      <c r="AT43" s="1403"/>
      <c r="AU43" s="1404">
        <v>1458.7672131147542</v>
      </c>
      <c r="AV43" s="1405"/>
      <c r="AW43" s="1404">
        <v>1193.9016393442623</v>
      </c>
      <c r="AX43" s="1405"/>
      <c r="AY43" s="1404">
        <v>4225.809836065574</v>
      </c>
      <c r="AZ43" s="1405"/>
      <c r="BA43" s="1407">
        <v>6878.4786885245903</v>
      </c>
      <c r="BB43" s="1408"/>
      <c r="BC43" s="1356"/>
      <c r="BD43" s="1356"/>
      <c r="BE43" s="1356"/>
    </row>
    <row r="44" spans="1:57" ht="14.25">
      <c r="A44" s="580"/>
      <c r="B44" s="245" t="s">
        <v>1618</v>
      </c>
      <c r="C44" s="245" t="s">
        <v>1619</v>
      </c>
      <c r="D44" s="245" t="s">
        <v>522</v>
      </c>
      <c r="E44" s="245" t="s">
        <v>1609</v>
      </c>
      <c r="F44" s="1625">
        <v>1</v>
      </c>
      <c r="G44" s="245">
        <v>100</v>
      </c>
      <c r="H44" s="679"/>
      <c r="I44" s="679"/>
      <c r="J44" s="679"/>
      <c r="K44" s="679"/>
      <c r="L44" s="679"/>
      <c r="Q44" s="1161" t="s">
        <v>1306</v>
      </c>
      <c r="R44" s="1161" t="s">
        <v>1307</v>
      </c>
      <c r="S44" s="1161" t="s">
        <v>1199</v>
      </c>
      <c r="T44" s="1161" t="s">
        <v>1230</v>
      </c>
      <c r="U44" s="1161"/>
      <c r="V44" s="1161">
        <v>1</v>
      </c>
      <c r="W44" s="1161">
        <v>100</v>
      </c>
      <c r="X44" s="1161"/>
      <c r="Y44" s="1161"/>
      <c r="Z44" s="1161"/>
      <c r="AA44" s="1161"/>
      <c r="AH44" s="1356"/>
      <c r="AI44" s="1356"/>
      <c r="AJ44" s="1356"/>
      <c r="AK44" s="1356"/>
      <c r="AL44" s="1356"/>
      <c r="AM44" s="1356"/>
      <c r="AN44" s="1356"/>
      <c r="AO44" s="1356"/>
      <c r="AP44" s="1356"/>
      <c r="AQ44" s="1356"/>
      <c r="AR44" s="1356"/>
      <c r="AS44" s="1402">
        <v>1988</v>
      </c>
      <c r="AT44" s="1403"/>
      <c r="AU44" s="1404">
        <v>1518.4329896907218</v>
      </c>
      <c r="AV44" s="1405"/>
      <c r="AW44" s="1404">
        <v>1152.4948453608247</v>
      </c>
      <c r="AX44" s="1405"/>
      <c r="AY44" s="1404">
        <v>4300.8247422680415</v>
      </c>
      <c r="AZ44" s="1405"/>
      <c r="BA44" s="1407">
        <v>6971.7525773195885</v>
      </c>
      <c r="BB44" s="1408"/>
      <c r="BC44" s="1356"/>
      <c r="BD44" s="1356"/>
      <c r="BE44" s="1356"/>
    </row>
    <row r="45" spans="1:57" ht="14.25">
      <c r="A45" s="580"/>
      <c r="B45" s="245"/>
      <c r="C45" s="245"/>
      <c r="D45" s="245" t="s">
        <v>523</v>
      </c>
      <c r="E45" s="245"/>
      <c r="F45" s="1625"/>
      <c r="G45" s="245"/>
      <c r="H45" s="679"/>
      <c r="I45" s="679"/>
      <c r="J45" s="679"/>
      <c r="K45" s="679"/>
      <c r="L45" s="679"/>
      <c r="Q45" s="1161"/>
      <c r="R45" s="1161"/>
      <c r="S45" s="1161"/>
      <c r="T45" s="1161" t="s">
        <v>1232</v>
      </c>
      <c r="U45" s="1161"/>
      <c r="V45" s="1161">
        <v>1</v>
      </c>
      <c r="W45" s="1161">
        <v>100</v>
      </c>
      <c r="X45" s="1161"/>
      <c r="Y45" s="1161"/>
      <c r="Z45" s="1161"/>
      <c r="AA45" s="1161"/>
      <c r="AH45" s="1356"/>
      <c r="AI45" s="1356"/>
      <c r="AJ45" s="1356"/>
      <c r="AK45" s="1356"/>
      <c r="AL45" s="1356"/>
      <c r="AM45" s="1356"/>
      <c r="AN45" s="1356"/>
      <c r="AO45" s="1356"/>
      <c r="AP45" s="1356"/>
      <c r="AQ45" s="1356"/>
      <c r="AR45" s="1356"/>
      <c r="AS45" s="1402">
        <v>1987</v>
      </c>
      <c r="AT45" s="1403"/>
      <c r="AU45" s="1404">
        <v>1534.4347826086957</v>
      </c>
      <c r="AV45" s="1405"/>
      <c r="AW45" s="1404">
        <v>1226.2173913043478</v>
      </c>
      <c r="AX45" s="1405"/>
      <c r="AY45" s="1404">
        <v>4871.608695652174</v>
      </c>
      <c r="AZ45" s="1405"/>
      <c r="BA45" s="1407">
        <v>7632.2608695652179</v>
      </c>
      <c r="BB45" s="1408"/>
      <c r="BC45" s="1356"/>
      <c r="BD45" s="1356"/>
      <c r="BE45" s="1356"/>
    </row>
    <row r="46" spans="1:57" ht="14.25">
      <c r="A46" s="580"/>
      <c r="B46" s="245"/>
      <c r="C46" s="245"/>
      <c r="D46" s="245" t="s">
        <v>1844</v>
      </c>
      <c r="E46" s="245"/>
      <c r="F46" s="245"/>
      <c r="G46" s="245"/>
      <c r="H46" s="679"/>
      <c r="I46" s="679"/>
      <c r="J46" s="679"/>
      <c r="K46" s="679"/>
      <c r="L46" s="679"/>
      <c r="Q46" s="1161" t="str">
        <f>Processes!D143</f>
        <v>FT-TRABIKEcom</v>
      </c>
      <c r="R46" s="1161" t="str">
        <f>Processes!E143</f>
        <v>Fuel Technology Dummy commodity for bike/walk</v>
      </c>
      <c r="T46" s="1161" t="str">
        <f>Commodities!D171</f>
        <v>BIKEcom</v>
      </c>
      <c r="V46" s="1161">
        <v>1</v>
      </c>
      <c r="W46" s="1161">
        <v>100</v>
      </c>
      <c r="X46" s="1161"/>
      <c r="Y46" s="1161"/>
      <c r="Z46" s="1161"/>
      <c r="AA46" s="1161"/>
      <c r="AH46" s="1356"/>
      <c r="AI46" s="1356"/>
      <c r="AJ46" s="1356"/>
      <c r="AK46" s="1356"/>
      <c r="AL46" s="1356"/>
      <c r="AM46" s="1356"/>
      <c r="AN46" s="1356"/>
      <c r="AO46" s="1356"/>
      <c r="AP46" s="1356"/>
      <c r="AQ46" s="1356"/>
      <c r="AR46" s="1356"/>
      <c r="AS46" s="1402">
        <v>1986</v>
      </c>
      <c r="AT46" s="1403"/>
      <c r="AU46" s="1404">
        <v>1904.5343811394894</v>
      </c>
      <c r="AV46" s="1405"/>
      <c r="AW46" s="1404">
        <v>1363.4734774066796</v>
      </c>
      <c r="AX46" s="1405"/>
      <c r="AY46" s="1404">
        <v>5441.8703339882122</v>
      </c>
      <c r="AZ46" s="1405"/>
      <c r="BA46" s="1407">
        <v>8709.878192534381</v>
      </c>
      <c r="BB46" s="1408"/>
      <c r="BC46" s="1356"/>
      <c r="BD46" s="1356"/>
      <c r="BE46" s="1356"/>
    </row>
    <row r="47" spans="1:57" ht="14.25">
      <c r="A47" s="580"/>
      <c r="B47" s="694" t="str">
        <f>Processes!D86</f>
        <v>FT-TRAMOB</v>
      </c>
      <c r="C47" s="694" t="s">
        <v>1857</v>
      </c>
      <c r="D47" s="694" t="s">
        <v>1620</v>
      </c>
      <c r="E47" s="1623" t="s">
        <v>1611</v>
      </c>
      <c r="F47" s="679">
        <v>1</v>
      </c>
      <c r="G47" s="679">
        <v>100</v>
      </c>
      <c r="H47" s="679"/>
      <c r="I47" s="679"/>
      <c r="J47" s="679"/>
      <c r="K47" s="679"/>
      <c r="L47" s="679"/>
      <c r="X47" s="1161"/>
      <c r="Y47" s="1161"/>
      <c r="Z47" s="1161"/>
      <c r="AA47" s="1161"/>
      <c r="AH47" s="1356"/>
      <c r="AI47" s="1356"/>
      <c r="AJ47" s="1356"/>
      <c r="AK47" s="1356"/>
      <c r="AL47" s="1356"/>
      <c r="AM47" s="1356"/>
      <c r="AN47" s="1356"/>
      <c r="AO47" s="1356"/>
      <c r="AP47" s="1356"/>
      <c r="AQ47" s="1356"/>
      <c r="AR47" s="1356"/>
      <c r="AS47" s="1402">
        <v>1985</v>
      </c>
      <c r="AT47" s="1403"/>
      <c r="AU47" s="1404">
        <v>1868.9538461538461</v>
      </c>
      <c r="AV47" s="1405"/>
      <c r="AW47" s="1404">
        <v>1478.2153846153844</v>
      </c>
      <c r="AX47" s="1405"/>
      <c r="AY47" s="1404">
        <v>5938.7538461538461</v>
      </c>
      <c r="AZ47" s="1405"/>
      <c r="BA47" s="1407">
        <v>9285.9230769230762</v>
      </c>
      <c r="BB47" s="1408"/>
      <c r="BC47" s="1356"/>
      <c r="BD47" s="1356"/>
      <c r="BE47" s="1356"/>
    </row>
    <row r="48" spans="1:57" s="1161" customFormat="1" ht="14.25">
      <c r="A48" s="580"/>
      <c r="B48" s="694"/>
      <c r="C48" s="694"/>
      <c r="D48" s="694" t="s">
        <v>1621</v>
      </c>
      <c r="E48" s="679"/>
      <c r="F48" s="1624"/>
      <c r="G48" s="679"/>
      <c r="H48" s="679"/>
      <c r="I48" s="679"/>
      <c r="J48" s="679"/>
      <c r="K48" s="679"/>
      <c r="L48" s="679"/>
      <c r="M48" s="580"/>
      <c r="N48"/>
      <c r="O48"/>
      <c r="AH48" s="1356"/>
      <c r="AI48" s="1356"/>
      <c r="AJ48" s="1356"/>
      <c r="AK48" s="1356"/>
      <c r="AL48" s="1356"/>
      <c r="AM48" s="1356"/>
      <c r="AN48" s="1356"/>
      <c r="AO48" s="1356"/>
      <c r="AP48" s="1356"/>
      <c r="AQ48" s="1356"/>
      <c r="AR48" s="1356"/>
      <c r="AS48" s="1402"/>
      <c r="AT48" s="1403"/>
      <c r="AU48" s="1404"/>
      <c r="AV48" s="1405"/>
      <c r="AW48" s="1404"/>
      <c r="AX48" s="1405"/>
      <c r="AY48" s="1404"/>
      <c r="AZ48" s="1405"/>
      <c r="BA48" s="1407"/>
      <c r="BB48" s="1408"/>
      <c r="BC48" s="1356"/>
      <c r="BD48" s="1356"/>
      <c r="BE48" s="1356"/>
    </row>
    <row r="49" spans="1:57" s="1161" customFormat="1" ht="14.25">
      <c r="A49" s="580"/>
      <c r="B49"/>
      <c r="C49"/>
      <c r="D49" s="694" t="s">
        <v>1843</v>
      </c>
      <c r="E49"/>
      <c r="F49"/>
      <c r="G49"/>
      <c r="H49" s="679"/>
      <c r="I49" s="679"/>
      <c r="J49" s="679"/>
      <c r="K49" s="679"/>
      <c r="L49" s="679"/>
      <c r="M49" s="580"/>
      <c r="N49"/>
      <c r="O49"/>
      <c r="AH49" s="1356"/>
      <c r="AI49" s="1356"/>
      <c r="AJ49" s="1356"/>
      <c r="AK49" s="1356"/>
      <c r="AL49" s="1356"/>
      <c r="AM49" s="1356"/>
      <c r="AN49" s="1356"/>
      <c r="AO49" s="1356"/>
      <c r="AP49" s="1356"/>
      <c r="AQ49" s="1356"/>
      <c r="AR49" s="1356"/>
      <c r="AS49" s="1402"/>
      <c r="AT49" s="1403"/>
      <c r="AU49" s="1404"/>
      <c r="AV49" s="1405"/>
      <c r="AW49" s="1404"/>
      <c r="AX49" s="1405"/>
      <c r="AY49" s="1404"/>
      <c r="AZ49" s="1405"/>
      <c r="BA49" s="1407"/>
      <c r="BB49" s="1408"/>
      <c r="BC49" s="1356"/>
      <c r="BD49" s="1356"/>
      <c r="BE49" s="1356"/>
    </row>
    <row r="50" spans="1:57" s="1161" customFormat="1" ht="14.25">
      <c r="B50" s="694" t="str">
        <f>Processes!D87</f>
        <v>FT-TRAMOBN</v>
      </c>
      <c r="C50" s="694" t="str">
        <f>Processes!E87</f>
        <v>Fuel Technology Methanol TRA Navigation</v>
      </c>
      <c r="D50" s="694" t="s">
        <v>1620</v>
      </c>
      <c r="E50" s="679" t="s">
        <v>1855</v>
      </c>
      <c r="F50" s="679">
        <v>1</v>
      </c>
      <c r="G50" s="679">
        <v>100</v>
      </c>
      <c r="H50" s="679"/>
      <c r="I50" s="679"/>
      <c r="J50" s="679"/>
      <c r="K50" s="679"/>
      <c r="L50" s="679"/>
      <c r="AH50" s="1356"/>
      <c r="AI50" s="1356"/>
      <c r="AJ50" s="1356"/>
      <c r="AK50" s="1356"/>
      <c r="AL50" s="1356"/>
      <c r="AM50" s="1356"/>
      <c r="AN50" s="1356"/>
      <c r="AO50" s="1356"/>
      <c r="AP50" s="1356"/>
      <c r="AQ50" s="1356"/>
      <c r="AR50" s="1356"/>
      <c r="AS50" s="1402"/>
      <c r="AT50" s="1403"/>
      <c r="AU50" s="1404"/>
      <c r="AV50" s="1405"/>
      <c r="AW50" s="1404"/>
      <c r="AX50" s="1405"/>
      <c r="AY50" s="1404"/>
      <c r="AZ50" s="1405"/>
      <c r="BA50" s="1407"/>
      <c r="BB50" s="1408"/>
      <c r="BC50" s="1356"/>
      <c r="BD50" s="1356"/>
      <c r="BE50" s="1356"/>
    </row>
    <row r="51" spans="1:57" s="580" customFormat="1" ht="14.25">
      <c r="A51" s="1161"/>
      <c r="B51" s="694"/>
      <c r="C51" s="694"/>
      <c r="D51" s="694" t="s">
        <v>1621</v>
      </c>
      <c r="E51" s="679"/>
      <c r="F51" s="679"/>
      <c r="G51" s="679"/>
      <c r="H51" s="679"/>
      <c r="I51" s="679"/>
      <c r="J51" s="679"/>
      <c r="K51" s="679"/>
      <c r="L51" s="679"/>
      <c r="M51" s="1161"/>
      <c r="N51" s="1161"/>
      <c r="O51" s="1161"/>
      <c r="X51" s="1161"/>
      <c r="Y51" s="1161"/>
      <c r="Z51" s="1161"/>
      <c r="AA51" s="1161"/>
      <c r="AH51" s="1356"/>
      <c r="AI51" s="1356"/>
      <c r="AJ51" s="1356"/>
      <c r="AK51" s="1356"/>
      <c r="AL51" s="1356"/>
      <c r="AM51" s="1356"/>
      <c r="AN51" s="1356"/>
      <c r="AO51" s="1356"/>
      <c r="AP51" s="1356"/>
      <c r="AQ51" s="1356"/>
      <c r="AR51" s="1356"/>
      <c r="AS51" s="1402">
        <v>1984</v>
      </c>
      <c r="AT51" s="1403"/>
      <c r="AU51" s="1404">
        <v>1770.4727272727273</v>
      </c>
      <c r="AV51" s="1405"/>
      <c r="AW51" s="1404">
        <v>1372.3636363636363</v>
      </c>
      <c r="AX51" s="1405"/>
      <c r="AY51" s="1404">
        <v>5459.7818181818184</v>
      </c>
      <c r="AZ51" s="1405"/>
      <c r="BA51" s="1407">
        <v>8602.6181818181831</v>
      </c>
      <c r="BB51" s="1408"/>
      <c r="BC51" s="1356"/>
      <c r="BD51" s="1356"/>
      <c r="BE51" s="1356"/>
    </row>
    <row r="52" spans="1:57" s="580" customFormat="1" ht="14.25">
      <c r="A52" s="1161"/>
      <c r="B52" s="694"/>
      <c r="C52" s="694"/>
      <c r="D52" s="694" t="s">
        <v>1843</v>
      </c>
      <c r="E52" s="679"/>
      <c r="F52" s="679"/>
      <c r="G52" s="679"/>
      <c r="H52" s="679"/>
      <c r="I52" s="679"/>
      <c r="J52" s="679"/>
      <c r="K52" s="679"/>
      <c r="L52" s="679"/>
      <c r="M52" s="1161"/>
      <c r="N52" s="1161"/>
      <c r="O52" s="1161"/>
      <c r="Q52" s="1161"/>
      <c r="R52" s="1161"/>
      <c r="S52" s="1161"/>
      <c r="T52" s="1161"/>
      <c r="U52" s="1161"/>
      <c r="V52" s="1161"/>
      <c r="W52" s="1161"/>
      <c r="X52" s="1161"/>
      <c r="Y52" s="1161"/>
      <c r="Z52" s="1161"/>
      <c r="AA52" s="1161"/>
      <c r="AB52" s="1161"/>
      <c r="AC52" s="1161"/>
      <c r="AD52" s="1161"/>
      <c r="AE52" s="1161"/>
      <c r="AF52" s="1161"/>
      <c r="AG52" s="1161"/>
      <c r="AH52" s="1356"/>
      <c r="AI52" s="1356"/>
      <c r="AJ52" s="1356"/>
      <c r="AK52" s="1356"/>
      <c r="AL52" s="1356"/>
      <c r="AM52" s="1356"/>
      <c r="AN52" s="1356"/>
      <c r="AO52" s="1356"/>
      <c r="AP52" s="1356"/>
      <c r="AQ52" s="1356"/>
      <c r="AR52" s="1356"/>
      <c r="AS52" s="1402">
        <v>1983</v>
      </c>
      <c r="AT52" s="1403"/>
      <c r="AU52" s="1404">
        <v>1512.4585987261146</v>
      </c>
      <c r="AV52" s="1405"/>
      <c r="AW52" s="1404">
        <v>1278.5732484076434</v>
      </c>
      <c r="AX52" s="1405"/>
      <c r="AY52" s="1404">
        <v>5226.0382165605097</v>
      </c>
      <c r="AZ52" s="1405"/>
      <c r="BA52" s="1407">
        <v>8017.0700636942674</v>
      </c>
      <c r="BB52" s="1408"/>
      <c r="BC52" s="1356"/>
      <c r="BD52" s="1356"/>
      <c r="BE52" s="1356"/>
    </row>
    <row r="53" spans="1:57" ht="14.25">
      <c r="A53" s="580"/>
      <c r="B53" s="245" t="str">
        <f>Processes!D82</f>
        <v>FT-TRAMGO</v>
      </c>
      <c r="C53" s="245" t="str">
        <f>Processes!E82</f>
        <v>Fuel Technology MGO</v>
      </c>
      <c r="D53" s="245" t="s">
        <v>1653</v>
      </c>
      <c r="E53" s="245" t="s">
        <v>1651</v>
      </c>
      <c r="F53" s="1625">
        <v>1</v>
      </c>
      <c r="G53" s="245">
        <v>100</v>
      </c>
      <c r="H53" s="1629"/>
      <c r="I53" s="1629"/>
      <c r="J53" s="1629"/>
      <c r="K53" s="1630"/>
      <c r="L53" s="1631"/>
      <c r="N53" s="580"/>
      <c r="O53" s="580"/>
      <c r="AK53" s="1356"/>
      <c r="AL53" s="1356"/>
      <c r="AM53" s="1356"/>
      <c r="AN53" s="1356"/>
      <c r="AO53" s="1356"/>
      <c r="AP53" s="1356"/>
      <c r="AQ53" s="1356"/>
      <c r="AR53" s="1356"/>
      <c r="AS53" s="1402">
        <v>1982</v>
      </c>
      <c r="AT53" s="1403"/>
      <c r="AU53" s="1404">
        <v>1485.4909090909091</v>
      </c>
      <c r="AV53" s="1405"/>
      <c r="AW53" s="1404">
        <v>1279.6363636363635</v>
      </c>
      <c r="AX53" s="1405"/>
      <c r="AY53" s="1404">
        <v>5830.6909090909094</v>
      </c>
      <c r="AZ53" s="1405"/>
      <c r="BA53" s="1407">
        <v>8595.818181818182</v>
      </c>
      <c r="BB53" s="1408"/>
      <c r="BC53" s="1356"/>
      <c r="BD53" s="1356"/>
      <c r="BE53" s="1356"/>
    </row>
    <row r="54" spans="1:57" ht="14.25">
      <c r="A54" s="580"/>
      <c r="B54" s="1470" t="s">
        <v>1858</v>
      </c>
      <c r="C54" s="1470" t="s">
        <v>1852</v>
      </c>
      <c r="D54" s="1470" t="s">
        <v>1622</v>
      </c>
      <c r="E54" s="1626" t="s">
        <v>1613</v>
      </c>
      <c r="F54" s="1627">
        <v>1</v>
      </c>
      <c r="G54" s="1628">
        <v>100</v>
      </c>
      <c r="H54" s="679"/>
      <c r="I54" s="679"/>
      <c r="J54" s="679"/>
      <c r="K54" s="679"/>
      <c r="L54" s="679"/>
      <c r="N54" s="580"/>
      <c r="O54" s="580"/>
      <c r="AK54" s="1356"/>
      <c r="AL54" s="1356"/>
      <c r="AM54" s="1356"/>
      <c r="AN54" s="1356"/>
      <c r="AO54" s="1356"/>
      <c r="AP54" s="1356"/>
      <c r="AQ54" s="1356"/>
      <c r="AR54" s="1356"/>
      <c r="AS54" s="1402">
        <v>1981</v>
      </c>
      <c r="AT54" s="1403"/>
      <c r="AU54" s="1404">
        <v>1479.8992443324939</v>
      </c>
      <c r="AV54" s="1405"/>
      <c r="AW54" s="1404">
        <v>1242.4987405541563</v>
      </c>
      <c r="AX54" s="1405"/>
      <c r="AY54" s="1404">
        <v>6027.5062972292189</v>
      </c>
      <c r="AZ54" s="1405"/>
      <c r="BA54" s="1407">
        <v>8749.9042821158691</v>
      </c>
      <c r="BB54" s="1408"/>
      <c r="BC54" s="1356"/>
      <c r="BD54" s="1356"/>
      <c r="BE54" s="1356"/>
    </row>
    <row r="55" spans="1:57" ht="14.25">
      <c r="A55" s="580"/>
      <c r="B55" s="1425" t="s">
        <v>526</v>
      </c>
      <c r="C55" s="1425" t="s">
        <v>584</v>
      </c>
      <c r="D55" s="1425" t="s">
        <v>63</v>
      </c>
      <c r="E55" s="1425" t="s">
        <v>540</v>
      </c>
      <c r="F55" s="1426">
        <v>1</v>
      </c>
      <c r="G55" s="1425">
        <v>100</v>
      </c>
      <c r="H55" s="1425"/>
      <c r="I55" s="1425"/>
      <c r="J55" s="1425"/>
      <c r="K55" s="1425"/>
      <c r="L55" s="1425"/>
      <c r="AK55" s="1356"/>
      <c r="AL55" s="1356"/>
      <c r="AM55" s="1356"/>
      <c r="AN55" s="1356"/>
      <c r="AO55" s="1356"/>
      <c r="AP55" s="1356"/>
      <c r="AQ55" s="1356"/>
      <c r="AR55" s="1356"/>
      <c r="AS55" s="1402">
        <v>1980</v>
      </c>
      <c r="AT55" s="1403"/>
      <c r="AU55" s="1404">
        <v>1386.7283236994222</v>
      </c>
      <c r="AV55" s="1405"/>
      <c r="AW55" s="1404">
        <v>1252.3005780346821</v>
      </c>
      <c r="AX55" s="1405"/>
      <c r="AY55" s="1404">
        <v>6901.8034682080934</v>
      </c>
      <c r="AZ55" s="1405"/>
      <c r="BA55" s="1407">
        <v>9540.8323699421981</v>
      </c>
      <c r="BB55" s="1408"/>
      <c r="BC55" s="1356"/>
      <c r="BD55" s="1356"/>
      <c r="BE55" s="1356"/>
    </row>
    <row r="56" spans="1:57" ht="14.25">
      <c r="D56" t="s">
        <v>359</v>
      </c>
      <c r="F56" s="21"/>
      <c r="G56" s="1"/>
      <c r="H56" s="106">
        <v>0</v>
      </c>
      <c r="I56" s="106">
        <v>0.1</v>
      </c>
      <c r="J56" s="1">
        <v>5</v>
      </c>
      <c r="K56" s="1">
        <v>5</v>
      </c>
      <c r="AK56" s="1356"/>
      <c r="AL56" s="1356"/>
      <c r="AM56" s="1356"/>
      <c r="AN56" s="1356"/>
      <c r="AO56" s="1356"/>
      <c r="AP56" s="1356"/>
      <c r="AQ56" s="1356"/>
      <c r="AR56" s="1356"/>
      <c r="AS56" s="1402">
        <v>1979</v>
      </c>
      <c r="AT56" s="1403"/>
      <c r="AU56" s="1404">
        <v>1657.6688741721853</v>
      </c>
      <c r="AV56" s="1405"/>
      <c r="AW56" s="1404">
        <v>1592.8211920529802</v>
      </c>
      <c r="AX56" s="1405"/>
      <c r="AY56" s="1404">
        <v>7583.1258278145697</v>
      </c>
      <c r="AZ56" s="1405"/>
      <c r="BA56" s="1407">
        <v>10833.615894039736</v>
      </c>
      <c r="BB56" s="1408"/>
      <c r="BC56" s="1356"/>
      <c r="BD56" s="1356"/>
      <c r="BE56" s="1356"/>
    </row>
    <row r="57" spans="1:57" ht="14.25">
      <c r="A57" s="580"/>
      <c r="B57" t="s">
        <v>529</v>
      </c>
      <c r="C57" t="s">
        <v>586</v>
      </c>
      <c r="D57" t="s">
        <v>63</v>
      </c>
      <c r="E57" t="s">
        <v>541</v>
      </c>
      <c r="F57" s="21">
        <v>1</v>
      </c>
      <c r="G57" s="1">
        <v>100</v>
      </c>
      <c r="J57" s="1"/>
      <c r="K57" s="1"/>
      <c r="L57">
        <v>2012</v>
      </c>
      <c r="AK57" s="1356"/>
      <c r="AL57" s="1356"/>
      <c r="AM57" s="1356"/>
      <c r="AN57" s="1356"/>
      <c r="AO57" s="1356"/>
      <c r="AP57" s="1356"/>
      <c r="AQ57" s="1356"/>
      <c r="AR57" s="1356"/>
      <c r="AS57" s="1402">
        <v>1978</v>
      </c>
      <c r="AT57" s="1403"/>
      <c r="AU57" s="1411" t="s">
        <v>1586</v>
      </c>
      <c r="AV57" s="1405"/>
      <c r="AW57" s="1404">
        <v>1382.5035971223022</v>
      </c>
      <c r="AX57" s="1405"/>
      <c r="AY57" s="1404">
        <v>6599.9136690647483</v>
      </c>
      <c r="AZ57" s="1405"/>
      <c r="BA57" s="1407">
        <v>9307.4172661870507</v>
      </c>
      <c r="BB57" s="1408"/>
      <c r="BC57" s="1356"/>
      <c r="BD57" s="1356"/>
      <c r="BE57" s="1356"/>
    </row>
    <row r="58" spans="1:57" ht="14.25">
      <c r="A58" s="580"/>
      <c r="D58" t="s">
        <v>359</v>
      </c>
      <c r="F58" s="21"/>
      <c r="G58" s="1"/>
      <c r="H58" s="106">
        <v>0</v>
      </c>
      <c r="I58" s="106">
        <v>0.25</v>
      </c>
      <c r="J58" s="1">
        <v>5</v>
      </c>
      <c r="K58" s="1">
        <v>5</v>
      </c>
      <c r="AK58" s="1356"/>
      <c r="AL58" s="1356"/>
      <c r="AM58" s="1356"/>
      <c r="AN58" s="1356"/>
      <c r="AO58" s="1356"/>
      <c r="AP58" s="1356"/>
      <c r="AQ58" s="1356"/>
      <c r="AR58" s="1356"/>
      <c r="AS58" s="1402" t="s">
        <v>1587</v>
      </c>
      <c r="AT58" s="1403"/>
      <c r="AU58" s="1404">
        <v>1515.876923076923</v>
      </c>
      <c r="AV58" s="1405"/>
      <c r="AW58" s="1404">
        <v>1256.9538461538461</v>
      </c>
      <c r="AX58" s="1405"/>
      <c r="AY58" s="1404">
        <v>6044.6769230769232</v>
      </c>
      <c r="AZ58" s="1405"/>
      <c r="BA58" s="1407">
        <v>8817.5076923076922</v>
      </c>
      <c r="BB58" s="1408"/>
      <c r="BC58" s="1356"/>
      <c r="BD58" s="1356"/>
      <c r="BE58" s="1356"/>
    </row>
    <row r="59" spans="1:57" ht="14.25">
      <c r="A59" s="580"/>
      <c r="B59" t="s">
        <v>528</v>
      </c>
      <c r="C59" t="s">
        <v>587</v>
      </c>
      <c r="D59" t="s">
        <v>63</v>
      </c>
      <c r="E59" t="s">
        <v>542</v>
      </c>
      <c r="F59" s="21">
        <v>1</v>
      </c>
      <c r="G59" s="1">
        <v>100</v>
      </c>
      <c r="J59" s="1"/>
      <c r="K59" s="1"/>
      <c r="L59">
        <v>2020</v>
      </c>
      <c r="AK59" s="1356"/>
      <c r="AL59" s="1356"/>
      <c r="AM59" s="1356"/>
      <c r="AN59" s="1356"/>
      <c r="AO59" s="1356"/>
      <c r="AP59" s="1356"/>
      <c r="AQ59" s="1356"/>
      <c r="AR59" s="1356"/>
      <c r="AS59" s="1402" t="s">
        <v>1588</v>
      </c>
      <c r="AT59" s="1403"/>
      <c r="AU59" s="1404">
        <v>1543.5398230088497</v>
      </c>
      <c r="AV59" s="1405"/>
      <c r="AW59" s="1411" t="s">
        <v>1589</v>
      </c>
      <c r="AX59" s="1405"/>
      <c r="AY59" s="1411" t="s">
        <v>1590</v>
      </c>
      <c r="AZ59" s="1405"/>
      <c r="BA59" s="1407">
        <v>6861.5398230088495</v>
      </c>
      <c r="BB59" s="1408"/>
      <c r="BC59" s="1356"/>
      <c r="BD59" s="1356"/>
      <c r="BE59" s="1356"/>
    </row>
    <row r="60" spans="1:57" ht="14.25">
      <c r="A60" s="580"/>
      <c r="D60" t="s">
        <v>359</v>
      </c>
      <c r="F60" s="21"/>
      <c r="G60" s="1"/>
      <c r="H60" s="106">
        <v>0</v>
      </c>
      <c r="I60" s="438">
        <v>0.5</v>
      </c>
      <c r="J60" s="1">
        <v>5</v>
      </c>
      <c r="K60" s="1">
        <v>5</v>
      </c>
      <c r="AK60" s="1356"/>
      <c r="AL60" s="1356"/>
      <c r="AM60" s="1356"/>
      <c r="AN60" s="1356"/>
      <c r="AO60" s="1356"/>
      <c r="AP60" s="1356"/>
      <c r="AQ60" s="1356"/>
      <c r="AR60" s="1356"/>
      <c r="AS60" s="1402" t="s">
        <v>1591</v>
      </c>
      <c r="AT60" s="1403"/>
      <c r="AU60" s="1404">
        <v>1496.6445497630332</v>
      </c>
      <c r="AV60" s="1405"/>
      <c r="AW60" s="1404">
        <v>1131.1848341232228</v>
      </c>
      <c r="AX60" s="1405"/>
      <c r="AY60" s="1404">
        <v>4919.2037914691937</v>
      </c>
      <c r="AZ60" s="1405"/>
      <c r="BA60" s="1407">
        <v>7547.0331753554492</v>
      </c>
      <c r="BB60" s="1408"/>
      <c r="BC60" s="1356"/>
      <c r="BD60" s="1356"/>
      <c r="BE60" s="1356"/>
    </row>
    <row r="61" spans="1:57" s="1161" customFormat="1" ht="14.25">
      <c r="A61" s="580"/>
      <c r="B61" t="s">
        <v>527</v>
      </c>
      <c r="C61" t="s">
        <v>588</v>
      </c>
      <c r="D61" t="s">
        <v>63</v>
      </c>
      <c r="E61" t="s">
        <v>543</v>
      </c>
      <c r="F61" s="21">
        <v>1</v>
      </c>
      <c r="G61" s="1">
        <v>100</v>
      </c>
      <c r="H61"/>
      <c r="I61"/>
      <c r="J61" s="1"/>
      <c r="K61" s="1"/>
      <c r="L61">
        <v>2030</v>
      </c>
      <c r="M61"/>
      <c r="N61"/>
      <c r="O61"/>
      <c r="AK61" s="1356"/>
      <c r="AL61" s="1356"/>
      <c r="AM61" s="1356"/>
      <c r="AN61" s="1356"/>
      <c r="AO61" s="1356"/>
      <c r="AP61" s="1356"/>
      <c r="AQ61" s="1356"/>
      <c r="AR61" s="1356"/>
      <c r="AS61" s="1402" t="s">
        <v>1591</v>
      </c>
      <c r="AT61" s="1403"/>
      <c r="AU61" s="1404">
        <v>1496.6445497630332</v>
      </c>
      <c r="AV61" s="1405"/>
      <c r="AW61" s="1404">
        <v>1131.1848341232228</v>
      </c>
      <c r="AX61" s="1405"/>
      <c r="AY61" s="1404">
        <v>4919.2037914691937</v>
      </c>
      <c r="AZ61" s="1405"/>
      <c r="BA61" s="1407">
        <v>7547.0331753554492</v>
      </c>
      <c r="BB61" s="1408"/>
      <c r="BC61" s="1356"/>
      <c r="BD61" s="1356"/>
      <c r="BE61" s="1356"/>
    </row>
    <row r="62" spans="1:57" ht="14.25">
      <c r="A62" s="580"/>
      <c r="B62" s="1"/>
      <c r="C62" s="1"/>
      <c r="D62" s="1" t="s">
        <v>359</v>
      </c>
      <c r="E62" s="1"/>
      <c r="F62" s="21"/>
      <c r="G62" s="1"/>
      <c r="H62" s="438">
        <v>0</v>
      </c>
      <c r="I62" s="438">
        <v>1</v>
      </c>
      <c r="J62" s="1">
        <v>5</v>
      </c>
      <c r="K62" s="1">
        <v>5</v>
      </c>
      <c r="L62" s="1"/>
      <c r="AK62" s="1356"/>
      <c r="AL62" s="1356"/>
      <c r="AM62" s="1356"/>
      <c r="AN62" s="1356"/>
      <c r="AO62" s="1356"/>
      <c r="AP62" s="1356"/>
      <c r="AQ62" s="1356"/>
      <c r="AR62" s="1356"/>
      <c r="AS62" s="1402" t="s">
        <v>1592</v>
      </c>
      <c r="AT62" s="1403"/>
      <c r="AU62" s="1404">
        <v>1270.5652173913045</v>
      </c>
      <c r="AV62" s="1405"/>
      <c r="AW62" s="1404">
        <v>1124.2173913043478</v>
      </c>
      <c r="AX62" s="1405"/>
      <c r="AY62" s="1404">
        <v>4935.913043478261</v>
      </c>
      <c r="AZ62" s="1405"/>
      <c r="BA62" s="1407">
        <v>7330.695652173913</v>
      </c>
      <c r="BB62" s="1408"/>
      <c r="BC62" s="1356"/>
      <c r="BD62" s="1356"/>
      <c r="BE62" s="1356"/>
    </row>
    <row r="63" spans="1:57" ht="14.25">
      <c r="A63" s="1161"/>
      <c r="B63" s="714"/>
      <c r="C63" s="714"/>
      <c r="D63" s="714" t="s">
        <v>1861</v>
      </c>
      <c r="E63" s="714"/>
      <c r="F63" s="684"/>
      <c r="G63" s="714"/>
      <c r="H63" s="698">
        <v>0</v>
      </c>
      <c r="I63" s="698">
        <v>1</v>
      </c>
      <c r="J63" s="714">
        <v>5</v>
      </c>
      <c r="K63" s="714">
        <v>5</v>
      </c>
      <c r="L63" s="714"/>
      <c r="M63" s="1161"/>
      <c r="N63" s="1161"/>
      <c r="O63" s="1161"/>
      <c r="AK63" s="1356"/>
      <c r="AL63" s="1356"/>
      <c r="AM63" s="1356"/>
      <c r="AN63" s="1356"/>
      <c r="AO63" s="1356"/>
      <c r="AP63" s="1356"/>
      <c r="AQ63" s="1356"/>
      <c r="AR63" s="1356"/>
      <c r="AS63" s="1402" t="s">
        <v>1593</v>
      </c>
      <c r="AT63" s="1403"/>
      <c r="AU63" s="1404">
        <v>1141.2972972972973</v>
      </c>
      <c r="AV63" s="1405"/>
      <c r="AW63" s="1404">
        <v>1166.1081081081081</v>
      </c>
      <c r="AX63" s="1405"/>
      <c r="AY63" s="1404">
        <v>5119.2972972972975</v>
      </c>
      <c r="AZ63" s="1405"/>
      <c r="BA63" s="1407">
        <v>7426.7027027027034</v>
      </c>
      <c r="BB63" s="1408"/>
      <c r="BC63" s="1356"/>
      <c r="BD63" s="1356"/>
      <c r="BE63" s="1356"/>
    </row>
    <row r="64" spans="1:57" s="1161" customFormat="1" ht="14.25">
      <c r="A64" s="580"/>
      <c r="B64" t="s">
        <v>548</v>
      </c>
      <c r="C64" t="s">
        <v>585</v>
      </c>
      <c r="D64" t="s">
        <v>63</v>
      </c>
      <c r="E64" t="s">
        <v>549</v>
      </c>
      <c r="F64" s="21">
        <v>1</v>
      </c>
      <c r="G64" s="1">
        <v>100</v>
      </c>
      <c r="H64"/>
      <c r="I64"/>
      <c r="J64" s="1"/>
      <c r="K64" s="1"/>
      <c r="L64">
        <v>2100</v>
      </c>
      <c r="M64"/>
      <c r="N64"/>
      <c r="O64"/>
      <c r="AK64" s="1356"/>
      <c r="AL64" s="1356"/>
      <c r="AM64" s="1356"/>
      <c r="AN64" s="1356"/>
      <c r="AO64" s="1356"/>
      <c r="AP64" s="1356"/>
      <c r="AQ64" s="1356"/>
      <c r="AR64" s="1356"/>
      <c r="AS64" s="1402" t="s">
        <v>1593</v>
      </c>
      <c r="AT64" s="1403"/>
      <c r="AU64" s="1404">
        <v>1141.2972972972973</v>
      </c>
      <c r="AV64" s="1405"/>
      <c r="AW64" s="1404">
        <v>1166.1081081081081</v>
      </c>
      <c r="AX64" s="1405"/>
      <c r="AY64" s="1404">
        <v>5119.2972972972975</v>
      </c>
      <c r="AZ64" s="1405"/>
      <c r="BA64" s="1407">
        <v>7426.7027027027034</v>
      </c>
      <c r="BB64" s="1408"/>
      <c r="BC64" s="1356"/>
      <c r="BD64" s="1356"/>
      <c r="BE64" s="1356"/>
    </row>
    <row r="65" spans="1:57" ht="14.25">
      <c r="A65" s="580"/>
      <c r="B65" s="22"/>
      <c r="C65" s="22"/>
      <c r="D65" s="22" t="s">
        <v>359</v>
      </c>
      <c r="E65" s="22"/>
      <c r="F65" s="436"/>
      <c r="G65" s="22"/>
      <c r="H65" s="437">
        <v>0</v>
      </c>
      <c r="I65" s="437">
        <v>1</v>
      </c>
      <c r="J65" s="22">
        <v>5</v>
      </c>
      <c r="K65" s="22">
        <v>5</v>
      </c>
      <c r="L65" s="22"/>
      <c r="AM65" s="1356"/>
      <c r="AN65" s="1356"/>
      <c r="AO65" s="1356"/>
      <c r="AP65" s="1356"/>
      <c r="AQ65" s="1356"/>
      <c r="AR65" s="1356"/>
      <c r="AS65" s="1412" t="s">
        <v>1594</v>
      </c>
      <c r="AT65" s="1413"/>
      <c r="AU65" s="1414">
        <v>1160.0597014925372</v>
      </c>
      <c r="AV65" s="1415"/>
      <c r="AW65" s="1416">
        <v>1077.8507462686566</v>
      </c>
      <c r="AX65" s="1415"/>
      <c r="AY65" s="1416">
        <v>4539.7611940298511</v>
      </c>
      <c r="AZ65" s="1415"/>
      <c r="BA65" s="1416">
        <v>6777.6716417910447</v>
      </c>
      <c r="BB65" s="1417"/>
      <c r="BC65" s="1356"/>
      <c r="BD65" s="1356"/>
      <c r="BE65" s="1356"/>
    </row>
    <row r="66" spans="1:57">
      <c r="A66" s="1161"/>
      <c r="B66" s="22"/>
      <c r="C66" s="22"/>
      <c r="D66" s="22" t="s">
        <v>1861</v>
      </c>
      <c r="E66" s="22"/>
      <c r="F66" s="696"/>
      <c r="G66" s="22"/>
      <c r="H66" s="697">
        <v>0</v>
      </c>
      <c r="I66" s="697">
        <v>1</v>
      </c>
      <c r="J66" s="22">
        <v>5</v>
      </c>
      <c r="K66" s="22">
        <v>5</v>
      </c>
      <c r="L66" s="22"/>
      <c r="M66" s="1161"/>
      <c r="N66" s="1161"/>
      <c r="O66" s="1161"/>
      <c r="AM66" s="1356"/>
      <c r="AN66" s="1356"/>
      <c r="AO66" s="1356"/>
      <c r="AP66" s="1356"/>
      <c r="AQ66" s="1356"/>
      <c r="AR66" s="1356"/>
      <c r="AS66" s="1390" t="s">
        <v>1595</v>
      </c>
      <c r="AT66" s="1390"/>
      <c r="AU66" s="1390"/>
      <c r="AV66" s="1390"/>
      <c r="AW66" s="1390"/>
      <c r="AX66" s="1390"/>
      <c r="AY66" s="1390"/>
      <c r="AZ66" s="1390"/>
      <c r="BA66" s="1390"/>
      <c r="BB66" s="1390"/>
      <c r="BC66" s="1356"/>
      <c r="BD66" s="1356"/>
      <c r="BE66" s="1356"/>
    </row>
    <row r="67" spans="1:57">
      <c r="A67" s="580"/>
      <c r="B67" t="s">
        <v>530</v>
      </c>
      <c r="C67" t="s">
        <v>589</v>
      </c>
      <c r="D67" t="s">
        <v>64</v>
      </c>
      <c r="E67" t="s">
        <v>553</v>
      </c>
      <c r="F67" s="21">
        <v>1</v>
      </c>
      <c r="G67" s="1">
        <v>100</v>
      </c>
      <c r="AM67" s="1356"/>
      <c r="AN67" s="1356"/>
      <c r="AO67" s="1356"/>
      <c r="AP67" s="1356"/>
      <c r="AQ67" s="1356"/>
      <c r="AR67" s="1356"/>
      <c r="AS67" s="1390"/>
      <c r="AT67" s="1390"/>
      <c r="AU67" s="1390"/>
      <c r="AV67" s="1390"/>
      <c r="AW67" s="1390"/>
      <c r="AX67" s="1390"/>
      <c r="AY67" s="1390"/>
      <c r="AZ67" s="1390"/>
      <c r="BA67" s="1390"/>
      <c r="BB67" s="1390"/>
      <c r="BC67" s="1356"/>
      <c r="BD67" s="1356"/>
      <c r="BE67" s="1356"/>
    </row>
    <row r="68" spans="1:57">
      <c r="A68" s="580"/>
      <c r="D68" t="s">
        <v>358</v>
      </c>
      <c r="F68" s="21"/>
      <c r="G68" s="1"/>
      <c r="H68" s="106">
        <v>0</v>
      </c>
      <c r="I68" s="106">
        <v>0.1</v>
      </c>
      <c r="J68" s="1">
        <v>5</v>
      </c>
      <c r="K68" s="1">
        <v>5</v>
      </c>
      <c r="AH68" s="1161"/>
      <c r="AI68" s="1161"/>
      <c r="AJ68" s="1161"/>
      <c r="AM68" s="1356"/>
      <c r="AN68" s="1356"/>
      <c r="AO68" s="1356"/>
      <c r="AP68" s="1356"/>
      <c r="AQ68" s="1356"/>
      <c r="AR68" s="1356"/>
      <c r="AS68" s="1390"/>
      <c r="AT68" s="1390"/>
      <c r="AU68" s="1390"/>
      <c r="AV68" s="1390"/>
      <c r="AW68" s="1390"/>
      <c r="AX68" s="1390"/>
      <c r="AY68" s="1390"/>
      <c r="AZ68" s="1390"/>
      <c r="BA68" s="1390"/>
      <c r="BB68" s="1390"/>
      <c r="BC68" s="1356"/>
      <c r="BD68" s="1356"/>
      <c r="BE68" s="1356"/>
    </row>
    <row r="69" spans="1:57">
      <c r="A69" s="580"/>
      <c r="B69" t="s">
        <v>533</v>
      </c>
      <c r="C69" t="s">
        <v>590</v>
      </c>
      <c r="D69" t="s">
        <v>64</v>
      </c>
      <c r="E69" t="s">
        <v>554</v>
      </c>
      <c r="F69" s="21">
        <v>1</v>
      </c>
      <c r="G69" s="1">
        <v>100</v>
      </c>
      <c r="J69" s="1"/>
      <c r="K69" s="1"/>
      <c r="L69">
        <v>2012</v>
      </c>
      <c r="AH69" s="1161"/>
      <c r="AI69" s="1161"/>
      <c r="AJ69" s="1161"/>
      <c r="AM69" s="1356"/>
      <c r="AN69" s="1356"/>
      <c r="AO69" s="1356"/>
      <c r="AP69" s="1356"/>
      <c r="AQ69" s="1356"/>
      <c r="AR69" s="1356"/>
      <c r="AS69" s="1390" t="s">
        <v>1596</v>
      </c>
      <c r="AT69" s="1390"/>
      <c r="AU69" s="1390"/>
      <c r="AV69" s="1390"/>
      <c r="AW69" s="1390"/>
      <c r="AX69" s="1390"/>
      <c r="AY69" s="1390"/>
      <c r="AZ69" s="1390"/>
      <c r="BA69" s="1390"/>
      <c r="BB69" s="1390"/>
      <c r="BC69" s="1356"/>
      <c r="BD69" s="1356"/>
      <c r="BE69" s="1356"/>
    </row>
    <row r="70" spans="1:57" ht="15">
      <c r="A70" s="580"/>
      <c r="D70" t="s">
        <v>358</v>
      </c>
      <c r="F70" s="21"/>
      <c r="G70" s="1"/>
      <c r="H70" s="106">
        <v>0</v>
      </c>
      <c r="I70" s="106">
        <v>0.25</v>
      </c>
      <c r="J70" s="1">
        <v>5</v>
      </c>
      <c r="K70" s="1">
        <v>5</v>
      </c>
      <c r="Q70" s="1161"/>
      <c r="R70" s="1161"/>
      <c r="S70" s="1161"/>
      <c r="T70" s="1161"/>
      <c r="U70" s="1161"/>
      <c r="V70" s="1161"/>
      <c r="W70" s="1161"/>
      <c r="X70" s="1161"/>
      <c r="Y70" s="1161"/>
      <c r="Z70" s="1161"/>
      <c r="AA70" s="1161"/>
      <c r="AB70" s="1161"/>
      <c r="AC70" s="1161"/>
      <c r="AD70" s="1161"/>
      <c r="AE70" s="1161"/>
      <c r="AF70" s="1161"/>
      <c r="AG70" s="1161"/>
      <c r="AM70" s="1356"/>
      <c r="AN70" s="1356"/>
      <c r="AO70" s="1356"/>
      <c r="AP70" s="1356"/>
      <c r="AQ70" s="1356"/>
      <c r="AR70" s="1356"/>
      <c r="AS70" s="1390"/>
      <c r="AT70" s="1390"/>
      <c r="AU70" s="1392"/>
      <c r="AV70" s="1392"/>
      <c r="AW70" s="1392"/>
      <c r="AX70" s="1392"/>
      <c r="AY70" s="1392"/>
      <c r="AZ70" s="1392"/>
      <c r="BA70" s="1418"/>
      <c r="BB70" s="1392"/>
      <c r="BC70" s="1356"/>
      <c r="BD70" s="1356"/>
      <c r="BE70" s="1356"/>
    </row>
    <row r="71" spans="1:57">
      <c r="A71" s="580"/>
      <c r="B71" t="s">
        <v>532</v>
      </c>
      <c r="C71" t="s">
        <v>591</v>
      </c>
      <c r="D71" t="s">
        <v>64</v>
      </c>
      <c r="E71" t="s">
        <v>555</v>
      </c>
      <c r="F71" s="21">
        <v>1</v>
      </c>
      <c r="G71" s="1">
        <v>100</v>
      </c>
      <c r="J71" s="1"/>
      <c r="K71" s="1"/>
      <c r="L71">
        <v>2020</v>
      </c>
      <c r="AG71" s="1161"/>
      <c r="AH71" s="1161"/>
      <c r="AI71" s="1161"/>
      <c r="AJ71" s="1161"/>
      <c r="AM71" s="1356"/>
      <c r="AN71" s="1356"/>
      <c r="AO71" s="1356"/>
      <c r="AP71" s="1356"/>
      <c r="AQ71" s="1356"/>
      <c r="AR71" s="1356"/>
      <c r="AS71" s="1390" t="s">
        <v>1597</v>
      </c>
      <c r="AT71" s="1390"/>
      <c r="AU71" s="1390"/>
      <c r="AV71" s="1390"/>
      <c r="AW71" s="1390"/>
      <c r="AX71" s="1390"/>
      <c r="AY71" s="1390"/>
      <c r="AZ71" s="1390"/>
      <c r="BA71" s="1390"/>
      <c r="BB71" s="1390"/>
      <c r="BC71" s="1356"/>
      <c r="BD71" s="1356"/>
      <c r="BE71" s="1356"/>
    </row>
    <row r="72" spans="1:57">
      <c r="A72" s="580"/>
      <c r="D72" t="s">
        <v>358</v>
      </c>
      <c r="F72" s="21"/>
      <c r="G72" s="1"/>
      <c r="H72" s="106">
        <v>0</v>
      </c>
      <c r="I72" s="438">
        <v>0.5</v>
      </c>
      <c r="J72" s="1">
        <v>5</v>
      </c>
      <c r="K72" s="1">
        <v>5</v>
      </c>
      <c r="AH72" s="1161"/>
      <c r="AI72" s="1161"/>
      <c r="AJ72" s="1161"/>
      <c r="AM72" s="1356"/>
      <c r="AN72" s="1356"/>
      <c r="AO72" s="1356"/>
      <c r="AP72" s="1356"/>
      <c r="AQ72" s="1356"/>
      <c r="AR72" s="1356"/>
      <c r="AS72" s="1356"/>
      <c r="AT72" s="1356"/>
      <c r="AU72" s="1356"/>
      <c r="AV72" s="1356"/>
      <c r="AW72" s="1356"/>
      <c r="AX72" s="1356"/>
      <c r="AY72" s="1356"/>
      <c r="AZ72" s="1356"/>
      <c r="BA72" s="1356"/>
      <c r="BB72" s="1356"/>
      <c r="BC72" s="1356"/>
      <c r="BD72" s="1356"/>
      <c r="BE72" s="1356"/>
    </row>
    <row r="73" spans="1:57" s="1161" customFormat="1">
      <c r="A73" s="580"/>
      <c r="B73" t="s">
        <v>531</v>
      </c>
      <c r="C73" t="s">
        <v>592</v>
      </c>
      <c r="D73" s="1" t="s">
        <v>64</v>
      </c>
      <c r="E73" t="s">
        <v>556</v>
      </c>
      <c r="F73" s="21">
        <v>1</v>
      </c>
      <c r="G73" s="1">
        <v>100</v>
      </c>
      <c r="H73"/>
      <c r="I73"/>
      <c r="J73" s="1"/>
      <c r="K73" s="1"/>
      <c r="L73">
        <v>2030</v>
      </c>
      <c r="M73"/>
      <c r="N73"/>
      <c r="O73"/>
      <c r="AM73" s="1356"/>
      <c r="AN73" s="1356"/>
      <c r="AO73" s="1356"/>
      <c r="AP73" s="1356"/>
      <c r="AQ73" s="1356"/>
      <c r="AR73" s="1356"/>
      <c r="AS73" s="1356"/>
      <c r="AT73" s="1356"/>
      <c r="AU73" s="1356"/>
      <c r="AV73" s="1356"/>
      <c r="AW73" s="1356"/>
      <c r="AX73" s="1356"/>
      <c r="AY73" s="1356"/>
      <c r="AZ73" s="1356"/>
      <c r="BA73" s="1356"/>
      <c r="BB73" s="1356"/>
      <c r="BC73" s="1356"/>
      <c r="BD73" s="1356"/>
      <c r="BE73" s="1356"/>
    </row>
    <row r="74" spans="1:57">
      <c r="A74" s="580"/>
      <c r="B74" s="1"/>
      <c r="C74" s="1"/>
      <c r="D74" s="1" t="s">
        <v>358</v>
      </c>
      <c r="E74" s="1"/>
      <c r="F74" s="21"/>
      <c r="G74" s="1"/>
      <c r="H74" s="438">
        <v>0</v>
      </c>
      <c r="I74" s="438">
        <v>1</v>
      </c>
      <c r="J74" s="1">
        <v>5</v>
      </c>
      <c r="K74" s="1">
        <v>5</v>
      </c>
      <c r="L74" s="1"/>
      <c r="Q74" s="1161"/>
      <c r="R74" s="1161"/>
      <c r="S74" s="1161"/>
      <c r="T74" s="1161"/>
      <c r="U74" s="1161"/>
      <c r="V74" s="1161"/>
      <c r="W74" s="1161"/>
      <c r="X74" s="1161"/>
      <c r="Y74" s="1161"/>
      <c r="Z74" s="1161"/>
      <c r="AA74" s="1161"/>
      <c r="AB74" s="1161"/>
      <c r="AC74" s="1161"/>
      <c r="AD74" s="1161"/>
      <c r="AE74" s="1161"/>
      <c r="AF74" s="1161"/>
      <c r="AG74" s="1161"/>
      <c r="AH74" s="1161"/>
      <c r="AI74" s="1161"/>
      <c r="AJ74" s="1161"/>
      <c r="AM74" s="1356"/>
      <c r="AN74" s="1356"/>
      <c r="AO74" s="1356"/>
      <c r="AP74" s="1356"/>
      <c r="AQ74" s="1356"/>
      <c r="AR74" s="1356"/>
      <c r="AS74" s="1356"/>
      <c r="AT74" s="1356"/>
      <c r="AU74" s="1356"/>
      <c r="AV74" s="1356"/>
      <c r="AW74" s="1356"/>
      <c r="AX74" s="1356"/>
      <c r="AY74" s="1356"/>
      <c r="AZ74" s="1356"/>
      <c r="BA74" s="1356"/>
      <c r="BB74" s="1356"/>
      <c r="BC74" s="1356"/>
      <c r="BD74" s="1356"/>
      <c r="BE74" s="1356"/>
    </row>
    <row r="75" spans="1:57">
      <c r="A75" s="1161"/>
      <c r="B75" s="714"/>
      <c r="C75" s="714"/>
      <c r="D75" s="714" t="s">
        <v>1860</v>
      </c>
      <c r="E75" s="714"/>
      <c r="F75" s="684"/>
      <c r="G75" s="714"/>
      <c r="H75" s="698">
        <v>0</v>
      </c>
      <c r="I75" s="698">
        <v>1</v>
      </c>
      <c r="J75" s="714">
        <v>5</v>
      </c>
      <c r="K75" s="714">
        <v>5</v>
      </c>
      <c r="L75" s="714"/>
      <c r="M75" s="1161"/>
      <c r="N75" s="1161"/>
      <c r="O75" s="1161"/>
      <c r="AG75" s="1161"/>
      <c r="AH75" s="1161"/>
      <c r="AI75" s="1161"/>
      <c r="AJ75" s="1161"/>
    </row>
    <row r="76" spans="1:57">
      <c r="A76" s="580"/>
      <c r="B76" s="679" t="s">
        <v>550</v>
      </c>
      <c r="C76" s="679" t="s">
        <v>593</v>
      </c>
      <c r="D76" s="679" t="s">
        <v>64</v>
      </c>
      <c r="E76" s="679" t="s">
        <v>557</v>
      </c>
      <c r="F76" s="705">
        <v>1</v>
      </c>
      <c r="G76" s="679">
        <v>100</v>
      </c>
      <c r="H76" s="679"/>
      <c r="I76" s="681"/>
      <c r="J76" s="679"/>
      <c r="K76" s="679"/>
      <c r="L76" s="681">
        <v>2020</v>
      </c>
      <c r="AG76" s="1161"/>
      <c r="AH76" s="1161"/>
      <c r="AI76" s="1161"/>
      <c r="AJ76" s="1161"/>
    </row>
    <row r="77" spans="1:57">
      <c r="A77" s="580"/>
      <c r="B77" s="1642"/>
      <c r="C77" s="1642"/>
      <c r="D77" s="1642" t="s">
        <v>358</v>
      </c>
      <c r="E77" s="1642"/>
      <c r="F77" s="1627"/>
      <c r="G77" s="1642"/>
      <c r="H77" s="1643">
        <v>0.51</v>
      </c>
      <c r="I77" s="1643">
        <v>0.85</v>
      </c>
      <c r="J77" s="1642">
        <v>5</v>
      </c>
      <c r="K77" s="1642">
        <v>5</v>
      </c>
      <c r="L77" s="1642"/>
      <c r="Q77" s="1161"/>
      <c r="R77" s="1161"/>
      <c r="S77" s="1161"/>
      <c r="T77" s="1161"/>
      <c r="U77" s="1161"/>
      <c r="V77" s="1161"/>
      <c r="W77" s="1161"/>
      <c r="X77" s="1161"/>
      <c r="Y77" s="1161"/>
      <c r="Z77" s="1161"/>
      <c r="AA77" s="1161"/>
      <c r="AB77" s="1161"/>
      <c r="AC77" s="1161"/>
      <c r="AD77" s="1161"/>
      <c r="AE77" s="1161"/>
      <c r="AF77" s="1161"/>
      <c r="AG77" s="1161"/>
      <c r="AH77" s="1161"/>
      <c r="AI77" s="1161"/>
      <c r="AJ77" s="1161"/>
    </row>
    <row r="78" spans="1:57">
      <c r="B78" s="581" t="str">
        <f>"FT-"&amp;E78</f>
        <v>FT-TRAKEIN1</v>
      </c>
      <c r="C78" s="1161" t="s">
        <v>594</v>
      </c>
      <c r="D78" s="1161" t="str">
        <f>Commodities!D58</f>
        <v>TRAKEI</v>
      </c>
      <c r="E78" s="1161" t="str">
        <f>Commodities!D80</f>
        <v>TRAKEIN1</v>
      </c>
      <c r="F78" s="1424">
        <v>1</v>
      </c>
      <c r="G78" s="1161">
        <v>100</v>
      </c>
      <c r="H78" s="1161"/>
      <c r="I78" s="1161"/>
      <c r="J78" s="1161"/>
      <c r="K78" s="1161"/>
      <c r="L78" s="1161"/>
      <c r="AG78" s="1161"/>
      <c r="AH78" s="1161"/>
      <c r="AI78" s="1161"/>
      <c r="AJ78" s="1161"/>
    </row>
    <row r="79" spans="1:57">
      <c r="B79" s="1161"/>
      <c r="C79" s="1161"/>
      <c r="D79" s="1161" t="str">
        <f>Commodities!D63</f>
        <v>TRAKRB</v>
      </c>
      <c r="E79" s="1161"/>
      <c r="F79" s="1424"/>
      <c r="G79" s="1161"/>
      <c r="H79" s="106"/>
      <c r="I79" s="1653">
        <v>0.1</v>
      </c>
      <c r="J79" s="1161">
        <v>5</v>
      </c>
      <c r="K79" s="1161">
        <v>5</v>
      </c>
      <c r="L79" s="1161"/>
      <c r="AG79" s="1161"/>
      <c r="AH79" s="1161"/>
      <c r="AI79" s="1161"/>
      <c r="AJ79" s="1161"/>
    </row>
    <row r="80" spans="1:57">
      <c r="B80" s="581" t="str">
        <f>"FT-"&amp;E80</f>
        <v>FT-TRAKEIN2</v>
      </c>
      <c r="C80" s="1161" t="s">
        <v>595</v>
      </c>
      <c r="D80" s="1161" t="str">
        <f>D78</f>
        <v>TRAKEI</v>
      </c>
      <c r="E80" s="1161" t="str">
        <f>Commodities!D81</f>
        <v>TRAKEIN2</v>
      </c>
      <c r="F80" s="1424">
        <v>1</v>
      </c>
      <c r="G80" s="1161">
        <v>100</v>
      </c>
      <c r="H80" s="1161"/>
      <c r="I80" s="1161"/>
      <c r="J80" s="1161"/>
      <c r="K80" s="1161"/>
      <c r="L80" s="1161">
        <v>2012</v>
      </c>
      <c r="AG80" s="1161"/>
      <c r="AH80" s="1161"/>
      <c r="AI80" s="1161"/>
      <c r="AJ80" s="1161"/>
    </row>
    <row r="81" spans="1:38" s="1161" customFormat="1">
      <c r="A81"/>
      <c r="D81" s="1161" t="str">
        <f t="shared" ref="D81:D87" si="3">D79</f>
        <v>TRAKRB</v>
      </c>
      <c r="F81" s="1424"/>
      <c r="H81" s="106"/>
      <c r="I81" s="106">
        <v>0.5</v>
      </c>
      <c r="J81" s="1161">
        <v>5</v>
      </c>
      <c r="K81" s="1161">
        <v>5</v>
      </c>
      <c r="N81"/>
      <c r="O81"/>
      <c r="Q81"/>
      <c r="R81"/>
      <c r="S81"/>
      <c r="T81"/>
      <c r="U81"/>
      <c r="V81"/>
      <c r="W81"/>
      <c r="X81"/>
      <c r="Y81"/>
      <c r="Z81"/>
      <c r="AA81"/>
      <c r="AB81"/>
      <c r="AC81"/>
      <c r="AD81"/>
      <c r="AE81"/>
      <c r="AF81"/>
    </row>
    <row r="82" spans="1:38">
      <c r="B82" s="581" t="str">
        <f>"FT-"&amp;E82</f>
        <v>FT-TRAKEIN3</v>
      </c>
      <c r="C82" s="1161" t="s">
        <v>596</v>
      </c>
      <c r="D82" s="1161" t="str">
        <f t="shared" si="3"/>
        <v>TRAKEI</v>
      </c>
      <c r="E82" s="1161" t="str">
        <f>Commodities!D82</f>
        <v>TRAKEIN3</v>
      </c>
      <c r="F82" s="1424">
        <v>1</v>
      </c>
      <c r="G82" s="1161">
        <v>100</v>
      </c>
      <c r="H82" s="1161"/>
      <c r="I82" s="1161"/>
      <c r="J82" s="1161"/>
      <c r="K82" s="1161"/>
      <c r="L82" s="1161">
        <v>2020</v>
      </c>
      <c r="AG82" s="1161"/>
      <c r="AH82" s="1161"/>
      <c r="AI82" s="1161"/>
      <c r="AJ82" s="1161"/>
      <c r="AK82" s="1161"/>
      <c r="AL82" s="1161"/>
    </row>
    <row r="83" spans="1:38">
      <c r="B83" s="1161"/>
      <c r="C83" s="1161"/>
      <c r="D83" s="1161" t="str">
        <f t="shared" si="3"/>
        <v>TRAKRB</v>
      </c>
      <c r="E83" s="1161"/>
      <c r="F83" s="1424"/>
      <c r="G83" s="1161"/>
      <c r="H83" s="106"/>
      <c r="I83" s="106">
        <v>0.75</v>
      </c>
      <c r="J83" s="1161">
        <v>5</v>
      </c>
      <c r="K83" s="1161">
        <v>5</v>
      </c>
      <c r="L83" s="1161"/>
      <c r="N83" s="1161"/>
      <c r="O83" s="1161"/>
      <c r="Q83" s="1161"/>
      <c r="R83" s="1161"/>
      <c r="S83" s="1161"/>
      <c r="T83" s="1161"/>
      <c r="U83" s="1161"/>
      <c r="V83" s="1161"/>
      <c r="W83" s="1161"/>
      <c r="X83" s="1161"/>
      <c r="Y83" s="1161"/>
      <c r="Z83" s="1161"/>
      <c r="AA83" s="1161"/>
      <c r="AB83" s="1161"/>
      <c r="AC83" s="1161"/>
      <c r="AD83" s="1161"/>
      <c r="AE83" s="1161"/>
      <c r="AF83" s="1161"/>
      <c r="AG83" s="1161"/>
      <c r="AH83" s="1161"/>
      <c r="AI83" s="1161"/>
      <c r="AJ83" s="1161"/>
    </row>
    <row r="84" spans="1:38" s="1161" customFormat="1">
      <c r="B84" s="581" t="str">
        <f>"FT-"&amp;E84</f>
        <v>FT-TRAKEIN4</v>
      </c>
      <c r="C84" s="1161" t="s">
        <v>597</v>
      </c>
      <c r="D84" s="1161" t="str">
        <f t="shared" si="3"/>
        <v>TRAKEI</v>
      </c>
      <c r="E84" s="1161" t="str">
        <f>Commodities!D83</f>
        <v>TRAKEIN4</v>
      </c>
      <c r="F84" s="1424">
        <v>1</v>
      </c>
      <c r="G84" s="1161">
        <v>100</v>
      </c>
      <c r="L84" s="1161">
        <v>2035</v>
      </c>
      <c r="N84"/>
      <c r="O84"/>
      <c r="Q84"/>
      <c r="R84"/>
      <c r="S84"/>
      <c r="T84"/>
      <c r="U84"/>
      <c r="V84"/>
      <c r="W84"/>
      <c r="X84"/>
      <c r="Y84"/>
      <c r="Z84"/>
      <c r="AA84"/>
      <c r="AB84"/>
      <c r="AC84"/>
      <c r="AD84"/>
      <c r="AE84"/>
      <c r="AF84"/>
    </row>
    <row r="85" spans="1:38">
      <c r="B85" s="1161"/>
      <c r="C85" s="1161"/>
      <c r="D85" s="1161" t="str">
        <f t="shared" si="3"/>
        <v>TRAKRB</v>
      </c>
      <c r="E85" s="1161"/>
      <c r="F85" s="1424"/>
      <c r="G85" s="1161"/>
      <c r="H85" s="106"/>
      <c r="I85" s="106">
        <v>1</v>
      </c>
      <c r="J85" s="1161">
        <v>5</v>
      </c>
      <c r="K85" s="1161">
        <v>5</v>
      </c>
      <c r="L85" s="1161"/>
      <c r="Q85" s="1161"/>
      <c r="R85" s="1161"/>
      <c r="S85" s="1161"/>
      <c r="T85" s="1161"/>
      <c r="U85" s="1161"/>
      <c r="V85" s="1161"/>
      <c r="W85" s="1161"/>
      <c r="X85" s="1161"/>
      <c r="Y85" s="1161"/>
      <c r="Z85" s="1161"/>
      <c r="AA85" s="1161"/>
      <c r="AB85" s="1161"/>
      <c r="AC85" s="1161"/>
      <c r="AD85" s="1161"/>
      <c r="AE85" s="1161"/>
      <c r="AF85" s="1161"/>
      <c r="AG85" s="1161"/>
      <c r="AK85" s="1161"/>
      <c r="AL85" s="1161"/>
    </row>
    <row r="86" spans="1:38" s="1161" customFormat="1">
      <c r="A86"/>
      <c r="B86" s="581" t="str">
        <f>"FT-"&amp;E86</f>
        <v>FT-TRAKEIN5</v>
      </c>
      <c r="C86" s="1161" t="s">
        <v>598</v>
      </c>
      <c r="D86" s="1161" t="str">
        <f t="shared" si="3"/>
        <v>TRAKEI</v>
      </c>
      <c r="E86" s="1161" t="str">
        <f>Commodities!D84</f>
        <v>TRAKEIN5</v>
      </c>
      <c r="F86" s="1424">
        <v>1</v>
      </c>
      <c r="G86" s="1161">
        <v>100</v>
      </c>
      <c r="L86" s="1161">
        <v>2100</v>
      </c>
      <c r="M86"/>
    </row>
    <row r="87" spans="1:38" s="1161" customFormat="1">
      <c r="B87" s="1618"/>
      <c r="C87" s="1618"/>
      <c r="D87" s="1618" t="str">
        <f t="shared" si="3"/>
        <v>TRAKRB</v>
      </c>
      <c r="E87" s="1654"/>
      <c r="F87" s="1619"/>
      <c r="G87" s="1618"/>
      <c r="H87" s="1620"/>
      <c r="I87" s="1620">
        <v>1</v>
      </c>
      <c r="J87" s="1618">
        <v>5</v>
      </c>
      <c r="K87" s="1618">
        <v>5</v>
      </c>
      <c r="L87" s="1618"/>
      <c r="N87"/>
      <c r="O87"/>
    </row>
    <row r="88" spans="1:38" s="1161" customFormat="1">
      <c r="B88" s="581" t="str">
        <f>"FT-"&amp;E88</f>
        <v>FT-TRAKENA1</v>
      </c>
      <c r="C88" s="1161" t="s">
        <v>594</v>
      </c>
      <c r="D88" s="1161" t="str">
        <f>Commodities!D59</f>
        <v>TRAKEN</v>
      </c>
      <c r="E88" s="1161" t="str">
        <f>Commodities!D85</f>
        <v>TRAKENA1</v>
      </c>
      <c r="F88" s="1424">
        <v>1</v>
      </c>
      <c r="G88" s="1161">
        <v>100</v>
      </c>
    </row>
    <row r="89" spans="1:38" s="1161" customFormat="1">
      <c r="D89" s="1161" t="str">
        <f>Commodities!D63</f>
        <v>TRAKRB</v>
      </c>
      <c r="F89" s="1424"/>
      <c r="H89" s="106"/>
      <c r="I89" s="1653">
        <v>0.1</v>
      </c>
      <c r="J89" s="1161">
        <v>5</v>
      </c>
      <c r="K89" s="1161">
        <v>5</v>
      </c>
    </row>
    <row r="90" spans="1:38" s="1161" customFormat="1">
      <c r="B90" s="581" t="str">
        <f>"FT-"&amp;E90</f>
        <v>FT-TRAKENA2</v>
      </c>
      <c r="C90" s="1161" t="s">
        <v>595</v>
      </c>
      <c r="D90" s="1161" t="str">
        <f>D88</f>
        <v>TRAKEN</v>
      </c>
      <c r="E90" s="1161" t="str">
        <f>Commodities!D86</f>
        <v>TRAKENA2</v>
      </c>
      <c r="F90" s="1424">
        <v>1</v>
      </c>
      <c r="G90" s="1161">
        <v>100</v>
      </c>
      <c r="L90" s="1161">
        <v>2012</v>
      </c>
    </row>
    <row r="91" spans="1:38" s="1161" customFormat="1">
      <c r="D91" s="1161" t="str">
        <f t="shared" ref="D91:D97" si="4">D89</f>
        <v>TRAKRB</v>
      </c>
      <c r="F91" s="1424"/>
      <c r="H91" s="106"/>
      <c r="I91" s="106">
        <v>0.5</v>
      </c>
      <c r="J91" s="1161">
        <v>5</v>
      </c>
      <c r="K91" s="1161">
        <v>5</v>
      </c>
    </row>
    <row r="92" spans="1:38" s="1161" customFormat="1">
      <c r="B92" s="581" t="str">
        <f>"FT-"&amp;E92</f>
        <v>FT-TRAKENA3</v>
      </c>
      <c r="C92" s="1161" t="s">
        <v>596</v>
      </c>
      <c r="D92" s="1161" t="str">
        <f t="shared" si="4"/>
        <v>TRAKEN</v>
      </c>
      <c r="E92" s="1161" t="str">
        <f>Commodities!D87</f>
        <v>TRAKENA3</v>
      </c>
      <c r="F92" s="1424">
        <v>1</v>
      </c>
      <c r="G92" s="1161">
        <v>100</v>
      </c>
      <c r="L92" s="1161">
        <v>2020</v>
      </c>
    </row>
    <row r="93" spans="1:38" s="1161" customFormat="1">
      <c r="D93" s="1161" t="str">
        <f t="shared" si="4"/>
        <v>TRAKRB</v>
      </c>
      <c r="F93" s="1424"/>
      <c r="H93" s="106"/>
      <c r="I93" s="106">
        <v>0.75</v>
      </c>
      <c r="J93" s="1161">
        <v>5</v>
      </c>
      <c r="K93" s="1161">
        <v>5</v>
      </c>
    </row>
    <row r="94" spans="1:38" s="1161" customFormat="1">
      <c r="B94" s="581" t="str">
        <f>"FT-"&amp;E94</f>
        <v>FT-TRAKENA4</v>
      </c>
      <c r="C94" s="1161" t="s">
        <v>597</v>
      </c>
      <c r="D94" s="1161" t="str">
        <f t="shared" si="4"/>
        <v>TRAKEN</v>
      </c>
      <c r="E94" s="1161" t="str">
        <f>Commodities!D88</f>
        <v>TRAKENA4</v>
      </c>
      <c r="F94" s="1424">
        <v>1</v>
      </c>
      <c r="G94" s="1161">
        <v>100</v>
      </c>
      <c r="L94" s="1161">
        <v>2035</v>
      </c>
    </row>
    <row r="95" spans="1:38" s="1161" customFormat="1">
      <c r="D95" s="1161" t="str">
        <f t="shared" si="4"/>
        <v>TRAKRB</v>
      </c>
      <c r="F95" s="1424"/>
      <c r="H95" s="106"/>
      <c r="I95" s="106">
        <v>1</v>
      </c>
      <c r="J95" s="1161">
        <v>5</v>
      </c>
      <c r="K95" s="1161">
        <v>5</v>
      </c>
    </row>
    <row r="96" spans="1:38">
      <c r="A96" s="1161"/>
      <c r="B96" s="581" t="str">
        <f>"FT-"&amp;E96</f>
        <v>FT-TRAKENA5</v>
      </c>
      <c r="C96" s="1161" t="s">
        <v>598</v>
      </c>
      <c r="D96" s="1161" t="str">
        <f t="shared" si="4"/>
        <v>TRAKEN</v>
      </c>
      <c r="E96" s="1161" t="str">
        <f>Commodities!D89</f>
        <v>TRAKENA5</v>
      </c>
      <c r="F96" s="1424">
        <v>1</v>
      </c>
      <c r="G96" s="1161">
        <v>100</v>
      </c>
      <c r="H96" s="1161"/>
      <c r="I96" s="1161"/>
      <c r="J96" s="1161"/>
      <c r="K96" s="1161"/>
      <c r="L96" s="1161">
        <v>2100</v>
      </c>
      <c r="M96" s="1161"/>
      <c r="N96" s="1161"/>
      <c r="O96" s="1161"/>
      <c r="Q96" s="1161"/>
      <c r="R96" s="1161"/>
      <c r="S96" s="1161"/>
      <c r="T96" s="1161"/>
      <c r="U96" s="1161"/>
      <c r="V96" s="1161"/>
      <c r="W96" s="1161"/>
      <c r="X96" s="1161"/>
      <c r="Y96" s="1161"/>
      <c r="Z96" s="1161"/>
      <c r="AA96" s="1161"/>
      <c r="AB96" s="1161"/>
      <c r="AC96" s="1161"/>
      <c r="AD96" s="1161"/>
      <c r="AE96" s="1161"/>
      <c r="AF96" s="1161"/>
      <c r="AG96" s="1161"/>
      <c r="AK96" s="1161"/>
      <c r="AL96" s="1161"/>
    </row>
    <row r="97" spans="1:38" s="1161" customFormat="1">
      <c r="B97" s="1618"/>
      <c r="C97" s="1618"/>
      <c r="D97" s="1618" t="str">
        <f t="shared" si="4"/>
        <v>TRAKRB</v>
      </c>
      <c r="E97" s="1654"/>
      <c r="F97" s="1619"/>
      <c r="G97" s="1618"/>
      <c r="H97" s="1620"/>
      <c r="I97" s="1620">
        <v>1</v>
      </c>
      <c r="J97" s="1618">
        <v>5</v>
      </c>
      <c r="K97" s="1618">
        <v>5</v>
      </c>
      <c r="L97" s="1618"/>
      <c r="AG97"/>
      <c r="AH97"/>
      <c r="AI97"/>
      <c r="AJ97"/>
    </row>
    <row r="98" spans="1:38">
      <c r="B98" s="1" t="s">
        <v>536</v>
      </c>
      <c r="C98" s="1" t="s">
        <v>1836</v>
      </c>
      <c r="D98" s="1" t="s">
        <v>62</v>
      </c>
      <c r="E98" s="1" t="s">
        <v>544</v>
      </c>
      <c r="F98" s="684">
        <v>1</v>
      </c>
      <c r="G98" s="1">
        <v>100</v>
      </c>
      <c r="H98" s="1"/>
      <c r="I98" s="1"/>
      <c r="L98" s="1"/>
      <c r="Q98" s="1161"/>
      <c r="R98" s="1161"/>
      <c r="S98" s="1161"/>
      <c r="T98" s="1161"/>
      <c r="U98" s="1161"/>
      <c r="V98" s="1161"/>
      <c r="W98" s="1161"/>
      <c r="X98" s="1161"/>
      <c r="Y98" s="1161"/>
      <c r="Z98" s="1161"/>
      <c r="AA98" s="1161"/>
      <c r="AB98" s="1161"/>
      <c r="AC98" s="1161"/>
      <c r="AD98" s="1161"/>
      <c r="AE98" s="1161"/>
      <c r="AF98" s="1161"/>
      <c r="AH98" s="1161"/>
      <c r="AI98" s="1161"/>
      <c r="AJ98" s="1161"/>
      <c r="AK98" s="1161"/>
      <c r="AL98" s="1161"/>
    </row>
    <row r="99" spans="1:38">
      <c r="B99" s="1"/>
      <c r="C99" s="1"/>
      <c r="D99" s="1" t="s">
        <v>360</v>
      </c>
      <c r="E99" s="1"/>
      <c r="F99" s="684"/>
      <c r="G99" s="1"/>
      <c r="H99" s="438"/>
      <c r="I99" s="438">
        <v>0.1</v>
      </c>
      <c r="J99" s="1">
        <v>5</v>
      </c>
      <c r="K99" s="1">
        <v>5</v>
      </c>
      <c r="L99" s="1"/>
      <c r="N99" s="1161"/>
      <c r="O99" s="1161"/>
      <c r="Q99" s="1161"/>
      <c r="R99" s="1161"/>
      <c r="S99" s="1161"/>
      <c r="T99" s="1161"/>
      <c r="U99" s="1161"/>
      <c r="V99" s="1161"/>
      <c r="W99" s="1161"/>
      <c r="X99" s="1161"/>
      <c r="Y99" s="1161"/>
      <c r="Z99" s="1161"/>
      <c r="AA99" s="1161"/>
      <c r="AB99" s="1161"/>
      <c r="AC99" s="1161"/>
      <c r="AD99" s="1161"/>
      <c r="AE99" s="1161"/>
      <c r="AF99" s="1161"/>
      <c r="AH99" s="1161"/>
      <c r="AI99" s="1161"/>
      <c r="AJ99" s="1161"/>
      <c r="AK99" s="1161"/>
      <c r="AL99" s="1161"/>
    </row>
    <row r="100" spans="1:38">
      <c r="A100" s="1161"/>
      <c r="B100" s="1" t="s">
        <v>537</v>
      </c>
      <c r="C100" s="1" t="s">
        <v>1837</v>
      </c>
      <c r="D100" s="1" t="s">
        <v>62</v>
      </c>
      <c r="E100" s="1" t="s">
        <v>545</v>
      </c>
      <c r="F100" s="684">
        <v>1</v>
      </c>
      <c r="G100" s="1">
        <v>100</v>
      </c>
      <c r="H100" s="1"/>
      <c r="I100" s="1"/>
      <c r="J100" s="1"/>
      <c r="K100" s="1"/>
      <c r="L100">
        <v>2012</v>
      </c>
      <c r="Q100" s="1161"/>
      <c r="R100" s="1161"/>
      <c r="S100" s="1161"/>
      <c r="T100" s="1161"/>
      <c r="U100" s="1161"/>
      <c r="V100" s="1161"/>
      <c r="W100" s="1161"/>
      <c r="X100" s="1161"/>
      <c r="Y100" s="1161"/>
      <c r="Z100" s="1161"/>
      <c r="AA100" s="1161"/>
      <c r="AB100" s="1161"/>
      <c r="AC100" s="1161"/>
      <c r="AD100" s="1161"/>
      <c r="AE100" s="1161"/>
      <c r="AF100" s="1161"/>
      <c r="AG100" s="1161"/>
      <c r="AH100" s="1161"/>
      <c r="AI100" s="1161"/>
      <c r="AJ100" s="1161"/>
      <c r="AK100" s="1161"/>
      <c r="AL100" s="1161"/>
    </row>
    <row r="101" spans="1:38">
      <c r="B101" s="1"/>
      <c r="C101" s="1"/>
      <c r="D101" s="1" t="s">
        <v>360</v>
      </c>
      <c r="E101" s="1"/>
      <c r="F101" s="684"/>
      <c r="G101" s="1"/>
      <c r="H101" s="438"/>
      <c r="I101" s="106">
        <v>1</v>
      </c>
      <c r="J101" s="1">
        <v>5</v>
      </c>
      <c r="K101" s="1">
        <v>5</v>
      </c>
      <c r="L101" s="1"/>
      <c r="Q101" s="1161"/>
      <c r="R101" s="1161"/>
      <c r="S101" s="1161"/>
      <c r="T101" s="1161"/>
      <c r="U101" s="1161"/>
      <c r="V101" s="1161"/>
      <c r="W101" s="1161"/>
      <c r="X101" s="1161"/>
      <c r="Y101" s="1161"/>
      <c r="Z101" s="1161"/>
      <c r="AA101" s="1161"/>
      <c r="AB101" s="1161"/>
      <c r="AC101" s="1161"/>
      <c r="AD101" s="1161"/>
      <c r="AE101" s="1161"/>
      <c r="AF101" s="1161"/>
      <c r="AG101" s="1161"/>
      <c r="AH101" s="1161"/>
      <c r="AI101" s="1161"/>
      <c r="AJ101" s="1161"/>
      <c r="AK101" s="1161"/>
      <c r="AL101" s="1161"/>
    </row>
    <row r="102" spans="1:38" s="1161" customFormat="1">
      <c r="A102"/>
      <c r="B102" s="1" t="s">
        <v>538</v>
      </c>
      <c r="C102" s="1" t="s">
        <v>1838</v>
      </c>
      <c r="D102" s="1" t="s">
        <v>62</v>
      </c>
      <c r="E102" s="1" t="s">
        <v>546</v>
      </c>
      <c r="F102" s="684">
        <v>1</v>
      </c>
      <c r="G102" s="1">
        <v>100</v>
      </c>
      <c r="H102" s="1"/>
      <c r="I102"/>
      <c r="J102" s="1"/>
      <c r="K102" s="1"/>
      <c r="L102" s="1">
        <v>2020</v>
      </c>
      <c r="M102"/>
      <c r="N102"/>
      <c r="O102"/>
    </row>
    <row r="103" spans="1:38">
      <c r="B103" s="1"/>
      <c r="C103" s="1"/>
      <c r="D103" s="1" t="s">
        <v>360</v>
      </c>
      <c r="E103" s="1"/>
      <c r="F103" s="684"/>
      <c r="G103" s="1"/>
      <c r="H103" s="438"/>
      <c r="I103" s="438">
        <v>1</v>
      </c>
      <c r="J103" s="1">
        <v>5</v>
      </c>
      <c r="K103" s="1">
        <v>5</v>
      </c>
      <c r="L103" s="1"/>
      <c r="M103" s="1161"/>
      <c r="Q103" s="1161"/>
      <c r="R103" s="1161"/>
      <c r="S103" s="1161"/>
      <c r="T103" s="1161"/>
      <c r="U103" s="1161"/>
      <c r="V103" s="1161"/>
      <c r="W103" s="1161"/>
      <c r="X103" s="1161"/>
      <c r="Y103" s="1161"/>
      <c r="Z103" s="1161"/>
      <c r="AA103" s="1161"/>
      <c r="AB103" s="1161"/>
      <c r="AC103" s="1161"/>
      <c r="AD103" s="1161"/>
      <c r="AE103" s="1161"/>
      <c r="AF103" s="1161"/>
      <c r="AG103" s="1161"/>
      <c r="AH103" s="1161"/>
      <c r="AI103" s="1161"/>
      <c r="AJ103" s="1161"/>
      <c r="AK103" s="1161"/>
      <c r="AL103" s="1161"/>
    </row>
    <row r="104" spans="1:38" s="1161" customFormat="1">
      <c r="B104" s="714"/>
      <c r="C104" s="714"/>
      <c r="D104" s="714" t="s">
        <v>1859</v>
      </c>
      <c r="E104" s="714"/>
      <c r="F104" s="684"/>
      <c r="G104" s="714"/>
      <c r="H104" s="698"/>
      <c r="I104" s="698">
        <v>1</v>
      </c>
      <c r="J104" s="714">
        <v>5</v>
      </c>
      <c r="K104" s="714">
        <v>5</v>
      </c>
      <c r="L104" s="714"/>
    </row>
    <row r="105" spans="1:38">
      <c r="B105" s="714"/>
      <c r="C105" s="714"/>
      <c r="D105" s="679" t="s">
        <v>1668</v>
      </c>
      <c r="E105" s="714"/>
      <c r="F105" s="1424"/>
      <c r="G105" s="714"/>
      <c r="H105" s="698"/>
      <c r="I105" s="698">
        <v>5.6030998243804531E-3</v>
      </c>
      <c r="J105" s="714"/>
      <c r="K105" s="714"/>
      <c r="L105" s="714"/>
      <c r="Q105" s="1161"/>
      <c r="R105" s="1161"/>
      <c r="S105" s="1161"/>
      <c r="T105" s="1161"/>
      <c r="U105" s="1161"/>
      <c r="V105" s="1161"/>
      <c r="W105" s="1161"/>
      <c r="X105" s="1161"/>
      <c r="Y105" s="1161"/>
      <c r="Z105" s="1161"/>
      <c r="AA105" s="1161"/>
      <c r="AB105" s="1161"/>
      <c r="AC105" s="1161"/>
      <c r="AD105" s="1161"/>
      <c r="AE105" s="1161"/>
      <c r="AF105" s="1161"/>
      <c r="AG105" s="1161"/>
      <c r="AH105" s="1161"/>
      <c r="AI105" s="1161"/>
      <c r="AJ105" s="1161"/>
      <c r="AK105" s="1161"/>
      <c r="AL105" s="1161"/>
    </row>
    <row r="106" spans="1:38" s="1161" customFormat="1">
      <c r="A106"/>
      <c r="B106" s="1" t="s">
        <v>539</v>
      </c>
      <c r="C106" s="1" t="s">
        <v>1839</v>
      </c>
      <c r="D106" s="1" t="s">
        <v>62</v>
      </c>
      <c r="E106" s="1" t="s">
        <v>547</v>
      </c>
      <c r="F106" s="684">
        <v>1</v>
      </c>
      <c r="G106" s="1">
        <v>100</v>
      </c>
      <c r="H106" s="1"/>
      <c r="I106"/>
      <c r="J106" s="1"/>
      <c r="K106" s="1"/>
      <c r="L106" s="1">
        <v>2030</v>
      </c>
    </row>
    <row r="107" spans="1:38" s="1161" customFormat="1">
      <c r="B107" s="1"/>
      <c r="C107" s="1"/>
      <c r="D107" s="1" t="s">
        <v>360</v>
      </c>
      <c r="E107" s="1"/>
      <c r="F107" s="684"/>
      <c r="G107" s="1"/>
      <c r="H107" s="438"/>
      <c r="I107" s="438">
        <v>1</v>
      </c>
      <c r="J107" s="1">
        <v>5</v>
      </c>
      <c r="K107" s="1">
        <v>5</v>
      </c>
      <c r="L107" s="1"/>
      <c r="N107"/>
      <c r="O107"/>
    </row>
    <row r="108" spans="1:38" s="1161" customFormat="1">
      <c r="B108" s="714"/>
      <c r="C108" s="714"/>
      <c r="D108" s="714" t="s">
        <v>1859</v>
      </c>
      <c r="E108" s="714"/>
      <c r="F108" s="684"/>
      <c r="G108" s="714"/>
      <c r="H108" s="698"/>
      <c r="I108" s="698">
        <v>1</v>
      </c>
      <c r="J108" s="714">
        <v>5</v>
      </c>
      <c r="K108" s="714">
        <v>5</v>
      </c>
      <c r="L108" s="714"/>
    </row>
    <row r="109" spans="1:38" s="1161" customFormat="1">
      <c r="A109"/>
      <c r="B109" s="714"/>
      <c r="C109" s="714"/>
      <c r="D109" s="679" t="s">
        <v>1668</v>
      </c>
      <c r="E109" s="714"/>
      <c r="F109" s="1424"/>
      <c r="G109" s="714"/>
      <c r="H109" s="698"/>
      <c r="I109" s="1621">
        <v>4.6459665613683636E-2</v>
      </c>
      <c r="J109" s="714"/>
      <c r="K109" s="714"/>
      <c r="L109" s="714"/>
      <c r="Q109"/>
      <c r="R109"/>
      <c r="S109"/>
      <c r="T109"/>
      <c r="U109"/>
      <c r="V109"/>
      <c r="W109"/>
      <c r="X109"/>
      <c r="Y109"/>
      <c r="Z109"/>
      <c r="AA109"/>
      <c r="AB109"/>
      <c r="AC109"/>
      <c r="AD109"/>
      <c r="AE109"/>
      <c r="AF109"/>
      <c r="AK109"/>
      <c r="AL109"/>
    </row>
    <row r="110" spans="1:38" s="1161" customFormat="1">
      <c r="B110" s="1" t="s">
        <v>551</v>
      </c>
      <c r="C110" s="1" t="s">
        <v>1840</v>
      </c>
      <c r="D110" s="1" t="s">
        <v>62</v>
      </c>
      <c r="E110" s="1" t="s">
        <v>552</v>
      </c>
      <c r="F110" s="684">
        <v>1</v>
      </c>
      <c r="G110" s="1">
        <v>100</v>
      </c>
      <c r="H110" s="1"/>
      <c r="I110" s="1"/>
      <c r="J110" s="1"/>
      <c r="K110" s="1"/>
      <c r="L110" s="1">
        <v>2100</v>
      </c>
    </row>
    <row r="111" spans="1:38" s="1161" customFormat="1">
      <c r="B111" s="714"/>
      <c r="C111" s="714"/>
      <c r="D111" s="714" t="s">
        <v>360</v>
      </c>
      <c r="E111" s="714"/>
      <c r="F111" s="1424"/>
      <c r="G111" s="714"/>
      <c r="H111" s="698"/>
      <c r="I111" s="698">
        <v>1</v>
      </c>
      <c r="J111" s="714">
        <v>5</v>
      </c>
      <c r="K111" s="714">
        <v>5</v>
      </c>
      <c r="L111" s="714"/>
      <c r="Q111"/>
      <c r="R111"/>
      <c r="S111"/>
      <c r="T111"/>
      <c r="U111"/>
      <c r="V111"/>
      <c r="W111"/>
      <c r="X111"/>
      <c r="Y111"/>
      <c r="Z111"/>
      <c r="AA111"/>
      <c r="AB111"/>
      <c r="AC111"/>
      <c r="AD111"/>
      <c r="AE111"/>
      <c r="AF111"/>
      <c r="AK111"/>
      <c r="AL111"/>
    </row>
    <row r="112" spans="1:38" s="1161" customFormat="1">
      <c r="B112" s="714"/>
      <c r="C112" s="714"/>
      <c r="D112" s="714" t="s">
        <v>1859</v>
      </c>
      <c r="E112" s="714"/>
      <c r="F112" s="684"/>
      <c r="G112" s="714"/>
      <c r="H112" s="698"/>
      <c r="I112" s="698">
        <v>1</v>
      </c>
      <c r="J112" s="714">
        <v>5</v>
      </c>
      <c r="K112" s="714">
        <v>5</v>
      </c>
      <c r="L112" s="714"/>
      <c r="AK112"/>
      <c r="AL112"/>
    </row>
    <row r="113" spans="1:38" s="1161" customFormat="1">
      <c r="B113" s="1618"/>
      <c r="C113" s="1618"/>
      <c r="D113" s="1618" t="s">
        <v>1668</v>
      </c>
      <c r="E113" s="1618"/>
      <c r="F113" s="1619"/>
      <c r="G113" s="1618"/>
      <c r="H113" s="1620"/>
      <c r="I113" s="1620">
        <f>I109</f>
        <v>4.6459665613683636E-2</v>
      </c>
      <c r="J113" s="1618"/>
      <c r="K113" s="1618"/>
      <c r="L113" s="1618"/>
      <c r="Q113"/>
      <c r="R113"/>
      <c r="S113"/>
      <c r="T113"/>
      <c r="U113"/>
      <c r="V113"/>
      <c r="W113"/>
      <c r="X113"/>
      <c r="Y113"/>
      <c r="Z113"/>
      <c r="AA113"/>
      <c r="AB113"/>
      <c r="AC113"/>
      <c r="AD113"/>
      <c r="AE113"/>
      <c r="AF113"/>
    </row>
    <row r="114" spans="1:38" s="1161" customFormat="1">
      <c r="B114" s="1161" t="str">
        <f>Processes!D114</f>
        <v>FT-TRAOILBL1N</v>
      </c>
      <c r="C114" s="1161" t="str">
        <f>Processes!E114</f>
        <v>Fuel Technology Blended Fuel - Oil products bio and renewable - level 1 - TRA Navigation</v>
      </c>
      <c r="D114" s="1161" t="s">
        <v>1502</v>
      </c>
      <c r="E114" s="1161" t="str">
        <f>RIGHT(B114,10)</f>
        <v>TRAOILBL1N</v>
      </c>
      <c r="F114" s="684">
        <v>1</v>
      </c>
      <c r="G114" s="1161">
        <v>100</v>
      </c>
    </row>
    <row r="115" spans="1:38" s="1161" customFormat="1">
      <c r="D115" s="1161" t="str">
        <f>E40</f>
        <v>TRADSBN</v>
      </c>
      <c r="F115" s="684"/>
      <c r="G115" s="714"/>
      <c r="H115" s="106">
        <v>0</v>
      </c>
      <c r="I115" s="106">
        <v>0.1</v>
      </c>
      <c r="J115" s="714">
        <v>5</v>
      </c>
      <c r="K115" s="714">
        <v>5</v>
      </c>
      <c r="AH115"/>
      <c r="AI115"/>
      <c r="AJ115"/>
    </row>
    <row r="116" spans="1:38" s="1161" customFormat="1">
      <c r="B116" s="1161" t="str">
        <f>Processes!D115</f>
        <v>FT-TRAOILBL2N</v>
      </c>
      <c r="C116" s="1161" t="str">
        <f>Processes!E115</f>
        <v>Fuel Technology Blended Fuel - Oil products bio and renewable - level 2 - TRA Navigation</v>
      </c>
      <c r="D116" s="1161" t="str">
        <f t="shared" ref="D116:D121" si="5">D114</f>
        <v>TRADSLN</v>
      </c>
      <c r="E116" s="1161" t="str">
        <f>RIGHT(B116,10)</f>
        <v>TRAOILBL2N</v>
      </c>
      <c r="F116" s="684">
        <v>1</v>
      </c>
      <c r="G116" s="714">
        <v>100</v>
      </c>
      <c r="J116" s="714"/>
      <c r="K116" s="714"/>
      <c r="L116" s="1161">
        <v>2012</v>
      </c>
      <c r="AH116"/>
      <c r="AI116"/>
      <c r="AJ116"/>
    </row>
    <row r="117" spans="1:38" s="1161" customFormat="1">
      <c r="D117" s="1161" t="str">
        <f t="shared" si="5"/>
        <v>TRADSBN</v>
      </c>
      <c r="F117" s="684"/>
      <c r="G117" s="714"/>
      <c r="H117" s="106">
        <v>0</v>
      </c>
      <c r="I117" s="106">
        <v>0.25</v>
      </c>
      <c r="J117" s="714">
        <v>5</v>
      </c>
      <c r="K117" s="714">
        <v>5</v>
      </c>
      <c r="AG117"/>
      <c r="AH117"/>
      <c r="AI117"/>
      <c r="AJ117"/>
    </row>
    <row r="118" spans="1:38" s="1161" customFormat="1">
      <c r="B118" s="1161" t="str">
        <f>Processes!D116</f>
        <v>FT-TRAOILBL3N</v>
      </c>
      <c r="C118" s="1161" t="str">
        <f>Processes!E116</f>
        <v>Fuel Technology Blended Fuel - Oil products bio and renewable - level 3 - TRA Navigation</v>
      </c>
      <c r="D118" s="1161" t="str">
        <f t="shared" si="5"/>
        <v>TRADSLN</v>
      </c>
      <c r="E118" s="1161" t="str">
        <f>RIGHT(B118,10)</f>
        <v>TRAOILBL3N</v>
      </c>
      <c r="F118" s="684">
        <v>1</v>
      </c>
      <c r="G118" s="714">
        <v>100</v>
      </c>
      <c r="J118" s="714"/>
      <c r="K118" s="714"/>
      <c r="L118" s="1161">
        <v>2020</v>
      </c>
      <c r="AG118"/>
      <c r="AH118"/>
      <c r="AI118"/>
      <c r="AJ118"/>
    </row>
    <row r="119" spans="1:38" s="1161" customFormat="1">
      <c r="D119" s="1161" t="str">
        <f t="shared" si="5"/>
        <v>TRADSBN</v>
      </c>
      <c r="F119" s="684"/>
      <c r="G119" s="714"/>
      <c r="H119" s="106">
        <v>0</v>
      </c>
      <c r="I119" s="698">
        <v>0.5</v>
      </c>
      <c r="J119" s="714">
        <v>5</v>
      </c>
      <c r="K119" s="714">
        <v>5</v>
      </c>
      <c r="AG119"/>
      <c r="AH119"/>
      <c r="AI119"/>
      <c r="AJ119"/>
    </row>
    <row r="120" spans="1:38" s="1161" customFormat="1">
      <c r="B120" s="1161" t="str">
        <f>Processes!D117</f>
        <v>FT-TRAOILBL4N</v>
      </c>
      <c r="C120" s="1161" t="str">
        <f>Processes!E117</f>
        <v>Fuel Technology Blended Fuel - Oil products bio and renewable - level 4 - TRA Navigation</v>
      </c>
      <c r="D120" s="1161" t="str">
        <f t="shared" si="5"/>
        <v>TRADSLN</v>
      </c>
      <c r="E120" s="1161" t="str">
        <f>RIGHT(B120,10)</f>
        <v>TRAOILBL4N</v>
      </c>
      <c r="F120" s="684">
        <v>1</v>
      </c>
      <c r="G120" s="714">
        <v>100</v>
      </c>
      <c r="J120" s="714"/>
      <c r="K120" s="714"/>
      <c r="L120" s="1161">
        <v>2030</v>
      </c>
      <c r="M120"/>
    </row>
    <row r="121" spans="1:38">
      <c r="A121" s="1161"/>
      <c r="B121" s="714"/>
      <c r="C121" s="714"/>
      <c r="D121" s="1161" t="str">
        <f t="shared" si="5"/>
        <v>TRADSBN</v>
      </c>
      <c r="E121" s="714"/>
      <c r="F121" s="684"/>
      <c r="G121" s="714"/>
      <c r="H121" s="698">
        <v>0</v>
      </c>
      <c r="I121" s="698">
        <v>1</v>
      </c>
      <c r="J121" s="714">
        <v>5</v>
      </c>
      <c r="K121" s="714">
        <v>5</v>
      </c>
      <c r="L121" s="714"/>
      <c r="N121" s="1161"/>
      <c r="O121" s="1161"/>
      <c r="Q121" s="1161"/>
      <c r="R121" s="1161"/>
      <c r="S121" s="1161"/>
      <c r="T121" s="1161"/>
      <c r="U121" s="1161"/>
      <c r="V121" s="1161"/>
      <c r="W121" s="1161"/>
      <c r="X121" s="1161"/>
      <c r="Y121" s="1161"/>
      <c r="Z121" s="1161"/>
      <c r="AA121" s="1161"/>
      <c r="AB121" s="1161"/>
      <c r="AC121" s="1161"/>
      <c r="AD121" s="1161"/>
      <c r="AE121" s="1161"/>
      <c r="AF121" s="1161"/>
      <c r="AK121" s="1161"/>
      <c r="AL121" s="1161"/>
    </row>
    <row r="122" spans="1:38">
      <c r="A122" s="1161"/>
      <c r="B122" s="714"/>
      <c r="C122" s="714"/>
      <c r="D122" s="245" t="str">
        <f>E44</f>
        <v>TRAGSBN</v>
      </c>
      <c r="E122" s="714"/>
      <c r="F122" s="684"/>
      <c r="G122" s="714"/>
      <c r="H122" s="698">
        <v>0</v>
      </c>
      <c r="I122" s="698">
        <v>1</v>
      </c>
      <c r="J122" s="714">
        <v>5</v>
      </c>
      <c r="K122" s="714">
        <v>5</v>
      </c>
      <c r="L122" s="714"/>
      <c r="M122" s="1161"/>
      <c r="N122" s="1161"/>
      <c r="O122" s="1161"/>
      <c r="Q122" s="1161"/>
      <c r="R122" s="1161"/>
      <c r="S122" s="1161"/>
      <c r="T122" s="1161"/>
      <c r="U122" s="1161"/>
      <c r="V122" s="1161"/>
      <c r="W122" s="1161"/>
      <c r="X122" s="1161"/>
      <c r="Y122" s="1161"/>
      <c r="Z122" s="1161"/>
      <c r="AA122" s="1161"/>
      <c r="AB122" s="1161"/>
      <c r="AC122" s="1161"/>
      <c r="AD122" s="1161"/>
      <c r="AE122" s="1161"/>
      <c r="AF122" s="1161"/>
      <c r="AK122" s="1161"/>
      <c r="AL122" s="1161"/>
    </row>
    <row r="123" spans="1:38" s="1161" customFormat="1">
      <c r="D123" s="1161" t="str">
        <f>E50</f>
        <v>TRAMOBN</v>
      </c>
      <c r="F123" s="684"/>
      <c r="G123" s="714"/>
      <c r="H123" s="106">
        <v>0</v>
      </c>
      <c r="I123" s="106">
        <v>1</v>
      </c>
      <c r="J123" s="714">
        <v>5</v>
      </c>
      <c r="K123" s="714">
        <v>5</v>
      </c>
      <c r="N123"/>
      <c r="O123"/>
      <c r="AG123"/>
      <c r="AH123"/>
      <c r="AI123"/>
      <c r="AJ123"/>
    </row>
    <row r="124" spans="1:38">
      <c r="B124" s="1161" t="str">
        <f>Processes!D118</f>
        <v>FT-TRAOILBL5N</v>
      </c>
      <c r="C124" s="1161" t="str">
        <f>Processes!E118</f>
        <v>Fuel Technology Blended Fuel - Oil products bio and renewable - level 5 - TRA Navigation</v>
      </c>
      <c r="D124" s="1161" t="str">
        <f>D121</f>
        <v>TRADSBN</v>
      </c>
      <c r="E124" s="1161" t="str">
        <f>RIGHT(B124,10)</f>
        <v>TRAOILBL5N</v>
      </c>
      <c r="F124" s="684">
        <v>1</v>
      </c>
      <c r="G124" s="714">
        <v>100</v>
      </c>
      <c r="H124" s="1161"/>
      <c r="I124" s="1161"/>
      <c r="J124" s="714"/>
      <c r="K124" s="714"/>
      <c r="L124" s="1161">
        <v>2100</v>
      </c>
      <c r="Q124" s="1161"/>
      <c r="R124" s="1161"/>
      <c r="S124" s="1161"/>
      <c r="T124" s="1161"/>
      <c r="U124" s="1161"/>
      <c r="V124" s="1161"/>
      <c r="W124" s="1161"/>
      <c r="X124" s="1161"/>
      <c r="Y124" s="1161"/>
      <c r="Z124" s="1161"/>
      <c r="AA124" s="1161"/>
      <c r="AB124" s="1161"/>
      <c r="AC124" s="1161"/>
      <c r="AD124" s="1161"/>
      <c r="AE124" s="1161"/>
      <c r="AF124" s="1161"/>
      <c r="AK124" s="1161"/>
      <c r="AL124" s="1161"/>
    </row>
    <row r="125" spans="1:38" s="1161" customFormat="1">
      <c r="A125"/>
      <c r="C125" s="714"/>
      <c r="D125" s="714" t="str">
        <f>D122</f>
        <v>TRAGSBN</v>
      </c>
      <c r="E125" s="714"/>
      <c r="F125" s="684"/>
      <c r="G125" s="714"/>
      <c r="H125" s="698">
        <v>0</v>
      </c>
      <c r="I125" s="698">
        <v>1</v>
      </c>
      <c r="J125" s="714">
        <v>5</v>
      </c>
      <c r="K125" s="714">
        <v>5</v>
      </c>
      <c r="L125" s="714"/>
      <c r="AG125"/>
      <c r="AH125"/>
      <c r="AI125"/>
      <c r="AJ125"/>
    </row>
    <row r="126" spans="1:38" s="1161" customFormat="1">
      <c r="B126" s="1618"/>
      <c r="C126" s="1618"/>
      <c r="D126" s="1618" t="str">
        <f>D123</f>
        <v>TRAMOBN</v>
      </c>
      <c r="E126" s="1618"/>
      <c r="F126" s="1619"/>
      <c r="G126" s="1618"/>
      <c r="H126" s="1620">
        <v>0</v>
      </c>
      <c r="I126" s="1620">
        <v>1</v>
      </c>
      <c r="J126" s="1618">
        <v>5</v>
      </c>
      <c r="K126" s="1618">
        <v>5</v>
      </c>
      <c r="L126" s="1618"/>
      <c r="N126"/>
      <c r="O126"/>
      <c r="AG126"/>
      <c r="AH126"/>
      <c r="AI126"/>
      <c r="AJ126"/>
    </row>
    <row r="127" spans="1:38" s="1161" customFormat="1">
      <c r="A127"/>
      <c r="B127" s="1161" t="str">
        <f>Processes!D119</f>
        <v>FT-TRANGBL1N</v>
      </c>
      <c r="C127" s="1161" t="str">
        <f>Processes!E119</f>
        <v>Fuel Technology Liqufied Blended Fuel - NGA &amp; SNG - level 1 - TRA Navigation</v>
      </c>
      <c r="D127" s="714" t="s">
        <v>1505</v>
      </c>
      <c r="E127" s="1161" t="str">
        <f>RIGHT(B127,9)</f>
        <v>TRANGBL1N</v>
      </c>
      <c r="F127" s="684">
        <v>1</v>
      </c>
      <c r="G127" s="1161">
        <v>100</v>
      </c>
      <c r="Q127"/>
      <c r="R127"/>
      <c r="S127"/>
      <c r="T127"/>
      <c r="U127"/>
      <c r="V127"/>
      <c r="W127"/>
      <c r="X127"/>
      <c r="Y127"/>
      <c r="Z127"/>
      <c r="AA127"/>
      <c r="AB127"/>
      <c r="AC127"/>
      <c r="AD127"/>
      <c r="AE127"/>
      <c r="AF127"/>
      <c r="AG127"/>
      <c r="AH127"/>
      <c r="AI127"/>
      <c r="AJ127"/>
    </row>
    <row r="128" spans="1:38" s="1161" customFormat="1">
      <c r="D128" s="714" t="str">
        <f>$E$17</f>
        <v>TRASNGN</v>
      </c>
      <c r="F128" s="684"/>
      <c r="G128" s="714"/>
      <c r="H128" s="106">
        <v>0</v>
      </c>
      <c r="I128" s="106">
        <v>0.1</v>
      </c>
      <c r="J128" s="714">
        <v>5</v>
      </c>
      <c r="K128" s="714">
        <v>5</v>
      </c>
      <c r="Q128"/>
      <c r="R128"/>
      <c r="S128"/>
      <c r="T128"/>
      <c r="U128"/>
      <c r="V128"/>
      <c r="W128"/>
      <c r="X128"/>
      <c r="Y128"/>
      <c r="Z128"/>
      <c r="AA128"/>
      <c r="AB128"/>
      <c r="AC128"/>
      <c r="AD128"/>
      <c r="AE128"/>
      <c r="AF128"/>
      <c r="AG128"/>
      <c r="AH128"/>
      <c r="AI128"/>
      <c r="AJ128"/>
      <c r="AK128"/>
      <c r="AL128"/>
    </row>
    <row r="129" spans="1:38" s="1161" customFormat="1">
      <c r="B129" s="1161" t="str">
        <f>Processes!D120</f>
        <v>FT-TRANGBL2N</v>
      </c>
      <c r="C129" s="1161" t="str">
        <f>Processes!E120</f>
        <v>Fuel Technology Liqufied Blended Fuel - NGA &amp; SNG - level 2 - TRA Navigation</v>
      </c>
      <c r="D129" s="714" t="s">
        <v>1505</v>
      </c>
      <c r="E129" s="1161" t="str">
        <f>RIGHT(B129,9)</f>
        <v>TRANGBL2N</v>
      </c>
      <c r="F129" s="684">
        <v>1</v>
      </c>
      <c r="G129" s="714">
        <v>100</v>
      </c>
      <c r="J129" s="714"/>
      <c r="K129" s="714"/>
      <c r="L129" s="1161">
        <v>2012</v>
      </c>
      <c r="Q129"/>
      <c r="R129"/>
      <c r="S129"/>
      <c r="T129"/>
      <c r="U129"/>
      <c r="V129"/>
      <c r="W129"/>
      <c r="X129"/>
      <c r="Y129"/>
      <c r="Z129"/>
      <c r="AA129"/>
      <c r="AB129"/>
      <c r="AC129"/>
      <c r="AD129"/>
      <c r="AE129"/>
      <c r="AF129"/>
      <c r="AG129"/>
      <c r="AH129"/>
      <c r="AI129"/>
      <c r="AJ129"/>
      <c r="AK129"/>
      <c r="AL129"/>
    </row>
    <row r="130" spans="1:38" s="1161" customFormat="1">
      <c r="D130" s="714" t="str">
        <f>$E$17</f>
        <v>TRASNGN</v>
      </c>
      <c r="F130" s="684"/>
      <c r="G130" s="714"/>
      <c r="H130" s="106">
        <v>0</v>
      </c>
      <c r="I130" s="106">
        <v>0.25</v>
      </c>
      <c r="J130" s="714">
        <v>5</v>
      </c>
      <c r="K130" s="714">
        <v>5</v>
      </c>
      <c r="M130" s="681"/>
      <c r="Q130"/>
      <c r="R130"/>
      <c r="S130"/>
      <c r="T130"/>
      <c r="U130"/>
      <c r="V130"/>
      <c r="W130"/>
      <c r="X130"/>
      <c r="Y130"/>
      <c r="Z130"/>
      <c r="AA130"/>
      <c r="AB130"/>
      <c r="AC130"/>
      <c r="AD130"/>
      <c r="AE130"/>
      <c r="AF130"/>
      <c r="AG130"/>
      <c r="AH130"/>
      <c r="AI130"/>
      <c r="AJ130"/>
      <c r="AK130"/>
      <c r="AL130"/>
    </row>
    <row r="131" spans="1:38" s="1161" customFormat="1">
      <c r="B131" s="1161" t="str">
        <f>Processes!D121</f>
        <v>FT-TRANGBL3N</v>
      </c>
      <c r="C131" s="1161" t="str">
        <f>Processes!E121</f>
        <v>Fuel Technology Liqufied Blended Fuel - NGA &amp; SNG - level 3 - TRA Navigation</v>
      </c>
      <c r="D131" s="714" t="s">
        <v>1505</v>
      </c>
      <c r="E131" s="1161" t="str">
        <f>RIGHT(B131,9)</f>
        <v>TRANGBL3N</v>
      </c>
      <c r="F131" s="684">
        <v>1</v>
      </c>
      <c r="G131" s="714">
        <v>100</v>
      </c>
      <c r="J131" s="714"/>
      <c r="K131" s="714"/>
      <c r="L131" s="1161">
        <v>2020</v>
      </c>
      <c r="M131" s="679"/>
      <c r="Q131"/>
      <c r="R131"/>
      <c r="S131"/>
      <c r="T131"/>
      <c r="U131"/>
      <c r="V131"/>
      <c r="W131"/>
      <c r="X131"/>
      <c r="Y131"/>
      <c r="Z131"/>
      <c r="AA131"/>
      <c r="AB131"/>
      <c r="AC131"/>
      <c r="AD131"/>
      <c r="AE131"/>
      <c r="AF131"/>
      <c r="AG131"/>
      <c r="AH131"/>
      <c r="AI131"/>
      <c r="AJ131"/>
      <c r="AK131"/>
      <c r="AL131"/>
    </row>
    <row r="132" spans="1:38" s="1161" customFormat="1">
      <c r="D132" s="714" t="str">
        <f>$E$17</f>
        <v>TRASNGN</v>
      </c>
      <c r="F132" s="684"/>
      <c r="G132" s="714"/>
      <c r="H132" s="106">
        <v>0</v>
      </c>
      <c r="I132" s="698">
        <v>0.5</v>
      </c>
      <c r="J132" s="714">
        <v>5</v>
      </c>
      <c r="K132" s="714">
        <v>5</v>
      </c>
      <c r="M132" s="679"/>
      <c r="Q132"/>
      <c r="R132"/>
      <c r="S132"/>
      <c r="T132"/>
      <c r="U132"/>
      <c r="V132"/>
      <c r="W132"/>
      <c r="X132"/>
      <c r="Y132"/>
      <c r="Z132"/>
      <c r="AA132"/>
      <c r="AB132"/>
      <c r="AC132"/>
      <c r="AD132"/>
      <c r="AE132"/>
      <c r="AF132"/>
      <c r="AG132"/>
      <c r="AH132"/>
      <c r="AI132"/>
      <c r="AJ132"/>
      <c r="AK132"/>
      <c r="AL132"/>
    </row>
    <row r="133" spans="1:38" s="1161" customFormat="1">
      <c r="B133" s="714"/>
      <c r="C133" s="714"/>
      <c r="D133" s="679" t="str">
        <f>$E$30</f>
        <v>TRAH2N</v>
      </c>
      <c r="E133" s="714"/>
      <c r="F133" s="1424"/>
      <c r="G133" s="714"/>
      <c r="H133" s="698"/>
      <c r="I133" s="698">
        <v>5.6030998243804531E-3</v>
      </c>
      <c r="J133" s="714"/>
      <c r="K133" s="714"/>
      <c r="L133" s="714"/>
      <c r="M133" s="679"/>
      <c r="Q133"/>
      <c r="R133"/>
      <c r="S133"/>
      <c r="T133"/>
      <c r="U133"/>
      <c r="V133"/>
      <c r="W133"/>
      <c r="X133"/>
      <c r="Y133"/>
      <c r="Z133"/>
      <c r="AA133"/>
      <c r="AB133"/>
      <c r="AC133"/>
      <c r="AD133"/>
      <c r="AE133"/>
      <c r="AF133"/>
      <c r="AG133"/>
      <c r="AH133"/>
      <c r="AI133"/>
      <c r="AJ133"/>
      <c r="AK133"/>
      <c r="AL133"/>
    </row>
    <row r="134" spans="1:38" s="1161" customFormat="1">
      <c r="B134" s="1161" t="str">
        <f>Processes!D122</f>
        <v>FT-TRANGBL4N</v>
      </c>
      <c r="C134" s="1161" t="str">
        <f>Processes!E122</f>
        <v>Fuel Technology Liqufied Blended Fuel - NGA &amp; SNG - level 4 - TRA Navigation</v>
      </c>
      <c r="D134" s="714" t="s">
        <v>1505</v>
      </c>
      <c r="E134" s="1161" t="str">
        <f>RIGHT(B134,9)</f>
        <v>TRANGBL4N</v>
      </c>
      <c r="F134" s="684">
        <v>1</v>
      </c>
      <c r="G134" s="714">
        <v>100</v>
      </c>
      <c r="J134" s="714"/>
      <c r="K134" s="714"/>
      <c r="L134" s="1161">
        <v>2030</v>
      </c>
      <c r="M134" s="679"/>
      <c r="Q134"/>
      <c r="R134"/>
      <c r="S134"/>
      <c r="T134"/>
      <c r="U134"/>
      <c r="V134"/>
      <c r="W134"/>
      <c r="X134"/>
      <c r="Y134"/>
      <c r="Z134"/>
      <c r="AA134"/>
      <c r="AB134"/>
      <c r="AC134"/>
      <c r="AD134"/>
      <c r="AE134"/>
      <c r="AF134"/>
      <c r="AG134"/>
      <c r="AH134"/>
      <c r="AI134"/>
      <c r="AJ134"/>
      <c r="AK134"/>
      <c r="AL134"/>
    </row>
    <row r="135" spans="1:38" s="1161" customFormat="1">
      <c r="D135" s="714" t="str">
        <f>$E$17</f>
        <v>TRASNGN</v>
      </c>
      <c r="E135" s="714"/>
      <c r="F135" s="684"/>
      <c r="G135" s="714"/>
      <c r="H135" s="698">
        <v>0</v>
      </c>
      <c r="I135" s="698">
        <v>1</v>
      </c>
      <c r="J135" s="714">
        <v>5</v>
      </c>
      <c r="K135" s="714">
        <v>5</v>
      </c>
      <c r="L135" s="714"/>
      <c r="M135" s="679"/>
      <c r="Q135"/>
      <c r="R135"/>
      <c r="S135"/>
      <c r="T135"/>
      <c r="U135"/>
      <c r="V135"/>
      <c r="W135"/>
      <c r="X135"/>
      <c r="Y135"/>
      <c r="Z135"/>
      <c r="AA135"/>
      <c r="AB135"/>
      <c r="AC135"/>
      <c r="AD135"/>
      <c r="AE135"/>
      <c r="AF135"/>
      <c r="AG135"/>
      <c r="AH135"/>
      <c r="AI135"/>
      <c r="AJ135"/>
      <c r="AK135"/>
      <c r="AL135"/>
    </row>
    <row r="136" spans="1:38" s="1161" customFormat="1">
      <c r="B136" s="714"/>
      <c r="C136" s="714"/>
      <c r="D136" s="679" t="str">
        <f>D133</f>
        <v>TRAH2N</v>
      </c>
      <c r="E136" s="714"/>
      <c r="F136" s="1424"/>
      <c r="G136" s="714"/>
      <c r="H136" s="698"/>
      <c r="I136" s="1621">
        <v>4.6459665613683636E-2</v>
      </c>
      <c r="J136" s="714"/>
      <c r="K136" s="714"/>
      <c r="L136" s="714"/>
      <c r="M136" s="679"/>
      <c r="Q136"/>
      <c r="R136"/>
      <c r="S136"/>
      <c r="T136"/>
      <c r="U136"/>
      <c r="V136"/>
      <c r="W136"/>
      <c r="X136"/>
      <c r="Y136"/>
      <c r="Z136"/>
      <c r="AA136"/>
      <c r="AB136"/>
      <c r="AC136"/>
      <c r="AD136"/>
      <c r="AE136"/>
      <c r="AF136"/>
      <c r="AG136"/>
      <c r="AH136"/>
      <c r="AI136"/>
      <c r="AJ136"/>
      <c r="AK136"/>
      <c r="AL136"/>
    </row>
    <row r="137" spans="1:38">
      <c r="A137" s="1161"/>
      <c r="B137" s="1161" t="str">
        <f>Processes!D123</f>
        <v>FT-TRANGBL5N</v>
      </c>
      <c r="C137" s="1161" t="str">
        <f>Processes!E123</f>
        <v>Fuel Technology Liqufied Blended Fuel - NGA &amp; SNG - level 5 - TRA Navigation</v>
      </c>
      <c r="D137" s="714" t="s">
        <v>1505</v>
      </c>
      <c r="E137" s="1161" t="str">
        <f>RIGHT(B137,9)</f>
        <v>TRANGBL5N</v>
      </c>
      <c r="F137" s="684">
        <v>1</v>
      </c>
      <c r="G137" s="714">
        <v>100</v>
      </c>
      <c r="H137" s="1161"/>
      <c r="I137" s="1161"/>
      <c r="J137" s="714"/>
      <c r="K137" s="714"/>
      <c r="L137" s="1161">
        <v>2100</v>
      </c>
      <c r="M137" s="679"/>
      <c r="N137" s="1161"/>
      <c r="O137" s="1161"/>
    </row>
    <row r="138" spans="1:38">
      <c r="A138" s="1161"/>
      <c r="B138" s="714"/>
      <c r="C138" s="714"/>
      <c r="D138" s="714" t="str">
        <f>$E$17</f>
        <v>TRASNGN</v>
      </c>
      <c r="E138" s="714"/>
      <c r="F138" s="1424"/>
      <c r="G138" s="714"/>
      <c r="H138" s="698">
        <v>0</v>
      </c>
      <c r="I138" s="698">
        <v>1</v>
      </c>
      <c r="J138" s="714">
        <v>5</v>
      </c>
      <c r="K138" s="714">
        <v>5</v>
      </c>
      <c r="L138" s="714"/>
      <c r="M138" s="681"/>
      <c r="N138" s="1161"/>
      <c r="O138" s="1161"/>
    </row>
    <row r="139" spans="1:38">
      <c r="A139" s="1161"/>
      <c r="B139" s="1618"/>
      <c r="C139" s="1618"/>
      <c r="D139" s="1618" t="str">
        <f>D136</f>
        <v>TRAH2N</v>
      </c>
      <c r="E139" s="1618"/>
      <c r="F139" s="1619"/>
      <c r="G139" s="1618"/>
      <c r="H139" s="1620"/>
      <c r="I139" s="1620">
        <f>I135</f>
        <v>1</v>
      </c>
      <c r="J139" s="1618"/>
      <c r="K139" s="1618"/>
      <c r="L139" s="1618"/>
      <c r="M139" s="681"/>
    </row>
    <row r="140" spans="1:38">
      <c r="B140" s="694" t="str">
        <f>Processes!D139</f>
        <v>FT-TRAMFO</v>
      </c>
      <c r="C140" s="694" t="str">
        <f>Processes!E139</f>
        <v>Fuel Technology MGO &amp; Biodiesel Blending - level 1</v>
      </c>
      <c r="D140" s="245" t="s">
        <v>1651</v>
      </c>
      <c r="E140" s="694" t="s">
        <v>1639</v>
      </c>
      <c r="F140" s="1641">
        <v>1</v>
      </c>
      <c r="G140" s="245">
        <v>100</v>
      </c>
      <c r="H140" s="247"/>
      <c r="I140" s="247"/>
      <c r="J140" s="1637"/>
      <c r="K140" s="245"/>
      <c r="L140" s="245"/>
    </row>
    <row r="141" spans="1:38">
      <c r="B141" s="245"/>
      <c r="C141" s="245"/>
      <c r="D141" s="694" t="s">
        <v>1499</v>
      </c>
      <c r="E141" s="245"/>
      <c r="F141" s="1625"/>
      <c r="G141" s="245"/>
      <c r="H141" s="679"/>
      <c r="I141" s="1629">
        <v>0.2</v>
      </c>
      <c r="J141" s="1629"/>
      <c r="K141" s="1442">
        <v>5</v>
      </c>
      <c r="L141" s="1442"/>
    </row>
    <row r="142" spans="1:38">
      <c r="B142" s="245"/>
      <c r="C142" s="245"/>
      <c r="D142" s="694" t="s">
        <v>1607</v>
      </c>
      <c r="E142" s="245"/>
      <c r="F142" s="1625"/>
      <c r="G142" s="245"/>
      <c r="H142" s="679"/>
      <c r="I142" s="1629">
        <v>0.2</v>
      </c>
      <c r="J142" s="1629"/>
      <c r="K142" s="1631">
        <v>5</v>
      </c>
      <c r="L142" s="1630"/>
    </row>
    <row r="143" spans="1:38">
      <c r="B143" s="694" t="str">
        <f>Processes!D140</f>
        <v>FT-TRAMFO2</v>
      </c>
      <c r="C143" s="694" t="str">
        <f>Processes!E140</f>
        <v>Fuel Technology MGO &amp; Biodiesel Blending - level 2</v>
      </c>
      <c r="D143" s="245" t="s">
        <v>1651</v>
      </c>
      <c r="E143" s="694" t="s">
        <v>1665</v>
      </c>
      <c r="F143" s="1625">
        <v>1</v>
      </c>
      <c r="G143" s="245">
        <v>100</v>
      </c>
      <c r="H143" s="1629"/>
      <c r="I143" s="1629"/>
      <c r="J143" s="1629"/>
      <c r="K143" s="1630"/>
      <c r="L143" s="1631">
        <v>2020</v>
      </c>
    </row>
    <row r="144" spans="1:38" s="1161" customFormat="1">
      <c r="A144"/>
      <c r="B144" s="245"/>
      <c r="C144" s="245"/>
      <c r="D144" s="694" t="s">
        <v>1499</v>
      </c>
      <c r="E144" s="245"/>
      <c r="F144" s="1625"/>
      <c r="G144" s="245"/>
      <c r="H144" s="1629"/>
      <c r="I144" s="1629">
        <v>1</v>
      </c>
      <c r="J144" s="1629"/>
      <c r="K144" s="1638">
        <v>5</v>
      </c>
      <c r="L144" s="1631"/>
      <c r="M144"/>
      <c r="N144"/>
      <c r="O144"/>
    </row>
    <row r="145" spans="1:15">
      <c r="B145" s="245"/>
      <c r="C145" s="245"/>
      <c r="D145" s="694" t="s">
        <v>1607</v>
      </c>
      <c r="E145" s="245"/>
      <c r="F145" s="1625"/>
      <c r="G145" s="245"/>
      <c r="H145" s="1629"/>
      <c r="I145" s="1629">
        <v>0.5</v>
      </c>
      <c r="J145" s="1629"/>
      <c r="K145" s="1638">
        <v>5</v>
      </c>
      <c r="L145" s="1631"/>
    </row>
    <row r="146" spans="1:15">
      <c r="A146" s="1161"/>
      <c r="B146" s="694" t="str">
        <f>Processes!D141</f>
        <v>FT-TRAMFO3</v>
      </c>
      <c r="C146" s="694" t="str">
        <f>Processes!E141</f>
        <v>Fuel Technology MGO &amp; Biodiesel Blending - level 3</v>
      </c>
      <c r="D146" s="679" t="s">
        <v>1651</v>
      </c>
      <c r="E146" s="694" t="s">
        <v>1663</v>
      </c>
      <c r="F146" s="1624">
        <v>1</v>
      </c>
      <c r="G146" s="679">
        <v>100</v>
      </c>
      <c r="H146" s="245"/>
      <c r="I146" s="245"/>
      <c r="J146" s="245"/>
      <c r="K146" s="245"/>
      <c r="L146" s="245">
        <v>2030</v>
      </c>
      <c r="N146" s="1161"/>
      <c r="O146" s="1161"/>
    </row>
    <row r="147" spans="1:15" s="1161" customFormat="1">
      <c r="A147"/>
      <c r="B147" s="245"/>
      <c r="C147" s="245"/>
      <c r="D147" s="694" t="s">
        <v>1499</v>
      </c>
      <c r="E147" s="245"/>
      <c r="F147" s="1625"/>
      <c r="G147" s="245"/>
      <c r="H147" s="1629"/>
      <c r="I147" s="1629">
        <v>1</v>
      </c>
      <c r="J147" s="1629"/>
      <c r="K147" s="1638">
        <v>5</v>
      </c>
      <c r="L147" s="1631"/>
      <c r="N147"/>
      <c r="O147"/>
    </row>
    <row r="148" spans="1:15">
      <c r="B148" s="679"/>
      <c r="C148" s="679"/>
      <c r="D148" s="694" t="s">
        <v>1607</v>
      </c>
      <c r="E148" s="679"/>
      <c r="F148" s="1624"/>
      <c r="G148" s="679"/>
      <c r="H148" s="1640">
        <v>0</v>
      </c>
      <c r="I148" s="1640">
        <v>1</v>
      </c>
      <c r="J148" s="245">
        <v>5</v>
      </c>
      <c r="K148" s="245">
        <v>5</v>
      </c>
      <c r="L148" s="245"/>
    </row>
    <row r="149" spans="1:15">
      <c r="A149" s="1161"/>
      <c r="B149" s="694" t="str">
        <f>Processes!D142</f>
        <v>FT-TRAMFO4</v>
      </c>
      <c r="C149" s="694" t="str">
        <f>Processes!E142</f>
        <v>Fuel Technology MGO &amp; Biodiesel Blending - level 4</v>
      </c>
      <c r="D149" s="679" t="s">
        <v>1651</v>
      </c>
      <c r="E149" s="694" t="s">
        <v>1664</v>
      </c>
      <c r="F149" s="1624">
        <v>1</v>
      </c>
      <c r="G149" s="679">
        <v>100</v>
      </c>
      <c r="H149" s="245"/>
      <c r="I149" s="245"/>
      <c r="J149" s="245"/>
      <c r="K149" s="245"/>
      <c r="L149" s="245">
        <v>2035</v>
      </c>
      <c r="N149" s="1161"/>
      <c r="O149" s="1161"/>
    </row>
    <row r="150" spans="1:15">
      <c r="B150" s="245"/>
      <c r="C150" s="245"/>
      <c r="D150" s="694" t="s">
        <v>1499</v>
      </c>
      <c r="E150" s="245"/>
      <c r="F150" s="1625"/>
      <c r="G150" s="245"/>
      <c r="H150" s="1629"/>
      <c r="I150" s="1629">
        <v>1</v>
      </c>
      <c r="J150" s="1629"/>
      <c r="K150" s="1638">
        <v>5</v>
      </c>
      <c r="L150" s="1631"/>
      <c r="M150" s="1161"/>
    </row>
    <row r="151" spans="1:15">
      <c r="B151" s="1628"/>
      <c r="C151" s="1628"/>
      <c r="D151" s="1470" t="s">
        <v>1607</v>
      </c>
      <c r="E151" s="1628"/>
      <c r="F151" s="1627"/>
      <c r="G151" s="1628"/>
      <c r="H151" s="1639">
        <v>0</v>
      </c>
      <c r="I151" s="1639">
        <v>1</v>
      </c>
      <c r="J151" s="1465">
        <v>5</v>
      </c>
      <c r="K151" s="1465">
        <v>5</v>
      </c>
      <c r="L151" s="1465"/>
    </row>
    <row r="152" spans="1:15">
      <c r="B152" t="str">
        <f>B55&amp;"C"</f>
        <v>FT-TRADSBLD1C</v>
      </c>
      <c r="C152" t="str">
        <f>C55&amp;" cars"</f>
        <v>Fuel Technology Diesel &amp; Biodiesel Blending - level 1 cars</v>
      </c>
      <c r="D152" t="str">
        <f>E55</f>
        <v>TRADSBL1</v>
      </c>
      <c r="E152" t="str">
        <f>D152&amp;"C"</f>
        <v>TRADSBL1C</v>
      </c>
      <c r="F152">
        <v>1</v>
      </c>
      <c r="G152">
        <v>100</v>
      </c>
    </row>
    <row r="153" spans="1:15">
      <c r="B153" s="1161" t="str">
        <f>B57&amp;"C"</f>
        <v>FT-TRADSBLD2C</v>
      </c>
      <c r="C153" s="1161" t="str">
        <f>C57&amp;" cars"</f>
        <v>Fuel Technology Diesel &amp; Biodiesel Blending - level 2 cars</v>
      </c>
      <c r="D153" s="1161" t="str">
        <f>E57</f>
        <v>TRADSBL2</v>
      </c>
      <c r="E153" s="1161" t="str">
        <f t="shared" ref="E153:E166" si="6">D153&amp;"C"</f>
        <v>TRADSBL2C</v>
      </c>
      <c r="F153" s="1161">
        <v>1</v>
      </c>
      <c r="G153" s="1161">
        <v>100</v>
      </c>
    </row>
    <row r="154" spans="1:15">
      <c r="B154" s="1161" t="str">
        <f>B59&amp;"C"</f>
        <v>FT-TRADSBLD3C</v>
      </c>
      <c r="C154" s="1161" t="str">
        <f>C59&amp;" cars"</f>
        <v>Fuel Technology Diesel &amp; Biodiesel Blending - level 3 cars</v>
      </c>
      <c r="D154" s="1161" t="str">
        <f>E59</f>
        <v>TRADSBL3</v>
      </c>
      <c r="E154" s="1161" t="str">
        <f t="shared" si="6"/>
        <v>TRADSBL3C</v>
      </c>
      <c r="F154" s="1161">
        <v>1</v>
      </c>
      <c r="G154" s="1161">
        <v>100</v>
      </c>
    </row>
    <row r="155" spans="1:15">
      <c r="B155" s="1161" t="str">
        <f>B61&amp;"C"</f>
        <v>FT-TRADSBLD4C</v>
      </c>
      <c r="C155" s="1161" t="str">
        <f>C61&amp;" cars"</f>
        <v>Fuel Technology Diesel &amp; Biodiesel Blending - level 4 cars</v>
      </c>
      <c r="D155" s="1161" t="str">
        <f>E61</f>
        <v>TRADSBL4</v>
      </c>
      <c r="E155" s="1161" t="str">
        <f t="shared" si="6"/>
        <v>TRADSBL4C</v>
      </c>
      <c r="F155" s="1161">
        <v>1</v>
      </c>
      <c r="G155" s="1161">
        <v>100</v>
      </c>
    </row>
    <row r="156" spans="1:15">
      <c r="B156" s="1161" t="str">
        <f>B64&amp;"C"</f>
        <v>FT-TRADSBLD5C</v>
      </c>
      <c r="C156" s="1161" t="str">
        <f>C64&amp;" cars"</f>
        <v>Fuel Technology Diesel &amp; Biodiesel Blending - level 5 cars</v>
      </c>
      <c r="D156" s="1161" t="str">
        <f>E64</f>
        <v>TRADSBL5</v>
      </c>
      <c r="E156" s="1161" t="str">
        <f t="shared" si="6"/>
        <v>TRADSBL5C</v>
      </c>
      <c r="F156" s="1161">
        <v>1</v>
      </c>
      <c r="G156" s="1161">
        <v>100</v>
      </c>
    </row>
    <row r="157" spans="1:15">
      <c r="B157" s="1161" t="str">
        <f>B67&amp;"C"</f>
        <v>FT-TRAGSBLD1C</v>
      </c>
      <c r="C157" s="1161" t="str">
        <f>C67&amp;" cars"</f>
        <v>Fuel Technology Gasoline &amp; Bioethanol Blending - level 1 cars</v>
      </c>
      <c r="D157" s="1161" t="str">
        <f>E67</f>
        <v>TRAGSBL1</v>
      </c>
      <c r="E157" s="1161" t="str">
        <f t="shared" si="6"/>
        <v>TRAGSBL1C</v>
      </c>
      <c r="F157" s="1161">
        <v>1</v>
      </c>
      <c r="G157" s="1161">
        <v>100</v>
      </c>
    </row>
    <row r="158" spans="1:15">
      <c r="B158" s="1161" t="str">
        <f>B69&amp;"C"</f>
        <v>FT-TRAGSBLD2C</v>
      </c>
      <c r="C158" s="1161" t="str">
        <f>C69&amp;" cars"</f>
        <v>Fuel Technology Gasoline &amp; Bioethanol Blending - level 2 cars</v>
      </c>
      <c r="D158" s="1161" t="str">
        <f>E69</f>
        <v>TRAGSBL2</v>
      </c>
      <c r="E158" s="1161" t="str">
        <f t="shared" si="6"/>
        <v>TRAGSBL2C</v>
      </c>
      <c r="F158" s="1161">
        <v>1</v>
      </c>
      <c r="G158" s="1161">
        <v>100</v>
      </c>
    </row>
    <row r="159" spans="1:15">
      <c r="B159" s="1161" t="str">
        <f>B71&amp;"C"</f>
        <v>FT-TRAGSBLD3C</v>
      </c>
      <c r="C159" s="1161" t="str">
        <f>C71&amp;" cars"</f>
        <v>Fuel Technology Gasoline &amp; Bioethanol Blending - level 3 cars</v>
      </c>
      <c r="D159" s="1161" t="str">
        <f>E71</f>
        <v>TRAGSBL3</v>
      </c>
      <c r="E159" s="1161" t="str">
        <f t="shared" si="6"/>
        <v>TRAGSBL3C</v>
      </c>
      <c r="F159" s="1161">
        <v>1</v>
      </c>
      <c r="G159" s="1161">
        <v>100</v>
      </c>
    </row>
    <row r="160" spans="1:15">
      <c r="B160" s="1161" t="str">
        <f>B73&amp;"C"</f>
        <v>FT-TRAGSBLD4C</v>
      </c>
      <c r="C160" s="1161" t="str">
        <f>C73&amp;" cars"</f>
        <v>Fuel Technology Gasoline &amp; Bioethanol Blending - level 4 cars</v>
      </c>
      <c r="D160" s="1161" t="str">
        <f>E73</f>
        <v>TRAGSBL4</v>
      </c>
      <c r="E160" s="1161" t="str">
        <f t="shared" si="6"/>
        <v>TRAGSBL4C</v>
      </c>
      <c r="F160" s="1161">
        <v>1</v>
      </c>
      <c r="G160" s="1161">
        <v>100</v>
      </c>
    </row>
    <row r="161" spans="2:12">
      <c r="B161" s="1161" t="str">
        <f>B76&amp;"C"</f>
        <v>FT-TRAGSBLD5C</v>
      </c>
      <c r="C161" s="1161" t="str">
        <f>C76&amp;" cars"</f>
        <v>Fuel Technology Gasoline &amp; Bioethanol Blending - level 5 cars</v>
      </c>
      <c r="D161" s="1161" t="str">
        <f>E76</f>
        <v>TRAGSBL5</v>
      </c>
      <c r="E161" s="1161" t="str">
        <f t="shared" si="6"/>
        <v>TRAGSBL5C</v>
      </c>
      <c r="F161" s="1161">
        <v>1</v>
      </c>
      <c r="G161" s="1161">
        <v>100</v>
      </c>
    </row>
    <row r="162" spans="2:12">
      <c r="B162" s="1161" t="str">
        <f>B98&amp;"C"</f>
        <v>FT-TRANGBLD1C</v>
      </c>
      <c r="C162" s="1161" t="str">
        <f>C98&amp;" cars"</f>
        <v>Fuel Technology Compressed Nat. Gas &amp; Bio Synt. Nat. Gas Blending - level 1 cars</v>
      </c>
      <c r="D162" s="1161" t="str">
        <f>E98</f>
        <v>TRANGBL1</v>
      </c>
      <c r="E162" s="1161" t="str">
        <f t="shared" si="6"/>
        <v>TRANGBL1C</v>
      </c>
      <c r="F162" s="1161">
        <v>1</v>
      </c>
      <c r="G162" s="1161">
        <v>100</v>
      </c>
    </row>
    <row r="163" spans="2:12">
      <c r="B163" s="1161" t="str">
        <f>B100&amp;"C"</f>
        <v>FT-TRANGBLD2C</v>
      </c>
      <c r="C163" s="1161" t="str">
        <f>C100&amp;" cars"</f>
        <v>Fuel Technology Compressed Nat. Gas &amp; Bio Synt. Nat. Gas Blending - level 2 cars</v>
      </c>
      <c r="D163" s="1161" t="str">
        <f>E100</f>
        <v>TRANGBL2</v>
      </c>
      <c r="E163" s="1161" t="str">
        <f t="shared" si="6"/>
        <v>TRANGBL2C</v>
      </c>
      <c r="F163" s="1161">
        <v>1</v>
      </c>
      <c r="G163" s="1161">
        <v>100</v>
      </c>
    </row>
    <row r="164" spans="2:12">
      <c r="B164" s="1161" t="str">
        <f>B102&amp;"C"</f>
        <v>FT-TRANGBLD3C</v>
      </c>
      <c r="C164" s="1161" t="str">
        <f>C102&amp;" cars"</f>
        <v>Fuel Technology Compressed Nat. Gas &amp; Bio Synt. Nat. Gas Blending - level 3 cars</v>
      </c>
      <c r="D164" s="1161" t="str">
        <f>E102</f>
        <v>TRANGBL3</v>
      </c>
      <c r="E164" s="1161" t="str">
        <f t="shared" si="6"/>
        <v>TRANGBL3C</v>
      </c>
      <c r="F164" s="1161">
        <v>1</v>
      </c>
      <c r="G164" s="1161">
        <v>100</v>
      </c>
    </row>
    <row r="165" spans="2:12">
      <c r="B165" s="1161" t="str">
        <f>B106&amp;"C"</f>
        <v>FT-TRANGBLD4C</v>
      </c>
      <c r="C165" s="1161" t="str">
        <f>C106&amp;" cars"</f>
        <v>Fuel Technology Compressed Nat. Gas &amp; Bio Synt. Nat. Gas Blending - level 4 cars</v>
      </c>
      <c r="D165" s="1161" t="str">
        <f>E106</f>
        <v>TRANGBL4</v>
      </c>
      <c r="E165" s="1161" t="str">
        <f t="shared" si="6"/>
        <v>TRANGBL4C</v>
      </c>
      <c r="F165" s="1161">
        <v>1</v>
      </c>
      <c r="G165" s="1161">
        <v>100</v>
      </c>
    </row>
    <row r="166" spans="2:12">
      <c r="B166" s="1618" t="str">
        <f>B110&amp;"C"</f>
        <v>FT-TRANGBLD5C</v>
      </c>
      <c r="C166" s="1618" t="str">
        <f>C110&amp;" cars"</f>
        <v>Fuel Technology Compressed Nat. Gas &amp; Bio Synt. Nat. Gas Blending - level 5 cars</v>
      </c>
      <c r="D166" s="1618" t="str">
        <f>E110</f>
        <v>TRANGBL5</v>
      </c>
      <c r="E166" s="1618" t="str">
        <f t="shared" si="6"/>
        <v>TRANGBL5C</v>
      </c>
      <c r="F166" s="1618">
        <v>1</v>
      </c>
      <c r="G166" s="1618">
        <v>100</v>
      </c>
      <c r="H166" s="1618"/>
      <c r="I166" s="1618"/>
      <c r="J166" s="1618"/>
      <c r="K166" s="1618"/>
      <c r="L166" s="1618"/>
    </row>
    <row r="168" spans="2:12">
      <c r="B168" s="1161"/>
      <c r="C168" s="1161"/>
      <c r="D168" s="1161"/>
      <c r="E168" s="1161"/>
      <c r="F168" s="1161"/>
      <c r="G168" s="1161"/>
    </row>
    <row r="169" spans="2:12">
      <c r="B169" s="1161"/>
      <c r="C169" s="1161"/>
      <c r="D169" s="1161"/>
      <c r="E169" s="1161"/>
      <c r="F169" s="1161"/>
      <c r="G169" s="1161"/>
    </row>
    <row r="170" spans="2:12">
      <c r="B170" s="1161"/>
      <c r="C170" s="1161"/>
      <c r="D170" s="1161"/>
      <c r="E170" s="1161"/>
      <c r="F170" s="1161"/>
      <c r="G170" s="1161"/>
    </row>
    <row r="171" spans="2:12">
      <c r="B171" s="1161"/>
      <c r="C171" s="1161"/>
      <c r="D171" s="1161"/>
      <c r="E171" s="1161"/>
      <c r="F171" s="1161"/>
      <c r="G171" s="1161"/>
    </row>
    <row r="172" spans="2:12">
      <c r="B172" s="1161"/>
      <c r="C172" s="1161"/>
      <c r="D172" s="1161"/>
      <c r="E172" s="1161"/>
      <c r="F172" s="1161"/>
      <c r="G172" s="1161"/>
    </row>
    <row r="173" spans="2:12">
      <c r="B173" s="1161"/>
      <c r="C173" s="1161"/>
      <c r="D173" s="1161"/>
      <c r="E173" s="1161"/>
      <c r="F173" s="1161"/>
      <c r="G173" s="1161"/>
    </row>
    <row r="174" spans="2:12">
      <c r="B174" s="1161"/>
      <c r="C174" s="1161"/>
      <c r="D174" s="1161"/>
      <c r="E174" s="1161"/>
      <c r="F174" s="1161"/>
      <c r="G174" s="1161"/>
    </row>
    <row r="175" spans="2:12">
      <c r="B175" s="1161"/>
      <c r="C175" s="1161"/>
      <c r="D175" s="1161"/>
      <c r="E175" s="1161"/>
      <c r="F175" s="1161"/>
      <c r="G175" s="1161"/>
    </row>
    <row r="176" spans="2:12">
      <c r="B176" s="1161"/>
      <c r="C176" s="1161"/>
      <c r="D176" s="1161"/>
      <c r="E176" s="1161"/>
      <c r="F176" s="1161"/>
      <c r="G176" s="1161"/>
    </row>
    <row r="177" spans="2:7">
      <c r="B177" s="1161"/>
      <c r="C177" s="1161"/>
      <c r="D177" s="1161"/>
      <c r="E177" s="1161"/>
      <c r="F177" s="1161"/>
      <c r="G177" s="1161"/>
    </row>
    <row r="178" spans="2:7">
      <c r="B178" s="1161"/>
      <c r="C178" s="1161"/>
      <c r="D178" s="1161"/>
      <c r="E178" s="1161"/>
      <c r="F178" s="1161"/>
      <c r="G178" s="1161"/>
    </row>
    <row r="179" spans="2:7">
      <c r="B179" s="1161"/>
      <c r="C179" s="1161"/>
      <c r="D179" s="1161"/>
      <c r="E179" s="1161"/>
      <c r="F179" s="1161"/>
      <c r="G179" s="1161"/>
    </row>
    <row r="180" spans="2:7">
      <c r="B180" s="1161"/>
      <c r="C180" s="1161"/>
      <c r="D180" s="1161"/>
      <c r="E180" s="1161"/>
      <c r="F180" s="1161"/>
      <c r="G180" s="1161"/>
    </row>
    <row r="181" spans="2:7">
      <c r="B181" s="1161"/>
      <c r="C181" s="1161"/>
      <c r="D181" s="1161"/>
      <c r="E181" s="1161"/>
      <c r="F181" s="1161"/>
      <c r="G181" s="1161"/>
    </row>
    <row r="182" spans="2:7">
      <c r="B182" s="1161"/>
      <c r="C182" s="1161"/>
      <c r="D182" s="1161"/>
      <c r="E182" s="1161"/>
      <c r="F182" s="1161"/>
      <c r="G182" s="1161"/>
    </row>
  </sheetData>
  <mergeCells count="1">
    <mergeCell ref="AM4:AQ4"/>
  </mergeCells>
  <pageMargins left="0.7" right="0.7" top="0.75" bottom="0.75" header="0.3" footer="0.3"/>
  <pageSetup paperSize="9" orientation="portrait"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79998168889431442"/>
  </sheetPr>
  <dimension ref="A1:CX106"/>
  <sheetViews>
    <sheetView zoomScale="80" zoomScaleNormal="80" workbookViewId="0">
      <selection activeCell="D21" sqref="D21"/>
    </sheetView>
  </sheetViews>
  <sheetFormatPr defaultColWidth="8.85546875" defaultRowHeight="12.75"/>
  <cols>
    <col min="1" max="1" width="1.85546875" style="681" customWidth="1"/>
    <col min="2" max="2" width="6.28515625" style="713" bestFit="1" customWidth="1"/>
    <col min="3" max="3" width="13.140625" style="713" bestFit="1" customWidth="1"/>
    <col min="4" max="4" width="69.85546875" style="713" bestFit="1" customWidth="1"/>
    <col min="5" max="5" width="10.5703125" style="713" bestFit="1" customWidth="1"/>
    <col min="6" max="6" width="9.7109375" style="713" bestFit="1" customWidth="1"/>
    <col min="7" max="7" width="7.7109375" style="713" bestFit="1" customWidth="1"/>
    <col min="8" max="8" width="17.5703125" style="713" customWidth="1"/>
    <col min="9" max="9" width="11.85546875" style="713" bestFit="1" customWidth="1"/>
    <col min="10" max="10" width="11.28515625" style="713" bestFit="1" customWidth="1"/>
    <col min="11" max="11" width="9.7109375" style="713" bestFit="1" customWidth="1"/>
    <col min="12" max="13" width="15.140625" style="713" bestFit="1" customWidth="1"/>
    <col min="14" max="14" width="13" style="713" customWidth="1"/>
    <col min="15" max="24" width="10.85546875" style="713" bestFit="1" customWidth="1"/>
    <col min="25" max="28" width="9.140625" style="713" customWidth="1"/>
    <col min="29" max="29" width="9.28515625" style="713" bestFit="1" customWidth="1"/>
    <col min="30" max="40" width="9.140625" style="713" customWidth="1"/>
    <col min="41" max="41" width="13.140625" style="713" bestFit="1" customWidth="1"/>
    <col min="42" max="42" width="19.85546875" style="713" customWidth="1"/>
    <col min="43" max="44" width="8.85546875" style="713"/>
    <col min="45" max="45" width="8.85546875" style="713" customWidth="1"/>
    <col min="46" max="47" width="8.85546875" style="713"/>
    <col min="48" max="48" width="11.42578125" style="713" customWidth="1"/>
    <col min="49" max="50" width="8.5703125" style="713" bestFit="1" customWidth="1"/>
    <col min="51" max="53" width="7.5703125" style="713" bestFit="1" customWidth="1"/>
    <col min="54" max="54" width="7.85546875" style="713" bestFit="1" customWidth="1"/>
    <col min="55" max="55" width="7.42578125" style="713" customWidth="1"/>
    <col min="56" max="56" width="7.28515625" style="713" bestFit="1" customWidth="1"/>
    <col min="57" max="57" width="8.85546875" style="713"/>
    <col min="58" max="59" width="7.28515625" style="713" bestFit="1" customWidth="1"/>
    <col min="60" max="60" width="7.28515625" style="713" customWidth="1"/>
    <col min="61" max="61" width="15.85546875" style="713" customWidth="1"/>
    <col min="62" max="16384" width="8.85546875" style="713"/>
  </cols>
  <sheetData>
    <row r="1" spans="2:102">
      <c r="AB1" s="756"/>
      <c r="AC1" s="756"/>
      <c r="AD1" s="756"/>
      <c r="AE1" s="756"/>
      <c r="AF1" s="756"/>
      <c r="AG1" s="756"/>
      <c r="AH1" s="756"/>
      <c r="AI1" s="756"/>
      <c r="AJ1" s="756"/>
      <c r="AK1" s="756"/>
      <c r="AL1" s="756"/>
      <c r="AM1" s="756"/>
      <c r="AN1" s="756"/>
      <c r="AO1" s="756"/>
      <c r="AP1" s="756"/>
      <c r="AQ1" s="756"/>
      <c r="AR1" s="756"/>
      <c r="AS1" s="756"/>
      <c r="AT1" s="756"/>
      <c r="AU1" s="756"/>
      <c r="AV1" s="756"/>
      <c r="AW1" s="756"/>
      <c r="AX1" s="756"/>
      <c r="AY1" s="756"/>
      <c r="AZ1" s="756"/>
      <c r="BA1" s="756"/>
      <c r="BB1" s="756"/>
      <c r="BC1" s="756"/>
      <c r="BD1" s="756"/>
      <c r="BE1" s="756"/>
      <c r="BF1" s="756"/>
      <c r="BG1" s="756"/>
      <c r="BH1" s="756"/>
    </row>
    <row r="2" spans="2:102" ht="12.75" customHeight="1">
      <c r="H2" s="682"/>
      <c r="I2" s="682"/>
      <c r="J2" s="682"/>
      <c r="L2" s="1259"/>
      <c r="N2" s="720">
        <f>N7+N11+N15+N19+N23+N27+N31+N35+N39+N43</f>
        <v>2141.9990000000003</v>
      </c>
      <c r="AA2" s="756"/>
      <c r="AB2" s="1663" t="s">
        <v>899</v>
      </c>
      <c r="AC2" s="1663"/>
      <c r="AD2" s="1663"/>
      <c r="AE2" s="1663"/>
      <c r="AF2" s="1663"/>
      <c r="AG2" s="1663"/>
      <c r="AH2" s="1663"/>
      <c r="AI2" s="1663"/>
      <c r="AJ2" s="1663"/>
      <c r="AK2" s="1663"/>
      <c r="AL2" s="1663"/>
      <c r="AM2" s="1663"/>
      <c r="AN2" s="756"/>
      <c r="AO2" s="756"/>
      <c r="AP2" s="1664" t="s">
        <v>900</v>
      </c>
      <c r="AQ2" s="1664"/>
      <c r="AR2" s="1664"/>
      <c r="AS2" s="1664"/>
      <c r="AT2" s="756"/>
      <c r="AU2" s="756"/>
      <c r="AV2" s="1662" t="s">
        <v>901</v>
      </c>
      <c r="AW2" s="1662"/>
      <c r="AX2" s="1662"/>
      <c r="AY2" s="1662"/>
      <c r="AZ2" s="1662"/>
      <c r="BA2" s="1662"/>
      <c r="BB2" s="1662"/>
      <c r="BC2" s="1662"/>
      <c r="BD2" s="1662"/>
      <c r="BE2" s="1662"/>
      <c r="BF2" s="1662"/>
      <c r="BG2" s="1662"/>
      <c r="BH2" s="756"/>
    </row>
    <row r="3" spans="2:102" ht="12.75" customHeight="1">
      <c r="AA3" s="756"/>
      <c r="AB3" s="1663"/>
      <c r="AC3" s="1663"/>
      <c r="AD3" s="1663"/>
      <c r="AE3" s="1663"/>
      <c r="AF3" s="1663"/>
      <c r="AG3" s="1663"/>
      <c r="AH3" s="1663"/>
      <c r="AI3" s="1663"/>
      <c r="AJ3" s="1663"/>
      <c r="AK3" s="1663"/>
      <c r="AL3" s="1663"/>
      <c r="AM3" s="1663"/>
      <c r="AN3" s="756"/>
      <c r="AO3" s="756"/>
      <c r="AP3" s="1664"/>
      <c r="AQ3" s="1664"/>
      <c r="AR3" s="1664"/>
      <c r="AS3" s="1664"/>
      <c r="AT3" s="756"/>
      <c r="AU3" s="756"/>
      <c r="AV3" s="1662"/>
      <c r="AW3" s="1662"/>
      <c r="AX3" s="1662"/>
      <c r="AY3" s="1662"/>
      <c r="AZ3" s="1662"/>
      <c r="BA3" s="1662"/>
      <c r="BB3" s="1662"/>
      <c r="BC3" s="1662"/>
      <c r="BD3" s="1662"/>
      <c r="BE3" s="1662"/>
      <c r="BF3" s="1662"/>
      <c r="BG3" s="1662"/>
      <c r="BH3" s="756"/>
    </row>
    <row r="4" spans="2:102" ht="12.75" customHeight="1">
      <c r="B4" s="677"/>
      <c r="E4" s="677"/>
      <c r="F4" s="680" t="s">
        <v>8</v>
      </c>
      <c r="G4" s="680"/>
      <c r="H4" s="755"/>
      <c r="I4" s="755"/>
      <c r="J4" s="755"/>
      <c r="P4" s="680"/>
      <c r="AA4" s="756"/>
      <c r="AB4" s="756"/>
      <c r="AC4" s="756"/>
      <c r="AD4" s="756"/>
      <c r="AE4" s="756"/>
      <c r="AF4" s="756"/>
      <c r="AG4" s="756"/>
      <c r="AH4" s="756"/>
      <c r="AI4" s="756"/>
      <c r="AJ4" s="756"/>
      <c r="AK4" s="756"/>
      <c r="AL4" s="756"/>
      <c r="AM4" s="756"/>
      <c r="AN4" s="756"/>
      <c r="AO4" s="756"/>
      <c r="AP4" s="756"/>
      <c r="AQ4" s="756"/>
      <c r="AR4" s="756"/>
      <c r="AS4" s="756"/>
      <c r="AT4" s="756"/>
      <c r="AU4" s="756"/>
      <c r="AV4" s="756"/>
      <c r="AW4" s="756"/>
      <c r="AX4" s="756"/>
      <c r="AY4" s="756"/>
      <c r="AZ4" s="756"/>
      <c r="BA4" s="756"/>
      <c r="BB4" s="756"/>
      <c r="BC4" s="756"/>
      <c r="BD4" s="756"/>
      <c r="BE4" s="756"/>
      <c r="BF4" s="756"/>
      <c r="BG4" s="756"/>
      <c r="BH4" s="756"/>
    </row>
    <row r="5" spans="2:102" ht="25.5">
      <c r="B5" s="757" t="s">
        <v>1</v>
      </c>
      <c r="C5" s="757" t="s">
        <v>2</v>
      </c>
      <c r="D5" s="757" t="s">
        <v>26</v>
      </c>
      <c r="E5" s="757" t="s">
        <v>14</v>
      </c>
      <c r="F5" s="757" t="s">
        <v>15</v>
      </c>
      <c r="G5" s="758" t="s">
        <v>0</v>
      </c>
      <c r="H5" s="759" t="s">
        <v>902</v>
      </c>
      <c r="I5" s="758" t="s">
        <v>903</v>
      </c>
      <c r="J5" s="758" t="s">
        <v>904</v>
      </c>
      <c r="K5" s="759" t="s">
        <v>905</v>
      </c>
      <c r="L5" s="758" t="s">
        <v>853</v>
      </c>
      <c r="M5" s="758" t="s">
        <v>854</v>
      </c>
      <c r="N5" s="759" t="s">
        <v>608</v>
      </c>
      <c r="O5" s="1208" t="s">
        <v>907</v>
      </c>
      <c r="P5" s="1208" t="s">
        <v>908</v>
      </c>
      <c r="Q5" s="1208" t="s">
        <v>909</v>
      </c>
      <c r="R5" s="1208" t="s">
        <v>910</v>
      </c>
      <c r="S5" s="1208" t="s">
        <v>911</v>
      </c>
      <c r="T5" s="1208" t="s">
        <v>912</v>
      </c>
      <c r="U5" s="1208" t="s">
        <v>913</v>
      </c>
      <c r="V5" s="1208" t="s">
        <v>914</v>
      </c>
      <c r="W5" s="1208" t="s">
        <v>915</v>
      </c>
      <c r="X5" s="759" t="s">
        <v>847</v>
      </c>
      <c r="AA5" s="756"/>
      <c r="AB5" s="760" t="s">
        <v>1</v>
      </c>
      <c r="AC5" s="761" t="s">
        <v>916</v>
      </c>
      <c r="AD5" s="762">
        <v>2010</v>
      </c>
      <c r="AE5" s="762">
        <v>2012</v>
      </c>
      <c r="AF5" s="762">
        <v>2015</v>
      </c>
      <c r="AG5" s="762">
        <v>2020</v>
      </c>
      <c r="AH5" s="762">
        <v>2025</v>
      </c>
      <c r="AI5" s="762">
        <v>2030</v>
      </c>
      <c r="AJ5" s="762">
        <v>2035</v>
      </c>
      <c r="AK5" s="762">
        <v>2040</v>
      </c>
      <c r="AL5" s="762">
        <v>2045</v>
      </c>
      <c r="AM5" s="761">
        <v>2050</v>
      </c>
      <c r="AN5" s="756"/>
      <c r="AO5" s="756"/>
      <c r="AP5" s="763" t="s">
        <v>917</v>
      </c>
      <c r="AQ5" s="764"/>
      <c r="AR5" s="765"/>
      <c r="AS5" s="766"/>
      <c r="AT5" s="756"/>
      <c r="AU5" s="756"/>
      <c r="AV5" s="767" t="s">
        <v>918</v>
      </c>
      <c r="AW5" s="768"/>
      <c r="AX5" s="768"/>
      <c r="AY5" s="768"/>
      <c r="AZ5" s="768"/>
      <c r="BA5" s="768"/>
      <c r="BB5" s="768"/>
      <c r="BC5" s="768"/>
      <c r="BD5" s="769"/>
      <c r="BE5" s="756"/>
      <c r="BF5" s="756"/>
      <c r="BG5" s="756"/>
      <c r="BH5" s="756"/>
    </row>
    <row r="6" spans="2:102" ht="23.25" thickBot="1">
      <c r="B6" s="716" t="s">
        <v>27</v>
      </c>
      <c r="C6" s="716"/>
      <c r="D6" s="716"/>
      <c r="E6" s="716" t="s">
        <v>919</v>
      </c>
      <c r="F6" s="716" t="s">
        <v>920</v>
      </c>
      <c r="G6" s="716"/>
      <c r="H6" s="716" t="s">
        <v>921</v>
      </c>
      <c r="I6" s="770" t="s">
        <v>499</v>
      </c>
      <c r="J6" s="770" t="s">
        <v>499</v>
      </c>
      <c r="K6" s="716" t="s">
        <v>922</v>
      </c>
      <c r="L6" s="716" t="s">
        <v>78</v>
      </c>
      <c r="M6" s="716" t="s">
        <v>923</v>
      </c>
      <c r="N6" s="716" t="str">
        <f>Processes!$G$6</f>
        <v>kvehicles</v>
      </c>
      <c r="O6" s="716" t="str">
        <f>Processes!$G$6</f>
        <v>kvehicles</v>
      </c>
      <c r="P6" s="716" t="str">
        <f>Processes!$G$6</f>
        <v>kvehicles</v>
      </c>
      <c r="Q6" s="716" t="str">
        <f>Processes!$G$6</f>
        <v>kvehicles</v>
      </c>
      <c r="R6" s="716" t="str">
        <f>Processes!$G$6</f>
        <v>kvehicles</v>
      </c>
      <c r="S6" s="716" t="str">
        <f>Processes!$G$6</f>
        <v>kvehicles</v>
      </c>
      <c r="T6" s="716" t="str">
        <f>Processes!$G$6</f>
        <v>kvehicles</v>
      </c>
      <c r="U6" s="716" t="str">
        <f>Processes!$G$6</f>
        <v>kvehicles</v>
      </c>
      <c r="V6" s="716" t="str">
        <f>Processes!$G$6</f>
        <v>kvehicles</v>
      </c>
      <c r="W6" s="716" t="str">
        <f>Processes!$G$6</f>
        <v>kvehicles</v>
      </c>
      <c r="X6" s="716" t="s">
        <v>848</v>
      </c>
      <c r="AA6" s="756"/>
      <c r="AB6" s="771" t="s">
        <v>924</v>
      </c>
      <c r="AC6" s="772"/>
      <c r="AD6" s="773"/>
      <c r="AE6" s="773"/>
      <c r="AF6" s="773"/>
      <c r="AG6" s="773"/>
      <c r="AH6" s="773"/>
      <c r="AI6" s="773"/>
      <c r="AJ6" s="773"/>
      <c r="AK6" s="773"/>
      <c r="AL6" s="773"/>
      <c r="AM6" s="774"/>
      <c r="AN6" s="756"/>
      <c r="AO6" s="756"/>
      <c r="AP6" s="775" t="s">
        <v>156</v>
      </c>
      <c r="AQ6" s="776">
        <v>2010</v>
      </c>
      <c r="AR6" s="776">
        <v>2012</v>
      </c>
      <c r="AS6" s="777">
        <v>2014</v>
      </c>
      <c r="AT6" s="756"/>
      <c r="AU6" s="756"/>
      <c r="AV6" s="778" t="s">
        <v>925</v>
      </c>
      <c r="AW6" s="779">
        <v>2015</v>
      </c>
      <c r="AX6" s="779">
        <v>2020</v>
      </c>
      <c r="AY6" s="779">
        <v>2025</v>
      </c>
      <c r="AZ6" s="779">
        <v>2030</v>
      </c>
      <c r="BA6" s="779">
        <v>2035</v>
      </c>
      <c r="BB6" s="779">
        <v>2040</v>
      </c>
      <c r="BC6" s="779">
        <v>2045</v>
      </c>
      <c r="BD6" s="780">
        <v>2050</v>
      </c>
      <c r="BE6" s="756"/>
      <c r="BF6" s="756"/>
      <c r="BG6" s="756"/>
      <c r="BH6" s="756"/>
      <c r="BI6" s="170" t="s">
        <v>926</v>
      </c>
      <c r="BM6" s="781" t="s">
        <v>927</v>
      </c>
      <c r="BN6" s="781"/>
      <c r="BO6" s="781"/>
    </row>
    <row r="7" spans="2:102">
      <c r="B7" s="713" t="s">
        <v>145</v>
      </c>
      <c r="C7" s="713" t="str">
        <f>Processes!$D$6</f>
        <v>TPCADSBL1E</v>
      </c>
      <c r="D7" s="713" t="str">
        <f>Processes!$E$6</f>
        <v>Transport Passengers Cars - Diesel Engine - Blending 1 - Average size - Existing</v>
      </c>
      <c r="E7" s="713" t="str">
        <f>Commodities!D109</f>
        <v>TRADSBL1C</v>
      </c>
      <c r="F7" s="713" t="s">
        <v>1180</v>
      </c>
      <c r="G7" s="1207">
        <v>1E-3</v>
      </c>
      <c r="H7" s="1204">
        <f>VLOOKUP(VLOOKUP($E7,$S$52:$T$56,2,0),$AC$18:$AM$22,MATCH(VALUE(RIGHT(H$5,4)),$AC$5:$AM$5,0),0)</f>
        <v>1.5543363055032191</v>
      </c>
      <c r="I7" s="718">
        <f>VLOOKUP(VLOOKUP($E7,$S$52:$T$56,2,0),$AC$40:$AM$44,MATCH(VALUE(RIGHT(I$5,4)),$AC$5:$AM$5,0),0)</f>
        <v>220.66090235244755</v>
      </c>
      <c r="J7" s="718">
        <f>VLOOKUP(VLOOKUP($E7,$S$52:$T$56,2,0),$AC$40:$AM$44,MATCH(VALUE(RIGHT(J$5,4)),$AC$5:$AM$5,0),0)</f>
        <v>229.66587705491114</v>
      </c>
      <c r="K7" s="279">
        <f t="array" ref="K7">VLOOKUP(VLOOKUP($E7,$S$52:$T$56,2,0),$AC$29:$AM$33,MATCH(VALUE(RIGHT(K$5,4)),$AC$5:$AM$5,0),0)</f>
        <v>21064.68043128321</v>
      </c>
      <c r="L7" s="666">
        <f t="array" ref="L7">W52</f>
        <v>6.2887732543907962E-2</v>
      </c>
      <c r="M7" s="718">
        <v>5</v>
      </c>
      <c r="N7" s="720">
        <f t="array" ref="N7">VLOOKUP(VLOOKUP($E7,$S$52:$T$56,2,0),$AC$7:$AM$11,MATCH(VALUE(RIGHT(N$5,4)),$AC$5:$AM$5,0),0)</f>
        <v>199.941</v>
      </c>
      <c r="O7" s="720">
        <f t="array" ref="O7">VLOOKUP(VLOOKUP($E7,$S$52:$T$56,2,0),$AC$7:$AM$11,MATCH(VALUE(RIGHT(O$5,4)),$AC$5:$AM$5,0),0)</f>
        <v>250.31200000000001</v>
      </c>
      <c r="P7" s="720">
        <f t="array" ref="P7">VLOOKUP(VLOOKUP($E7,$S$52:$T$56,2,0),$AC$7:$AM$11,MATCH(VALUE(RIGHT(P$5,4)),$AC$5:$AM$5,0),0)</f>
        <v>266.803</v>
      </c>
      <c r="Q7" s="720">
        <f t="array" ref="Q7">VLOOKUP(VLOOKUP($E7,$S$52:$T$56,2,0),$AC$7:$AM$11,MATCH(VALUE(RIGHT(Q$5,4)),$AC$5:$AM$5,0),0)</f>
        <v>189.83199999999999</v>
      </c>
      <c r="R7" s="720">
        <f t="array" ref="R7">VLOOKUP(VLOOKUP($E7,$S$52:$T$56,2,0),$AC$7:$AM$11,MATCH(VALUE(RIGHT(R$5,4)),$AC$5:$AM$5,0),0)</f>
        <v>112.791</v>
      </c>
      <c r="S7" s="720">
        <f t="array" ref="S7">VLOOKUP(VLOOKUP($E7,$S$52:$T$56,2,0),$AC$7:$AM$11,MATCH(VALUE(RIGHT(S$5,4)),$AC$5:$AM$5,0),0)</f>
        <v>50.731999999999999</v>
      </c>
      <c r="T7" s="720">
        <f t="array" ref="T7">VLOOKUP(VLOOKUP($E7,$S$52:$T$56,2,0),$AC$7:$AM$11,MATCH(VALUE(RIGHT(T$5,4)),$AC$5:$AM$5,0),0)</f>
        <v>15.284000000000001</v>
      </c>
      <c r="U7" s="720">
        <f t="array" ref="U7">VLOOKUP(VLOOKUP($E7,$S$52:$T$56,2,0),$AC$7:$AM$11,MATCH(VALUE(RIGHT(U$5,4)),$AC$5:$AM$5,0),0)</f>
        <v>2.6749999999999998</v>
      </c>
      <c r="V7" s="720">
        <f t="array" ref="V7">VLOOKUP(VLOOKUP($E7,$S$52:$T$56,2,0),$AC$7:$AM$11,MATCH(VALUE(RIGHT(V$5,4)),$AC$5:$AM$5,0),0)</f>
        <v>0.23200000000000001</v>
      </c>
      <c r="W7" s="720">
        <f t="array" ref="W7">VLOOKUP(VLOOKUP($E7,$S$52:$T$56,2,0),$AC$7:$AM$11,MATCH(VALUE(RIGHT(W$5,4)),$AC$5:$AM$5,0),0)</f>
        <v>8.0000000000000002E-3</v>
      </c>
      <c r="X7" s="713">
        <v>3.5E-4</v>
      </c>
      <c r="Z7" s="718">
        <f t="array" ref="Z7">G7*H7*K7*L7*N7</f>
        <v>411.68748241466398</v>
      </c>
      <c r="AA7" s="756"/>
      <c r="AB7" s="1659" t="s">
        <v>928</v>
      </c>
      <c r="AC7" s="782" t="s">
        <v>790</v>
      </c>
      <c r="AD7" s="783">
        <f>ROUND(AW59/1000,3)</f>
        <v>715.64099999999996</v>
      </c>
      <c r="AE7" s="783">
        <f>ROUND(AX59/1000,3)</f>
        <v>686.68700000000001</v>
      </c>
      <c r="AF7" s="783">
        <f>ROUND(AZ59/1000,3)</f>
        <v>649.59500000000003</v>
      </c>
      <c r="AG7" s="783">
        <f t="shared" ref="AG7:AM7" si="0">ROUND(BA59/1000,3)</f>
        <v>462.19099999999997</v>
      </c>
      <c r="AH7" s="783">
        <f t="shared" si="0"/>
        <v>274.61599999999999</v>
      </c>
      <c r="AI7" s="783">
        <f t="shared" si="0"/>
        <v>123.52</v>
      </c>
      <c r="AJ7" s="783">
        <f t="shared" si="0"/>
        <v>37.213000000000001</v>
      </c>
      <c r="AK7" s="783">
        <f t="shared" si="0"/>
        <v>6.5129999999999999</v>
      </c>
      <c r="AL7" s="783">
        <f t="shared" si="0"/>
        <v>0.56499999999999995</v>
      </c>
      <c r="AM7" s="784">
        <f t="shared" si="0"/>
        <v>0.02</v>
      </c>
      <c r="AN7" s="756"/>
      <c r="AO7" s="756"/>
      <c r="AP7" s="785">
        <v>0</v>
      </c>
      <c r="AQ7" s="786">
        <f>AVERAGE(CarData!B22:C22)</f>
        <v>128896</v>
      </c>
      <c r="AR7" s="786">
        <f>AVERAGE(CarData!D22:E22)</f>
        <v>160870.5</v>
      </c>
      <c r="AS7" s="787">
        <f>AVERAGE(CarData!F22:G22)</f>
        <v>177227.5</v>
      </c>
      <c r="AT7" s="756"/>
      <c r="AU7" s="756"/>
      <c r="AV7" s="788">
        <f t="shared" ref="AV7:AV32" si="1">AP7</f>
        <v>0</v>
      </c>
      <c r="AW7" s="789">
        <f t="shared" ref="AW7:BD22" si="2">ROUND(IFERROR($AS7/INDEX($BJ$13:$CX$14,2,$AP7+1)*INDEX($BJ$13:$CX$14,2,(AW$6-$AS$6+1+$AP7)+1),0),0)</f>
        <v>177089</v>
      </c>
      <c r="AX7" s="789">
        <f t="shared" si="2"/>
        <v>169910</v>
      </c>
      <c r="AY7" s="789">
        <f t="shared" si="2"/>
        <v>140165</v>
      </c>
      <c r="AZ7" s="789">
        <f t="shared" si="2"/>
        <v>87024</v>
      </c>
      <c r="BA7" s="789">
        <f t="shared" si="2"/>
        <v>35196</v>
      </c>
      <c r="BB7" s="789">
        <f t="shared" si="2"/>
        <v>7960</v>
      </c>
      <c r="BC7" s="789">
        <f t="shared" si="2"/>
        <v>858</v>
      </c>
      <c r="BD7" s="790">
        <f t="shared" si="2"/>
        <v>37</v>
      </c>
      <c r="BE7" s="756"/>
      <c r="BF7" s="756"/>
      <c r="BG7" s="756"/>
      <c r="BH7" s="756"/>
      <c r="BI7" s="682" t="s">
        <v>929</v>
      </c>
    </row>
    <row r="8" spans="2:102" ht="14.25" customHeight="1">
      <c r="B8" s="713" t="s">
        <v>145</v>
      </c>
      <c r="F8" s="1161" t="s">
        <v>1182</v>
      </c>
      <c r="G8" s="1205"/>
      <c r="H8" s="1205"/>
      <c r="I8" s="279">
        <f>VLOOKUP(VLOOKUP($E7,$S$52:$T$56,2,0),$AC$51:$AM$55,MATCH(VALUE(RIGHT(I$5,4)),$AC$5:$AM$5,0),0)</f>
        <v>279.26265019031069</v>
      </c>
      <c r="J8" s="279">
        <f>VLOOKUP(VLOOKUP($E7,$S$52:$T$56,2,0),$AC$51:$AM$55,MATCH(VALUE(RIGHT(J$5,4)),$AC$5:$AM$5,0),0)</f>
        <v>290.65910997769083</v>
      </c>
      <c r="L8" s="666">
        <f t="shared" ref="L8" si="3">W53</f>
        <v>0.30174197570528116</v>
      </c>
      <c r="M8" s="718">
        <v>5</v>
      </c>
      <c r="N8" s="720"/>
      <c r="O8" s="720"/>
      <c r="P8" s="720"/>
      <c r="Q8" s="720"/>
      <c r="R8" s="720"/>
      <c r="S8" s="720"/>
      <c r="T8" s="720"/>
      <c r="U8" s="720"/>
      <c r="V8" s="720"/>
      <c r="W8" s="720"/>
      <c r="Z8" s="718">
        <f t="array" ref="Z8">G7*H7*K7*L8*N7</f>
        <v>1975.3199756439242</v>
      </c>
      <c r="AA8" s="756"/>
      <c r="AB8" s="1660"/>
      <c r="AC8" s="515" t="s">
        <v>791</v>
      </c>
      <c r="AD8" s="791">
        <f>ROUND(AW62/1000,3)</f>
        <v>199.941</v>
      </c>
      <c r="AE8" s="792">
        <f>ROUND(AX62/1000,3)</f>
        <v>250.31200000000001</v>
      </c>
      <c r="AF8" s="792">
        <f>ROUND(AZ62/1000,3)</f>
        <v>266.803</v>
      </c>
      <c r="AG8" s="792">
        <f t="shared" ref="AG8:AM8" si="4">ROUND(BA62/1000,3)</f>
        <v>189.83199999999999</v>
      </c>
      <c r="AH8" s="792">
        <f t="shared" si="4"/>
        <v>112.791</v>
      </c>
      <c r="AI8" s="792">
        <f t="shared" si="4"/>
        <v>50.731999999999999</v>
      </c>
      <c r="AJ8" s="792">
        <f t="shared" si="4"/>
        <v>15.284000000000001</v>
      </c>
      <c r="AK8" s="792">
        <f t="shared" si="4"/>
        <v>2.6749999999999998</v>
      </c>
      <c r="AL8" s="792">
        <f t="shared" si="4"/>
        <v>0.23200000000000001</v>
      </c>
      <c r="AM8" s="793">
        <f t="shared" si="4"/>
        <v>8.0000000000000002E-3</v>
      </c>
      <c r="AN8" s="756"/>
      <c r="AO8" s="756"/>
      <c r="AP8" s="785">
        <v>1</v>
      </c>
      <c r="AQ8" s="786">
        <f>AVERAGE(CarData!B23:C23)</f>
        <v>125756</v>
      </c>
      <c r="AR8" s="786">
        <f>AVERAGE(CarData!D23:E23)</f>
        <v>153700</v>
      </c>
      <c r="AS8" s="787">
        <f>AVERAGE(CarData!F23:G23)</f>
        <v>168171.5</v>
      </c>
      <c r="AT8" s="756"/>
      <c r="AU8" s="756"/>
      <c r="AV8" s="788">
        <f t="shared" si="1"/>
        <v>1</v>
      </c>
      <c r="AW8" s="789">
        <f t="shared" si="2"/>
        <v>167709</v>
      </c>
      <c r="AX8" s="789">
        <f t="shared" si="2"/>
        <v>157679</v>
      </c>
      <c r="AY8" s="789">
        <f t="shared" si="2"/>
        <v>124257</v>
      </c>
      <c r="AZ8" s="789">
        <f t="shared" si="2"/>
        <v>71653</v>
      </c>
      <c r="BA8" s="789">
        <f t="shared" si="2"/>
        <v>26122</v>
      </c>
      <c r="BB8" s="789">
        <f t="shared" si="2"/>
        <v>5161</v>
      </c>
      <c r="BC8" s="789">
        <f t="shared" si="2"/>
        <v>471</v>
      </c>
      <c r="BD8" s="790">
        <f t="shared" si="2"/>
        <v>17</v>
      </c>
      <c r="BE8" s="756"/>
      <c r="BF8" s="756"/>
      <c r="BG8" s="756"/>
      <c r="BH8" s="756"/>
    </row>
    <row r="9" spans="2:102">
      <c r="B9" s="713" t="s">
        <v>145</v>
      </c>
      <c r="F9" s="1161" t="s">
        <v>1184</v>
      </c>
      <c r="G9" s="1205"/>
      <c r="H9" s="1205"/>
      <c r="I9" s="279">
        <f>VLOOKUP(VLOOKUP($E7,$S$52:$T$56,2,0),$AC$62:$AM$66,MATCH(VALUE(RIGHT(I$5,4)),$AC$5:$AM$5,0),0)</f>
        <v>361.73918418434027</v>
      </c>
      <c r="J9" s="279">
        <f>VLOOKUP(VLOOKUP($E7,$S$52:$T$56,2,0),$AC$62:$AM$66,MATCH(VALUE(RIGHT(J$5,4)),$AC$5:$AM$5,0),0)</f>
        <v>376.50143779493629</v>
      </c>
      <c r="L9" s="666">
        <f>W54</f>
        <v>0.21795063031638209</v>
      </c>
      <c r="M9" s="718">
        <v>5</v>
      </c>
      <c r="N9" s="720"/>
      <c r="O9" s="720"/>
      <c r="P9" s="720"/>
      <c r="Q9" s="720"/>
      <c r="R9" s="720"/>
      <c r="S9" s="720"/>
      <c r="T9" s="720"/>
      <c r="U9" s="720"/>
      <c r="V9" s="720"/>
      <c r="W9" s="720"/>
      <c r="Z9" s="718">
        <f>G7*H7*K7*L9*N7</f>
        <v>1426.7893380158532</v>
      </c>
      <c r="AA9" s="756"/>
      <c r="AB9" s="1660"/>
      <c r="AC9" s="515" t="s">
        <v>53</v>
      </c>
      <c r="AD9" s="791">
        <f>ROUND(AW65/1000,3)</f>
        <v>4.0000000000000001E-3</v>
      </c>
      <c r="AE9" s="792">
        <f>ROUND(AX65/1000,3)</f>
        <v>4.0000000000000001E-3</v>
      </c>
      <c r="AF9" s="792">
        <f>ROUND(AZ65/1000,3)</f>
        <v>4.0000000000000001E-3</v>
      </c>
      <c r="AG9" s="792">
        <f t="shared" ref="AG9:AM9" si="5">ROUND(BA65/1000,3)</f>
        <v>3.0000000000000001E-3</v>
      </c>
      <c r="AH9" s="792">
        <f t="shared" si="5"/>
        <v>2E-3</v>
      </c>
      <c r="AI9" s="792">
        <f t="shared" si="5"/>
        <v>1E-3</v>
      </c>
      <c r="AJ9" s="792">
        <f t="shared" si="5"/>
        <v>0</v>
      </c>
      <c r="AK9" s="792">
        <f t="shared" si="5"/>
        <v>0</v>
      </c>
      <c r="AL9" s="792">
        <f t="shared" si="5"/>
        <v>0</v>
      </c>
      <c r="AM9" s="793">
        <f t="shared" si="5"/>
        <v>0</v>
      </c>
      <c r="AN9" s="756"/>
      <c r="AO9" s="756"/>
      <c r="AP9" s="785">
        <v>2</v>
      </c>
      <c r="AQ9" s="786">
        <f>AVERAGE(CarData!B24:C24)</f>
        <v>149529.5</v>
      </c>
      <c r="AR9" s="786">
        <f>AVERAGE(CarData!D24:E24)</f>
        <v>125927</v>
      </c>
      <c r="AS9" s="787">
        <f>AVERAGE(CarData!F24:G24)</f>
        <v>161146</v>
      </c>
      <c r="AT9" s="756"/>
      <c r="AU9" s="756"/>
      <c r="AV9" s="788">
        <f t="shared" si="1"/>
        <v>2</v>
      </c>
      <c r="AW9" s="789">
        <f t="shared" si="2"/>
        <v>160131</v>
      </c>
      <c r="AX9" s="789">
        <f t="shared" si="2"/>
        <v>146823</v>
      </c>
      <c r="AY9" s="789">
        <f t="shared" si="2"/>
        <v>109926</v>
      </c>
      <c r="AZ9" s="789">
        <f t="shared" si="2"/>
        <v>58531</v>
      </c>
      <c r="BA9" s="789">
        <f t="shared" si="2"/>
        <v>19116</v>
      </c>
      <c r="BB9" s="789">
        <f t="shared" si="2"/>
        <v>3278</v>
      </c>
      <c r="BC9" s="789">
        <f t="shared" si="2"/>
        <v>251</v>
      </c>
      <c r="BD9" s="790">
        <f t="shared" si="2"/>
        <v>7</v>
      </c>
      <c r="BE9" s="756"/>
      <c r="BF9" s="756"/>
      <c r="BG9" s="756"/>
      <c r="BH9" s="756"/>
      <c r="BI9" s="713" t="s">
        <v>930</v>
      </c>
      <c r="BJ9" s="713">
        <v>18.919982929286352</v>
      </c>
    </row>
    <row r="10" spans="2:102">
      <c r="B10" s="1161" t="s">
        <v>145</v>
      </c>
      <c r="F10" s="1161" t="s">
        <v>1186</v>
      </c>
      <c r="G10" s="686"/>
      <c r="H10" s="686"/>
      <c r="I10" s="279">
        <f t="array" ref="I10">VLOOKUP(VLOOKUP($E7,$S$52:$T$56,2,0),$AC$73:$AM$77,MATCH(VALUE(RIGHT(I$5,4)),$AC$5:$AM$5,0),0)</f>
        <v>442.61396966107446</v>
      </c>
      <c r="J10" s="279">
        <f>VLOOKUP(VLOOKUP($E7,$S$52:$T$56,2,0),$AC$73:$AM$77,MATCH(VALUE(RIGHT(J$5,4)),$AC$5:$AM$5,0),0)</f>
        <v>460.67665116587858</v>
      </c>
      <c r="L10" s="666">
        <f>W55</f>
        <v>0.41741966143442871</v>
      </c>
      <c r="M10" s="718">
        <v>5</v>
      </c>
      <c r="Z10" s="718">
        <f t="array" ref="Z10">G7*H7*K7*L10*N7</f>
        <v>2732.5909613029671</v>
      </c>
      <c r="AA10" s="756"/>
      <c r="AB10" s="1660"/>
      <c r="AC10" s="515" t="s">
        <v>931</v>
      </c>
      <c r="AD10" s="791">
        <f>ROUND(AW68/1000,3)</f>
        <v>0</v>
      </c>
      <c r="AE10" s="792">
        <f>ROUND(AX68/1000,3)</f>
        <v>2E-3</v>
      </c>
      <c r="AF10" s="792">
        <f>ROUND(AZ68/1000,3)</f>
        <v>1.6E-2</v>
      </c>
      <c r="AG10" s="792">
        <f t="shared" ref="AG10:AM10" si="6">ROUND(BA68/1000,3)</f>
        <v>1.0999999999999999E-2</v>
      </c>
      <c r="AH10" s="792">
        <f t="shared" si="6"/>
        <v>7.0000000000000001E-3</v>
      </c>
      <c r="AI10" s="792">
        <f t="shared" si="6"/>
        <v>3.0000000000000001E-3</v>
      </c>
      <c r="AJ10" s="792">
        <f t="shared" si="6"/>
        <v>1E-3</v>
      </c>
      <c r="AK10" s="792">
        <f t="shared" si="6"/>
        <v>0</v>
      </c>
      <c r="AL10" s="792">
        <f t="shared" si="6"/>
        <v>0</v>
      </c>
      <c r="AM10" s="793">
        <f t="shared" si="6"/>
        <v>0</v>
      </c>
      <c r="AN10" s="756"/>
      <c r="AO10" s="756"/>
      <c r="AP10" s="785">
        <v>3</v>
      </c>
      <c r="AQ10" s="786">
        <f>AVERAGE(CarData!B25:C25)</f>
        <v>151263</v>
      </c>
      <c r="AR10" s="786">
        <f>AVERAGE(CarData!D25:E25)</f>
        <v>121883.5</v>
      </c>
      <c r="AS10" s="787">
        <f>AVERAGE(CarData!F25:G25)</f>
        <v>149498</v>
      </c>
      <c r="AT10" s="756"/>
      <c r="AU10" s="756"/>
      <c r="AV10" s="788">
        <f t="shared" si="1"/>
        <v>3</v>
      </c>
      <c r="AW10" s="789">
        <f t="shared" si="2"/>
        <v>147773</v>
      </c>
      <c r="AX10" s="789">
        <f t="shared" si="2"/>
        <v>131478</v>
      </c>
      <c r="AY10" s="789">
        <f t="shared" si="2"/>
        <v>93006</v>
      </c>
      <c r="AZ10" s="789">
        <f t="shared" si="2"/>
        <v>45457</v>
      </c>
      <c r="BA10" s="789">
        <f t="shared" si="2"/>
        <v>13217</v>
      </c>
      <c r="BB10" s="789">
        <f t="shared" si="2"/>
        <v>1955</v>
      </c>
      <c r="BC10" s="789">
        <f t="shared" si="2"/>
        <v>125</v>
      </c>
      <c r="BD10" s="790">
        <f t="shared" si="2"/>
        <v>3</v>
      </c>
      <c r="BE10" s="756"/>
      <c r="BF10" s="756"/>
      <c r="BG10" s="756"/>
      <c r="BH10" s="756"/>
      <c r="BI10" s="713" t="s">
        <v>932</v>
      </c>
      <c r="BJ10" s="713">
        <v>3.1842475178763525</v>
      </c>
    </row>
    <row r="11" spans="2:102">
      <c r="B11" s="1161" t="s">
        <v>145</v>
      </c>
      <c r="C11" s="713" t="str">
        <f>Processes!$D$7</f>
        <v>TPCAGSBL1E</v>
      </c>
      <c r="D11" s="713" t="str">
        <f>Processes!$E$7</f>
        <v>Transport Passengers Cars - Otto Engine - Blending 1 - Average size - Existing</v>
      </c>
      <c r="E11" s="713" t="str">
        <f>Commodities!D114</f>
        <v>TRAGSBL1C</v>
      </c>
      <c r="F11" s="713" t="s">
        <v>1180</v>
      </c>
      <c r="G11" s="523">
        <v>1E-3</v>
      </c>
      <c r="H11" s="1206">
        <f>VLOOKUP(VLOOKUP($E11,$S$52:$T$56,2,0),$AC$18:$AM$22,MATCH(VALUE(RIGHT(H$5,4)),$AC$5:$AM$5,0),0)</f>
        <v>1.5543363055032191</v>
      </c>
      <c r="I11" s="279">
        <f>VLOOKUP(VLOOKUP($E11,$S$52:$T$56,2,0),$AC$39:$AM$43,MATCH(VALUE(RIGHT(I$5,4)),$AC$5:$AM$5,0),0)</f>
        <v>232.16306735897328</v>
      </c>
      <c r="J11" s="718">
        <f>VLOOKUP(VLOOKUP($E11,$S$52:$T$56,2,0),$AC$40:$AM$44,MATCH(VALUE(RIGHT(J$5,4)),$AC$5:$AM$5,0),0)</f>
        <v>244.7223410222899</v>
      </c>
      <c r="K11" s="279">
        <f>VLOOKUP(VLOOKUP($E11,$S$52:$T$56,2,0),$AC$29:$AM$33,MATCH(VALUE(RIGHT(K$5,4)),$AC$5:$AM$5,0),0)</f>
        <v>12926.459697778171</v>
      </c>
      <c r="L11" s="666">
        <f>L7</f>
        <v>6.2887732543907962E-2</v>
      </c>
      <c r="M11" s="718">
        <v>5</v>
      </c>
      <c r="N11" s="720">
        <f t="shared" ref="N11:W11" si="7">VLOOKUP(VLOOKUP($E11,$S$52:$T$56,2,0),$AC$7:$AM$11,MATCH(VALUE(RIGHT(N$5,4)),$AC$5:$AM$5,0),0)</f>
        <v>715.64099999999996</v>
      </c>
      <c r="O11" s="720">
        <f>VLOOKUP(VLOOKUP($E11,$S$52:$T$56,2,0),$AC$7:$AM$11,MATCH(VALUE(RIGHT(O$5,4)),$AC$5:$AM$5,0),0)</f>
        <v>686.68700000000001</v>
      </c>
      <c r="P11" s="720">
        <f t="shared" si="7"/>
        <v>649.59500000000003</v>
      </c>
      <c r="Q11" s="720">
        <f t="shared" si="7"/>
        <v>462.19099999999997</v>
      </c>
      <c r="R11" s="720">
        <f t="shared" si="7"/>
        <v>274.61599999999999</v>
      </c>
      <c r="S11" s="720">
        <f t="shared" si="7"/>
        <v>123.52</v>
      </c>
      <c r="T11" s="720">
        <f t="shared" si="7"/>
        <v>37.213000000000001</v>
      </c>
      <c r="U11" s="720">
        <f t="shared" si="7"/>
        <v>6.5129999999999999</v>
      </c>
      <c r="V11" s="720">
        <f t="shared" si="7"/>
        <v>0.56499999999999995</v>
      </c>
      <c r="W11" s="720">
        <f t="shared" si="7"/>
        <v>0.02</v>
      </c>
      <c r="X11" s="713">
        <v>3.5E-4</v>
      </c>
      <c r="Z11" s="718">
        <f>G11*H11*K11*L11*N11</f>
        <v>904.24421254649474</v>
      </c>
      <c r="AA11" s="756"/>
      <c r="AB11" s="1661"/>
      <c r="AC11" s="795" t="s">
        <v>51</v>
      </c>
      <c r="AD11" s="792">
        <f>ROUND(AW71/1000,3)</f>
        <v>0.11</v>
      </c>
      <c r="AE11" s="792">
        <f>ROUND(AX71/1000,3)</f>
        <v>0.42099999999999999</v>
      </c>
      <c r="AF11" s="792">
        <f>ROUND(AZ71/1000,3)</f>
        <v>0.88700000000000001</v>
      </c>
      <c r="AG11" s="792">
        <f t="shared" ref="AG11:AM11" si="8">ROUND(BA71/1000,3)</f>
        <v>0.63100000000000001</v>
      </c>
      <c r="AH11" s="792">
        <f t="shared" si="8"/>
        <v>0.375</v>
      </c>
      <c r="AI11" s="792">
        <f t="shared" si="8"/>
        <v>0.16900000000000001</v>
      </c>
      <c r="AJ11" s="792">
        <f t="shared" si="8"/>
        <v>5.0999999999999997E-2</v>
      </c>
      <c r="AK11" s="792">
        <f t="shared" si="8"/>
        <v>8.9999999999999993E-3</v>
      </c>
      <c r="AL11" s="792">
        <f t="shared" si="8"/>
        <v>1E-3</v>
      </c>
      <c r="AM11" s="793">
        <f t="shared" si="8"/>
        <v>0</v>
      </c>
      <c r="AN11" s="756"/>
      <c r="AO11" s="756"/>
      <c r="AP11" s="785">
        <v>4</v>
      </c>
      <c r="AQ11" s="786">
        <f>AVERAGE(CarData!B26:C26)</f>
        <v>145864</v>
      </c>
      <c r="AR11" s="786">
        <f>AVERAGE(CarData!D26:E26)</f>
        <v>148312</v>
      </c>
      <c r="AS11" s="787">
        <f>AVERAGE(CarData!F26:G26)</f>
        <v>123554</v>
      </c>
      <c r="AT11" s="756"/>
      <c r="AU11" s="756"/>
      <c r="AV11" s="788">
        <f t="shared" si="1"/>
        <v>4</v>
      </c>
      <c r="AW11" s="789">
        <f t="shared" si="2"/>
        <v>121263</v>
      </c>
      <c r="AX11" s="789">
        <f t="shared" si="2"/>
        <v>104161</v>
      </c>
      <c r="AY11" s="789">
        <f t="shared" si="2"/>
        <v>69227</v>
      </c>
      <c r="AZ11" s="789">
        <f t="shared" si="2"/>
        <v>30872</v>
      </c>
      <c r="BA11" s="789">
        <f t="shared" si="2"/>
        <v>7942</v>
      </c>
      <c r="BB11" s="789">
        <f t="shared" si="2"/>
        <v>1006</v>
      </c>
      <c r="BC11" s="789">
        <f t="shared" si="2"/>
        <v>53</v>
      </c>
      <c r="BD11" s="790">
        <f t="shared" si="2"/>
        <v>0</v>
      </c>
      <c r="BE11" s="756"/>
      <c r="BF11" s="756"/>
      <c r="BG11" s="756"/>
      <c r="BH11" s="756"/>
      <c r="BI11" s="713" t="s">
        <v>933</v>
      </c>
      <c r="BJ11" s="713">
        <v>0</v>
      </c>
    </row>
    <row r="12" spans="2:102">
      <c r="B12" s="1161" t="s">
        <v>145</v>
      </c>
      <c r="F12" s="1161" t="s">
        <v>1182</v>
      </c>
      <c r="G12" s="1205"/>
      <c r="H12" s="1205"/>
      <c r="I12" s="279">
        <f>VLOOKUP(VLOOKUP($E11,$S$52:$T$56,2,0),$AC$51:$AM$55,MATCH(VALUE(RIGHT(I$5,4)),$AC$5:$AM$5,0),0)</f>
        <v>293.81948852643836</v>
      </c>
      <c r="J12" s="279">
        <f>VLOOKUP(VLOOKUP($E11,$S$52:$T$56,2,0),$AC$51:$AM$55,MATCH(VALUE(RIGHT(J$5,4)),$AC$5:$AM$5,0),0)</f>
        <v>309.71417585116035</v>
      </c>
      <c r="L12" s="666">
        <f t="shared" ref="L12:L26" si="9">L8</f>
        <v>0.30174197570528116</v>
      </c>
      <c r="M12" s="718">
        <v>5</v>
      </c>
      <c r="N12" s="794"/>
      <c r="O12" s="720"/>
      <c r="P12" s="720"/>
      <c r="Q12" s="720"/>
      <c r="R12" s="720"/>
      <c r="S12" s="720"/>
      <c r="T12" s="720"/>
      <c r="U12" s="720"/>
      <c r="V12" s="720"/>
      <c r="W12" s="720"/>
      <c r="Z12" s="718">
        <f>G11*H11*K11*L12*N11</f>
        <v>4338.6591339311499</v>
      </c>
      <c r="AA12" s="756"/>
      <c r="AB12" s="1660" t="s">
        <v>934</v>
      </c>
      <c r="AC12" s="782" t="s">
        <v>790</v>
      </c>
      <c r="AD12" s="783">
        <f>ROUND(AW60/1000,3)</f>
        <v>958.38699999999994</v>
      </c>
      <c r="AE12" s="783">
        <f>ROUND(AX60/1000,3)</f>
        <v>936.38199999999995</v>
      </c>
      <c r="AF12" s="783">
        <f>ROUND(AZ60/1000,3)</f>
        <v>880.97</v>
      </c>
      <c r="AG12" s="783">
        <f t="shared" ref="AG12:AM12" si="10">ROUND(BA60/1000,3)</f>
        <v>626.81600000000003</v>
      </c>
      <c r="AH12" s="783">
        <f t="shared" si="10"/>
        <v>372.43</v>
      </c>
      <c r="AI12" s="783">
        <f t="shared" si="10"/>
        <v>167.51599999999999</v>
      </c>
      <c r="AJ12" s="783">
        <f t="shared" si="10"/>
        <v>50.468000000000004</v>
      </c>
      <c r="AK12" s="783">
        <f t="shared" si="10"/>
        <v>8.8330000000000002</v>
      </c>
      <c r="AL12" s="783">
        <f t="shared" si="10"/>
        <v>0.76700000000000002</v>
      </c>
      <c r="AM12" s="784">
        <f t="shared" si="10"/>
        <v>2.7E-2</v>
      </c>
      <c r="AN12" s="756"/>
      <c r="AO12" s="756"/>
      <c r="AP12" s="785">
        <v>5</v>
      </c>
      <c r="AQ12" s="786">
        <f>AVERAGE(CarData!B27:C27)</f>
        <v>130636.5</v>
      </c>
      <c r="AR12" s="786">
        <f>AVERAGE(CarData!D27:E27)</f>
        <v>152273.5</v>
      </c>
      <c r="AS12" s="787">
        <f>AVERAGE(CarData!F27:G27)</f>
        <v>122926</v>
      </c>
      <c r="AT12" s="756"/>
      <c r="AU12" s="756"/>
      <c r="AV12" s="788">
        <f t="shared" si="1"/>
        <v>5</v>
      </c>
      <c r="AW12" s="789">
        <f t="shared" si="2"/>
        <v>119565</v>
      </c>
      <c r="AX12" s="789">
        <f t="shared" si="2"/>
        <v>98634</v>
      </c>
      <c r="AY12" s="789">
        <f t="shared" si="2"/>
        <v>61238</v>
      </c>
      <c r="AZ12" s="789">
        <f t="shared" si="2"/>
        <v>24767</v>
      </c>
      <c r="BA12" s="789">
        <f t="shared" si="2"/>
        <v>5601</v>
      </c>
      <c r="BB12" s="789">
        <f t="shared" si="2"/>
        <v>604</v>
      </c>
      <c r="BC12" s="789">
        <f t="shared" si="2"/>
        <v>26</v>
      </c>
      <c r="BD12" s="790">
        <f t="shared" si="2"/>
        <v>0</v>
      </c>
      <c r="BE12" s="756"/>
      <c r="BF12" s="756"/>
      <c r="BG12" s="756"/>
      <c r="BH12" s="756"/>
    </row>
    <row r="13" spans="2:102">
      <c r="B13" s="1161" t="s">
        <v>145</v>
      </c>
      <c r="F13" s="1161" t="s">
        <v>1184</v>
      </c>
      <c r="G13" s="1205"/>
      <c r="H13" s="1205"/>
      <c r="I13" s="279">
        <f>VLOOKUP(VLOOKUP($E11,$S$52:$T$56,2,0),$AC$62:$AM$66,MATCH(VALUE(RIGHT(I$5,4)),$AC$5:$AM$5,0),0)</f>
        <v>380.5951923917595</v>
      </c>
      <c r="J13" s="279">
        <f>VLOOKUP(VLOOKUP($E11,$S$52:$T$56,2,0),$AC$62:$AM$66,MATCH(VALUE(RIGHT(J$5,4)),$AC$5:$AM$5,0),0)</f>
        <v>401.18416561031131</v>
      </c>
      <c r="L13" s="666">
        <f t="shared" si="9"/>
        <v>0.21795063031638209</v>
      </c>
      <c r="M13" s="718">
        <v>5</v>
      </c>
      <c r="N13" s="720"/>
      <c r="O13" s="720"/>
      <c r="P13" s="720"/>
      <c r="Q13" s="720"/>
      <c r="R13" s="720"/>
      <c r="S13" s="720"/>
      <c r="T13" s="720"/>
      <c r="U13" s="720"/>
      <c r="V13" s="720"/>
      <c r="W13" s="720"/>
      <c r="Z13" s="718">
        <f>G11*H11*K11*L13*N11</f>
        <v>3133.8480195139523</v>
      </c>
      <c r="AA13" s="756"/>
      <c r="AB13" s="1660"/>
      <c r="AC13" s="796" t="s">
        <v>791</v>
      </c>
      <c r="AD13" s="791">
        <f>ROUND(AW63/1000,3)</f>
        <v>267.76100000000002</v>
      </c>
      <c r="AE13" s="792">
        <f>ROUND(AX63/1000,3)</f>
        <v>341.33100000000002</v>
      </c>
      <c r="AF13" s="792">
        <f>ROUND(AZ63/1000,3)</f>
        <v>361.834</v>
      </c>
      <c r="AG13" s="792">
        <f t="shared" ref="AG13:AM13" si="11">ROUND(BA63/1000,3)</f>
        <v>257.447</v>
      </c>
      <c r="AH13" s="792">
        <f t="shared" si="11"/>
        <v>152.96600000000001</v>
      </c>
      <c r="AI13" s="792">
        <f t="shared" si="11"/>
        <v>68.802999999999997</v>
      </c>
      <c r="AJ13" s="792">
        <f t="shared" si="11"/>
        <v>20.728000000000002</v>
      </c>
      <c r="AK13" s="792">
        <f t="shared" si="11"/>
        <v>3.6280000000000001</v>
      </c>
      <c r="AL13" s="792">
        <f t="shared" si="11"/>
        <v>0.315</v>
      </c>
      <c r="AM13" s="793">
        <f t="shared" si="11"/>
        <v>1.0999999999999999E-2</v>
      </c>
      <c r="AN13" s="756"/>
      <c r="AO13" s="756"/>
      <c r="AP13" s="785">
        <v>6</v>
      </c>
      <c r="AQ13" s="786">
        <f>AVERAGE(CarData!B28:C28)</f>
        <v>105074.5</v>
      </c>
      <c r="AR13" s="786">
        <f>AVERAGE(CarData!D28:E28)</f>
        <v>144317</v>
      </c>
      <c r="AS13" s="787">
        <f>AVERAGE(CarData!F28:G28)</f>
        <v>146594</v>
      </c>
      <c r="AT13" s="756"/>
      <c r="AU13" s="756"/>
      <c r="AV13" s="788">
        <f t="shared" si="1"/>
        <v>6</v>
      </c>
      <c r="AW13" s="789">
        <f t="shared" si="2"/>
        <v>141029</v>
      </c>
      <c r="AX13" s="789">
        <f t="shared" si="2"/>
        <v>111136</v>
      </c>
      <c r="AY13" s="789">
        <f t="shared" si="2"/>
        <v>64087</v>
      </c>
      <c r="AZ13" s="789">
        <f t="shared" si="2"/>
        <v>23364</v>
      </c>
      <c r="BA13" s="789">
        <f t="shared" si="2"/>
        <v>4616</v>
      </c>
      <c r="BB13" s="789">
        <f t="shared" si="2"/>
        <v>421</v>
      </c>
      <c r="BC13" s="789">
        <f t="shared" si="2"/>
        <v>15</v>
      </c>
      <c r="BD13" s="790">
        <f t="shared" si="2"/>
        <v>0</v>
      </c>
      <c r="BE13" s="756"/>
      <c r="BF13" s="756"/>
      <c r="BG13" s="756"/>
      <c r="BH13" s="756"/>
      <c r="BI13" s="797" t="s">
        <v>935</v>
      </c>
      <c r="BJ13" s="798">
        <v>0</v>
      </c>
      <c r="BK13" s="798">
        <f t="shared" ref="BK13:CX13" si="12">1+BJ13</f>
        <v>1</v>
      </c>
      <c r="BL13" s="798">
        <f t="shared" si="12"/>
        <v>2</v>
      </c>
      <c r="BM13" s="798">
        <f t="shared" si="12"/>
        <v>3</v>
      </c>
      <c r="BN13" s="798">
        <f t="shared" si="12"/>
        <v>4</v>
      </c>
      <c r="BO13" s="798">
        <f t="shared" si="12"/>
        <v>5</v>
      </c>
      <c r="BP13" s="798">
        <f t="shared" si="12"/>
        <v>6</v>
      </c>
      <c r="BQ13" s="798">
        <f t="shared" si="12"/>
        <v>7</v>
      </c>
      <c r="BR13" s="798">
        <f t="shared" si="12"/>
        <v>8</v>
      </c>
      <c r="BS13" s="798">
        <f t="shared" si="12"/>
        <v>9</v>
      </c>
      <c r="BT13" s="798">
        <f t="shared" si="12"/>
        <v>10</v>
      </c>
      <c r="BU13" s="798">
        <f t="shared" si="12"/>
        <v>11</v>
      </c>
      <c r="BV13" s="798">
        <f t="shared" si="12"/>
        <v>12</v>
      </c>
      <c r="BW13" s="798">
        <f t="shared" si="12"/>
        <v>13</v>
      </c>
      <c r="BX13" s="798">
        <f t="shared" si="12"/>
        <v>14</v>
      </c>
      <c r="BY13" s="798">
        <f t="shared" si="12"/>
        <v>15</v>
      </c>
      <c r="BZ13" s="798">
        <f t="shared" si="12"/>
        <v>16</v>
      </c>
      <c r="CA13" s="798">
        <f t="shared" si="12"/>
        <v>17</v>
      </c>
      <c r="CB13" s="798">
        <f t="shared" si="12"/>
        <v>18</v>
      </c>
      <c r="CC13" s="798">
        <f t="shared" si="12"/>
        <v>19</v>
      </c>
      <c r="CD13" s="798">
        <f t="shared" si="12"/>
        <v>20</v>
      </c>
      <c r="CE13" s="798">
        <f t="shared" si="12"/>
        <v>21</v>
      </c>
      <c r="CF13" s="798">
        <f t="shared" si="12"/>
        <v>22</v>
      </c>
      <c r="CG13" s="798">
        <f t="shared" si="12"/>
        <v>23</v>
      </c>
      <c r="CH13" s="798">
        <f t="shared" si="12"/>
        <v>24</v>
      </c>
      <c r="CI13" s="798">
        <f t="shared" si="12"/>
        <v>25</v>
      </c>
      <c r="CJ13" s="798">
        <f t="shared" si="12"/>
        <v>26</v>
      </c>
      <c r="CK13" s="798">
        <f t="shared" si="12"/>
        <v>27</v>
      </c>
      <c r="CL13" s="798">
        <f t="shared" si="12"/>
        <v>28</v>
      </c>
      <c r="CM13" s="798">
        <f t="shared" si="12"/>
        <v>29</v>
      </c>
      <c r="CN13" s="798">
        <f t="shared" si="12"/>
        <v>30</v>
      </c>
      <c r="CO13" s="798">
        <f t="shared" si="12"/>
        <v>31</v>
      </c>
      <c r="CP13" s="798">
        <f t="shared" si="12"/>
        <v>32</v>
      </c>
      <c r="CQ13" s="798">
        <f t="shared" si="12"/>
        <v>33</v>
      </c>
      <c r="CR13" s="798">
        <f t="shared" si="12"/>
        <v>34</v>
      </c>
      <c r="CS13" s="798">
        <f t="shared" si="12"/>
        <v>35</v>
      </c>
      <c r="CT13" s="798">
        <f t="shared" si="12"/>
        <v>36</v>
      </c>
      <c r="CU13" s="798">
        <f t="shared" si="12"/>
        <v>37</v>
      </c>
      <c r="CV13" s="798">
        <f t="shared" si="12"/>
        <v>38</v>
      </c>
      <c r="CW13" s="798">
        <f t="shared" si="12"/>
        <v>39</v>
      </c>
      <c r="CX13" s="798">
        <f t="shared" si="12"/>
        <v>40</v>
      </c>
    </row>
    <row r="14" spans="2:102">
      <c r="B14" s="1161" t="s">
        <v>145</v>
      </c>
      <c r="F14" s="1161" t="s">
        <v>1186</v>
      </c>
      <c r="G14" s="686"/>
      <c r="H14" s="686"/>
      <c r="I14" s="279">
        <f>VLOOKUP(VLOOKUP($E11,$S$52:$T$56,2,0),$AC$73:$AM$77,MATCH(VALUE(RIGHT(I$5,4)),$AC$5:$AM$5,0),0)</f>
        <v>465.68565503424259</v>
      </c>
      <c r="J14" s="279">
        <f>VLOOKUP(VLOOKUP($E11,$S$52:$T$56,2,0),$AC$73:$AM$77,MATCH(VALUE(RIGHT(J$5,4)),$AC$5:$AM$5,0),0)</f>
        <v>490.87774802814079</v>
      </c>
      <c r="L14" s="666">
        <f t="shared" si="9"/>
        <v>0.41741966143442871</v>
      </c>
      <c r="M14" s="718">
        <v>5</v>
      </c>
      <c r="Z14" s="718">
        <f>G11*H11*K11*L14*N11</f>
        <v>6001.9545591290926</v>
      </c>
      <c r="AA14" s="756"/>
      <c r="AB14" s="1660"/>
      <c r="AC14" s="796" t="s">
        <v>53</v>
      </c>
      <c r="AD14" s="791">
        <f>ROUND(AW66/1000,3)</f>
        <v>6.0000000000000001E-3</v>
      </c>
      <c r="AE14" s="792">
        <f>ROUND(AX66/1000,3)</f>
        <v>5.0000000000000001E-3</v>
      </c>
      <c r="AF14" s="792">
        <f>ROUND(AZ66/1000,3)</f>
        <v>5.0000000000000001E-3</v>
      </c>
      <c r="AG14" s="792">
        <f t="shared" ref="AG14:AM14" si="13">ROUND(BA66/1000,3)</f>
        <v>3.0000000000000001E-3</v>
      </c>
      <c r="AH14" s="792">
        <f t="shared" si="13"/>
        <v>2E-3</v>
      </c>
      <c r="AI14" s="792">
        <f t="shared" si="13"/>
        <v>1E-3</v>
      </c>
      <c r="AJ14" s="792">
        <f t="shared" si="13"/>
        <v>0</v>
      </c>
      <c r="AK14" s="792">
        <f t="shared" si="13"/>
        <v>0</v>
      </c>
      <c r="AL14" s="792">
        <f t="shared" si="13"/>
        <v>0</v>
      </c>
      <c r="AM14" s="793">
        <f t="shared" si="13"/>
        <v>0</v>
      </c>
      <c r="AN14" s="756"/>
      <c r="AO14" s="756"/>
      <c r="AP14" s="785">
        <v>7</v>
      </c>
      <c r="AQ14" s="786">
        <f>AVERAGE(CarData!B29:C29)</f>
        <v>97740.5</v>
      </c>
      <c r="AR14" s="786">
        <f>AVERAGE(CarData!D29:E29)</f>
        <v>126994</v>
      </c>
      <c r="AS14" s="787">
        <f>AVERAGE(CarData!F29:G29)</f>
        <v>147132</v>
      </c>
      <c r="AT14" s="756"/>
      <c r="AU14" s="756"/>
      <c r="AV14" s="788">
        <f t="shared" si="1"/>
        <v>7</v>
      </c>
      <c r="AW14" s="789">
        <f t="shared" si="2"/>
        <v>139719</v>
      </c>
      <c r="AX14" s="789">
        <f t="shared" si="2"/>
        <v>104607</v>
      </c>
      <c r="AY14" s="789">
        <f t="shared" si="2"/>
        <v>55699</v>
      </c>
      <c r="AZ14" s="789">
        <f t="shared" si="2"/>
        <v>18191</v>
      </c>
      <c r="BA14" s="789">
        <f t="shared" si="2"/>
        <v>3119</v>
      </c>
      <c r="BB14" s="789">
        <f t="shared" si="2"/>
        <v>239</v>
      </c>
      <c r="BC14" s="789">
        <f t="shared" si="2"/>
        <v>7</v>
      </c>
      <c r="BD14" s="790">
        <f t="shared" si="2"/>
        <v>0</v>
      </c>
      <c r="BE14" s="756"/>
      <c r="BF14" s="756"/>
      <c r="BG14" s="756"/>
      <c r="BH14" s="756"/>
      <c r="BI14" s="799" t="s">
        <v>936</v>
      </c>
      <c r="BJ14" s="800">
        <f t="shared" ref="BJ14:CX14" si="14">+IF(BJ13&lt;=MAX($BJ$11,0),1,  EXP(  -(  (  (BJ13-$BJ$11)/$BJ$9  )^$BJ$10  )  ))</f>
        <v>1</v>
      </c>
      <c r="BK14" s="800">
        <f t="shared" si="14"/>
        <v>0.99991410860612417</v>
      </c>
      <c r="BL14" s="800">
        <f t="shared" si="14"/>
        <v>0.9992195361566989</v>
      </c>
      <c r="BM14" s="800">
        <f t="shared" si="14"/>
        <v>0.99716453669151872</v>
      </c>
      <c r="BN14" s="800">
        <f t="shared" si="14"/>
        <v>0.99292809940492943</v>
      </c>
      <c r="BO14" s="800">
        <f t="shared" si="14"/>
        <v>0.98566065581078033</v>
      </c>
      <c r="BP14" s="800">
        <f t="shared" si="14"/>
        <v>0.9745198552529365</v>
      </c>
      <c r="BQ14" s="800">
        <f t="shared" si="14"/>
        <v>0.95870994801252296</v>
      </c>
      <c r="BR14" s="800">
        <f t="shared" si="14"/>
        <v>0.93752627799089538</v>
      </c>
      <c r="BS14" s="800">
        <f t="shared" si="14"/>
        <v>0.91040389563683743</v>
      </c>
      <c r="BT14" s="800">
        <f t="shared" si="14"/>
        <v>0.87696761424636627</v>
      </c>
      <c r="BU14" s="800">
        <f t="shared" si="14"/>
        <v>0.83707945545245599</v>
      </c>
      <c r="BV14" s="800">
        <f t="shared" si="14"/>
        <v>0.79087838346939432</v>
      </c>
      <c r="BW14" s="800">
        <f t="shared" si="14"/>
        <v>0.73880668372977898</v>
      </c>
      <c r="BX14" s="800">
        <f t="shared" si="14"/>
        <v>0.68161750830146905</v>
      </c>
      <c r="BY14" s="800">
        <f t="shared" si="14"/>
        <v>0.6203591582718655</v>
      </c>
      <c r="BZ14" s="800">
        <f t="shared" si="14"/>
        <v>0.55633366542933571</v>
      </c>
      <c r="CA14" s="800">
        <f t="shared" si="14"/>
        <v>0.4910300689339831</v>
      </c>
      <c r="CB14" s="800">
        <f t="shared" si="14"/>
        <v>0.42603615357492164</v>
      </c>
      <c r="CC14" s="800">
        <f t="shared" si="14"/>
        <v>0.36293582918014178</v>
      </c>
      <c r="CD14" s="800">
        <f t="shared" si="14"/>
        <v>0.30320216224398971</v>
      </c>
      <c r="CE14" s="800">
        <f t="shared" si="14"/>
        <v>0.24809768696079504</v>
      </c>
      <c r="CF14" s="800">
        <f t="shared" si="14"/>
        <v>0.19859353171072761</v>
      </c>
      <c r="CG14" s="800">
        <f t="shared" si="14"/>
        <v>0.15531689885966579</v>
      </c>
      <c r="CH14" s="800">
        <f t="shared" si="14"/>
        <v>0.11853272373571756</v>
      </c>
      <c r="CI14" s="800">
        <f t="shared" si="14"/>
        <v>8.8160508412827715E-2</v>
      </c>
      <c r="CJ14" s="800">
        <f t="shared" si="14"/>
        <v>6.3822272629914814E-2</v>
      </c>
      <c r="CK14" s="800">
        <f t="shared" si="14"/>
        <v>4.4913281734575435E-2</v>
      </c>
      <c r="CL14" s="800">
        <f t="shared" si="14"/>
        <v>3.0684544353199485E-2</v>
      </c>
      <c r="CM14" s="800">
        <f t="shared" si="14"/>
        <v>2.032549364454133E-2</v>
      </c>
      <c r="CN14" s="800">
        <f t="shared" si="14"/>
        <v>1.3036754644380326E-2</v>
      </c>
      <c r="CO14" s="800">
        <f t="shared" si="14"/>
        <v>8.085961133918634E-3</v>
      </c>
      <c r="CP14" s="800">
        <f t="shared" si="14"/>
        <v>4.8434056398182074E-3</v>
      </c>
      <c r="CQ14" s="800">
        <f t="shared" si="14"/>
        <v>2.7979947970093503E-3</v>
      </c>
      <c r="CR14" s="800">
        <f t="shared" si="14"/>
        <v>1.5568124870497775E-3</v>
      </c>
      <c r="CS14" s="800">
        <f t="shared" si="14"/>
        <v>8.3316739348158423E-4</v>
      </c>
      <c r="CT14" s="800">
        <f t="shared" si="14"/>
        <v>4.2829677132559313E-4</v>
      </c>
      <c r="CU14" s="800">
        <f t="shared" si="14"/>
        <v>2.111936319669825E-4</v>
      </c>
      <c r="CV14" s="800">
        <f t="shared" si="14"/>
        <v>9.9757184505159361E-5</v>
      </c>
      <c r="CW14" s="800">
        <f t="shared" si="14"/>
        <v>4.507500461671761E-5</v>
      </c>
      <c r="CX14" s="800">
        <f t="shared" si="14"/>
        <v>1.9456001105115882E-5</v>
      </c>
    </row>
    <row r="15" spans="2:102">
      <c r="B15" s="1161" t="s">
        <v>145</v>
      </c>
      <c r="C15" s="713" t="str">
        <f>Processes!$D$8</f>
        <v>TPCALPGX1E</v>
      </c>
      <c r="D15" s="713" t="str">
        <f>Processes!$E$8</f>
        <v>Transport Passengers Cars - LPG - Average size - Existing</v>
      </c>
      <c r="E15" s="713" t="str">
        <f>Commodities!D40</f>
        <v>TRALPGC</v>
      </c>
      <c r="F15" s="713" t="s">
        <v>1180</v>
      </c>
      <c r="G15" s="523">
        <v>1E-3</v>
      </c>
      <c r="H15" s="1206">
        <f>VLOOKUP(VLOOKUP($E15,$S$52:$T$56,2,0),$AC$18:$AM$22,MATCH(VALUE(RIGHT(H$5,4)),$AC$5:$AM$5,0),0)</f>
        <v>1.5543363055032191</v>
      </c>
      <c r="I15" s="718">
        <f>VLOOKUP(VLOOKUP($E15,$S$52:$T$56,2,0),$AC$40:$AM$44,MATCH(VALUE(RIGHT(I$5,4)),$AC$5:$AM$5,0),0)</f>
        <v>232.16306735897328</v>
      </c>
      <c r="J15" s="718">
        <f>VLOOKUP(VLOOKUP($E15,$S$52:$T$56,2,0),$AC$40:$AM$44,MATCH(VALUE(RIGHT(J$5,4)),$AC$5:$AM$5,0),0)</f>
        <v>244.7223410222899</v>
      </c>
      <c r="K15" s="718">
        <f>(K7*N7+K11*N11)/(N7+N11)</f>
        <v>14703.650590213509</v>
      </c>
      <c r="L15" s="666">
        <f t="shared" si="9"/>
        <v>6.2887732543907962E-2</v>
      </c>
      <c r="M15" s="718">
        <v>5</v>
      </c>
      <c r="N15" s="720">
        <f t="shared" ref="N15:W15" si="15">VLOOKUP(VLOOKUP($E15,$S$52:$T$56,2,0),$AC$7:$AM$11,MATCH(VALUE(RIGHT(N$5,4)),$AC$5:$AM$5,0),0)</f>
        <v>4.0000000000000001E-3</v>
      </c>
      <c r="O15" s="720">
        <f t="shared" si="15"/>
        <v>4.0000000000000001E-3</v>
      </c>
      <c r="P15" s="720">
        <f t="shared" si="15"/>
        <v>4.0000000000000001E-3</v>
      </c>
      <c r="Q15" s="720">
        <f t="shared" si="15"/>
        <v>3.0000000000000001E-3</v>
      </c>
      <c r="R15" s="720">
        <f t="shared" si="15"/>
        <v>2E-3</v>
      </c>
      <c r="S15" s="720">
        <f t="shared" si="15"/>
        <v>1E-3</v>
      </c>
      <c r="T15" s="720">
        <f t="shared" si="15"/>
        <v>0</v>
      </c>
      <c r="U15" s="720">
        <f t="shared" si="15"/>
        <v>0</v>
      </c>
      <c r="V15" s="720">
        <f t="shared" si="15"/>
        <v>0</v>
      </c>
      <c r="W15" s="720">
        <f t="shared" si="15"/>
        <v>0</v>
      </c>
      <c r="X15" s="713">
        <v>3.5E-4</v>
      </c>
      <c r="Z15" s="718">
        <f>G15*H15*K15*L15*N15</f>
        <v>5.7490500903738121E-3</v>
      </c>
      <c r="AA15" s="756"/>
      <c r="AB15" s="1660"/>
      <c r="AC15" s="796" t="s">
        <v>931</v>
      </c>
      <c r="AD15" s="791">
        <f>ROUND(AW69/1000,3)</f>
        <v>1E-3</v>
      </c>
      <c r="AE15" s="792">
        <f>ROUND(AX69/1000,3)</f>
        <v>2E-3</v>
      </c>
      <c r="AF15" s="792">
        <f>ROUND(AZ69/1000,3)</f>
        <v>2.1000000000000001E-2</v>
      </c>
      <c r="AG15" s="792">
        <f t="shared" ref="AG15:AM15" si="16">ROUND(BA69/1000,3)</f>
        <v>1.4999999999999999E-2</v>
      </c>
      <c r="AH15" s="792">
        <f t="shared" si="16"/>
        <v>8.9999999999999993E-3</v>
      </c>
      <c r="AI15" s="792">
        <f t="shared" si="16"/>
        <v>4.0000000000000001E-3</v>
      </c>
      <c r="AJ15" s="792">
        <f t="shared" si="16"/>
        <v>1E-3</v>
      </c>
      <c r="AK15" s="792">
        <f t="shared" si="16"/>
        <v>0</v>
      </c>
      <c r="AL15" s="792">
        <f t="shared" si="16"/>
        <v>0</v>
      </c>
      <c r="AM15" s="793">
        <f t="shared" si="16"/>
        <v>0</v>
      </c>
      <c r="AN15" s="756"/>
      <c r="AO15" s="756"/>
      <c r="AP15" s="785">
        <v>8</v>
      </c>
      <c r="AQ15" s="786">
        <f>AVERAGE(CarData!B30:C30)</f>
        <v>94873.5</v>
      </c>
      <c r="AR15" s="786">
        <f>AVERAGE(CarData!D30:E30)</f>
        <v>100873</v>
      </c>
      <c r="AS15" s="787">
        <f>AVERAGE(CarData!F30:G30)</f>
        <v>137603.5</v>
      </c>
      <c r="AT15" s="756"/>
      <c r="AU15" s="756"/>
      <c r="AV15" s="788">
        <f t="shared" si="1"/>
        <v>8</v>
      </c>
      <c r="AW15" s="789">
        <f t="shared" si="2"/>
        <v>128715</v>
      </c>
      <c r="AX15" s="789">
        <f t="shared" si="2"/>
        <v>91052</v>
      </c>
      <c r="AY15" s="789">
        <f t="shared" si="2"/>
        <v>44502</v>
      </c>
      <c r="AZ15" s="789">
        <f t="shared" si="2"/>
        <v>12940</v>
      </c>
      <c r="BA15" s="789">
        <f t="shared" si="2"/>
        <v>1913</v>
      </c>
      <c r="BB15" s="789">
        <f t="shared" si="2"/>
        <v>122</v>
      </c>
      <c r="BC15" s="789">
        <f t="shared" si="2"/>
        <v>3</v>
      </c>
      <c r="BD15" s="790">
        <f t="shared" si="2"/>
        <v>0</v>
      </c>
      <c r="BE15" s="756"/>
      <c r="BF15" s="756"/>
      <c r="BG15" s="756"/>
      <c r="BH15" s="756"/>
    </row>
    <row r="16" spans="2:102">
      <c r="B16" s="1161" t="s">
        <v>145</v>
      </c>
      <c r="F16" s="1161" t="s">
        <v>1182</v>
      </c>
      <c r="G16" s="1205"/>
      <c r="H16" s="1205"/>
      <c r="I16" s="279">
        <f>VLOOKUP(VLOOKUP($E15,$S$52:$T$56,2,0),$AC$51:$AM$55,MATCH(VALUE(RIGHT(I$5,4)),$AC$5:$AM$5,0),0)</f>
        <v>293.81948852643836</v>
      </c>
      <c r="J16" s="279">
        <f>VLOOKUP(VLOOKUP($E15,$S$52:$T$56,2,0),$AC$51:$AM$55,MATCH(VALUE(RIGHT(J$5,4)),$AC$5:$AM$5,0),0)</f>
        <v>309.71417585116035</v>
      </c>
      <c r="L16" s="666">
        <f t="shared" si="9"/>
        <v>0.30174197570528116</v>
      </c>
      <c r="M16" s="718">
        <v>5</v>
      </c>
      <c r="N16" s="720"/>
      <c r="O16" s="720"/>
      <c r="P16" s="720"/>
      <c r="Q16" s="720"/>
      <c r="R16" s="720"/>
      <c r="S16" s="720"/>
      <c r="T16" s="720"/>
      <c r="U16" s="720"/>
      <c r="V16" s="720"/>
      <c r="W16" s="720"/>
      <c r="Z16" s="718">
        <f>G15*H15*K15*L16*N15</f>
        <v>2.7584548886173274E-2</v>
      </c>
      <c r="AA16" s="756"/>
      <c r="AB16" s="1661"/>
      <c r="AC16" s="795" t="s">
        <v>51</v>
      </c>
      <c r="AD16" s="792">
        <f>ROUND(AW72/1000,3)</f>
        <v>0.14799999999999999</v>
      </c>
      <c r="AE16" s="792">
        <f>ROUND(AX72/1000,3)</f>
        <v>0.57499999999999996</v>
      </c>
      <c r="AF16" s="792">
        <f>ROUND(AZ72/1000,3)</f>
        <v>1.2030000000000001</v>
      </c>
      <c r="AG16" s="792">
        <f t="shared" ref="AG16:AM16" si="17">ROUND(BA72/1000,3)</f>
        <v>0.85599999999999998</v>
      </c>
      <c r="AH16" s="792">
        <f t="shared" si="17"/>
        <v>0.50900000000000001</v>
      </c>
      <c r="AI16" s="792">
        <f t="shared" si="17"/>
        <v>0.22900000000000001</v>
      </c>
      <c r="AJ16" s="792">
        <f t="shared" si="17"/>
        <v>6.9000000000000006E-2</v>
      </c>
      <c r="AK16" s="792">
        <f t="shared" si="17"/>
        <v>1.2E-2</v>
      </c>
      <c r="AL16" s="792">
        <f t="shared" si="17"/>
        <v>1E-3</v>
      </c>
      <c r="AM16" s="793">
        <f t="shared" si="17"/>
        <v>0</v>
      </c>
      <c r="AN16" s="756"/>
      <c r="AO16" s="756"/>
      <c r="AP16" s="785">
        <v>9</v>
      </c>
      <c r="AQ16" s="786">
        <f>AVERAGE(CarData!B31:C31)</f>
        <v>93082.5</v>
      </c>
      <c r="AR16" s="786">
        <f>AVERAGE(CarData!D31:E31)</f>
        <v>93089.5</v>
      </c>
      <c r="AS16" s="787">
        <f>AVERAGE(CarData!F31:G31)</f>
        <v>119894</v>
      </c>
      <c r="AT16" s="756"/>
      <c r="AU16" s="756"/>
      <c r="AV16" s="788">
        <f t="shared" si="1"/>
        <v>9</v>
      </c>
      <c r="AW16" s="789">
        <f t="shared" si="2"/>
        <v>110238</v>
      </c>
      <c r="AX16" s="789">
        <f t="shared" si="2"/>
        <v>73265</v>
      </c>
      <c r="AY16" s="789">
        <f t="shared" si="2"/>
        <v>32673</v>
      </c>
      <c r="AZ16" s="789">
        <f t="shared" si="2"/>
        <v>8405</v>
      </c>
      <c r="BA16" s="789">
        <f t="shared" si="2"/>
        <v>1065</v>
      </c>
      <c r="BB16" s="789">
        <f t="shared" si="2"/>
        <v>56</v>
      </c>
      <c r="BC16" s="789">
        <f t="shared" si="2"/>
        <v>0</v>
      </c>
      <c r="BD16" s="790">
        <f t="shared" si="2"/>
        <v>0</v>
      </c>
      <c r="BE16" s="756"/>
      <c r="BF16" s="756"/>
      <c r="BG16" s="756"/>
      <c r="BH16" s="756"/>
    </row>
    <row r="17" spans="2:61">
      <c r="B17" s="1161" t="s">
        <v>145</v>
      </c>
      <c r="F17" s="1161" t="s">
        <v>1184</v>
      </c>
      <c r="G17" s="1205"/>
      <c r="H17" s="1205"/>
      <c r="I17" s="279">
        <f>VLOOKUP(VLOOKUP($E15,$S$52:$T$56,2,0),$AC$62:$AM$66,MATCH(VALUE(RIGHT(I$5,4)),$AC$5:$AM$5,0),0)</f>
        <v>380.5951923917595</v>
      </c>
      <c r="J17" s="279">
        <f>VLOOKUP(VLOOKUP($E15,$S$52:$T$56,2,0),$AC$62:$AM$66,MATCH(VALUE(RIGHT(J$5,4)),$AC$5:$AM$5,0),0)</f>
        <v>401.18416561031131</v>
      </c>
      <c r="L17" s="666">
        <f t="shared" si="9"/>
        <v>0.21795063031638209</v>
      </c>
      <c r="M17" s="718">
        <v>5</v>
      </c>
      <c r="N17" s="720"/>
      <c r="O17" s="720"/>
      <c r="P17" s="720"/>
      <c r="Q17" s="720"/>
      <c r="R17" s="720"/>
      <c r="S17" s="720"/>
      <c r="T17" s="720"/>
      <c r="U17" s="720"/>
      <c r="V17" s="720"/>
      <c r="W17" s="720"/>
      <c r="Z17" s="718">
        <f>G15*H15*K15*L17*N15</f>
        <v>1.9924539178488899E-2</v>
      </c>
      <c r="AA17" s="756"/>
      <c r="AB17" s="771" t="s">
        <v>937</v>
      </c>
      <c r="AC17" s="773"/>
      <c r="AD17" s="773"/>
      <c r="AE17" s="773"/>
      <c r="AF17" s="773"/>
      <c r="AG17" s="773"/>
      <c r="AH17" s="773"/>
      <c r="AI17" s="773"/>
      <c r="AJ17" s="773"/>
      <c r="AK17" s="773"/>
      <c r="AL17" s="773"/>
      <c r="AM17" s="774"/>
      <c r="AN17" s="756"/>
      <c r="AO17" s="756"/>
      <c r="AP17" s="785">
        <v>10</v>
      </c>
      <c r="AQ17" s="786">
        <f>AVERAGE(CarData!B32:C32)</f>
        <v>111197</v>
      </c>
      <c r="AR17" s="786">
        <f>AVERAGE(CarData!D32:E32)</f>
        <v>89586.5</v>
      </c>
      <c r="AS17" s="787">
        <f>AVERAGE(CarData!F32:G32)</f>
        <v>94299.5</v>
      </c>
      <c r="AT17" s="756"/>
      <c r="AU17" s="756"/>
      <c r="AV17" s="788">
        <f t="shared" si="1"/>
        <v>10</v>
      </c>
      <c r="AW17" s="789">
        <f t="shared" si="2"/>
        <v>85042</v>
      </c>
      <c r="AX17" s="789">
        <f t="shared" si="2"/>
        <v>52800</v>
      </c>
      <c r="AY17" s="789">
        <f t="shared" si="2"/>
        <v>21355</v>
      </c>
      <c r="AZ17" s="789">
        <f t="shared" si="2"/>
        <v>4829</v>
      </c>
      <c r="BA17" s="789">
        <f t="shared" si="2"/>
        <v>521</v>
      </c>
      <c r="BB17" s="789">
        <f t="shared" si="2"/>
        <v>23</v>
      </c>
      <c r="BC17" s="789">
        <f t="shared" si="2"/>
        <v>0</v>
      </c>
      <c r="BD17" s="790">
        <f t="shared" si="2"/>
        <v>0</v>
      </c>
      <c r="BE17" s="756"/>
      <c r="BF17" s="756"/>
      <c r="BG17" s="756"/>
      <c r="BH17" s="756"/>
      <c r="BI17" s="718"/>
    </row>
    <row r="18" spans="2:61">
      <c r="B18" s="1161" t="s">
        <v>145</v>
      </c>
      <c r="F18" s="1161" t="s">
        <v>1186</v>
      </c>
      <c r="G18" s="686"/>
      <c r="H18" s="686"/>
      <c r="I18" s="279">
        <f>VLOOKUP(VLOOKUP($E15,$S$52:$T$56,2,0),$AC$73:$AM$77,MATCH(VALUE(RIGHT(I$5,4)),$AC$5:$AM$5,0),0)</f>
        <v>465.68565503424259</v>
      </c>
      <c r="J18" s="279">
        <f>VLOOKUP(VLOOKUP($E15,$S$52:$T$56,2,0),$AC$73:$AM$77,MATCH(VALUE(RIGHT(J$5,4)),$AC$5:$AM$5,0),0)</f>
        <v>490.87774802814079</v>
      </c>
      <c r="L18" s="666">
        <f t="shared" si="9"/>
        <v>0.41741966143442871</v>
      </c>
      <c r="M18" s="718">
        <v>5</v>
      </c>
      <c r="Z18" s="718">
        <f>G15*H15*K15*L18*N15</f>
        <v>3.8159533588174782E-2</v>
      </c>
      <c r="AA18" s="756"/>
      <c r="AB18" s="1659" t="s">
        <v>928</v>
      </c>
      <c r="AC18" s="782" t="s">
        <v>790</v>
      </c>
      <c r="AD18" s="801">
        <f>$AW$79</f>
        <v>1.5543363055032191</v>
      </c>
      <c r="AE18" s="802"/>
      <c r="AF18" s="802"/>
      <c r="AG18" s="802"/>
      <c r="AH18" s="802"/>
      <c r="AI18" s="802"/>
      <c r="AJ18" s="802"/>
      <c r="AK18" s="802"/>
      <c r="AL18" s="802"/>
      <c r="AM18" s="803"/>
      <c r="AN18" s="756"/>
      <c r="AO18" s="756"/>
      <c r="AP18" s="785">
        <v>11</v>
      </c>
      <c r="AQ18" s="786">
        <f>AVERAGE(CarData!B33:C33)</f>
        <v>127744.5</v>
      </c>
      <c r="AR18" s="786">
        <f>AVERAGE(CarData!D33:E33)</f>
        <v>87411.5</v>
      </c>
      <c r="AS18" s="787">
        <f>AVERAGE(CarData!F33:G33)</f>
        <v>86990</v>
      </c>
      <c r="AT18" s="756"/>
      <c r="AU18" s="756"/>
      <c r="AV18" s="788">
        <f t="shared" si="1"/>
        <v>11</v>
      </c>
      <c r="AW18" s="789">
        <f t="shared" si="2"/>
        <v>76777</v>
      </c>
      <c r="AX18" s="789">
        <f t="shared" si="2"/>
        <v>44274</v>
      </c>
      <c r="AY18" s="789">
        <f t="shared" si="2"/>
        <v>16141</v>
      </c>
      <c r="AZ18" s="789">
        <f t="shared" si="2"/>
        <v>3189</v>
      </c>
      <c r="BA18" s="789">
        <f t="shared" si="2"/>
        <v>291</v>
      </c>
      <c r="BB18" s="789">
        <f t="shared" si="2"/>
        <v>10</v>
      </c>
      <c r="BC18" s="789">
        <f t="shared" si="2"/>
        <v>0</v>
      </c>
      <c r="BD18" s="790">
        <f t="shared" si="2"/>
        <v>0</v>
      </c>
      <c r="BE18" s="756"/>
      <c r="BF18" s="756"/>
      <c r="BG18" s="756"/>
      <c r="BH18" s="756"/>
      <c r="BI18" s="170"/>
    </row>
    <row r="19" spans="2:61">
      <c r="B19" s="1161" t="s">
        <v>145</v>
      </c>
      <c r="C19" s="713" t="str">
        <f>Processes!$D$9</f>
        <v>TPCANGBL1E</v>
      </c>
      <c r="D19" s="713" t="str">
        <f>Processes!$E$9</f>
        <v>Transport Passengers Cars - Gas Engine - Blending 1 - Average size - Existing</v>
      </c>
      <c r="E19" s="713" t="str">
        <f>Commodities!D119</f>
        <v>TRANGBL1C</v>
      </c>
      <c r="F19" s="713" t="s">
        <v>1180</v>
      </c>
      <c r="G19" s="523">
        <v>1E-3</v>
      </c>
      <c r="H19" s="1206">
        <f>VLOOKUP(VLOOKUP($E19,$S$52:$T$56,2,0),$AC$18:$AM$22,MATCH(VALUE(RIGHT(H$5,4)),$AC$5:$AM$5,0),0)</f>
        <v>1.5543363055032191</v>
      </c>
      <c r="I19" s="718">
        <f>VLOOKUP(VLOOKUP($E19,$S$52:$T$56,2,0),$AC$40:$AM$44,MATCH(VALUE(RIGHT(I$5,4)),$AC$5:$AM$5,0),0)</f>
        <v>232.16306735897328</v>
      </c>
      <c r="J19" s="718">
        <f>VLOOKUP(VLOOKUP($E19,$S$52:$T$56,2,0),$AC$40:$AM$44,MATCH(VALUE(RIGHT(J$5,4)),$AC$5:$AM$5,0),0)</f>
        <v>244.7223410222899</v>
      </c>
      <c r="K19" s="279">
        <f>K15</f>
        <v>14703.650590213509</v>
      </c>
      <c r="L19" s="1260">
        <v>0.1</v>
      </c>
      <c r="M19" s="718">
        <v>5</v>
      </c>
      <c r="N19" s="720">
        <f t="shared" ref="N19:W19" si="18">VLOOKUP(VLOOKUP($E19,$S$52:$T$56,2,0),$AC$7:$AM$11,MATCH(VALUE(RIGHT(N$5,4)),$AC$5:$AM$5,0),0)</f>
        <v>0</v>
      </c>
      <c r="O19" s="720">
        <f t="shared" si="18"/>
        <v>2E-3</v>
      </c>
      <c r="P19" s="720">
        <f t="shared" si="18"/>
        <v>1.6E-2</v>
      </c>
      <c r="Q19" s="720">
        <f t="shared" si="18"/>
        <v>1.0999999999999999E-2</v>
      </c>
      <c r="R19" s="720">
        <f t="shared" si="18"/>
        <v>7.0000000000000001E-3</v>
      </c>
      <c r="S19" s="720">
        <f t="shared" si="18"/>
        <v>3.0000000000000001E-3</v>
      </c>
      <c r="T19" s="720">
        <f t="shared" si="18"/>
        <v>1E-3</v>
      </c>
      <c r="U19" s="720">
        <f t="shared" si="18"/>
        <v>0</v>
      </c>
      <c r="V19" s="720">
        <f t="shared" si="18"/>
        <v>0</v>
      </c>
      <c r="W19" s="720">
        <f t="shared" si="18"/>
        <v>0</v>
      </c>
      <c r="X19" s="713">
        <v>3.5E-4</v>
      </c>
      <c r="Z19" s="718">
        <f>G19*H19*K19*L19*N19</f>
        <v>0</v>
      </c>
      <c r="AA19" s="756"/>
      <c r="AB19" s="1660"/>
      <c r="AC19" s="796" t="s">
        <v>791</v>
      </c>
      <c r="AD19" s="804">
        <f>$AW$79</f>
        <v>1.5543363055032191</v>
      </c>
      <c r="AE19" s="805"/>
      <c r="AF19" s="805"/>
      <c r="AG19" s="805"/>
      <c r="AH19" s="805"/>
      <c r="AI19" s="805"/>
      <c r="AJ19" s="805"/>
      <c r="AK19" s="805"/>
      <c r="AL19" s="805"/>
      <c r="AM19" s="806"/>
      <c r="AN19" s="756"/>
      <c r="AO19" s="756"/>
      <c r="AP19" s="785">
        <v>12</v>
      </c>
      <c r="AQ19" s="786">
        <f>AVERAGE(CarData!B34:C34)</f>
        <v>125089.5</v>
      </c>
      <c r="AR19" s="786">
        <f>AVERAGE(CarData!D34:E34)</f>
        <v>102743.5</v>
      </c>
      <c r="AS19" s="787">
        <f>AVERAGE(CarData!F34:G34)</f>
        <v>82948.5</v>
      </c>
      <c r="AT19" s="756"/>
      <c r="AU19" s="756"/>
      <c r="AV19" s="788">
        <f t="shared" si="1"/>
        <v>12</v>
      </c>
      <c r="AW19" s="789">
        <f t="shared" si="2"/>
        <v>71489</v>
      </c>
      <c r="AX19" s="789">
        <f t="shared" si="2"/>
        <v>38065</v>
      </c>
      <c r="AY19" s="789">
        <f t="shared" si="2"/>
        <v>12432</v>
      </c>
      <c r="AZ19" s="789">
        <f t="shared" si="2"/>
        <v>2132</v>
      </c>
      <c r="BA19" s="789">
        <f t="shared" si="2"/>
        <v>163</v>
      </c>
      <c r="BB19" s="789">
        <f t="shared" si="2"/>
        <v>5</v>
      </c>
      <c r="BC19" s="789">
        <f t="shared" si="2"/>
        <v>0</v>
      </c>
      <c r="BD19" s="790">
        <f t="shared" si="2"/>
        <v>0</v>
      </c>
      <c r="BE19" s="756"/>
      <c r="BF19" s="756"/>
      <c r="BG19" s="756"/>
      <c r="BH19" s="756"/>
      <c r="BI19" s="170"/>
    </row>
    <row r="20" spans="2:61">
      <c r="B20" s="1161" t="s">
        <v>145</v>
      </c>
      <c r="F20" s="1161" t="s">
        <v>1182</v>
      </c>
      <c r="G20" s="1205"/>
      <c r="H20" s="1205"/>
      <c r="I20" s="279">
        <f>VLOOKUP(VLOOKUP($E19,$S$52:$T$56,2,0),$AC$51:$AM$55,MATCH(VALUE(RIGHT(I$5,4)),$AC$5:$AM$5,0),0)</f>
        <v>293.81948852643836</v>
      </c>
      <c r="J20" s="279">
        <f>VLOOKUP(VLOOKUP($E19,$S$52:$T$56,2,0),$AC$51:$AM$55,MATCH(VALUE(RIGHT(J$5,4)),$AC$5:$AM$5,0),0)</f>
        <v>309.71417585116035</v>
      </c>
      <c r="L20" s="1260">
        <v>0.4</v>
      </c>
      <c r="M20" s="718">
        <v>5</v>
      </c>
      <c r="N20" s="720"/>
      <c r="O20" s="720"/>
      <c r="P20" s="720"/>
      <c r="Q20" s="720"/>
      <c r="R20" s="720"/>
      <c r="S20" s="720"/>
      <c r="T20" s="720"/>
      <c r="U20" s="720"/>
      <c r="V20" s="720"/>
      <c r="W20" s="720"/>
      <c r="Z20" s="718">
        <f>G19*H19*K19*L20*N19</f>
        <v>0</v>
      </c>
      <c r="AA20" s="756"/>
      <c r="AB20" s="1660"/>
      <c r="AC20" s="796" t="s">
        <v>53</v>
      </c>
      <c r="AD20" s="804">
        <f>$AW$79</f>
        <v>1.5543363055032191</v>
      </c>
      <c r="AE20" s="805"/>
      <c r="AF20" s="805"/>
      <c r="AG20" s="805"/>
      <c r="AH20" s="805"/>
      <c r="AI20" s="805"/>
      <c r="AJ20" s="805"/>
      <c r="AK20" s="805"/>
      <c r="AL20" s="805"/>
      <c r="AM20" s="806"/>
      <c r="AN20" s="756"/>
      <c r="AO20" s="1293"/>
      <c r="AP20" s="785">
        <v>13</v>
      </c>
      <c r="AQ20" s="786">
        <f>AVERAGE(CarData!B35:C35)</f>
        <v>112053</v>
      </c>
      <c r="AR20" s="786">
        <f>AVERAGE(CarData!D35:E35)</f>
        <v>115744.5</v>
      </c>
      <c r="AS20" s="787">
        <f>AVERAGE(CarData!F35:G35)</f>
        <v>79174</v>
      </c>
      <c r="AT20" s="756"/>
      <c r="AU20" s="756"/>
      <c r="AV20" s="788">
        <f t="shared" si="1"/>
        <v>13</v>
      </c>
      <c r="AW20" s="789">
        <f t="shared" si="2"/>
        <v>66481</v>
      </c>
      <c r="AX20" s="789">
        <f t="shared" si="2"/>
        <v>32493</v>
      </c>
      <c r="AY20" s="789">
        <f t="shared" si="2"/>
        <v>9448</v>
      </c>
      <c r="AZ20" s="789">
        <f t="shared" si="2"/>
        <v>1397</v>
      </c>
      <c r="BA20" s="789">
        <f t="shared" si="2"/>
        <v>89</v>
      </c>
      <c r="BB20" s="789">
        <f t="shared" si="2"/>
        <v>2</v>
      </c>
      <c r="BC20" s="789">
        <f t="shared" si="2"/>
        <v>0</v>
      </c>
      <c r="BD20" s="790">
        <f t="shared" si="2"/>
        <v>0</v>
      </c>
      <c r="BE20" s="756"/>
      <c r="BF20" s="756"/>
      <c r="BG20" s="756"/>
      <c r="BH20" s="756"/>
    </row>
    <row r="21" spans="2:61">
      <c r="B21" s="1161" t="s">
        <v>145</v>
      </c>
      <c r="F21" s="1161" t="s">
        <v>1184</v>
      </c>
      <c r="G21" s="1205"/>
      <c r="H21" s="1205"/>
      <c r="I21" s="279">
        <f>VLOOKUP(VLOOKUP($E19,$S$52:$T$56,2,0),$AC$62:$AM$66,MATCH(VALUE(RIGHT(I$5,4)),$AC$5:$AM$5,0),0)</f>
        <v>380.5951923917595</v>
      </c>
      <c r="J21" s="279">
        <f>VLOOKUP(VLOOKUP($E19,$S$52:$T$56,2,0),$AC$62:$AM$66,MATCH(VALUE(RIGHT(J$5,4)),$AC$5:$AM$5,0),0)</f>
        <v>401.18416561031131</v>
      </c>
      <c r="L21" s="1260">
        <v>0.4</v>
      </c>
      <c r="M21" s="718">
        <v>5</v>
      </c>
      <c r="N21" s="720"/>
      <c r="O21" s="720"/>
      <c r="P21" s="720"/>
      <c r="Q21" s="720"/>
      <c r="R21" s="720"/>
      <c r="S21" s="720"/>
      <c r="T21" s="720"/>
      <c r="U21" s="720"/>
      <c r="V21" s="720"/>
      <c r="W21" s="720"/>
      <c r="Z21" s="718">
        <f>G19*H19*K19*L21*N19</f>
        <v>0</v>
      </c>
      <c r="AA21" s="756"/>
      <c r="AB21" s="1660"/>
      <c r="AC21" s="796" t="s">
        <v>931</v>
      </c>
      <c r="AD21" s="804">
        <f>$AW$79</f>
        <v>1.5543363055032191</v>
      </c>
      <c r="AE21" s="805"/>
      <c r="AF21" s="805"/>
      <c r="AG21" s="805"/>
      <c r="AH21" s="805"/>
      <c r="AI21" s="805"/>
      <c r="AJ21" s="805"/>
      <c r="AK21" s="805"/>
      <c r="AL21" s="805"/>
      <c r="AM21" s="806"/>
      <c r="AN21" s="756"/>
      <c r="AO21" s="756"/>
      <c r="AP21" s="785">
        <v>14</v>
      </c>
      <c r="AQ21" s="786">
        <f>AVERAGE(CarData!B36:C36)</f>
        <v>95163.5</v>
      </c>
      <c r="AR21" s="786">
        <f>AVERAGE(CarData!D36:E36)</f>
        <v>106130</v>
      </c>
      <c r="AS21" s="787">
        <f>AVERAGE(CarData!F36:G36)</f>
        <v>88133</v>
      </c>
      <c r="AT21" s="756"/>
      <c r="AU21" s="756"/>
      <c r="AV21" s="788">
        <f t="shared" si="1"/>
        <v>14</v>
      </c>
      <c r="AW21" s="789">
        <f t="shared" si="2"/>
        <v>71934</v>
      </c>
      <c r="AX21" s="789">
        <f t="shared" si="2"/>
        <v>32079</v>
      </c>
      <c r="AY21" s="789">
        <f t="shared" si="2"/>
        <v>8252</v>
      </c>
      <c r="AZ21" s="789">
        <f t="shared" si="2"/>
        <v>1046</v>
      </c>
      <c r="BA21" s="789">
        <f t="shared" si="2"/>
        <v>55</v>
      </c>
      <c r="BB21" s="789">
        <f t="shared" si="2"/>
        <v>0</v>
      </c>
      <c r="BC21" s="789">
        <f t="shared" si="2"/>
        <v>0</v>
      </c>
      <c r="BD21" s="790">
        <f t="shared" si="2"/>
        <v>0</v>
      </c>
      <c r="BE21" s="756"/>
      <c r="BF21" s="756"/>
      <c r="BG21" s="756"/>
      <c r="BH21" s="756"/>
    </row>
    <row r="22" spans="2:61">
      <c r="B22" s="1161" t="s">
        <v>145</v>
      </c>
      <c r="F22" s="1161" t="s">
        <v>1186</v>
      </c>
      <c r="G22" s="686"/>
      <c r="H22" s="686"/>
      <c r="I22" s="279">
        <f>VLOOKUP(VLOOKUP($E19,$S$52:$T$56,2,0),$AC$73:$AM$77,MATCH(VALUE(RIGHT(I$5,4)),$AC$5:$AM$5,0),0)</f>
        <v>465.68565503424259</v>
      </c>
      <c r="J22" s="279">
        <f>VLOOKUP(VLOOKUP($E19,$S$52:$T$56,2,0),$AC$73:$AM$77,MATCH(VALUE(RIGHT(J$5,4)),$AC$5:$AM$5,0),0)</f>
        <v>490.87774802814079</v>
      </c>
      <c r="L22" s="1260">
        <v>0.1</v>
      </c>
      <c r="M22" s="718">
        <v>5</v>
      </c>
      <c r="Z22" s="718">
        <f>G19*H19*K19*L22*N19</f>
        <v>0</v>
      </c>
      <c r="AA22" s="756"/>
      <c r="AB22" s="1661"/>
      <c r="AC22" s="795" t="s">
        <v>51</v>
      </c>
      <c r="AD22" s="807">
        <f>$AW$79</f>
        <v>1.5543363055032191</v>
      </c>
      <c r="AE22" s="808"/>
      <c r="AF22" s="808"/>
      <c r="AG22" s="808"/>
      <c r="AH22" s="808"/>
      <c r="AI22" s="808"/>
      <c r="AJ22" s="808"/>
      <c r="AK22" s="808"/>
      <c r="AL22" s="808"/>
      <c r="AM22" s="809"/>
      <c r="AN22" s="756"/>
      <c r="AO22" s="1294"/>
      <c r="AP22" s="785">
        <v>15</v>
      </c>
      <c r="AQ22" s="786">
        <f>AVERAGE(CarData!B37:C37)</f>
        <v>86877.5</v>
      </c>
      <c r="AR22" s="786">
        <f>AVERAGE(CarData!D37:E37)</f>
        <v>90681</v>
      </c>
      <c r="AS22" s="787">
        <f>AVERAGE(CarData!F37:G37)</f>
        <v>93982.5</v>
      </c>
      <c r="AT22" s="756"/>
      <c r="AU22" s="756"/>
      <c r="AV22" s="788">
        <f t="shared" si="1"/>
        <v>15</v>
      </c>
      <c r="AW22" s="789">
        <f t="shared" si="2"/>
        <v>74390</v>
      </c>
      <c r="AX22" s="789">
        <f t="shared" si="2"/>
        <v>30086</v>
      </c>
      <c r="AY22" s="789">
        <f t="shared" si="2"/>
        <v>6804</v>
      </c>
      <c r="AZ22" s="789">
        <f t="shared" si="2"/>
        <v>734</v>
      </c>
      <c r="BA22" s="789">
        <f t="shared" si="2"/>
        <v>32</v>
      </c>
      <c r="BB22" s="789">
        <f t="shared" si="2"/>
        <v>0</v>
      </c>
      <c r="BC22" s="789">
        <f t="shared" si="2"/>
        <v>0</v>
      </c>
      <c r="BD22" s="790">
        <f t="shared" si="2"/>
        <v>0</v>
      </c>
      <c r="BE22" s="756"/>
      <c r="BF22" s="756"/>
      <c r="BG22" s="756"/>
      <c r="BH22" s="756"/>
    </row>
    <row r="23" spans="2:61">
      <c r="B23" s="1161" t="s">
        <v>145</v>
      </c>
      <c r="C23" s="714" t="str">
        <f>Processes!$D$10</f>
        <v>TPCAELCX1E</v>
      </c>
      <c r="D23" s="714" t="str">
        <f>Processes!$E$10</f>
        <v>Transport Passengers Cars - Electricity BEV- Average size - Existing</v>
      </c>
      <c r="E23" s="440" t="str">
        <f>Commodities!D48</f>
        <v>TRAELCEVC</v>
      </c>
      <c r="F23" s="714" t="s">
        <v>1180</v>
      </c>
      <c r="G23" s="523">
        <v>1E-3</v>
      </c>
      <c r="H23" s="1206">
        <f>VLOOKUP(VLOOKUP($E23,$S$52:$T$56,2,0),$AC$18:$AM$22,MATCH(VALUE(RIGHT(H$5,4)),$AC$5:$AM$5,0),0)</f>
        <v>1.5543363055032191</v>
      </c>
      <c r="I23" s="718">
        <f>VLOOKUP(VLOOKUP($E23,$S$52:$T$56,2,0),$AC$40:$AM$44,MATCH(VALUE(RIGHT(I$5,4)),$AC$5:$AM$5,0),0)</f>
        <v>1431.7402692719506</v>
      </c>
      <c r="J23" s="718">
        <f>VLOOKUP(VLOOKUP($E23,$S$52:$T$56,2,0),$AC$40:$AM$44,MATCH(VALUE(RIGHT(J$5,4)),$AC$5:$AM$5,0),0)</f>
        <v>1431.7402692719506</v>
      </c>
      <c r="K23" s="279">
        <f>K19</f>
        <v>14703.650590213509</v>
      </c>
      <c r="L23" s="666">
        <f t="shared" si="9"/>
        <v>0.1</v>
      </c>
      <c r="M23" s="718">
        <v>5</v>
      </c>
      <c r="N23" s="723">
        <f t="shared" ref="N23:W23" si="19">VLOOKUP(VLOOKUP($E23,$S$52:$T$56,2,0),$AC$7:$AM$11,MATCH(VALUE(RIGHT(N$5,4)),$AC$5:$AM$5,0),0)</f>
        <v>0.11</v>
      </c>
      <c r="O23" s="723">
        <f>VLOOKUP(VLOOKUP($E23,$S$52:$T$56,2,0),$AC$7:$AM$11,MATCH(VALUE(RIGHT(O$5,4)),$AC$5:$AM$5,0),0)</f>
        <v>0.42099999999999999</v>
      </c>
      <c r="P23" s="723">
        <f t="shared" si="19"/>
        <v>0.88700000000000001</v>
      </c>
      <c r="Q23" s="723">
        <f t="shared" si="19"/>
        <v>0.63100000000000001</v>
      </c>
      <c r="R23" s="723">
        <f t="shared" si="19"/>
        <v>0.375</v>
      </c>
      <c r="S23" s="723">
        <f t="shared" si="19"/>
        <v>0.16900000000000001</v>
      </c>
      <c r="T23" s="723">
        <f t="shared" si="19"/>
        <v>5.0999999999999997E-2</v>
      </c>
      <c r="U23" s="723">
        <f t="shared" si="19"/>
        <v>8.9999999999999993E-3</v>
      </c>
      <c r="V23" s="723">
        <f t="shared" si="19"/>
        <v>1E-3</v>
      </c>
      <c r="W23" s="723">
        <f t="shared" si="19"/>
        <v>0</v>
      </c>
      <c r="X23" s="714">
        <v>3.5E-4</v>
      </c>
      <c r="Z23" s="718">
        <f>G23*H23*K23*L23*N23</f>
        <v>0.25139859729382963</v>
      </c>
      <c r="AA23" s="756"/>
      <c r="AB23" s="1660" t="s">
        <v>934</v>
      </c>
      <c r="AC23" s="782" t="s">
        <v>790</v>
      </c>
      <c r="AD23" s="804">
        <f>$AW$80</f>
        <v>1.5543363055032191</v>
      </c>
      <c r="AE23" s="805"/>
      <c r="AF23" s="805"/>
      <c r="AG23" s="805"/>
      <c r="AH23" s="805"/>
      <c r="AI23" s="805"/>
      <c r="AJ23" s="805"/>
      <c r="AK23" s="805"/>
      <c r="AL23" s="805"/>
      <c r="AM23" s="806"/>
      <c r="AN23" s="756"/>
      <c r="AO23" s="756"/>
      <c r="AP23" s="785">
        <v>16</v>
      </c>
      <c r="AQ23" s="786">
        <f>AVERAGE(CarData!B38:C38)</f>
        <v>58712.5</v>
      </c>
      <c r="AR23" s="786">
        <f>AVERAGE(CarData!D38:E38)</f>
        <v>68934.5</v>
      </c>
      <c r="AS23" s="787">
        <f>AVERAGE(CarData!F38:G38)</f>
        <v>77260.5</v>
      </c>
      <c r="AT23" s="756"/>
      <c r="AU23" s="756"/>
      <c r="AV23" s="788">
        <f t="shared" si="1"/>
        <v>16</v>
      </c>
      <c r="AW23" s="789">
        <f t="shared" ref="AW23:BD32" si="20">ROUND(IFERROR($AS23/INDEX($BJ$13:$CX$14,2,$AP23+1)*INDEX($BJ$13:$CX$14,2,(AW$6-$AS$6+1+$AP23)+1),0),0)</f>
        <v>59166</v>
      </c>
      <c r="AX23" s="789">
        <f t="shared" si="20"/>
        <v>21570</v>
      </c>
      <c r="AY23" s="789">
        <f t="shared" si="20"/>
        <v>4261</v>
      </c>
      <c r="AZ23" s="789">
        <f t="shared" si="20"/>
        <v>389</v>
      </c>
      <c r="BA23" s="789">
        <f t="shared" si="20"/>
        <v>14</v>
      </c>
      <c r="BB23" s="789">
        <f t="shared" si="20"/>
        <v>0</v>
      </c>
      <c r="BC23" s="789">
        <f t="shared" si="20"/>
        <v>0</v>
      </c>
      <c r="BD23" s="790">
        <f t="shared" si="20"/>
        <v>0</v>
      </c>
      <c r="BE23" s="756"/>
      <c r="BF23" s="756"/>
      <c r="BG23" s="756"/>
      <c r="BH23" s="756"/>
    </row>
    <row r="24" spans="2:61">
      <c r="B24" s="1161" t="s">
        <v>145</v>
      </c>
      <c r="C24" s="714"/>
      <c r="D24" s="714"/>
      <c r="E24" s="714"/>
      <c r="F24" s="714" t="s">
        <v>1182</v>
      </c>
      <c r="G24" s="1205"/>
      <c r="H24" s="1205"/>
      <c r="I24" s="279">
        <f>VLOOKUP(VLOOKUP($E23,$S$52:$T$56,2,0),$AC$51:$AM$55,MATCH(VALUE(RIGHT(I$5,4)),$AC$5:$AM$5,0),0)</f>
        <v>1431.7402692719506</v>
      </c>
      <c r="J24" s="279">
        <f>VLOOKUP(VLOOKUP($E23,$S$52:$T$56,2,0),$AC$51:$AM$55,MATCH(VALUE(RIGHT(J$5,4)),$AC$5:$AM$5,0),0)</f>
        <v>1431.7402692719506</v>
      </c>
      <c r="K24" s="714"/>
      <c r="L24" s="666">
        <f t="shared" si="9"/>
        <v>0.4</v>
      </c>
      <c r="M24" s="718">
        <v>5</v>
      </c>
      <c r="N24" s="717"/>
      <c r="O24" s="717"/>
      <c r="P24" s="717"/>
      <c r="Q24" s="717"/>
      <c r="R24" s="717"/>
      <c r="S24" s="717"/>
      <c r="T24" s="717"/>
      <c r="U24" s="717"/>
      <c r="V24" s="717"/>
      <c r="W24" s="717"/>
      <c r="X24" s="714"/>
      <c r="Z24" s="718">
        <f>G23*H23*K23*L24*N23</f>
        <v>1.0055943891753185</v>
      </c>
      <c r="AA24" s="756"/>
      <c r="AB24" s="1660"/>
      <c r="AC24" s="796" t="s">
        <v>791</v>
      </c>
      <c r="AD24" s="804">
        <f>$AW$80</f>
        <v>1.5543363055032191</v>
      </c>
      <c r="AE24" s="805"/>
      <c r="AF24" s="805"/>
      <c r="AG24" s="805"/>
      <c r="AH24" s="805"/>
      <c r="AI24" s="805"/>
      <c r="AJ24" s="805"/>
      <c r="AK24" s="805"/>
      <c r="AL24" s="805"/>
      <c r="AM24" s="806"/>
      <c r="AN24" s="756"/>
      <c r="AO24" s="1295"/>
      <c r="AP24" s="785">
        <v>17</v>
      </c>
      <c r="AQ24" s="786">
        <f>AVERAGE(CarData!B39:C39)</f>
        <v>39605</v>
      </c>
      <c r="AR24" s="786">
        <f>AVERAGE(CarData!D39:E39)</f>
        <v>59231</v>
      </c>
      <c r="AS24" s="787">
        <f>AVERAGE(CarData!F39:G39)</f>
        <v>61083.5</v>
      </c>
      <c r="AT24" s="756"/>
      <c r="AU24" s="756"/>
      <c r="AV24" s="788">
        <f t="shared" si="1"/>
        <v>17</v>
      </c>
      <c r="AW24" s="789">
        <f t="shared" si="20"/>
        <v>45149</v>
      </c>
      <c r="AX24" s="789">
        <f t="shared" si="20"/>
        <v>14745</v>
      </c>
      <c r="AY24" s="789">
        <f t="shared" si="20"/>
        <v>2528</v>
      </c>
      <c r="AZ24" s="789">
        <f t="shared" si="20"/>
        <v>194</v>
      </c>
      <c r="BA24" s="789">
        <f t="shared" si="20"/>
        <v>6</v>
      </c>
      <c r="BB24" s="789">
        <f t="shared" si="20"/>
        <v>0</v>
      </c>
      <c r="BC24" s="789">
        <f t="shared" si="20"/>
        <v>0</v>
      </c>
      <c r="BD24" s="790">
        <f t="shared" si="20"/>
        <v>0</v>
      </c>
      <c r="BE24" s="756"/>
      <c r="BF24" s="756"/>
      <c r="BG24" s="756"/>
      <c r="BH24" s="756"/>
    </row>
    <row r="25" spans="2:61">
      <c r="B25" s="1161" t="s">
        <v>145</v>
      </c>
      <c r="C25" s="714"/>
      <c r="D25" s="714"/>
      <c r="E25" s="714"/>
      <c r="F25" s="714" t="s">
        <v>1184</v>
      </c>
      <c r="G25" s="1205"/>
      <c r="H25" s="1205"/>
      <c r="I25" s="279">
        <f>VLOOKUP(VLOOKUP($E23,$S$52:$T$56,2,0),$AC$62:$AM$66,MATCH(VALUE(RIGHT(I$5,4)),$AC$5:$AM$5,0),0)</f>
        <v>1431.7402692719506</v>
      </c>
      <c r="J25" s="279">
        <f>VLOOKUP(VLOOKUP($E23,$S$52:$T$56,2,0),$AC$62:$AM$66,MATCH(VALUE(RIGHT(J$5,4)),$AC$5:$AM$5,0),0)</f>
        <v>1431.7402692719506</v>
      </c>
      <c r="K25" s="714"/>
      <c r="L25" s="666">
        <f t="shared" si="9"/>
        <v>0.4</v>
      </c>
      <c r="M25" s="718">
        <v>5</v>
      </c>
      <c r="N25" s="717"/>
      <c r="O25" s="717"/>
      <c r="P25" s="717"/>
      <c r="Q25" s="717"/>
      <c r="R25" s="717"/>
      <c r="S25" s="717"/>
      <c r="T25" s="717"/>
      <c r="U25" s="717"/>
      <c r="V25" s="717"/>
      <c r="W25" s="717"/>
      <c r="X25" s="714"/>
      <c r="Z25" s="718">
        <f>G23*H23*K23*L25*N23</f>
        <v>1.0055943891753185</v>
      </c>
      <c r="AA25" s="756"/>
      <c r="AB25" s="1660"/>
      <c r="AC25" s="796" t="s">
        <v>53</v>
      </c>
      <c r="AD25" s="804">
        <f>$AW$80</f>
        <v>1.5543363055032191</v>
      </c>
      <c r="AE25" s="805"/>
      <c r="AF25" s="805"/>
      <c r="AG25" s="805"/>
      <c r="AH25" s="805"/>
      <c r="AI25" s="805"/>
      <c r="AJ25" s="805"/>
      <c r="AK25" s="805"/>
      <c r="AL25" s="805"/>
      <c r="AM25" s="806"/>
      <c r="AN25" s="756"/>
      <c r="AO25" s="756"/>
      <c r="AP25" s="785">
        <v>18</v>
      </c>
      <c r="AQ25" s="786">
        <f>AVERAGE(CarData!B40:C40)</f>
        <v>30903.5</v>
      </c>
      <c r="AR25" s="786">
        <f>AVERAGE(CarData!D40:E40)</f>
        <v>36156</v>
      </c>
      <c r="AS25" s="787">
        <f>AVERAGE(CarData!F40:G40)</f>
        <v>41780</v>
      </c>
      <c r="AT25" s="756"/>
      <c r="AU25" s="756"/>
      <c r="AV25" s="788">
        <f t="shared" si="1"/>
        <v>18</v>
      </c>
      <c r="AW25" s="789">
        <f t="shared" si="20"/>
        <v>29734</v>
      </c>
      <c r="AX25" s="789">
        <f t="shared" si="20"/>
        <v>8646</v>
      </c>
      <c r="AY25" s="789">
        <f t="shared" si="20"/>
        <v>1278</v>
      </c>
      <c r="AZ25" s="789">
        <f t="shared" si="20"/>
        <v>82</v>
      </c>
      <c r="BA25" s="789">
        <f t="shared" si="20"/>
        <v>2</v>
      </c>
      <c r="BB25" s="789">
        <f t="shared" si="20"/>
        <v>0</v>
      </c>
      <c r="BC25" s="789">
        <f t="shared" si="20"/>
        <v>0</v>
      </c>
      <c r="BD25" s="790">
        <f t="shared" si="20"/>
        <v>0</v>
      </c>
      <c r="BE25" s="756"/>
      <c r="BF25" s="756"/>
      <c r="BG25" s="756"/>
      <c r="BH25" s="756"/>
    </row>
    <row r="26" spans="2:61">
      <c r="B26" s="1161" t="s">
        <v>145</v>
      </c>
      <c r="C26" s="714"/>
      <c r="D26" s="714"/>
      <c r="E26" s="714"/>
      <c r="F26" s="714" t="s">
        <v>1186</v>
      </c>
      <c r="G26" s="686"/>
      <c r="H26" s="686"/>
      <c r="I26" s="279">
        <f>VLOOKUP(VLOOKUP($E23,$S$52:$T$56,2,0),$AC$73:$AM$77,MATCH(VALUE(RIGHT(I$5,4)),$AC$5:$AM$5,0),0)</f>
        <v>1431.7402692719506</v>
      </c>
      <c r="J26" s="279">
        <f>VLOOKUP(VLOOKUP($E23,$S$52:$T$56,2,0),$AC$73:$AM$77,MATCH(VALUE(RIGHT(J$5,4)),$AC$5:$AM$5,0),0)</f>
        <v>1431.7402692719506</v>
      </c>
      <c r="K26" s="714"/>
      <c r="L26" s="666">
        <f t="shared" si="9"/>
        <v>0.1</v>
      </c>
      <c r="M26" s="718">
        <v>5</v>
      </c>
      <c r="N26" s="714"/>
      <c r="O26" s="714"/>
      <c r="P26" s="714"/>
      <c r="Q26" s="714"/>
      <c r="R26" s="714"/>
      <c r="S26" s="714"/>
      <c r="T26" s="714"/>
      <c r="U26" s="714"/>
      <c r="V26" s="714"/>
      <c r="W26" s="714"/>
      <c r="X26" s="714"/>
      <c r="Z26" s="718">
        <f>G23*H23*K23*L26*N23</f>
        <v>0.25139859729382963</v>
      </c>
      <c r="AA26" s="756"/>
      <c r="AB26" s="1660"/>
      <c r="AC26" s="796" t="s">
        <v>931</v>
      </c>
      <c r="AD26" s="804">
        <f>$AW$80</f>
        <v>1.5543363055032191</v>
      </c>
      <c r="AE26" s="805"/>
      <c r="AF26" s="805"/>
      <c r="AG26" s="805"/>
      <c r="AH26" s="805"/>
      <c r="AI26" s="805"/>
      <c r="AJ26" s="805"/>
      <c r="AK26" s="805"/>
      <c r="AL26" s="805"/>
      <c r="AM26" s="806"/>
      <c r="AN26" s="756"/>
      <c r="AO26" s="756"/>
      <c r="AP26" s="785">
        <v>19</v>
      </c>
      <c r="AQ26" s="786">
        <f>AVERAGE(CarData!B41:C41)</f>
        <v>24743.5</v>
      </c>
      <c r="AR26" s="786">
        <f>AVERAGE(CarData!D41:E41)</f>
        <v>23878.5</v>
      </c>
      <c r="AS26" s="787">
        <f>AVERAGE(CarData!F41:G41)</f>
        <v>33624</v>
      </c>
      <c r="AT26" s="756"/>
      <c r="AU26" s="756"/>
      <c r="AV26" s="788">
        <f t="shared" si="1"/>
        <v>19</v>
      </c>
      <c r="AW26" s="789">
        <f t="shared" si="20"/>
        <v>22985</v>
      </c>
      <c r="AX26" s="789">
        <f t="shared" si="20"/>
        <v>5913</v>
      </c>
      <c r="AY26" s="789">
        <f t="shared" si="20"/>
        <v>749</v>
      </c>
      <c r="AZ26" s="789">
        <f t="shared" si="20"/>
        <v>40</v>
      </c>
      <c r="BA26" s="789">
        <f t="shared" si="20"/>
        <v>0</v>
      </c>
      <c r="BB26" s="789">
        <f t="shared" si="20"/>
        <v>0</v>
      </c>
      <c r="BC26" s="789">
        <f t="shared" si="20"/>
        <v>0</v>
      </c>
      <c r="BD26" s="790">
        <f t="shared" si="20"/>
        <v>0</v>
      </c>
      <c r="BE26" s="756"/>
      <c r="BF26" s="756"/>
      <c r="BG26" s="756"/>
      <c r="BH26" s="756"/>
    </row>
    <row r="27" spans="2:61">
      <c r="B27" s="713" t="s">
        <v>146</v>
      </c>
      <c r="C27" s="713" t="str">
        <f>Processes!$D$6</f>
        <v>TPCADSBL1E</v>
      </c>
      <c r="D27" s="713" t="str">
        <f>Processes!$E$6</f>
        <v>Transport Passengers Cars - Diesel Engine - Blending 1 - Average size - Existing</v>
      </c>
      <c r="E27" s="713" t="str">
        <f>E7</f>
        <v>TRADSBL1C</v>
      </c>
      <c r="F27" s="713" t="s">
        <v>1180</v>
      </c>
      <c r="G27" s="523">
        <v>1E-3</v>
      </c>
      <c r="H27" s="1206">
        <f>VLOOKUP(VLOOKUP($E27,$S$52:$T$56,2,0),$AC$23:$AM$27,MATCH(VALUE(RIGHT(H$5,4)),$AC$5:$AM$5,0),0)</f>
        <v>1.5543363055032191</v>
      </c>
      <c r="I27" s="718">
        <f>VLOOKUP(VLOOKUP($E27,$S$52:$T$56,2,0),$AC$45:$AM$49,MATCH(VALUE(RIGHT(I$5,4)),$AC$5:$AM$5,0),0)</f>
        <v>220.66090235244755</v>
      </c>
      <c r="J27" s="718">
        <f>VLOOKUP(VLOOKUP($E27,$S$52:$T$56,2,0),$AC$45:$AM$49,MATCH(VALUE(RIGHT(J$5,4)),$AC$5:$AM$5,0),0)</f>
        <v>229.66587705491114</v>
      </c>
      <c r="K27" s="279">
        <f>VLOOKUP(VLOOKUP($E27,$S$52:$T$56,2,0),$AC$34:$AM$38,MATCH(VALUE(RIGHT(K$5,4)),$AC$5:$AM$5,0),0)</f>
        <v>23723.006874746789</v>
      </c>
      <c r="L27" s="666">
        <f>X52</f>
        <v>6.2887569192651482E-2</v>
      </c>
      <c r="M27" s="718">
        <v>5</v>
      </c>
      <c r="N27" s="720">
        <f t="shared" ref="N27:W27" si="21">VLOOKUP(VLOOKUP($E27,$S$52:$T$56,2,0),$AC$12:$AM$16,MATCH(VALUE(RIGHT(N$5,4)),$AC$5:$AM$5,0),0)</f>
        <v>267.76100000000002</v>
      </c>
      <c r="O27" s="720">
        <f t="shared" si="21"/>
        <v>341.33100000000002</v>
      </c>
      <c r="P27" s="720">
        <f t="shared" si="21"/>
        <v>361.834</v>
      </c>
      <c r="Q27" s="720">
        <f t="shared" si="21"/>
        <v>257.447</v>
      </c>
      <c r="R27" s="720">
        <f t="shared" si="21"/>
        <v>152.96600000000001</v>
      </c>
      <c r="S27" s="720">
        <f t="shared" si="21"/>
        <v>68.802999999999997</v>
      </c>
      <c r="T27" s="720">
        <f t="shared" si="21"/>
        <v>20.728000000000002</v>
      </c>
      <c r="U27" s="720">
        <f t="shared" si="21"/>
        <v>3.6280000000000001</v>
      </c>
      <c r="V27" s="720">
        <f t="shared" si="21"/>
        <v>0.315</v>
      </c>
      <c r="W27" s="720">
        <f t="shared" si="21"/>
        <v>1.0999999999999999E-2</v>
      </c>
      <c r="X27" s="713">
        <v>3.5E-4</v>
      </c>
      <c r="Z27" s="718">
        <f>G27*H27*K27*L27*N27</f>
        <v>620.90742794595201</v>
      </c>
      <c r="AA27" s="756"/>
      <c r="AB27" s="1661"/>
      <c r="AC27" s="795" t="s">
        <v>51</v>
      </c>
      <c r="AD27" s="807">
        <f>$AW$80</f>
        <v>1.5543363055032191</v>
      </c>
      <c r="AE27" s="808"/>
      <c r="AF27" s="808"/>
      <c r="AG27" s="808"/>
      <c r="AH27" s="808"/>
      <c r="AI27" s="808"/>
      <c r="AJ27" s="808"/>
      <c r="AK27" s="808"/>
      <c r="AL27" s="808"/>
      <c r="AM27" s="809"/>
      <c r="AN27" s="756"/>
      <c r="AO27" s="756"/>
      <c r="AP27" s="785">
        <v>20</v>
      </c>
      <c r="AQ27" s="786">
        <f>AVERAGE(CarData!B42:C42)</f>
        <v>17098.5</v>
      </c>
      <c r="AR27" s="786">
        <f>AVERAGE(CarData!D42:E42)</f>
        <v>17796.5</v>
      </c>
      <c r="AS27" s="787">
        <f>AVERAGE(CarData!F42:G42)</f>
        <v>19632.5</v>
      </c>
      <c r="AT27" s="756"/>
      <c r="AU27" s="756"/>
      <c r="AV27" s="788">
        <f t="shared" si="1"/>
        <v>20</v>
      </c>
      <c r="AW27" s="789">
        <f t="shared" si="20"/>
        <v>12859</v>
      </c>
      <c r="AX27" s="789">
        <f t="shared" si="20"/>
        <v>2908</v>
      </c>
      <c r="AY27" s="789">
        <f t="shared" si="20"/>
        <v>314</v>
      </c>
      <c r="AZ27" s="789">
        <f t="shared" si="20"/>
        <v>14</v>
      </c>
      <c r="BA27" s="789">
        <f t="shared" si="20"/>
        <v>0</v>
      </c>
      <c r="BB27" s="789">
        <f t="shared" si="20"/>
        <v>0</v>
      </c>
      <c r="BC27" s="789">
        <f t="shared" si="20"/>
        <v>0</v>
      </c>
      <c r="BD27" s="790">
        <f t="shared" si="20"/>
        <v>0</v>
      </c>
      <c r="BE27" s="756"/>
      <c r="BF27" s="756"/>
      <c r="BG27" s="756"/>
      <c r="BH27" s="756"/>
    </row>
    <row r="28" spans="2:61">
      <c r="B28" s="713" t="s">
        <v>146</v>
      </c>
      <c r="F28" s="1161" t="s">
        <v>1182</v>
      </c>
      <c r="G28" s="1205"/>
      <c r="H28" s="1205"/>
      <c r="I28" s="279">
        <f>VLOOKUP(VLOOKUP($E27,$S$52:$T$56,2,0),$AC$56:$AM$60,MATCH(VALUE(RIGHT(I$5,4)),$AC$5:$AM$5,0),0)</f>
        <v>279.26265019031069</v>
      </c>
      <c r="J28" s="279">
        <f>VLOOKUP(VLOOKUP($E27,$S$52:$T$56,2,0),$AC$56:$AM$60,MATCH(VALUE(RIGHT(J$5,4)),$AC$5:$AM$5,0),0)</f>
        <v>290.65910997769083</v>
      </c>
      <c r="L28" s="666">
        <f t="shared" ref="L28:L30" si="22">X53</f>
        <v>0.30174082402892533</v>
      </c>
      <c r="M28" s="718">
        <v>5</v>
      </c>
      <c r="Z28" s="718">
        <f>G27*H27*K27*L28*N27</f>
        <v>2979.1757156354615</v>
      </c>
      <c r="AA28" s="756"/>
      <c r="AB28" s="771" t="s">
        <v>938</v>
      </c>
      <c r="AC28" s="773"/>
      <c r="AD28" s="773"/>
      <c r="AE28" s="773"/>
      <c r="AF28" s="773"/>
      <c r="AG28" s="773"/>
      <c r="AH28" s="773"/>
      <c r="AI28" s="773"/>
      <c r="AJ28" s="773"/>
      <c r="AK28" s="773"/>
      <c r="AL28" s="773"/>
      <c r="AM28" s="774"/>
      <c r="AN28" s="756"/>
      <c r="AO28" s="756"/>
      <c r="AP28" s="785">
        <v>21</v>
      </c>
      <c r="AQ28" s="786">
        <f>AVERAGE(CarData!B43:C43)</f>
        <v>13933</v>
      </c>
      <c r="AR28" s="786">
        <f>AVERAGE(CarData!D43:E43)</f>
        <v>13882.5</v>
      </c>
      <c r="AS28" s="787">
        <f>AVERAGE(CarData!F43:G43)</f>
        <v>13018.5</v>
      </c>
      <c r="AT28" s="756"/>
      <c r="AU28" s="756"/>
      <c r="AV28" s="788">
        <f t="shared" si="1"/>
        <v>21</v>
      </c>
      <c r="AW28" s="789">
        <f t="shared" si="20"/>
        <v>8150</v>
      </c>
      <c r="AX28" s="789">
        <f t="shared" si="20"/>
        <v>1610</v>
      </c>
      <c r="AY28" s="789">
        <f t="shared" si="20"/>
        <v>147</v>
      </c>
      <c r="AZ28" s="789">
        <f t="shared" si="20"/>
        <v>5</v>
      </c>
      <c r="BA28" s="789">
        <f t="shared" si="20"/>
        <v>0</v>
      </c>
      <c r="BB28" s="789">
        <f t="shared" si="20"/>
        <v>0</v>
      </c>
      <c r="BC28" s="789">
        <f t="shared" si="20"/>
        <v>0</v>
      </c>
      <c r="BD28" s="790">
        <f t="shared" si="20"/>
        <v>0</v>
      </c>
      <c r="BE28" s="756"/>
      <c r="BF28" s="756"/>
      <c r="BG28" s="756"/>
      <c r="BH28" s="756"/>
    </row>
    <row r="29" spans="2:61" ht="15.75" customHeight="1">
      <c r="B29" s="1161" t="s">
        <v>146</v>
      </c>
      <c r="F29" s="1161" t="s">
        <v>1184</v>
      </c>
      <c r="G29" s="1205"/>
      <c r="H29" s="1205"/>
      <c r="I29" s="279">
        <f>VLOOKUP(VLOOKUP($E27,$S$52:$T$56,2,0),$AC$67:$AM$71,MATCH(VALUE(RIGHT(I$5,4)),$AC$5:$AM$5,0),0)</f>
        <v>361.73918418434027</v>
      </c>
      <c r="J29" s="279">
        <f>VLOOKUP(VLOOKUP($E27,$S$52:$T$56,2,0),$AC$67:$AM$71,MATCH(VALUE(RIGHT(J$5,4)),$AC$5:$AM$5,0),0)</f>
        <v>376.50143779493629</v>
      </c>
      <c r="L29" s="666">
        <f>X54</f>
        <v>0.21794821400381284</v>
      </c>
      <c r="M29" s="718">
        <v>5</v>
      </c>
      <c r="N29" s="720"/>
      <c r="Z29" s="718">
        <f>G27*H27*K27*L29*N27</f>
        <v>2151.8666839858452</v>
      </c>
      <c r="AA29" s="756"/>
      <c r="AB29" s="1659" t="s">
        <v>928</v>
      </c>
      <c r="AC29" s="782" t="s">
        <v>790</v>
      </c>
      <c r="AD29" s="810">
        <f>AW87</f>
        <v>12926.459697778171</v>
      </c>
      <c r="AE29" s="802"/>
      <c r="AF29" s="802"/>
      <c r="AG29" s="802"/>
      <c r="AH29" s="802"/>
      <c r="AI29" s="802"/>
      <c r="AJ29" s="802"/>
      <c r="AK29" s="802"/>
      <c r="AL29" s="802"/>
      <c r="AM29" s="803"/>
      <c r="AN29" s="756"/>
      <c r="AO29" s="756"/>
      <c r="AP29" s="785">
        <v>22</v>
      </c>
      <c r="AQ29" s="786">
        <f>AVERAGE(CarData!B44:C44)</f>
        <v>11220</v>
      </c>
      <c r="AR29" s="786">
        <f>AVERAGE(CarData!D44:E44)</f>
        <v>9534</v>
      </c>
      <c r="AS29" s="787">
        <f>AVERAGE(CarData!F44:G44)</f>
        <v>9798.5</v>
      </c>
      <c r="AT29" s="756"/>
      <c r="AU29" s="756"/>
      <c r="AV29" s="788">
        <f t="shared" si="1"/>
        <v>22</v>
      </c>
      <c r="AW29" s="789">
        <f t="shared" si="20"/>
        <v>5848</v>
      </c>
      <c r="AX29" s="789">
        <f t="shared" si="20"/>
        <v>1003</v>
      </c>
      <c r="AY29" s="789">
        <f t="shared" si="20"/>
        <v>77</v>
      </c>
      <c r="AZ29" s="789">
        <f t="shared" si="20"/>
        <v>2</v>
      </c>
      <c r="BA29" s="789">
        <f t="shared" si="20"/>
        <v>0</v>
      </c>
      <c r="BB29" s="789">
        <f t="shared" si="20"/>
        <v>0</v>
      </c>
      <c r="BC29" s="789">
        <f t="shared" si="20"/>
        <v>0</v>
      </c>
      <c r="BD29" s="790">
        <f t="shared" si="20"/>
        <v>0</v>
      </c>
      <c r="BE29" s="756"/>
      <c r="BF29" s="756"/>
      <c r="BG29" s="756"/>
      <c r="BH29" s="756"/>
    </row>
    <row r="30" spans="2:61">
      <c r="B30" s="1161" t="s">
        <v>146</v>
      </c>
      <c r="F30" s="1161" t="s">
        <v>1186</v>
      </c>
      <c r="G30" s="686"/>
      <c r="H30" s="686"/>
      <c r="I30" s="279">
        <f>VLOOKUP(VLOOKUP($E27,$S$52:$T$56,2,0),$AC$78:$AM$82,MATCH(VALUE(RIGHT(I$5,4)),$AC$5:$AM$5,0),0)</f>
        <v>442.61396966107446</v>
      </c>
      <c r="J30" s="279">
        <f>VLOOKUP(VLOOKUP($E27,$S$52:$T$56,2,0),$AC$78:$AM$82,MATCH(VALUE(RIGHT(J$5,4)),$AC$5:$AM$5,0),0)</f>
        <v>460.67665116587858</v>
      </c>
      <c r="L30" s="666">
        <f t="shared" si="22"/>
        <v>0.41742339277461027</v>
      </c>
      <c r="M30" s="718">
        <v>5</v>
      </c>
      <c r="Z30" s="718">
        <f>G27*H27*K27*L30*N27</f>
        <v>4121.343669337467</v>
      </c>
      <c r="AA30" s="756"/>
      <c r="AB30" s="1660"/>
      <c r="AC30" s="796" t="s">
        <v>791</v>
      </c>
      <c r="AD30" s="811">
        <f>AW90</f>
        <v>21064.68043128321</v>
      </c>
      <c r="AE30" s="805"/>
      <c r="AF30" s="805"/>
      <c r="AG30" s="805"/>
      <c r="AH30" s="805"/>
      <c r="AI30" s="805"/>
      <c r="AJ30" s="805"/>
      <c r="AK30" s="805"/>
      <c r="AL30" s="805"/>
      <c r="AM30" s="806"/>
      <c r="AN30" s="756"/>
      <c r="AO30" s="756"/>
      <c r="AP30" s="785">
        <v>23</v>
      </c>
      <c r="AQ30" s="786">
        <f>AVERAGE(CarData!B45:C45)</f>
        <v>10708.5</v>
      </c>
      <c r="AR30" s="786">
        <f>AVERAGE(CarData!D45:E45)</f>
        <v>7488</v>
      </c>
      <c r="AS30" s="787">
        <f>AVERAGE(CarData!F45:G45)</f>
        <v>7659.5</v>
      </c>
      <c r="AT30" s="756"/>
      <c r="AU30" s="756"/>
      <c r="AV30" s="788">
        <f t="shared" si="1"/>
        <v>23</v>
      </c>
      <c r="AW30" s="789">
        <f t="shared" si="20"/>
        <v>4348</v>
      </c>
      <c r="AX30" s="789">
        <f t="shared" si="20"/>
        <v>643</v>
      </c>
      <c r="AY30" s="789">
        <f t="shared" si="20"/>
        <v>41</v>
      </c>
      <c r="AZ30" s="789">
        <f t="shared" si="20"/>
        <v>1</v>
      </c>
      <c r="BA30" s="789">
        <f t="shared" si="20"/>
        <v>0</v>
      </c>
      <c r="BB30" s="789">
        <f t="shared" si="20"/>
        <v>0</v>
      </c>
      <c r="BC30" s="789">
        <f t="shared" si="20"/>
        <v>0</v>
      </c>
      <c r="BD30" s="790">
        <f t="shared" si="20"/>
        <v>0</v>
      </c>
      <c r="BE30" s="756"/>
      <c r="BF30" s="756"/>
      <c r="BG30" s="756"/>
      <c r="BH30" s="756"/>
    </row>
    <row r="31" spans="2:61">
      <c r="B31" s="1161" t="s">
        <v>146</v>
      </c>
      <c r="C31" s="713" t="str">
        <f>Processes!$D$7</f>
        <v>TPCAGSBL1E</v>
      </c>
      <c r="D31" s="713" t="str">
        <f>Processes!$E$7</f>
        <v>Transport Passengers Cars - Otto Engine - Blending 1 - Average size - Existing</v>
      </c>
      <c r="E31" s="1161" t="str">
        <f>E11</f>
        <v>TRAGSBL1C</v>
      </c>
      <c r="F31" s="713" t="s">
        <v>1180</v>
      </c>
      <c r="G31" s="523">
        <v>1E-3</v>
      </c>
      <c r="H31" s="1206">
        <f>VLOOKUP(VLOOKUP($E31,$S$52:$T$56,2,0),$AC$23:$AM$27,MATCH(VALUE(RIGHT(H$5,4)),$AC$5:$AM$5,0),0)</f>
        <v>1.5543363055032191</v>
      </c>
      <c r="I31" s="718">
        <f>VLOOKUP(VLOOKUP($E31,$S$52:$T$56,2,0),$AC$45:$AM$49,MATCH(VALUE(RIGHT(I$5,4)),$AC$5:$AM$5,0),0)</f>
        <v>232.16306735897328</v>
      </c>
      <c r="J31" s="718">
        <f>VLOOKUP(VLOOKUP($E31,$S$52:$T$56,2,0),$AC$45:$AM$49,MATCH(VALUE(RIGHT(J$5,4)),$AC$5:$AM$5,0),0)</f>
        <v>244.7223410222899</v>
      </c>
      <c r="K31" s="279">
        <f>VLOOKUP(VLOOKUP($E31,$S$52:$T$56,2,0),$AC$34:$AM$38,MATCH(VALUE(RIGHT(K$5,4)),$AC$5:$AM$5,0),0)</f>
        <v>14556.494697955179</v>
      </c>
      <c r="L31" s="666">
        <f>L27</f>
        <v>6.2887569192651482E-2</v>
      </c>
      <c r="M31" s="718">
        <v>5</v>
      </c>
      <c r="N31" s="720">
        <f t="shared" ref="N31:W31" si="23">VLOOKUP(VLOOKUP($E31,$S$52:$T$56,2,0),$AC$12:$AM$16,MATCH(VALUE(RIGHT(N$5,4)),$AC$5:$AM$5,0),0)</f>
        <v>958.38699999999994</v>
      </c>
      <c r="O31" s="720">
        <f t="shared" si="23"/>
        <v>936.38199999999995</v>
      </c>
      <c r="P31" s="720">
        <f t="shared" si="23"/>
        <v>880.97</v>
      </c>
      <c r="Q31" s="720">
        <f t="shared" si="23"/>
        <v>626.81600000000003</v>
      </c>
      <c r="R31" s="720">
        <f t="shared" si="23"/>
        <v>372.43</v>
      </c>
      <c r="S31" s="720">
        <f t="shared" si="23"/>
        <v>167.51599999999999</v>
      </c>
      <c r="T31" s="720">
        <f t="shared" si="23"/>
        <v>50.468000000000004</v>
      </c>
      <c r="U31" s="720">
        <f t="shared" si="23"/>
        <v>8.8330000000000002</v>
      </c>
      <c r="V31" s="720">
        <f t="shared" si="23"/>
        <v>0.76700000000000002</v>
      </c>
      <c r="W31" s="720">
        <f t="shared" si="23"/>
        <v>2.7E-2</v>
      </c>
      <c r="X31" s="713">
        <v>3.5E-4</v>
      </c>
      <c r="Z31" s="718">
        <f>G31*H31*K31*L31*N31</f>
        <v>1363.6644536911278</v>
      </c>
      <c r="AA31" s="756"/>
      <c r="AB31" s="1660"/>
      <c r="AC31" s="796" t="s">
        <v>53</v>
      </c>
      <c r="AD31" s="811">
        <f>AW93</f>
        <v>18000</v>
      </c>
      <c r="AE31" s="805"/>
      <c r="AF31" s="805"/>
      <c r="AG31" s="805"/>
      <c r="AH31" s="805"/>
      <c r="AI31" s="805"/>
      <c r="AJ31" s="805"/>
      <c r="AK31" s="805"/>
      <c r="AL31" s="805"/>
      <c r="AM31" s="806"/>
      <c r="AN31" s="756"/>
      <c r="AO31" s="756"/>
      <c r="AP31" s="785">
        <v>24</v>
      </c>
      <c r="AQ31" s="786">
        <f>AVERAGE(CarData!B46:C46)</f>
        <v>7589.5</v>
      </c>
      <c r="AR31" s="786">
        <f>AVERAGE(CarData!D46:E46)</f>
        <v>5872.5</v>
      </c>
      <c r="AS31" s="787">
        <f>AVERAGE(CarData!F46:G46)</f>
        <v>5345</v>
      </c>
      <c r="AT31" s="756"/>
      <c r="AU31" s="756"/>
      <c r="AV31" s="788">
        <f t="shared" si="1"/>
        <v>24</v>
      </c>
      <c r="AW31" s="789">
        <f t="shared" si="20"/>
        <v>2878</v>
      </c>
      <c r="AX31" s="789">
        <f t="shared" si="20"/>
        <v>365</v>
      </c>
      <c r="AY31" s="789">
        <f t="shared" si="20"/>
        <v>19</v>
      </c>
      <c r="AZ31" s="789">
        <f t="shared" si="20"/>
        <v>0</v>
      </c>
      <c r="BA31" s="789">
        <f t="shared" si="20"/>
        <v>0</v>
      </c>
      <c r="BB31" s="789">
        <f t="shared" si="20"/>
        <v>0</v>
      </c>
      <c r="BC31" s="789">
        <f t="shared" si="20"/>
        <v>0</v>
      </c>
      <c r="BD31" s="790">
        <f t="shared" si="20"/>
        <v>0</v>
      </c>
      <c r="BE31" s="756"/>
      <c r="BF31" s="756"/>
      <c r="BG31" s="756"/>
      <c r="BH31" s="756"/>
    </row>
    <row r="32" spans="2:61">
      <c r="B32" s="1161" t="s">
        <v>146</v>
      </c>
      <c r="F32" s="1161" t="s">
        <v>1182</v>
      </c>
      <c r="G32" s="1205"/>
      <c r="H32" s="1205"/>
      <c r="I32" s="279">
        <f>VLOOKUP(VLOOKUP($E31,$S$52:$T$56,2,0),$AC$56:$AM$60,MATCH(VALUE(RIGHT(I$5,4)),$AC$5:$AM$5,0),0)</f>
        <v>293.81948852643836</v>
      </c>
      <c r="J32" s="279">
        <f>VLOOKUP(VLOOKUP($E31,$S$52:$T$56,2,0),$AC$56:$AM$60,MATCH(VALUE(RIGHT(J$5,4)),$AC$5:$AM$5,0),0)</f>
        <v>309.71417585116035</v>
      </c>
      <c r="L32" s="666">
        <f t="shared" ref="L32:L42" si="24">L28</f>
        <v>0.30174082402892533</v>
      </c>
      <c r="M32" s="718">
        <v>5</v>
      </c>
      <c r="Z32" s="718">
        <f>G31*H31*K31*L32*N31</f>
        <v>6542.997944398152</v>
      </c>
      <c r="AA32" s="756"/>
      <c r="AB32" s="1660"/>
      <c r="AC32" s="796" t="s">
        <v>931</v>
      </c>
      <c r="AD32" s="811">
        <f>AW96</f>
        <v>18000</v>
      </c>
      <c r="AE32" s="805"/>
      <c r="AF32" s="805"/>
      <c r="AG32" s="805"/>
      <c r="AH32" s="805"/>
      <c r="AI32" s="805"/>
      <c r="AJ32" s="805"/>
      <c r="AK32" s="805"/>
      <c r="AL32" s="805"/>
      <c r="AM32" s="806"/>
      <c r="AN32" s="756"/>
      <c r="AO32" s="756"/>
      <c r="AP32" s="812">
        <v>25</v>
      </c>
      <c r="AQ32" s="786">
        <f>AVERAGE(CarData!B47:C47)</f>
        <v>46644</v>
      </c>
      <c r="AR32" s="786">
        <f>AVERAGE(CarData!D47:E47)</f>
        <v>52410</v>
      </c>
      <c r="AS32" s="787">
        <f>AVERAGE(CarData!F47:G47)</f>
        <v>55373.5</v>
      </c>
      <c r="AT32" s="756"/>
      <c r="AU32" s="756"/>
      <c r="AV32" s="813">
        <f t="shared" si="1"/>
        <v>25</v>
      </c>
      <c r="AW32" s="814">
        <f t="shared" si="20"/>
        <v>28210</v>
      </c>
      <c r="AX32" s="814">
        <f t="shared" si="20"/>
        <v>3042</v>
      </c>
      <c r="AY32" s="814">
        <f t="shared" si="20"/>
        <v>133</v>
      </c>
      <c r="AZ32" s="814">
        <f t="shared" si="20"/>
        <v>0</v>
      </c>
      <c r="BA32" s="814">
        <f t="shared" si="20"/>
        <v>0</v>
      </c>
      <c r="BB32" s="814">
        <f t="shared" si="20"/>
        <v>0</v>
      </c>
      <c r="BC32" s="814">
        <f t="shared" si="20"/>
        <v>0</v>
      </c>
      <c r="BD32" s="815">
        <f t="shared" si="20"/>
        <v>0</v>
      </c>
      <c r="BE32" s="756"/>
      <c r="BF32" s="756"/>
      <c r="BG32" s="756"/>
      <c r="BH32" s="756"/>
    </row>
    <row r="33" spans="2:60">
      <c r="B33" s="1161" t="s">
        <v>146</v>
      </c>
      <c r="F33" s="1161" t="s">
        <v>1184</v>
      </c>
      <c r="G33" s="1205"/>
      <c r="H33" s="1205"/>
      <c r="I33" s="279">
        <f>VLOOKUP(VLOOKUP($E31,$S$52:$T$56,2,0),$AC$67:$AM$71,MATCH(VALUE(RIGHT(I$5,4)),$AC$5:$AM$5,0),0)</f>
        <v>380.5951923917595</v>
      </c>
      <c r="J33" s="279">
        <f>VLOOKUP(VLOOKUP($E31,$S$52:$T$56,2,0),$AC$67:$AM$71,MATCH(VALUE(RIGHT(J$5,4)),$AC$5:$AM$5,0),0)</f>
        <v>401.18416561031131</v>
      </c>
      <c r="L33" s="666">
        <f t="shared" si="24"/>
        <v>0.21794821400381284</v>
      </c>
      <c r="M33" s="718">
        <v>5</v>
      </c>
      <c r="Z33" s="718">
        <f>G31*H31*K31*L33*N31</f>
        <v>4726.0251270325089</v>
      </c>
      <c r="AA33" s="756"/>
      <c r="AB33" s="1661"/>
      <c r="AC33" s="795" t="s">
        <v>51</v>
      </c>
      <c r="AD33" s="816">
        <f>AW99</f>
        <v>14000</v>
      </c>
      <c r="AE33" s="808"/>
      <c r="AF33" s="808"/>
      <c r="AG33" s="808"/>
      <c r="AH33" s="808"/>
      <c r="AI33" s="808"/>
      <c r="AJ33" s="808"/>
      <c r="AK33" s="808"/>
      <c r="AL33" s="808"/>
      <c r="AM33" s="809"/>
      <c r="AN33" s="756"/>
      <c r="AO33" s="756"/>
      <c r="AP33" s="817" t="s">
        <v>120</v>
      </c>
      <c r="AQ33" s="818">
        <f>SUM(AQ7:AQ32)</f>
        <v>2141999</v>
      </c>
      <c r="AR33" s="818">
        <f>SUM(AR7:AR32)</f>
        <v>2215720.5</v>
      </c>
      <c r="AS33" s="819">
        <f>SUM(AS7:AS32)</f>
        <v>2303849.5</v>
      </c>
      <c r="AT33" s="756"/>
      <c r="AU33" s="756"/>
      <c r="AV33" s="820" t="s">
        <v>120</v>
      </c>
      <c r="AW33" s="821">
        <f t="shared" ref="AW33:BD33" si="25">SUM(AW7:AW32)</f>
        <v>2078671</v>
      </c>
      <c r="AX33" s="821">
        <f t="shared" si="25"/>
        <v>1478987</v>
      </c>
      <c r="AY33" s="821">
        <f t="shared" si="25"/>
        <v>878759</v>
      </c>
      <c r="AZ33" s="821">
        <f t="shared" si="25"/>
        <v>395258</v>
      </c>
      <c r="BA33" s="821">
        <f t="shared" si="25"/>
        <v>119080</v>
      </c>
      <c r="BB33" s="821">
        <f t="shared" si="25"/>
        <v>20842</v>
      </c>
      <c r="BC33" s="821">
        <f t="shared" si="25"/>
        <v>1809</v>
      </c>
      <c r="BD33" s="822">
        <f t="shared" si="25"/>
        <v>64</v>
      </c>
      <c r="BE33" s="756"/>
      <c r="BF33" s="756"/>
      <c r="BG33" s="756"/>
      <c r="BH33" s="756"/>
    </row>
    <row r="34" spans="2:60">
      <c r="B34" s="1161" t="s">
        <v>146</v>
      </c>
      <c r="F34" s="1161" t="s">
        <v>1186</v>
      </c>
      <c r="G34" s="686"/>
      <c r="H34" s="686"/>
      <c r="I34" s="279">
        <f>VLOOKUP(VLOOKUP($E31,$S$52:$T$56,2,0),$AC$78:$AM$82,MATCH(VALUE(RIGHT(I$5,4)),$AC$5:$AM$5,0),0)</f>
        <v>465.68565503424259</v>
      </c>
      <c r="J34" s="279">
        <f>VLOOKUP(VLOOKUP($E31,$S$52:$T$56,2,0),$AC$78:$AM$82,MATCH(VALUE(RIGHT(J$5,4)),$AC$5:$AM$5,0),0)</f>
        <v>490.87774802814079</v>
      </c>
      <c r="L34" s="666">
        <f t="shared" si="24"/>
        <v>0.41742339277461027</v>
      </c>
      <c r="M34" s="718">
        <v>5</v>
      </c>
      <c r="Z34" s="718">
        <f>G31*H31*K31*L34*N31</f>
        <v>9051.4779021288832</v>
      </c>
      <c r="AA34" s="756"/>
      <c r="AB34" s="1660" t="s">
        <v>934</v>
      </c>
      <c r="AC34" s="782" t="s">
        <v>790</v>
      </c>
      <c r="AD34" s="456">
        <f>AW88</f>
        <v>14556.494697955179</v>
      </c>
      <c r="AE34" s="805"/>
      <c r="AF34" s="805"/>
      <c r="AG34" s="805"/>
      <c r="AH34" s="805"/>
      <c r="AI34" s="805"/>
      <c r="AJ34" s="805"/>
      <c r="AK34" s="805"/>
      <c r="AL34" s="805"/>
      <c r="AM34" s="806"/>
      <c r="AN34" s="756"/>
      <c r="AO34" s="756"/>
      <c r="AP34" s="823" t="s">
        <v>370</v>
      </c>
      <c r="AQ34" s="756"/>
      <c r="AR34" s="756"/>
      <c r="AS34" s="756"/>
      <c r="AT34" s="756"/>
      <c r="AU34" s="756"/>
      <c r="AV34" s="756"/>
      <c r="AW34" s="756"/>
      <c r="AX34" s="756"/>
      <c r="AY34" s="756"/>
      <c r="AZ34" s="756"/>
      <c r="BA34" s="756"/>
      <c r="BB34" s="756"/>
      <c r="BC34" s="756"/>
      <c r="BD34" s="756"/>
      <c r="BE34" s="756"/>
      <c r="BF34" s="756"/>
      <c r="BG34" s="756"/>
      <c r="BH34" s="756"/>
    </row>
    <row r="35" spans="2:60">
      <c r="B35" s="1161" t="s">
        <v>146</v>
      </c>
      <c r="C35" s="713" t="str">
        <f>Processes!$D$8</f>
        <v>TPCALPGX1E</v>
      </c>
      <c r="D35" s="713" t="str">
        <f>Processes!$E$8</f>
        <v>Transport Passengers Cars - LPG - Average size - Existing</v>
      </c>
      <c r="E35" s="1161" t="str">
        <f>E15</f>
        <v>TRALPGC</v>
      </c>
      <c r="F35" s="713" t="s">
        <v>1180</v>
      </c>
      <c r="G35" s="523">
        <v>1E-3</v>
      </c>
      <c r="H35" s="1206">
        <f>VLOOKUP(VLOOKUP($E35,$S$52:$T$56,2,0),$AC$23:$AM$27,MATCH(VALUE(RIGHT(H$5,4)),$AC$5:$AM$5,0),0)</f>
        <v>1.5543363055032191</v>
      </c>
      <c r="I35" s="718">
        <f>VLOOKUP(VLOOKUP($E35,$S$52:$T$56,2,0),$AC$45:$AM$49,MATCH(VALUE(RIGHT(I$5,4)),$AC$5:$AM$5,0),0)</f>
        <v>232.16306735897328</v>
      </c>
      <c r="J35" s="718">
        <f>VLOOKUP(VLOOKUP($E35,$S$52:$T$56,2,0),$AC$45:$AM$49,MATCH(VALUE(RIGHT(J$5,4)),$AC$5:$AM$5,0),0)</f>
        <v>244.7223410222899</v>
      </c>
      <c r="K35" s="718">
        <f>(K27*N27+K31*N31)/(N27+N31)</f>
        <v>16558.238750850833</v>
      </c>
      <c r="L35" s="666">
        <f t="shared" si="24"/>
        <v>6.2887569192651482E-2</v>
      </c>
      <c r="M35" s="718">
        <v>5</v>
      </c>
      <c r="N35" s="720">
        <f t="shared" ref="N35:W35" si="26">VLOOKUP(VLOOKUP($E35,$S$52:$T$56,2,0),$AC$12:$AM$16,MATCH(VALUE(RIGHT(N$5,4)),$AC$5:$AM$5,0),0)</f>
        <v>6.0000000000000001E-3</v>
      </c>
      <c r="O35" s="720">
        <f t="shared" si="26"/>
        <v>5.0000000000000001E-3</v>
      </c>
      <c r="P35" s="720">
        <f t="shared" si="26"/>
        <v>5.0000000000000001E-3</v>
      </c>
      <c r="Q35" s="720">
        <f t="shared" si="26"/>
        <v>3.0000000000000001E-3</v>
      </c>
      <c r="R35" s="720">
        <f t="shared" si="26"/>
        <v>2E-3</v>
      </c>
      <c r="S35" s="720">
        <f t="shared" si="26"/>
        <v>1E-3</v>
      </c>
      <c r="T35" s="720">
        <f t="shared" si="26"/>
        <v>0</v>
      </c>
      <c r="U35" s="720">
        <f t="shared" si="26"/>
        <v>0</v>
      </c>
      <c r="V35" s="720">
        <f t="shared" si="26"/>
        <v>0</v>
      </c>
      <c r="W35" s="720">
        <f t="shared" si="26"/>
        <v>0</v>
      </c>
      <c r="X35" s="713">
        <v>3.5E-4</v>
      </c>
      <c r="Z35" s="718">
        <f>G35*H35*K35*L35*N35</f>
        <v>9.7112512435876264E-3</v>
      </c>
      <c r="AA35" s="756"/>
      <c r="AB35" s="1660"/>
      <c r="AC35" s="796" t="s">
        <v>791</v>
      </c>
      <c r="AD35" s="456">
        <f>AW91</f>
        <v>23723.006874746789</v>
      </c>
      <c r="AE35" s="805"/>
      <c r="AF35" s="805"/>
      <c r="AG35" s="805"/>
      <c r="AH35" s="805"/>
      <c r="AI35" s="805"/>
      <c r="AJ35" s="805"/>
      <c r="AK35" s="805"/>
      <c r="AL35" s="805"/>
      <c r="AM35" s="806"/>
      <c r="AN35" s="756"/>
      <c r="AO35" s="756"/>
      <c r="AP35" s="756"/>
      <c r="AQ35" s="756"/>
      <c r="AR35" s="756"/>
      <c r="AS35" s="756"/>
      <c r="AT35" s="756"/>
      <c r="AU35" s="756"/>
      <c r="AV35" s="756"/>
      <c r="AW35" s="756"/>
      <c r="AX35" s="756"/>
      <c r="AY35" s="756"/>
      <c r="AZ35" s="756"/>
      <c r="BA35" s="756"/>
      <c r="BB35" s="756"/>
      <c r="BC35" s="756"/>
      <c r="BD35" s="756"/>
      <c r="BE35" s="756"/>
      <c r="BF35" s="756"/>
      <c r="BG35" s="756"/>
      <c r="BH35" s="756"/>
    </row>
    <row r="36" spans="2:60">
      <c r="B36" s="1161" t="s">
        <v>146</v>
      </c>
      <c r="F36" s="1161" t="s">
        <v>1182</v>
      </c>
      <c r="G36" s="1205"/>
      <c r="H36" s="1205"/>
      <c r="I36" s="279">
        <f>VLOOKUP(VLOOKUP($E35,$S$52:$T$56,2,0),$AC$56:$AM$60,MATCH(VALUE(RIGHT(I$5,4)),$AC$5:$AM$5,0),0)</f>
        <v>293.81948852643836</v>
      </c>
      <c r="J36" s="279">
        <f>VLOOKUP(VLOOKUP($E35,$S$52:$T$56,2,0),$AC$56:$AM$60,MATCH(VALUE(RIGHT(J$5,4)),$AC$5:$AM$5,0),0)</f>
        <v>309.71417585116035</v>
      </c>
      <c r="L36" s="666">
        <f t="shared" si="24"/>
        <v>0.30174082402892533</v>
      </c>
      <c r="M36" s="718">
        <v>5</v>
      </c>
      <c r="Z36" s="718">
        <f>G35*H35*K35*L36*N35</f>
        <v>4.6595551238677299E-2</v>
      </c>
      <c r="AA36" s="756"/>
      <c r="AB36" s="1660"/>
      <c r="AC36" s="796" t="s">
        <v>53</v>
      </c>
      <c r="AD36" s="456">
        <f>AW94</f>
        <v>18000</v>
      </c>
      <c r="AE36" s="805"/>
      <c r="AF36" s="805"/>
      <c r="AG36" s="805"/>
      <c r="AH36" s="805"/>
      <c r="AI36" s="805"/>
      <c r="AJ36" s="805"/>
      <c r="AK36" s="805"/>
      <c r="AL36" s="805"/>
      <c r="AM36" s="806"/>
      <c r="AN36" s="756"/>
      <c r="AO36" s="756"/>
      <c r="AP36" s="763" t="s">
        <v>939</v>
      </c>
      <c r="AQ36" s="824"/>
      <c r="AR36" s="824"/>
      <c r="AS36" s="825"/>
      <c r="AT36" s="756"/>
      <c r="AU36" s="756"/>
      <c r="AV36" s="767" t="s">
        <v>940</v>
      </c>
      <c r="AW36" s="768"/>
      <c r="AX36" s="768"/>
      <c r="AY36" s="769"/>
      <c r="AZ36" s="768"/>
      <c r="BA36" s="768"/>
      <c r="BB36" s="768"/>
      <c r="BC36" s="768"/>
      <c r="BD36" s="768"/>
      <c r="BE36" s="768"/>
      <c r="BF36" s="768"/>
      <c r="BG36" s="769"/>
      <c r="BH36" s="756"/>
    </row>
    <row r="37" spans="2:60">
      <c r="B37" s="1161" t="s">
        <v>146</v>
      </c>
      <c r="F37" s="1161" t="s">
        <v>1184</v>
      </c>
      <c r="G37" s="1205"/>
      <c r="H37" s="1205"/>
      <c r="I37" s="279">
        <f>VLOOKUP(VLOOKUP($E35,$S$52:$T$56,2,0),$AC$67:$AM$71,MATCH(VALUE(RIGHT(I$5,4)),$AC$5:$AM$5,0),0)</f>
        <v>380.5951923917595</v>
      </c>
      <c r="J37" s="279">
        <f>VLOOKUP(VLOOKUP($E35,$S$52:$T$56,2,0),$AC$67:$AM$71,MATCH(VALUE(RIGHT(J$5,4)),$AC$5:$AM$5,0),0)</f>
        <v>401.18416561031131</v>
      </c>
      <c r="L37" s="666">
        <f t="shared" si="24"/>
        <v>0.21794821400381284</v>
      </c>
      <c r="M37" s="718">
        <v>5</v>
      </c>
      <c r="Z37" s="718">
        <f>G35*H35*K35*L37*N35</f>
        <v>3.3656092793129484E-2</v>
      </c>
      <c r="AA37" s="756"/>
      <c r="AB37" s="1660"/>
      <c r="AC37" s="796" t="s">
        <v>931</v>
      </c>
      <c r="AD37" s="456">
        <f>AW97</f>
        <v>18000</v>
      </c>
      <c r="AE37" s="805"/>
      <c r="AF37" s="805"/>
      <c r="AG37" s="805"/>
      <c r="AH37" s="805"/>
      <c r="AI37" s="805"/>
      <c r="AJ37" s="805"/>
      <c r="AK37" s="805"/>
      <c r="AL37" s="805"/>
      <c r="AM37" s="806"/>
      <c r="AN37" s="756"/>
      <c r="AO37" s="756"/>
      <c r="AP37" s="826" t="s">
        <v>1</v>
      </c>
      <c r="AQ37" s="827">
        <v>2010</v>
      </c>
      <c r="AR37" s="827">
        <v>2012</v>
      </c>
      <c r="AS37" s="828">
        <v>2014</v>
      </c>
      <c r="AT37" s="756"/>
      <c r="AU37" s="756"/>
      <c r="AV37" s="778" t="s">
        <v>1</v>
      </c>
      <c r="AW37" s="829">
        <f>AQ37</f>
        <v>2010</v>
      </c>
      <c r="AX37" s="829">
        <f t="shared" ref="AX37:AY37" si="27">AR37</f>
        <v>2012</v>
      </c>
      <c r="AY37" s="829">
        <f t="shared" si="27"/>
        <v>2014</v>
      </c>
      <c r="AZ37" s="779">
        <v>2015</v>
      </c>
      <c r="BA37" s="779">
        <v>2020</v>
      </c>
      <c r="BB37" s="779">
        <v>2025</v>
      </c>
      <c r="BC37" s="779">
        <v>2030</v>
      </c>
      <c r="BD37" s="779">
        <v>2035</v>
      </c>
      <c r="BE37" s="779">
        <v>2040</v>
      </c>
      <c r="BF37" s="779">
        <v>2045</v>
      </c>
      <c r="BG37" s="780">
        <v>2050</v>
      </c>
      <c r="BH37" s="756"/>
    </row>
    <row r="38" spans="2:60">
      <c r="B38" s="1161" t="s">
        <v>146</v>
      </c>
      <c r="F38" s="1161" t="s">
        <v>1186</v>
      </c>
      <c r="G38" s="686"/>
      <c r="H38" s="686"/>
      <c r="I38" s="279">
        <f>VLOOKUP(VLOOKUP($E35,$S$52:$T$56,2,0),$AC$78:$AM$82,MATCH(VALUE(RIGHT(I$5,4)),$AC$5:$AM$5,0),0)</f>
        <v>465.68565503424259</v>
      </c>
      <c r="J38" s="279">
        <f>VLOOKUP(VLOOKUP($E35,$S$52:$T$56,2,0),$AC$78:$AM$82,MATCH(VALUE(RIGHT(J$5,4)),$AC$5:$AM$5,0),0)</f>
        <v>490.87774802814079</v>
      </c>
      <c r="L38" s="666">
        <f t="shared" si="24"/>
        <v>0.41742339277461027</v>
      </c>
      <c r="M38" s="718">
        <v>5</v>
      </c>
      <c r="Z38" s="718">
        <f>G35*H35*K35*L38*N35</f>
        <v>6.4459534598431928E-2</v>
      </c>
      <c r="AA38" s="756"/>
      <c r="AB38" s="1661"/>
      <c r="AC38" s="795" t="s">
        <v>51</v>
      </c>
      <c r="AD38" s="816">
        <f>AW100</f>
        <v>14000</v>
      </c>
      <c r="AE38" s="808"/>
      <c r="AF38" s="808"/>
      <c r="AG38" s="808"/>
      <c r="AH38" s="808"/>
      <c r="AI38" s="808"/>
      <c r="AJ38" s="808"/>
      <c r="AK38" s="808"/>
      <c r="AL38" s="808"/>
      <c r="AM38" s="809"/>
      <c r="AN38" s="756"/>
      <c r="AO38" s="756"/>
      <c r="AP38" s="785" t="str">
        <f>CarData!A7</f>
        <v>Region Hovedstaden</v>
      </c>
      <c r="AQ38" s="786">
        <f>ROUND(AVERAGE(CarData!B7:C7),0)</f>
        <v>578471</v>
      </c>
      <c r="AR38" s="786">
        <f>ROUND(AVERAGE(CarData!D7:E7),0)</f>
        <v>594521</v>
      </c>
      <c r="AS38" s="787">
        <f>ROUND(AVERAGE(CarData!F7:G7),0)</f>
        <v>624147</v>
      </c>
      <c r="AT38" s="756"/>
      <c r="AU38" s="756"/>
      <c r="AV38" s="830" t="s">
        <v>941</v>
      </c>
      <c r="AW38" s="831">
        <f>SUM(AQ38:AQ39)/SUM(AQ$38:AQ$42)</f>
        <v>0.42749648794879791</v>
      </c>
      <c r="AX38" s="831">
        <f>SUM(AR38:AR39)/SUM(AR$38:AR$42)</f>
        <v>0.42307941356664847</v>
      </c>
      <c r="AY38" s="831">
        <f>SUM(AS38:AS39)/SUM(AS$38:AS$42)</f>
        <v>0.42441507497477649</v>
      </c>
      <c r="AZ38" s="832">
        <f t="shared" ref="AZ38:BG39" si="28">$AY38</f>
        <v>0.42441507497477649</v>
      </c>
      <c r="BA38" s="832">
        <f t="shared" si="28"/>
        <v>0.42441507497477649</v>
      </c>
      <c r="BB38" s="832">
        <f t="shared" si="28"/>
        <v>0.42441507497477649</v>
      </c>
      <c r="BC38" s="832">
        <f t="shared" si="28"/>
        <v>0.42441507497477649</v>
      </c>
      <c r="BD38" s="832">
        <f t="shared" si="28"/>
        <v>0.42441507497477649</v>
      </c>
      <c r="BE38" s="832">
        <f t="shared" si="28"/>
        <v>0.42441507497477649</v>
      </c>
      <c r="BF38" s="832">
        <f t="shared" si="28"/>
        <v>0.42441507497477649</v>
      </c>
      <c r="BG38" s="833">
        <f t="shared" si="28"/>
        <v>0.42441507497477649</v>
      </c>
      <c r="BH38" s="756"/>
    </row>
    <row r="39" spans="2:60">
      <c r="B39" s="1161" t="s">
        <v>146</v>
      </c>
      <c r="C39" s="713" t="str">
        <f>Processes!$D$9</f>
        <v>TPCANGBL1E</v>
      </c>
      <c r="D39" s="713" t="str">
        <f>Processes!$E$9</f>
        <v>Transport Passengers Cars - Gas Engine - Blending 1 - Average size - Existing</v>
      </c>
      <c r="E39" s="1161" t="str">
        <f>E19</f>
        <v>TRANGBL1C</v>
      </c>
      <c r="F39" s="713" t="s">
        <v>1180</v>
      </c>
      <c r="G39" s="523">
        <v>1E-3</v>
      </c>
      <c r="H39" s="1206">
        <f>VLOOKUP(VLOOKUP($E39,$S$52:$T$56,2,0),$AC$23:$AM$27,MATCH(VALUE(RIGHT(H$5,4)),$AC$5:$AM$5,0),0)</f>
        <v>1.5543363055032191</v>
      </c>
      <c r="I39" s="718">
        <f>VLOOKUP(VLOOKUP($E39,$S$52:$T$56,2,0),$AC$45:$AM$49,MATCH(VALUE(RIGHT(I$5,4)),$AC$5:$AM$5,0),0)</f>
        <v>232.16306735897328</v>
      </c>
      <c r="J39" s="718">
        <f>VLOOKUP(VLOOKUP($E39,$S$52:$T$56,2,0),$AC$45:$AM$49,MATCH(VALUE(RIGHT(J$5,4)),$AC$5:$AM$5,0),0)</f>
        <v>244.7223410222899</v>
      </c>
      <c r="K39" s="279">
        <f>K35</f>
        <v>16558.238750850833</v>
      </c>
      <c r="L39" s="666">
        <f t="shared" si="24"/>
        <v>6.2887569192651482E-2</v>
      </c>
      <c r="M39" s="718">
        <v>5</v>
      </c>
      <c r="N39" s="720">
        <f t="shared" ref="N39:W39" si="29">VLOOKUP(VLOOKUP($E39,$S$52:$T$56,2,0),$AC$12:$AM$16,MATCH(VALUE(RIGHT(N$5,4)),$AC$5:$AM$5,0),0)</f>
        <v>1E-3</v>
      </c>
      <c r="O39" s="720">
        <f t="shared" si="29"/>
        <v>2E-3</v>
      </c>
      <c r="P39" s="720">
        <f t="shared" si="29"/>
        <v>2.1000000000000001E-2</v>
      </c>
      <c r="Q39" s="720">
        <f t="shared" si="29"/>
        <v>1.4999999999999999E-2</v>
      </c>
      <c r="R39" s="720">
        <f t="shared" si="29"/>
        <v>8.9999999999999993E-3</v>
      </c>
      <c r="S39" s="720">
        <f t="shared" si="29"/>
        <v>4.0000000000000001E-3</v>
      </c>
      <c r="T39" s="720">
        <f t="shared" si="29"/>
        <v>1E-3</v>
      </c>
      <c r="U39" s="720">
        <f t="shared" si="29"/>
        <v>0</v>
      </c>
      <c r="V39" s="720">
        <f t="shared" si="29"/>
        <v>0</v>
      </c>
      <c r="W39" s="720">
        <f t="shared" si="29"/>
        <v>0</v>
      </c>
      <c r="X39" s="713">
        <v>3.5E-4</v>
      </c>
      <c r="Z39" s="718">
        <f>G39*H39*K39*L39*N39</f>
        <v>1.6185418739312709E-3</v>
      </c>
      <c r="AA39" s="756"/>
      <c r="AB39" s="771" t="s">
        <v>1129</v>
      </c>
      <c r="AC39" s="773"/>
      <c r="AD39" s="834"/>
      <c r="AE39" s="834"/>
      <c r="AF39" s="773"/>
      <c r="AG39" s="773"/>
      <c r="AH39" s="773"/>
      <c r="AI39" s="773"/>
      <c r="AJ39" s="773"/>
      <c r="AK39" s="773"/>
      <c r="AL39" s="773"/>
      <c r="AM39" s="774"/>
      <c r="AN39" s="756"/>
      <c r="AO39" s="756"/>
      <c r="AP39" s="785" t="str">
        <f>CarData!A8</f>
        <v>Region Sjælland</v>
      </c>
      <c r="AQ39" s="786">
        <f>ROUND(AVERAGE(CarData!B8:C8),0)</f>
        <v>332928</v>
      </c>
      <c r="AR39" s="786">
        <f>ROUND(AVERAGE(CarData!D8:E8),0)</f>
        <v>339808</v>
      </c>
      <c r="AS39" s="787">
        <f>ROUND(AVERAGE(CarData!F8:G8),0)</f>
        <v>351770</v>
      </c>
      <c r="AT39" s="756"/>
      <c r="AU39" s="756"/>
      <c r="AV39" s="835" t="s">
        <v>943</v>
      </c>
      <c r="AW39" s="836">
        <f>SUM(AQ40:AQ42)/SUM(AQ$38:AQ$42)</f>
        <v>0.57250351205120209</v>
      </c>
      <c r="AX39" s="836">
        <f>SUM(AR40:AR42)/SUM(AR$38:AR$42)</f>
        <v>0.57692058643335153</v>
      </c>
      <c r="AY39" s="836">
        <f>SUM(AS40:AS42)/SUM(AS$38:AS$42)</f>
        <v>0.57558492502522351</v>
      </c>
      <c r="AZ39" s="837">
        <f t="shared" si="28"/>
        <v>0.57558492502522351</v>
      </c>
      <c r="BA39" s="837">
        <f t="shared" si="28"/>
        <v>0.57558492502522351</v>
      </c>
      <c r="BB39" s="837">
        <f t="shared" si="28"/>
        <v>0.57558492502522351</v>
      </c>
      <c r="BC39" s="837">
        <f t="shared" si="28"/>
        <v>0.57558492502522351</v>
      </c>
      <c r="BD39" s="837">
        <f t="shared" si="28"/>
        <v>0.57558492502522351</v>
      </c>
      <c r="BE39" s="837">
        <f t="shared" si="28"/>
        <v>0.57558492502522351</v>
      </c>
      <c r="BF39" s="837">
        <f t="shared" si="28"/>
        <v>0.57558492502522351</v>
      </c>
      <c r="BG39" s="838">
        <f t="shared" si="28"/>
        <v>0.57558492502522351</v>
      </c>
      <c r="BH39" s="756"/>
    </row>
    <row r="40" spans="2:60">
      <c r="B40" s="1161" t="s">
        <v>146</v>
      </c>
      <c r="F40" s="1161" t="s">
        <v>1182</v>
      </c>
      <c r="G40" s="1205"/>
      <c r="H40" s="1205"/>
      <c r="I40" s="279">
        <f>VLOOKUP(VLOOKUP($E39,$S$52:$T$56,2,0),$AC$56:$AM$60,MATCH(VALUE(RIGHT(I$5,4)),$AC$5:$AM$5,0),0)</f>
        <v>293.81948852643836</v>
      </c>
      <c r="J40" s="279">
        <f>VLOOKUP(VLOOKUP($E39,$S$52:$T$56,2,0),$AC$56:$AM$60,MATCH(VALUE(RIGHT(J$5,4)),$AC$5:$AM$5,0),0)</f>
        <v>309.71417585116035</v>
      </c>
      <c r="K40" s="1161"/>
      <c r="L40" s="666">
        <f t="shared" si="24"/>
        <v>0.30174082402892533</v>
      </c>
      <c r="M40" s="718">
        <v>5</v>
      </c>
      <c r="Z40" s="718">
        <f>G39*H39*K39*L40*N39</f>
        <v>7.7659252064462159E-3</v>
      </c>
      <c r="AA40" s="756"/>
      <c r="AB40" s="1659" t="s">
        <v>928</v>
      </c>
      <c r="AC40" s="782" t="s">
        <v>790</v>
      </c>
      <c r="AD40" s="839">
        <f>1/CarMoreData!$F$18*10^3*$BJ$73</f>
        <v>232.16306735897328</v>
      </c>
      <c r="AE40" s="839">
        <f>1/CarMoreData!$H$18*10^3*$BJ$73</f>
        <v>244.7223410222899</v>
      </c>
      <c r="AF40" s="802"/>
      <c r="AG40" s="802"/>
      <c r="AH40" s="802"/>
      <c r="AI40" s="802"/>
      <c r="AJ40" s="802"/>
      <c r="AK40" s="802"/>
      <c r="AL40" s="802"/>
      <c r="AM40" s="803"/>
      <c r="AN40" s="756"/>
      <c r="AO40" s="756"/>
      <c r="AP40" s="785" t="str">
        <f>CarData!A9</f>
        <v>Region Syddanmark</v>
      </c>
      <c r="AQ40" s="786">
        <f>ROUND(AVERAGE(CarData!B9:C9),0)</f>
        <v>487024</v>
      </c>
      <c r="AR40" s="786">
        <f>ROUND(AVERAGE(CarData!D9:E9),0)</f>
        <v>503397</v>
      </c>
      <c r="AS40" s="787">
        <f>ROUND(AVERAGE(CarData!F9:G9),0)</f>
        <v>525017</v>
      </c>
      <c r="AT40" s="756"/>
      <c r="AU40" s="756"/>
      <c r="AV40" s="756"/>
      <c r="AW40" s="756"/>
      <c r="AX40" s="756"/>
      <c r="AY40" s="756"/>
      <c r="AZ40" s="756"/>
      <c r="BA40" s="756"/>
      <c r="BB40" s="756"/>
      <c r="BC40" s="756"/>
      <c r="BD40" s="756"/>
      <c r="BE40" s="756"/>
      <c r="BF40" s="756"/>
      <c r="BG40" s="756"/>
      <c r="BH40" s="756"/>
    </row>
    <row r="41" spans="2:60" ht="15" customHeight="1">
      <c r="B41" s="1161" t="s">
        <v>146</v>
      </c>
      <c r="F41" s="1161" t="s">
        <v>1184</v>
      </c>
      <c r="G41" s="1205"/>
      <c r="H41" s="1205"/>
      <c r="I41" s="279">
        <f>VLOOKUP(VLOOKUP($E39,$S$52:$T$56,2,0),$AC$67:$AM$71,MATCH(VALUE(RIGHT(I$5,4)),$AC$5:$AM$5,0),0)</f>
        <v>380.5951923917595</v>
      </c>
      <c r="J41" s="279">
        <f>VLOOKUP(VLOOKUP($E39,$S$52:$T$56,2,0),$AC$67:$AM$71,MATCH(VALUE(RIGHT(J$5,4)),$AC$5:$AM$5,0),0)</f>
        <v>401.18416561031131</v>
      </c>
      <c r="K41" s="1161"/>
      <c r="L41" s="666">
        <f t="shared" si="24"/>
        <v>0.21794821400381284</v>
      </c>
      <c r="M41" s="718">
        <v>5</v>
      </c>
      <c r="Z41" s="718">
        <f>G39*H39*K39*L41*N39</f>
        <v>5.6093487988549138E-3</v>
      </c>
      <c r="AA41" s="756"/>
      <c r="AB41" s="1660"/>
      <c r="AC41" s="796" t="s">
        <v>791</v>
      </c>
      <c r="AD41" s="839">
        <f>1/CarMoreData!$F$30*10^3*$BJ$73</f>
        <v>220.66090235244755</v>
      </c>
      <c r="AE41" s="839">
        <f>1/CarMoreData!$H$30*10^3*$BJ$73</f>
        <v>229.66587705491114</v>
      </c>
      <c r="AF41" s="805"/>
      <c r="AG41" s="805"/>
      <c r="AH41" s="805"/>
      <c r="AI41" s="805"/>
      <c r="AJ41" s="805"/>
      <c r="AK41" s="805"/>
      <c r="AL41" s="805"/>
      <c r="AM41" s="806"/>
      <c r="AN41" s="756"/>
      <c r="AO41" s="756"/>
      <c r="AP41" s="785" t="str">
        <f>CarData!A10</f>
        <v>Region Midtjylland</v>
      </c>
      <c r="AQ41" s="786">
        <f>ROUND(AVERAGE(CarData!B10:C10),0)</f>
        <v>499670</v>
      </c>
      <c r="AR41" s="786">
        <f>ROUND(AVERAGE(CarData!D10:E10),0)</f>
        <v>526256</v>
      </c>
      <c r="AS41" s="787">
        <f>ROUND(AVERAGE(CarData!F10:G10),0)</f>
        <v>549066</v>
      </c>
      <c r="AT41" s="756"/>
      <c r="AU41" s="756"/>
      <c r="AV41" s="756"/>
      <c r="AW41" s="756"/>
      <c r="AX41" s="756"/>
      <c r="AY41" s="756"/>
      <c r="AZ41" s="756"/>
      <c r="BA41" s="756"/>
      <c r="BB41" s="756"/>
      <c r="BC41" s="756"/>
      <c r="BD41" s="756"/>
      <c r="BE41" s="756"/>
      <c r="BF41" s="756"/>
      <c r="BG41" s="756"/>
      <c r="BH41" s="756"/>
    </row>
    <row r="42" spans="2:60">
      <c r="B42" s="1161" t="s">
        <v>146</v>
      </c>
      <c r="F42" s="1161" t="s">
        <v>1186</v>
      </c>
      <c r="G42" s="686"/>
      <c r="H42" s="686"/>
      <c r="I42" s="279">
        <f>VLOOKUP(VLOOKUP($E39,$S$52:$T$56,2,0),$AC$78:$AM$82,MATCH(VALUE(RIGHT(I$5,4)),$AC$5:$AM$5,0),0)</f>
        <v>465.68565503424259</v>
      </c>
      <c r="J42" s="279">
        <f>VLOOKUP(VLOOKUP($E39,$S$52:$T$56,2,0),$AC$78:$AM$82,MATCH(VALUE(RIGHT(J$5,4)),$AC$5:$AM$5,0),0)</f>
        <v>490.87774802814079</v>
      </c>
      <c r="K42" s="1161"/>
      <c r="L42" s="666">
        <f t="shared" si="24"/>
        <v>0.41742339277461027</v>
      </c>
      <c r="M42" s="718">
        <v>5</v>
      </c>
      <c r="Z42" s="718">
        <f>G39*H39*K39*L42*N39</f>
        <v>1.0743255766405321E-2</v>
      </c>
      <c r="AA42" s="756"/>
      <c r="AB42" s="1660"/>
      <c r="AC42" s="796" t="s">
        <v>53</v>
      </c>
      <c r="AD42" s="839">
        <f>1/CarMoreData!$F$18*10^3*$BJ$73</f>
        <v>232.16306735897328</v>
      </c>
      <c r="AE42" s="839">
        <f>1/CarMoreData!$H$18*10^3*$BJ$73</f>
        <v>244.7223410222899</v>
      </c>
      <c r="AF42" s="805"/>
      <c r="AG42" s="805"/>
      <c r="AH42" s="805"/>
      <c r="AI42" s="805"/>
      <c r="AJ42" s="805"/>
      <c r="AK42" s="805"/>
      <c r="AL42" s="805"/>
      <c r="AM42" s="806"/>
      <c r="AN42" s="756"/>
      <c r="AO42" s="756"/>
      <c r="AP42" s="785" t="str">
        <f>CarData!A11</f>
        <v>Region Nordjylland</v>
      </c>
      <c r="AQ42" s="786">
        <f>ROUND(AVERAGE(CarData!B11:C11),0)</f>
        <v>233852</v>
      </c>
      <c r="AR42" s="786">
        <f>ROUND(AVERAGE(CarData!D11:E11),0)</f>
        <v>244419</v>
      </c>
      <c r="AS42" s="787">
        <f>ROUND(AVERAGE(CarData!F11:G11),0)</f>
        <v>249440</v>
      </c>
      <c r="AT42" s="756"/>
      <c r="AU42" s="756"/>
      <c r="AV42" s="756"/>
      <c r="AW42" s="756"/>
      <c r="AX42" s="756"/>
      <c r="AY42" s="756"/>
      <c r="AZ42" s="756"/>
      <c r="BA42" s="756"/>
      <c r="BB42" s="756"/>
      <c r="BC42" s="756"/>
      <c r="BD42" s="756"/>
      <c r="BE42" s="756"/>
      <c r="BF42" s="756"/>
      <c r="BG42" s="756"/>
      <c r="BH42" s="756"/>
    </row>
    <row r="43" spans="2:60">
      <c r="B43" s="1161" t="s">
        <v>146</v>
      </c>
      <c r="C43" s="714" t="str">
        <f>Processes!$D$10</f>
        <v>TPCAELCX1E</v>
      </c>
      <c r="D43" s="714" t="str">
        <f>Processes!$E$10</f>
        <v>Transport Passengers Cars - Electricity BEV- Average size - Existing</v>
      </c>
      <c r="E43" s="1161" t="str">
        <f>E23</f>
        <v>TRAELCEVC</v>
      </c>
      <c r="F43" s="714" t="s">
        <v>1180</v>
      </c>
      <c r="G43" s="523">
        <v>1E-3</v>
      </c>
      <c r="H43" s="1206">
        <f>VLOOKUP(VLOOKUP($E43,$S$52:$T$56,2,0),$AC$23:$AM$27,MATCH(VALUE(RIGHT(H$5,4)),$AC$5:$AM$5,0),0)</f>
        <v>1.5543363055032191</v>
      </c>
      <c r="I43" s="718">
        <f>VLOOKUP(VLOOKUP($E43,$S$52:$T$56,2,0),$AC$45:$AM$49,MATCH(VALUE(RIGHT(I$5,4)),$AC$5:$AM$5,0),0)</f>
        <v>1431.7402692719506</v>
      </c>
      <c r="J43" s="718">
        <f>VLOOKUP(VLOOKUP($E43,$S$52:$T$56,2,0),$AC$45:$AM$49,MATCH(VALUE(RIGHT(J$5,4)),$AC$5:$AM$5,0),0)</f>
        <v>1431.7402692719506</v>
      </c>
      <c r="K43" s="279">
        <f>K39</f>
        <v>16558.238750850833</v>
      </c>
      <c r="L43" s="1260">
        <v>0.1</v>
      </c>
      <c r="M43" s="718">
        <v>5</v>
      </c>
      <c r="N43" s="723">
        <f t="shared" ref="N43:W43" si="30">VLOOKUP(VLOOKUP($E43,$S$52:$T$56,2,0),$AC$12:$AM$16,MATCH(VALUE(RIGHT(N$5,4)),$AC$5:$AM$5,0),0)</f>
        <v>0.14799999999999999</v>
      </c>
      <c r="O43" s="723">
        <f t="shared" si="30"/>
        <v>0.57499999999999996</v>
      </c>
      <c r="P43" s="723">
        <f t="shared" si="30"/>
        <v>1.2030000000000001</v>
      </c>
      <c r="Q43" s="723">
        <f t="shared" si="30"/>
        <v>0.85599999999999998</v>
      </c>
      <c r="R43" s="723">
        <f t="shared" si="30"/>
        <v>0.50900000000000001</v>
      </c>
      <c r="S43" s="723">
        <f t="shared" si="30"/>
        <v>0.22900000000000001</v>
      </c>
      <c r="T43" s="723">
        <f t="shared" si="30"/>
        <v>6.9000000000000006E-2</v>
      </c>
      <c r="U43" s="723">
        <f t="shared" si="30"/>
        <v>1.2E-2</v>
      </c>
      <c r="V43" s="723">
        <f t="shared" si="30"/>
        <v>1E-3</v>
      </c>
      <c r="W43" s="723">
        <f t="shared" si="30"/>
        <v>0</v>
      </c>
      <c r="X43" s="714">
        <v>3.5E-4</v>
      </c>
      <c r="Z43" s="718">
        <f>G43*H43*K43*L43*N43</f>
        <v>0.3809086603554383</v>
      </c>
      <c r="AA43" s="756"/>
      <c r="AB43" s="1660"/>
      <c r="AC43" s="796" t="s">
        <v>931</v>
      </c>
      <c r="AD43" s="839">
        <f>1/CarMoreData!$F$18*10^3*$BJ$73</f>
        <v>232.16306735897328</v>
      </c>
      <c r="AE43" s="839">
        <f>1/CarMoreData!$H$18*10^3*$BJ$73</f>
        <v>244.7223410222899</v>
      </c>
      <c r="AF43" s="805"/>
      <c r="AG43" s="805"/>
      <c r="AH43" s="805"/>
      <c r="AI43" s="805"/>
      <c r="AJ43" s="805"/>
      <c r="AK43" s="805"/>
      <c r="AL43" s="805"/>
      <c r="AM43" s="806"/>
      <c r="AN43" s="756"/>
      <c r="AO43" s="756"/>
      <c r="AP43" s="785" t="str">
        <f>CarData!A12</f>
        <v>Unknown</v>
      </c>
      <c r="AQ43" s="786">
        <f>ROUND(AVERAGE(CarData!B12:C12),0)</f>
        <v>10055</v>
      </c>
      <c r="AR43" s="786">
        <f>ROUND(AVERAGE(CarData!D12:E12),0)</f>
        <v>9077</v>
      </c>
      <c r="AS43" s="787">
        <f>ROUND(AVERAGE(CarData!F12:G12),0)</f>
        <v>4411</v>
      </c>
      <c r="AT43" s="756"/>
      <c r="AU43" s="756"/>
      <c r="AV43" s="756"/>
      <c r="AW43" s="756"/>
      <c r="AX43" s="840"/>
      <c r="AY43" s="756"/>
      <c r="AZ43" s="756"/>
      <c r="BA43" s="756"/>
      <c r="BB43" s="756"/>
      <c r="BC43" s="756"/>
      <c r="BD43" s="756"/>
      <c r="BE43" s="756"/>
      <c r="BF43" s="756"/>
      <c r="BG43" s="756"/>
      <c r="BH43" s="756"/>
    </row>
    <row r="44" spans="2:60">
      <c r="B44" s="1161" t="s">
        <v>146</v>
      </c>
      <c r="C44" s="714"/>
      <c r="D44" s="714"/>
      <c r="E44" s="714"/>
      <c r="F44" s="714" t="s">
        <v>1182</v>
      </c>
      <c r="G44" s="1205"/>
      <c r="H44" s="1205"/>
      <c r="I44" s="279">
        <f>VLOOKUP(VLOOKUP($E43,$S$52:$T$56,2,0),$AC$56:$AM$60,MATCH(VALUE(RIGHT(I$5,4)),$AC$5:$AM$5,0),0)</f>
        <v>1431.7402692719506</v>
      </c>
      <c r="J44" s="279">
        <f>VLOOKUP(VLOOKUP($E43,$S$52:$T$56,2,0),$AC$56:$AM$60,MATCH(VALUE(RIGHT(J$5,4)),$AC$5:$AM$5,0),0)</f>
        <v>1431.7402692719506</v>
      </c>
      <c r="K44" s="714"/>
      <c r="L44" s="1260">
        <v>0.4</v>
      </c>
      <c r="M44" s="718">
        <v>5</v>
      </c>
      <c r="N44" s="714"/>
      <c r="O44" s="714"/>
      <c r="P44" s="714"/>
      <c r="Q44" s="714"/>
      <c r="R44" s="714"/>
      <c r="S44" s="714"/>
      <c r="T44" s="714"/>
      <c r="U44" s="714"/>
      <c r="V44" s="714"/>
      <c r="W44" s="714"/>
      <c r="X44" s="714"/>
      <c r="Z44" s="718">
        <f>G43*H43*K43*L44*N43</f>
        <v>1.5236346414217532</v>
      </c>
      <c r="AA44" s="756"/>
      <c r="AB44" s="1661"/>
      <c r="AC44" s="795" t="s">
        <v>51</v>
      </c>
      <c r="AD44" s="839">
        <f>1/CarMoreData!$F$39*10^3*$BJ$75</f>
        <v>1431.7402692719506</v>
      </c>
      <c r="AE44" s="839">
        <f>1/CarMoreData!$H$39*10^3*$BJ$75</f>
        <v>1431.7402692719506</v>
      </c>
      <c r="AF44" s="808"/>
      <c r="AG44" s="808"/>
      <c r="AH44" s="808"/>
      <c r="AI44" s="808"/>
      <c r="AJ44" s="808"/>
      <c r="AK44" s="808"/>
      <c r="AL44" s="808"/>
      <c r="AM44" s="809"/>
      <c r="AN44" s="756"/>
      <c r="AO44" s="756"/>
      <c r="AP44" s="817" t="s">
        <v>120</v>
      </c>
      <c r="AQ44" s="842">
        <f>SUM(AQ38:AQ43)</f>
        <v>2142000</v>
      </c>
      <c r="AR44" s="842">
        <f>SUM(AR38:AR43)</f>
        <v>2217478</v>
      </c>
      <c r="AS44" s="843">
        <f>SUM(AS38:AS43)</f>
        <v>2303851</v>
      </c>
      <c r="AT44" s="756"/>
      <c r="AU44" s="756"/>
      <c r="AV44" s="756"/>
      <c r="AW44" s="756"/>
      <c r="AX44" s="756"/>
      <c r="AY44" s="756"/>
      <c r="AZ44" s="756"/>
      <c r="BA44" s="756"/>
      <c r="BB44" s="756"/>
      <c r="BC44" s="756"/>
      <c r="BD44" s="756"/>
      <c r="BE44" s="756"/>
      <c r="BF44" s="756"/>
      <c r="BG44" s="756"/>
      <c r="BH44" s="756"/>
    </row>
    <row r="45" spans="2:60" ht="12.75" customHeight="1">
      <c r="B45" s="1161" t="s">
        <v>146</v>
      </c>
      <c r="C45" s="714"/>
      <c r="D45" s="714"/>
      <c r="E45" s="714"/>
      <c r="F45" s="714" t="s">
        <v>1184</v>
      </c>
      <c r="G45" s="1205"/>
      <c r="H45" s="1205"/>
      <c r="I45" s="279">
        <f>VLOOKUP(VLOOKUP($E43,$S$52:$T$56,2,0),$AC$67:$AM$71,MATCH(VALUE(RIGHT(I$5,4)),$AC$5:$AM$5,0),0)</f>
        <v>1431.7402692719506</v>
      </c>
      <c r="J45" s="279">
        <f>VLOOKUP(VLOOKUP($E43,$S$52:$T$56,2,0),$AC$67:$AM$71,MATCH(VALUE(RIGHT(J$5,4)),$AC$5:$AM$5,0),0)</f>
        <v>1431.7402692719506</v>
      </c>
      <c r="K45" s="714"/>
      <c r="L45" s="1260">
        <v>0.4</v>
      </c>
      <c r="M45" s="718">
        <v>5</v>
      </c>
      <c r="N45" s="714"/>
      <c r="O45" s="714"/>
      <c r="P45" s="714"/>
      <c r="Q45" s="714"/>
      <c r="R45" s="714"/>
      <c r="S45" s="714"/>
      <c r="T45" s="714"/>
      <c r="U45" s="714"/>
      <c r="V45" s="714"/>
      <c r="W45" s="714"/>
      <c r="X45" s="714"/>
      <c r="Z45" s="718">
        <f>G43*H43*K43*L45*N43</f>
        <v>1.5236346414217532</v>
      </c>
      <c r="AA45" s="756"/>
      <c r="AB45" s="1660" t="s">
        <v>934</v>
      </c>
      <c r="AC45" s="782" t="s">
        <v>790</v>
      </c>
      <c r="AD45" s="847">
        <f>1/CarMoreData!$F$18*10^3*$BJ$73</f>
        <v>232.16306735897328</v>
      </c>
      <c r="AE45" s="848">
        <f>1/CarMoreData!$H$18*10^3*$BJ$73</f>
        <v>244.7223410222899</v>
      </c>
      <c r="AF45" s="805"/>
      <c r="AG45" s="805"/>
      <c r="AH45" s="805"/>
      <c r="AI45" s="805"/>
      <c r="AJ45" s="805"/>
      <c r="AK45" s="805"/>
      <c r="AL45" s="805"/>
      <c r="AM45" s="806"/>
      <c r="AN45" s="756"/>
      <c r="AO45" s="849"/>
      <c r="AP45" s="823" t="s">
        <v>370</v>
      </c>
      <c r="AQ45" s="849"/>
      <c r="AR45" s="849"/>
      <c r="AS45" s="849"/>
      <c r="AT45" s="849"/>
      <c r="AU45" s="756"/>
      <c r="AV45" s="756"/>
      <c r="AW45" s="756"/>
      <c r="AX45" s="756"/>
      <c r="AY45" s="756"/>
      <c r="AZ45" s="756"/>
      <c r="BA45" s="756"/>
      <c r="BB45" s="756"/>
      <c r="BC45" s="756"/>
      <c r="BD45" s="756"/>
      <c r="BE45" s="756"/>
      <c r="BF45" s="756"/>
      <c r="BG45" s="756"/>
      <c r="BH45" s="756"/>
    </row>
    <row r="46" spans="2:60">
      <c r="B46" s="1161" t="s">
        <v>146</v>
      </c>
      <c r="C46" s="714"/>
      <c r="D46" s="714"/>
      <c r="E46" s="714"/>
      <c r="F46" s="1161" t="s">
        <v>1186</v>
      </c>
      <c r="G46" s="686"/>
      <c r="H46" s="686"/>
      <c r="I46" s="279">
        <f>VLOOKUP(VLOOKUP($E43,$S$52:$T$56,2,0),$AC$78:$AM$82,MATCH(VALUE(RIGHT(I$5,4)),$AC$5:$AM$5,0),0)</f>
        <v>1431.7402692719506</v>
      </c>
      <c r="J46" s="279">
        <f>VLOOKUP(VLOOKUP($E43,$S$52:$T$56,2,0),$AC$78:$AM$82,MATCH(VALUE(RIGHT(J$5,4)),$AC$5:$AM$5,0),0)</f>
        <v>1431.7402692719506</v>
      </c>
      <c r="K46" s="714"/>
      <c r="L46" s="1260">
        <v>0.1</v>
      </c>
      <c r="M46" s="718">
        <v>5</v>
      </c>
      <c r="N46" s="714"/>
      <c r="O46" s="714"/>
      <c r="P46" s="714"/>
      <c r="Q46" s="714"/>
      <c r="R46" s="714"/>
      <c r="S46" s="714"/>
      <c r="T46" s="714"/>
      <c r="U46" s="714"/>
      <c r="V46" s="714"/>
      <c r="W46" s="714"/>
      <c r="X46" s="714"/>
      <c r="Z46" s="718">
        <f>G43*H43*K43*L46*N43</f>
        <v>0.3809086603554383</v>
      </c>
      <c r="AA46" s="756"/>
      <c r="AB46" s="1660"/>
      <c r="AC46" s="796" t="s">
        <v>791</v>
      </c>
      <c r="AD46" s="854">
        <f>1/CarMoreData!$F$30*10^3*$BJ$73</f>
        <v>220.66090235244755</v>
      </c>
      <c r="AE46" s="855">
        <f>1/CarMoreData!$H$30*10^3*$BJ$73</f>
        <v>229.66587705491114</v>
      </c>
      <c r="AF46" s="805"/>
      <c r="AG46" s="805"/>
      <c r="AH46" s="805"/>
      <c r="AI46" s="805"/>
      <c r="AJ46" s="805"/>
      <c r="AK46" s="805"/>
      <c r="AL46" s="805"/>
      <c r="AM46" s="806"/>
      <c r="AN46" s="756"/>
      <c r="AO46" s="756"/>
      <c r="AP46" s="756"/>
      <c r="AQ46" s="756"/>
      <c r="AR46" s="756"/>
      <c r="AS46" s="756"/>
      <c r="AT46" s="756"/>
      <c r="AU46" s="756"/>
      <c r="AV46" s="756"/>
      <c r="AW46" s="756"/>
      <c r="AX46" s="756"/>
      <c r="AY46" s="756"/>
      <c r="AZ46" s="756"/>
      <c r="BA46" s="756"/>
      <c r="BB46" s="756"/>
      <c r="BC46" s="756"/>
      <c r="BD46" s="756"/>
      <c r="BE46" s="756"/>
      <c r="BF46" s="756"/>
      <c r="BG46" s="756"/>
      <c r="BH46" s="756"/>
    </row>
    <row r="47" spans="2:60">
      <c r="B47" s="714"/>
      <c r="C47" s="714"/>
      <c r="D47" s="714"/>
      <c r="E47" s="714"/>
      <c r="F47" s="714"/>
      <c r="G47" s="714"/>
      <c r="H47" s="714"/>
      <c r="I47" s="714"/>
      <c r="J47" s="714"/>
      <c r="K47" s="714"/>
      <c r="L47" s="714"/>
      <c r="M47" s="714"/>
      <c r="N47" s="714"/>
      <c r="O47" s="714"/>
      <c r="P47" s="714"/>
      <c r="Q47" s="714"/>
      <c r="R47" s="714"/>
      <c r="S47" s="714"/>
      <c r="T47" s="714"/>
      <c r="U47" s="714"/>
      <c r="V47" s="714"/>
      <c r="W47" s="714"/>
      <c r="X47" s="714"/>
      <c r="Y47" s="713" t="s">
        <v>120</v>
      </c>
      <c r="Z47" s="718">
        <f>SUM(Z7:Z46)</f>
        <v>52489.147256403267</v>
      </c>
      <c r="AA47" s="756"/>
      <c r="AB47" s="1660"/>
      <c r="AC47" s="796" t="s">
        <v>53</v>
      </c>
      <c r="AD47" s="854">
        <f>1/CarMoreData!$F$18*10^3*$BJ$73</f>
        <v>232.16306735897328</v>
      </c>
      <c r="AE47" s="855">
        <f>1/CarMoreData!$H$18*10^3*$BJ$73</f>
        <v>244.7223410222899</v>
      </c>
      <c r="AF47" s="805"/>
      <c r="AG47" s="805"/>
      <c r="AH47" s="805"/>
      <c r="AI47" s="805"/>
      <c r="AJ47" s="805"/>
      <c r="AK47" s="805"/>
      <c r="AL47" s="805"/>
      <c r="AM47" s="806"/>
      <c r="AN47" s="756"/>
      <c r="AO47" s="756"/>
      <c r="AP47" s="763" t="s">
        <v>949</v>
      </c>
      <c r="AQ47" s="824"/>
      <c r="AR47" s="824"/>
      <c r="AS47" s="825"/>
      <c r="AT47" s="756"/>
      <c r="AU47" s="756"/>
      <c r="AV47" s="767" t="s">
        <v>950</v>
      </c>
      <c r="AW47" s="768"/>
      <c r="AX47" s="768"/>
      <c r="AY47" s="768"/>
      <c r="AZ47" s="768"/>
      <c r="BA47" s="768"/>
      <c r="BB47" s="768"/>
      <c r="BC47" s="768"/>
      <c r="BD47" s="768"/>
      <c r="BE47" s="768"/>
      <c r="BF47" s="768"/>
      <c r="BG47" s="769"/>
      <c r="BH47" s="756"/>
    </row>
    <row r="48" spans="2:60">
      <c r="Y48" s="713" t="s">
        <v>1186</v>
      </c>
      <c r="Z48" s="718">
        <f>Z10+Z14+Z18+Z22+Z26+Z30+Z34+Z38+Z42+Z46</f>
        <v>21908.11276148001</v>
      </c>
      <c r="AA48" s="756"/>
      <c r="AB48" s="1660"/>
      <c r="AC48" s="796" t="s">
        <v>931</v>
      </c>
      <c r="AD48" s="854">
        <f>1/CarMoreData!$F$18*10^3*$BJ$73</f>
        <v>232.16306735897328</v>
      </c>
      <c r="AE48" s="855">
        <f>1/CarMoreData!$H$18*10^3*$BJ$73</f>
        <v>244.7223410222899</v>
      </c>
      <c r="AF48" s="805"/>
      <c r="AG48" s="805"/>
      <c r="AH48" s="805"/>
      <c r="AI48" s="805"/>
      <c r="AJ48" s="805"/>
      <c r="AK48" s="805"/>
      <c r="AL48" s="805"/>
      <c r="AM48" s="806"/>
      <c r="AN48" s="756"/>
      <c r="AO48" s="756"/>
      <c r="AP48" s="857" t="s">
        <v>916</v>
      </c>
      <c r="AQ48" s="858">
        <v>2010</v>
      </c>
      <c r="AR48" s="858">
        <v>2012</v>
      </c>
      <c r="AS48" s="859">
        <v>2014</v>
      </c>
      <c r="AT48" s="756"/>
      <c r="AU48" s="756"/>
      <c r="AV48" s="778" t="s">
        <v>916</v>
      </c>
      <c r="AW48" s="829">
        <f>AQ48</f>
        <v>2010</v>
      </c>
      <c r="AX48" s="829">
        <f t="shared" ref="AX48:AY48" si="31">AR48</f>
        <v>2012</v>
      </c>
      <c r="AY48" s="829">
        <f t="shared" si="31"/>
        <v>2014</v>
      </c>
      <c r="AZ48" s="779">
        <v>2015</v>
      </c>
      <c r="BA48" s="779">
        <v>2020</v>
      </c>
      <c r="BB48" s="779">
        <v>2025</v>
      </c>
      <c r="BC48" s="779">
        <v>2030</v>
      </c>
      <c r="BD48" s="779">
        <v>2035</v>
      </c>
      <c r="BE48" s="779">
        <v>2040</v>
      </c>
      <c r="BF48" s="779">
        <v>2045</v>
      </c>
      <c r="BG48" s="780">
        <v>2050</v>
      </c>
      <c r="BH48" s="756"/>
    </row>
    <row r="49" spans="6:73">
      <c r="AA49" s="756"/>
      <c r="AB49" s="1661"/>
      <c r="AC49" s="795" t="s">
        <v>51</v>
      </c>
      <c r="AD49" s="860">
        <f>1/CarMoreData!$F$39*10^3*$BJ$75</f>
        <v>1431.7402692719506</v>
      </c>
      <c r="AE49" s="861">
        <f>1/CarMoreData!$H$39*10^3*$BJ$75</f>
        <v>1431.7402692719506</v>
      </c>
      <c r="AF49" s="808"/>
      <c r="AG49" s="808"/>
      <c r="AH49" s="808"/>
      <c r="AI49" s="808"/>
      <c r="AJ49" s="808"/>
      <c r="AK49" s="808"/>
      <c r="AL49" s="808"/>
      <c r="AM49" s="809"/>
      <c r="AN49" s="756"/>
      <c r="AO49" s="756"/>
      <c r="AP49" s="862" t="str">
        <f>CarData!A58</f>
        <v>Petrol</v>
      </c>
      <c r="AQ49" s="786">
        <f>ROUND(AVERAGE(CarData!B58:C58),0)</f>
        <v>1674016</v>
      </c>
      <c r="AR49" s="786">
        <f>ROUND(AVERAGE(CarData!D58:E58),0)</f>
        <v>1623059</v>
      </c>
      <c r="AS49" s="787">
        <f>ROUND(AVERAGE(CarData!F58:G58),0)</f>
        <v>1631467</v>
      </c>
      <c r="AT49" s="756"/>
      <c r="AU49" s="756"/>
      <c r="AV49" s="788" t="str">
        <f>AP49</f>
        <v>Petrol</v>
      </c>
      <c r="AW49" s="831">
        <f>Cars!AQ49/SUM(Cars!$AQ$49:$AQ$53)</f>
        <v>0.78152627728604751</v>
      </c>
      <c r="AX49" s="831">
        <f>Cars!AR49/SUM(Cars!$AR$49:$AR$53)</f>
        <v>0.73252420107893323</v>
      </c>
      <c r="AY49" s="831">
        <f>Cars!AS49/SUM(Cars!$AR$49:$AR$53)</f>
        <v>0.73631892664508436</v>
      </c>
      <c r="AZ49" s="832">
        <f>$AY49</f>
        <v>0.73631892664508436</v>
      </c>
      <c r="BA49" s="832">
        <f t="shared" ref="BA49:BG49" si="32">$AY49</f>
        <v>0.73631892664508436</v>
      </c>
      <c r="BB49" s="832">
        <f t="shared" si="32"/>
        <v>0.73631892664508436</v>
      </c>
      <c r="BC49" s="832">
        <f t="shared" si="32"/>
        <v>0.73631892664508436</v>
      </c>
      <c r="BD49" s="832">
        <f t="shared" si="32"/>
        <v>0.73631892664508436</v>
      </c>
      <c r="BE49" s="832">
        <f t="shared" si="32"/>
        <v>0.73631892664508436</v>
      </c>
      <c r="BF49" s="832">
        <f t="shared" si="32"/>
        <v>0.73631892664508436</v>
      </c>
      <c r="BG49" s="833">
        <f t="shared" si="32"/>
        <v>0.73631892664508436</v>
      </c>
      <c r="BH49" s="756"/>
    </row>
    <row r="50" spans="6:73">
      <c r="H50" s="841" t="s">
        <v>944</v>
      </c>
      <c r="I50" s="22"/>
      <c r="J50" s="22"/>
      <c r="K50" s="22"/>
      <c r="L50" s="22"/>
      <c r="M50" s="22"/>
      <c r="N50" s="22"/>
      <c r="O50" s="22"/>
      <c r="P50" s="22"/>
      <c r="AA50" s="756"/>
      <c r="AB50" s="771" t="s">
        <v>942</v>
      </c>
      <c r="AC50" s="773"/>
      <c r="AD50" s="834"/>
      <c r="AE50" s="834"/>
      <c r="AF50" s="773"/>
      <c r="AG50" s="773"/>
      <c r="AH50" s="773"/>
      <c r="AI50" s="773"/>
      <c r="AJ50" s="773"/>
      <c r="AK50" s="773"/>
      <c r="AL50" s="773"/>
      <c r="AM50" s="774"/>
      <c r="AN50" s="756"/>
      <c r="AO50" s="756"/>
      <c r="AP50" s="862" t="str">
        <f>CarData!A59</f>
        <v>Diesel</v>
      </c>
      <c r="AQ50" s="786">
        <f>ROUND(AVERAGE(CarData!B59:C59),0)</f>
        <v>467698</v>
      </c>
      <c r="AR50" s="786">
        <f>ROUND(AVERAGE(CarData!D59:E59),0)</f>
        <v>591639</v>
      </c>
      <c r="AS50" s="787">
        <f>ROUND(AVERAGE(CarData!F59:G59),0)</f>
        <v>670080</v>
      </c>
      <c r="AT50" s="756"/>
      <c r="AU50" s="756"/>
      <c r="AV50" s="788" t="str">
        <f t="shared" ref="AV50:AV53" si="33">AP50</f>
        <v>Diesel</v>
      </c>
      <c r="AW50" s="831">
        <f>Cars!AQ50/SUM(Cars!$AQ$49:$AQ$53)</f>
        <v>0.21834813815048953</v>
      </c>
      <c r="AX50" s="831">
        <f>Cars!AR50/SUM(Cars!$AR$49:$AR$53)</f>
        <v>0.26702041380020014</v>
      </c>
      <c r="AY50" s="831">
        <f>Cars!AS50/SUM(Cars!$AR$49:$AR$53)</f>
        <v>0.30242265786947464</v>
      </c>
      <c r="AZ50" s="832">
        <f t="shared" ref="AZ50:BG53" si="34">$AY50</f>
        <v>0.30242265786947464</v>
      </c>
      <c r="BA50" s="832">
        <f t="shared" si="34"/>
        <v>0.30242265786947464</v>
      </c>
      <c r="BB50" s="832">
        <f t="shared" si="34"/>
        <v>0.30242265786947464</v>
      </c>
      <c r="BC50" s="832">
        <f t="shared" si="34"/>
        <v>0.30242265786947464</v>
      </c>
      <c r="BD50" s="832">
        <f t="shared" si="34"/>
        <v>0.30242265786947464</v>
      </c>
      <c r="BE50" s="832">
        <f t="shared" si="34"/>
        <v>0.30242265786947464</v>
      </c>
      <c r="BF50" s="832">
        <f t="shared" si="34"/>
        <v>0.30242265786947464</v>
      </c>
      <c r="BG50" s="833">
        <f t="shared" si="34"/>
        <v>0.30242265786947464</v>
      </c>
      <c r="BH50" s="756"/>
    </row>
    <row r="51" spans="6:73" ht="18" customHeight="1">
      <c r="G51" s="1161"/>
      <c r="H51" s="844"/>
      <c r="I51" s="845"/>
      <c r="J51" s="1202" t="s">
        <v>803</v>
      </c>
      <c r="K51" s="1202"/>
      <c r="L51" s="1202"/>
      <c r="M51" s="1202"/>
      <c r="N51" s="1202"/>
      <c r="O51" s="1202"/>
      <c r="P51" s="846"/>
      <c r="Q51" s="1161"/>
      <c r="R51" s="1161"/>
      <c r="S51" s="694" t="s">
        <v>945</v>
      </c>
      <c r="T51" s="794" t="s">
        <v>919</v>
      </c>
      <c r="U51" s="1161"/>
      <c r="V51" s="1209" t="s">
        <v>1121</v>
      </c>
      <c r="W51" s="1290" t="s">
        <v>145</v>
      </c>
      <c r="X51" s="1291" t="s">
        <v>146</v>
      </c>
      <c r="AA51" s="756"/>
      <c r="AB51" s="1659" t="s">
        <v>928</v>
      </c>
      <c r="AC51" s="782" t="s">
        <v>790</v>
      </c>
      <c r="AD51" s="839">
        <f>1/CarMoreData!$F$18*10^3*$BJ$74</f>
        <v>293.81948852643836</v>
      </c>
      <c r="AE51" s="839">
        <f>1/CarMoreData!$H$18*10^3*$BJ$74</f>
        <v>309.71417585116035</v>
      </c>
      <c r="AF51" s="802"/>
      <c r="AG51" s="802"/>
      <c r="AH51" s="802"/>
      <c r="AI51" s="802"/>
      <c r="AJ51" s="802"/>
      <c r="AK51" s="802"/>
      <c r="AL51" s="802"/>
      <c r="AM51" s="803"/>
      <c r="AN51" s="756"/>
      <c r="AO51" s="756"/>
      <c r="AP51" s="862" t="str">
        <f>CarData!A60</f>
        <v>LPG</v>
      </c>
      <c r="AQ51" s="786">
        <f>ROUND(AVERAGE(CarData!B60:C60),0)</f>
        <v>10</v>
      </c>
      <c r="AR51" s="786">
        <f>ROUND(AVERAGE(CarData!D60:E60),0)</f>
        <v>9</v>
      </c>
      <c r="AS51" s="787">
        <f>ROUND(AVERAGE(CarData!F60:G60),0)</f>
        <v>9</v>
      </c>
      <c r="AT51" s="756"/>
      <c r="AU51" s="756"/>
      <c r="AV51" s="788" t="str">
        <f t="shared" si="33"/>
        <v>LPG</v>
      </c>
      <c r="AW51" s="831">
        <f>Cars!AQ51/SUM(Cars!$AQ$49:$AQ$53)</f>
        <v>4.6685711324506312E-6</v>
      </c>
      <c r="AX51" s="831">
        <f>Cars!AR51/SUM(Cars!$AR$49:$AR$53)</f>
        <v>4.0619089076308374E-6</v>
      </c>
      <c r="AY51" s="831">
        <f>Cars!AS51/SUM(Cars!$AR$49:$AR$53)</f>
        <v>4.0619089076308374E-6</v>
      </c>
      <c r="AZ51" s="832">
        <f t="shared" si="34"/>
        <v>4.0619089076308374E-6</v>
      </c>
      <c r="BA51" s="832">
        <f t="shared" si="34"/>
        <v>4.0619089076308374E-6</v>
      </c>
      <c r="BB51" s="832">
        <f t="shared" si="34"/>
        <v>4.0619089076308374E-6</v>
      </c>
      <c r="BC51" s="832">
        <f t="shared" si="34"/>
        <v>4.0619089076308374E-6</v>
      </c>
      <c r="BD51" s="832">
        <f t="shared" si="34"/>
        <v>4.0619089076308374E-6</v>
      </c>
      <c r="BE51" s="832">
        <f t="shared" si="34"/>
        <v>4.0619089076308374E-6</v>
      </c>
      <c r="BF51" s="832">
        <f t="shared" si="34"/>
        <v>4.0619089076308374E-6</v>
      </c>
      <c r="BG51" s="833">
        <f t="shared" si="34"/>
        <v>4.0619089076308374E-6</v>
      </c>
      <c r="BH51" s="756"/>
      <c r="BI51" s="863" t="s">
        <v>802</v>
      </c>
    </row>
    <row r="52" spans="6:73" ht="15">
      <c r="F52" s="1161"/>
      <c r="G52" s="1161"/>
      <c r="H52" s="850"/>
      <c r="I52" s="851"/>
      <c r="J52" s="852" t="s">
        <v>791</v>
      </c>
      <c r="K52" s="852" t="s">
        <v>946</v>
      </c>
      <c r="L52" s="852" t="s">
        <v>53</v>
      </c>
      <c r="M52" s="852" t="s">
        <v>947</v>
      </c>
      <c r="N52" s="852" t="s">
        <v>948</v>
      </c>
      <c r="O52" s="852" t="s">
        <v>120</v>
      </c>
      <c r="P52" s="853"/>
      <c r="Q52" s="1161"/>
      <c r="R52" s="1161"/>
      <c r="S52" s="1161" t="str">
        <f>Commodities!D109</f>
        <v>TRADSBL1C</v>
      </c>
      <c r="T52" s="720" t="s">
        <v>791</v>
      </c>
      <c r="U52" s="1161"/>
      <c r="V52" s="684" t="s">
        <v>1122</v>
      </c>
      <c r="W52" s="666">
        <f>Dem!E71/SUM(Dem!$E$71:$E$74)</f>
        <v>6.2887732543907962E-2</v>
      </c>
      <c r="X52" s="1205">
        <f>Dem!F71/SUM(Dem!$F$71:$F$74)</f>
        <v>6.2887569192651482E-2</v>
      </c>
      <c r="AA52" s="756"/>
      <c r="AB52" s="1660"/>
      <c r="AC52" s="796" t="s">
        <v>791</v>
      </c>
      <c r="AD52" s="839">
        <f>1/CarMoreData!$F$30*10^3*$BJ$74</f>
        <v>279.26265019031069</v>
      </c>
      <c r="AE52" s="839">
        <f>1/CarMoreData!$H$30*10^3*$BJ$74</f>
        <v>290.65910997769083</v>
      </c>
      <c r="AF52" s="805"/>
      <c r="AG52" s="805"/>
      <c r="AH52" s="805"/>
      <c r="AI52" s="805"/>
      <c r="AJ52" s="805"/>
      <c r="AK52" s="805"/>
      <c r="AL52" s="805"/>
      <c r="AM52" s="806"/>
      <c r="AN52" s="756"/>
      <c r="AO52" s="756"/>
      <c r="AP52" s="862" t="str">
        <f>CarData!A61</f>
        <v>N-gas</v>
      </c>
      <c r="AQ52" s="786">
        <f>ROUND(AVERAGE(CarData!B61:C61),0)</f>
        <v>1</v>
      </c>
      <c r="AR52" s="786">
        <f>ROUND(AVERAGE(CarData!D61:E61),0)</f>
        <v>4</v>
      </c>
      <c r="AS52" s="787">
        <f>ROUND(AVERAGE(CarData!F61:G61),0)</f>
        <v>39</v>
      </c>
      <c r="AT52" s="756"/>
      <c r="AU52" s="756"/>
      <c r="AV52" s="788" t="str">
        <f t="shared" si="33"/>
        <v>N-gas</v>
      </c>
      <c r="AW52" s="831">
        <f>Cars!AQ52/SUM(Cars!$AQ$49:$AQ$53)</f>
        <v>4.6685711324506309E-7</v>
      </c>
      <c r="AX52" s="831">
        <f>Cars!AR52/SUM(Cars!$AR$49:$AR$53)</f>
        <v>1.8052928478359278E-6</v>
      </c>
      <c r="AY52" s="831">
        <f>Cars!AS52/SUM(Cars!$AR$49:$AR$53)</f>
        <v>1.7601605266400296E-5</v>
      </c>
      <c r="AZ52" s="832">
        <f t="shared" si="34"/>
        <v>1.7601605266400296E-5</v>
      </c>
      <c r="BA52" s="832">
        <f t="shared" si="34"/>
        <v>1.7601605266400296E-5</v>
      </c>
      <c r="BB52" s="832">
        <f t="shared" si="34"/>
        <v>1.7601605266400296E-5</v>
      </c>
      <c r="BC52" s="832">
        <f t="shared" si="34"/>
        <v>1.7601605266400296E-5</v>
      </c>
      <c r="BD52" s="832">
        <f t="shared" si="34"/>
        <v>1.7601605266400296E-5</v>
      </c>
      <c r="BE52" s="832">
        <f t="shared" si="34"/>
        <v>1.7601605266400296E-5</v>
      </c>
      <c r="BF52" s="832">
        <f t="shared" si="34"/>
        <v>1.7601605266400296E-5</v>
      </c>
      <c r="BG52" s="833">
        <f t="shared" si="34"/>
        <v>1.7601605266400296E-5</v>
      </c>
      <c r="BH52" s="756"/>
      <c r="BS52" s="682"/>
      <c r="BT52" s="682"/>
      <c r="BU52" s="682"/>
    </row>
    <row r="53" spans="6:73" ht="15">
      <c r="F53" s="1161"/>
      <c r="G53" s="1161"/>
      <c r="H53" s="850" t="str">
        <f>Commodities!D6</f>
        <v>TPXS</v>
      </c>
      <c r="I53" s="851" t="s">
        <v>145</v>
      </c>
      <c r="J53" s="856">
        <f>L7*$K$7*$G$7*$N$7/I7</f>
        <v>1.2003206599086591</v>
      </c>
      <c r="K53" s="856">
        <f>L11*$K$11*$G$11*$N$11/I11</f>
        <v>2.5058069737793245</v>
      </c>
      <c r="L53" s="856">
        <f>L15*$K$15*$G$15*$N$15/I15</f>
        <v>1.5931547704901256E-5</v>
      </c>
      <c r="M53" s="856">
        <f>L19*$K$19*$G$19*$N$19/I19</f>
        <v>0</v>
      </c>
      <c r="N53" s="856">
        <f>L23*$K$23*$G$23*$N$23/I23</f>
        <v>1.1296752627806897E-4</v>
      </c>
      <c r="O53" s="856">
        <f>SUM(J53:N53)</f>
        <v>3.7062565327619663</v>
      </c>
      <c r="P53" s="853"/>
      <c r="Q53" s="1161"/>
      <c r="R53" s="1161"/>
      <c r="S53" s="1161" t="str">
        <f>Commodities!D114</f>
        <v>TRAGSBL1C</v>
      </c>
      <c r="T53" s="1161" t="s">
        <v>790</v>
      </c>
      <c r="U53" s="1161"/>
      <c r="V53" s="684" t="s">
        <v>1123</v>
      </c>
      <c r="W53" s="666">
        <f>Dem!E72/SUM(Dem!$E$71:$E$74)</f>
        <v>0.30174197570528116</v>
      </c>
      <c r="X53" s="1615">
        <f>Dem!F72/SUM(Dem!$F$71:$F$74)</f>
        <v>0.30174082402892533</v>
      </c>
      <c r="AA53" s="756"/>
      <c r="AB53" s="1660"/>
      <c r="AC53" s="796" t="s">
        <v>53</v>
      </c>
      <c r="AD53" s="839">
        <f>1/CarMoreData!$F$18*10^3*$BJ$74</f>
        <v>293.81948852643836</v>
      </c>
      <c r="AE53" s="839">
        <f>1/CarMoreData!$H$18*10^3*$BJ$74</f>
        <v>309.71417585116035</v>
      </c>
      <c r="AF53" s="805"/>
      <c r="AG53" s="805"/>
      <c r="AH53" s="805"/>
      <c r="AI53" s="805"/>
      <c r="AJ53" s="805"/>
      <c r="AK53" s="805"/>
      <c r="AL53" s="805"/>
      <c r="AM53" s="806"/>
      <c r="AN53" s="756"/>
      <c r="AO53" s="756"/>
      <c r="AP53" s="862" t="str">
        <f>CarData!A62</f>
        <v>Electricity</v>
      </c>
      <c r="AQ53" s="786">
        <f>ROUND(AVERAGE(CarData!B62:C62),0)</f>
        <v>258</v>
      </c>
      <c r="AR53" s="786">
        <f>ROUND(AVERAGE(CarData!D62:E62),0)</f>
        <v>996</v>
      </c>
      <c r="AS53" s="787">
        <f>ROUND(AVERAGE(CarData!F62:G62),0)</f>
        <v>2228</v>
      </c>
      <c r="AT53" s="756"/>
      <c r="AU53" s="756"/>
      <c r="AV53" s="813" t="str">
        <f t="shared" si="33"/>
        <v>Electricity</v>
      </c>
      <c r="AW53" s="836">
        <f>Cars!AQ53/SUM(Cars!$AQ$49:$AQ$53)</f>
        <v>1.2044913521722628E-4</v>
      </c>
      <c r="AX53" s="836">
        <f>Cars!AR53/SUM(Cars!$AR$49:$AR$53)</f>
        <v>4.49517919111146E-4</v>
      </c>
      <c r="AY53" s="836">
        <f>Cars!AS53/SUM(Cars!$AR$49:$AR$53)</f>
        <v>1.0055481162446118E-3</v>
      </c>
      <c r="AZ53" s="837">
        <f t="shared" si="34"/>
        <v>1.0055481162446118E-3</v>
      </c>
      <c r="BA53" s="837">
        <f t="shared" si="34"/>
        <v>1.0055481162446118E-3</v>
      </c>
      <c r="BB53" s="837">
        <f t="shared" si="34"/>
        <v>1.0055481162446118E-3</v>
      </c>
      <c r="BC53" s="837">
        <f t="shared" si="34"/>
        <v>1.0055481162446118E-3</v>
      </c>
      <c r="BD53" s="837">
        <f t="shared" si="34"/>
        <v>1.0055481162446118E-3</v>
      </c>
      <c r="BE53" s="837">
        <f t="shared" si="34"/>
        <v>1.0055481162446118E-3</v>
      </c>
      <c r="BF53" s="837">
        <f t="shared" si="34"/>
        <v>1.0055481162446118E-3</v>
      </c>
      <c r="BG53" s="838">
        <f t="shared" si="34"/>
        <v>1.0055481162446118E-3</v>
      </c>
      <c r="BH53" s="756"/>
      <c r="BI53" s="867" t="s">
        <v>952</v>
      </c>
    </row>
    <row r="54" spans="6:73" ht="15">
      <c r="G54" s="1161"/>
      <c r="H54" s="850" t="e">
        <f>Commodities!#REF!</f>
        <v>#REF!</v>
      </c>
      <c r="I54" s="851" t="s">
        <v>145</v>
      </c>
      <c r="J54" s="856">
        <f>L8*$K$7*$G$7*$N$7/I8</f>
        <v>4.5507147036022868</v>
      </c>
      <c r="K54" s="856">
        <f>L12*$K$11*$G$11*$N$11/I12</f>
        <v>9.5001386053244072</v>
      </c>
      <c r="L54" s="856">
        <f>L16*$K$15*$G$15*$N$15/I16</f>
        <v>6.0400466986340498E-5</v>
      </c>
      <c r="M54" s="856">
        <f>L20*$K$19*$G$19*$N$19/I20</f>
        <v>0</v>
      </c>
      <c r="N54" s="856">
        <f>L24*$K$23*$G$23*$N$23/I24</f>
        <v>4.5187010511227587E-4</v>
      </c>
      <c r="O54" s="856">
        <f t="shared" ref="O54:O61" si="35">SUM(J54:N54)</f>
        <v>14.051365579498793</v>
      </c>
      <c r="P54" s="853"/>
      <c r="Q54" s="1161"/>
      <c r="R54" s="1161"/>
      <c r="S54" s="1161" t="str">
        <f>Commodities!D40</f>
        <v>TRALPGC</v>
      </c>
      <c r="T54" s="720" t="s">
        <v>53</v>
      </c>
      <c r="U54" s="1161"/>
      <c r="V54" s="684" t="s">
        <v>1124</v>
      </c>
      <c r="W54" s="666">
        <f>Dem!E73/SUM(Dem!$E$71:$E$74)</f>
        <v>0.21795063031638209</v>
      </c>
      <c r="X54" s="1615">
        <f>Dem!F73/SUM(Dem!$F$71:$F$74)</f>
        <v>0.21794821400381284</v>
      </c>
      <c r="AA54" s="756"/>
      <c r="AB54" s="1660"/>
      <c r="AC54" s="796" t="s">
        <v>931</v>
      </c>
      <c r="AD54" s="839">
        <f>1/CarMoreData!$F$18*10^3*$BJ$74</f>
        <v>293.81948852643836</v>
      </c>
      <c r="AE54" s="839">
        <f>1/CarMoreData!$H$18*10^3*$BJ$74</f>
        <v>309.71417585116035</v>
      </c>
      <c r="AF54" s="805"/>
      <c r="AG54" s="805"/>
      <c r="AH54" s="805"/>
      <c r="AI54" s="805"/>
      <c r="AJ54" s="805"/>
      <c r="AK54" s="805"/>
      <c r="AL54" s="805"/>
      <c r="AM54" s="806"/>
      <c r="AN54" s="756"/>
      <c r="AO54" s="756"/>
      <c r="AP54" s="862" t="str">
        <f>CarData!A63</f>
        <v>Kerosene</v>
      </c>
      <c r="AQ54" s="786">
        <f>ROUND(AVERAGE(CarData!B63:C63),0)</f>
        <v>17</v>
      </c>
      <c r="AR54" s="786">
        <f>ROUND(AVERAGE(CarData!D63:E63),0)</f>
        <v>15</v>
      </c>
      <c r="AS54" s="787">
        <f>ROUND(AVERAGE(CarData!F63:G63),0)</f>
        <v>10</v>
      </c>
      <c r="AT54" s="756"/>
      <c r="AU54" s="756"/>
      <c r="AV54" s="756"/>
      <c r="AW54" s="756"/>
      <c r="AX54" s="756"/>
      <c r="AY54" s="756"/>
      <c r="AZ54" s="756"/>
      <c r="BA54" s="756"/>
      <c r="BB54" s="756"/>
      <c r="BC54" s="756"/>
      <c r="BD54" s="756"/>
      <c r="BE54" s="756"/>
      <c r="BF54" s="756"/>
      <c r="BG54" s="756"/>
      <c r="BH54" s="756"/>
    </row>
    <row r="55" spans="6:73" ht="15">
      <c r="G55" s="1161"/>
      <c r="H55" s="850" t="e">
        <f>Commodities!#REF!</f>
        <v>#REF!</v>
      </c>
      <c r="I55" s="851" t="s">
        <v>145</v>
      </c>
      <c r="J55" s="856">
        <f t="shared" ref="J55" si="36">L9*$K$7*$G$7*$N$7/I9</f>
        <v>2.5375774675607778</v>
      </c>
      <c r="K55" s="856">
        <f t="shared" ref="K55:K56" si="37">L13*$K$11*$G$11*$N$11/I13</f>
        <v>5.2974838533587771</v>
      </c>
      <c r="L55" s="856">
        <f>L17*$K$15*$G$15*$N$15/I17</f>
        <v>3.3680613714008272E-5</v>
      </c>
      <c r="M55" s="856">
        <f t="shared" ref="M55:M56" si="38">L21*$K$19*$G$19*$N$19/I21</f>
        <v>0</v>
      </c>
      <c r="N55" s="856">
        <f t="shared" ref="N55:N56" si="39">L25*$K$23*$G$23*$N$23/I25</f>
        <v>4.5187010511227587E-4</v>
      </c>
      <c r="O55" s="856">
        <f t="shared" si="35"/>
        <v>7.8355468716383818</v>
      </c>
      <c r="P55" s="853"/>
      <c r="Q55" s="1161"/>
      <c r="R55" s="1161"/>
      <c r="S55" s="1161" t="str">
        <f>Commodities!D119</f>
        <v>TRANGBL1C</v>
      </c>
      <c r="T55" s="1161" t="s">
        <v>931</v>
      </c>
      <c r="U55" s="1161"/>
      <c r="V55" s="696" t="s">
        <v>1125</v>
      </c>
      <c r="W55" s="1616">
        <f>Dem!E74/SUM(Dem!$E$71:$E$74)</f>
        <v>0.41741966143442871</v>
      </c>
      <c r="X55" s="1617">
        <f>Dem!F74/SUM(Dem!$F$71:$F$74)</f>
        <v>0.41742339277461027</v>
      </c>
      <c r="AA55" s="756"/>
      <c r="AB55" s="1661"/>
      <c r="AC55" s="795" t="s">
        <v>51</v>
      </c>
      <c r="AD55" s="839">
        <f>1/CarMoreData!$F$39*10^3*$BJ$75</f>
        <v>1431.7402692719506</v>
      </c>
      <c r="AE55" s="839">
        <f>1/CarMoreData!$H$39*10^3*$BJ$75</f>
        <v>1431.7402692719506</v>
      </c>
      <c r="AF55" s="808"/>
      <c r="AG55" s="808"/>
      <c r="AH55" s="808"/>
      <c r="AI55" s="808"/>
      <c r="AJ55" s="808"/>
      <c r="AK55" s="808"/>
      <c r="AL55" s="808"/>
      <c r="AM55" s="809"/>
      <c r="AN55" s="756"/>
      <c r="AO55" s="756"/>
      <c r="AP55" s="862" t="str">
        <f>CarData!A64</f>
        <v>Other propellant</v>
      </c>
      <c r="AQ55" s="786">
        <f>ROUND(AVERAGE(CarData!B64:C64),0)</f>
        <v>0</v>
      </c>
      <c r="AR55" s="786">
        <f>ROUND(AVERAGE(CarData!D64:E64),0)</f>
        <v>1</v>
      </c>
      <c r="AS55" s="787">
        <f>ROUND(AVERAGE(CarData!F64:G64),0)</f>
        <v>19</v>
      </c>
      <c r="AT55" s="756"/>
      <c r="AU55" s="756"/>
      <c r="AV55" s="756"/>
      <c r="AW55" s="756"/>
      <c r="AX55" s="756"/>
      <c r="AY55" s="756"/>
      <c r="AZ55" s="756"/>
      <c r="BA55" s="756"/>
      <c r="BB55" s="756"/>
      <c r="BC55" s="756"/>
      <c r="BD55" s="756"/>
      <c r="BE55" s="756"/>
      <c r="BF55" s="756"/>
      <c r="BG55" s="756"/>
      <c r="BH55" s="756"/>
      <c r="BI55" s="876" t="s">
        <v>954</v>
      </c>
      <c r="BJ55" s="877"/>
      <c r="BK55" s="878"/>
    </row>
    <row r="56" spans="6:73" ht="14.45" customHeight="1">
      <c r="G56" s="1161"/>
      <c r="H56" s="850" t="e">
        <f>Commodities!#REF!</f>
        <v>#REF!</v>
      </c>
      <c r="I56" s="851" t="s">
        <v>145</v>
      </c>
      <c r="J56" s="856">
        <f>L10*$K$7*$G$7*$N$7/I10</f>
        <v>3.9719568278011534</v>
      </c>
      <c r="K56" s="856">
        <f t="shared" si="37"/>
        <v>8.2919151949046075</v>
      </c>
      <c r="L56" s="856">
        <f>L18*$K$15*$G$15*$N$15/I18</f>
        <v>5.2718762408653136E-5</v>
      </c>
      <c r="M56" s="856">
        <f t="shared" si="38"/>
        <v>0</v>
      </c>
      <c r="N56" s="856">
        <f t="shared" si="39"/>
        <v>1.1296752627806897E-4</v>
      </c>
      <c r="O56" s="856">
        <f t="shared" si="35"/>
        <v>12.264037708994447</v>
      </c>
      <c r="P56" s="853"/>
      <c r="Q56" s="1161"/>
      <c r="R56" s="1161"/>
      <c r="S56" s="682" t="str">
        <f>Commodities!D48</f>
        <v>TRAELCEVC</v>
      </c>
      <c r="T56" s="794" t="s">
        <v>51</v>
      </c>
      <c r="U56" s="1161"/>
      <c r="V56" s="1292" t="s">
        <v>1404</v>
      </c>
      <c r="W56" s="1161"/>
      <c r="X56" s="1161"/>
      <c r="AA56" s="756"/>
      <c r="AB56" s="1660" t="s">
        <v>934</v>
      </c>
      <c r="AC56" s="782" t="s">
        <v>790</v>
      </c>
      <c r="AD56" s="847">
        <f>1/CarMoreData!$F$18*10^3*$BJ$74</f>
        <v>293.81948852643836</v>
      </c>
      <c r="AE56" s="848">
        <f>1/CarMoreData!$H$18*10^3*$BJ$74</f>
        <v>309.71417585116035</v>
      </c>
      <c r="AF56" s="805"/>
      <c r="AG56" s="805"/>
      <c r="AH56" s="805"/>
      <c r="AI56" s="805"/>
      <c r="AJ56" s="805"/>
      <c r="AK56" s="805"/>
      <c r="AL56" s="805"/>
      <c r="AM56" s="806"/>
      <c r="AN56" s="756"/>
      <c r="AO56" s="756"/>
      <c r="AP56" s="817" t="s">
        <v>120</v>
      </c>
      <c r="AQ56" s="842">
        <f>SUM(AQ49:AQ55)</f>
        <v>2142000</v>
      </c>
      <c r="AR56" s="842">
        <f>SUM(AR49:AR55)</f>
        <v>2215723</v>
      </c>
      <c r="AS56" s="843">
        <f>SUM(AS49:AS55)</f>
        <v>2303852</v>
      </c>
      <c r="AT56" s="756"/>
      <c r="AU56" s="756"/>
      <c r="AV56" s="767" t="s">
        <v>955</v>
      </c>
      <c r="AW56" s="768"/>
      <c r="AX56" s="768"/>
      <c r="AY56" s="768"/>
      <c r="AZ56" s="768"/>
      <c r="BA56" s="768"/>
      <c r="BB56" s="768"/>
      <c r="BC56" s="768"/>
      <c r="BD56" s="768"/>
      <c r="BE56" s="768"/>
      <c r="BF56" s="768"/>
      <c r="BG56" s="769"/>
      <c r="BH56" s="756"/>
      <c r="BI56" s="879" t="s">
        <v>956</v>
      </c>
      <c r="BJ56" s="880" t="s">
        <v>145</v>
      </c>
      <c r="BK56" s="741" t="s">
        <v>146</v>
      </c>
    </row>
    <row r="57" spans="6:73" ht="15">
      <c r="G57" s="1161"/>
      <c r="H57" s="1266" t="str">
        <f>Commodities!D6</f>
        <v>TPXS</v>
      </c>
      <c r="I57" s="851" t="s">
        <v>146</v>
      </c>
      <c r="J57" s="856">
        <f>L27*$K$27*$G$27*$N$27/I27</f>
        <v>1.8103246892107272</v>
      </c>
      <c r="K57" s="856">
        <f>L31*$K$31*$G$31*$N$31/I31</f>
        <v>3.7789347728653553</v>
      </c>
      <c r="L57" s="856">
        <f>L35*$K$35*$G$35*$N$35/I35</f>
        <v>2.6911447983476883E-5</v>
      </c>
      <c r="M57" s="856">
        <f>L39*$K$39*$G$39*$N$39/I39</f>
        <v>4.4852413305794811E-6</v>
      </c>
      <c r="N57" s="856">
        <f>L43*$K$43*$G$43*$N$43/I43</f>
        <v>1.7116368015352947E-4</v>
      </c>
      <c r="O57" s="856">
        <f t="shared" si="35"/>
        <v>5.5894620224455505</v>
      </c>
      <c r="P57" s="853"/>
      <c r="Q57" s="1161"/>
      <c r="R57" s="1161"/>
      <c r="S57" s="1161"/>
      <c r="T57" s="1161"/>
      <c r="U57" s="1161"/>
      <c r="V57" s="1161"/>
      <c r="W57" s="1161"/>
      <c r="X57" s="1161"/>
      <c r="AA57" s="756"/>
      <c r="AB57" s="1660"/>
      <c r="AC57" s="796" t="s">
        <v>791</v>
      </c>
      <c r="AD57" s="854">
        <f>1/CarMoreData!$F$30*10^3*$BJ$74</f>
        <v>279.26265019031069</v>
      </c>
      <c r="AE57" s="855">
        <f>1/CarMoreData!$H$30*10^3*$BJ$74</f>
        <v>290.65910997769083</v>
      </c>
      <c r="AF57" s="805"/>
      <c r="AG57" s="805"/>
      <c r="AH57" s="805"/>
      <c r="AI57" s="805"/>
      <c r="AJ57" s="805"/>
      <c r="AK57" s="805"/>
      <c r="AL57" s="805"/>
      <c r="AM57" s="806"/>
      <c r="AN57" s="756"/>
      <c r="AO57" s="756"/>
      <c r="AP57" s="823" t="s">
        <v>370</v>
      </c>
      <c r="AQ57" s="756"/>
      <c r="AR57" s="756"/>
      <c r="AS57" s="756"/>
      <c r="AT57" s="756"/>
      <c r="AU57" s="756"/>
      <c r="AV57" s="778" t="s">
        <v>1</v>
      </c>
      <c r="AW57" s="779">
        <v>2010</v>
      </c>
      <c r="AX57" s="779">
        <v>2012</v>
      </c>
      <c r="AY57" s="779">
        <v>2014</v>
      </c>
      <c r="AZ57" s="779">
        <v>2015</v>
      </c>
      <c r="BA57" s="779">
        <v>2020</v>
      </c>
      <c r="BB57" s="779">
        <v>2025</v>
      </c>
      <c r="BC57" s="779">
        <v>2030</v>
      </c>
      <c r="BD57" s="779">
        <v>2035</v>
      </c>
      <c r="BE57" s="779">
        <v>2040</v>
      </c>
      <c r="BF57" s="779">
        <v>2045</v>
      </c>
      <c r="BG57" s="780">
        <v>2050</v>
      </c>
      <c r="BH57" s="756"/>
      <c r="BI57" s="882" t="s">
        <v>791</v>
      </c>
      <c r="BJ57" s="883">
        <f>SUM(CarData!V8,CarData!V10)*AQ64/$AS$64</f>
        <v>4211.6879177796409</v>
      </c>
      <c r="BK57" s="883">
        <f>SUM(CarData!V8,CarData!V10)*AR64/$AS$64</f>
        <v>6352.0900575382875</v>
      </c>
    </row>
    <row r="58" spans="6:73" ht="15">
      <c r="G58" s="1161"/>
      <c r="H58" s="1266" t="e">
        <f>Commodities!#REF!</f>
        <v>#REF!</v>
      </c>
      <c r="I58" s="851" t="s">
        <v>146</v>
      </c>
      <c r="J58" s="856">
        <f>L28*$K$27*$G$27*$N$27/I28</f>
        <v>6.8633836041361667</v>
      </c>
      <c r="K58" s="856">
        <f>L32*$K$31*$G$31*$N$31/I32</f>
        <v>14.326865846640978</v>
      </c>
      <c r="L58" s="856">
        <f>L36*$K$35*$G$35*$N$35/I36</f>
        <v>1.0202788038751565E-4</v>
      </c>
      <c r="M58" s="856">
        <f>L40*$K$39*$G$39*$N$39/I40</f>
        <v>1.7004646731252609E-5</v>
      </c>
      <c r="N58" s="856">
        <f>L44*$K$43*$G$43*$N$43/I44</f>
        <v>6.8465472061411789E-4</v>
      </c>
      <c r="O58" s="856">
        <f t="shared" si="35"/>
        <v>21.191053138024881</v>
      </c>
      <c r="P58" s="853"/>
      <c r="Q58" s="1161"/>
      <c r="R58" s="1161"/>
      <c r="S58" s="1161"/>
      <c r="T58" s="1161"/>
      <c r="U58" s="1161"/>
      <c r="V58" s="1161"/>
      <c r="W58" s="1161"/>
      <c r="X58" s="1161"/>
      <c r="AA58" s="756"/>
      <c r="AB58" s="1660"/>
      <c r="AC58" s="796" t="s">
        <v>53</v>
      </c>
      <c r="AD58" s="854">
        <f>1/CarMoreData!$F$18*10^3*$BJ$74</f>
        <v>293.81948852643836</v>
      </c>
      <c r="AE58" s="855">
        <f>1/CarMoreData!$H$18*10^3*$BJ$74</f>
        <v>309.71417585116035</v>
      </c>
      <c r="AF58" s="805"/>
      <c r="AG58" s="805"/>
      <c r="AH58" s="805"/>
      <c r="AI58" s="805"/>
      <c r="AJ58" s="805"/>
      <c r="AK58" s="805"/>
      <c r="AL58" s="805"/>
      <c r="AM58" s="806"/>
      <c r="AN58" s="756"/>
      <c r="AO58" s="756"/>
      <c r="AP58" s="756"/>
      <c r="AQ58" s="756"/>
      <c r="AR58" s="756"/>
      <c r="AS58" s="756"/>
      <c r="AT58" s="756"/>
      <c r="AU58" s="756"/>
      <c r="AV58" s="884" t="s">
        <v>790</v>
      </c>
      <c r="AW58" s="831"/>
      <c r="AX58" s="831"/>
      <c r="AY58" s="831"/>
      <c r="AZ58" s="832"/>
      <c r="BA58" s="832"/>
      <c r="BB58" s="832"/>
      <c r="BC58" s="832"/>
      <c r="BD58" s="832"/>
      <c r="BE58" s="832"/>
      <c r="BF58" s="832"/>
      <c r="BG58" s="833"/>
      <c r="BH58" s="756"/>
      <c r="BI58" s="885" t="s">
        <v>946</v>
      </c>
      <c r="BJ58" s="883">
        <f>CarData!V7*AQ64/$AS$64</f>
        <v>9243.5520917406666</v>
      </c>
      <c r="BK58" s="883">
        <f>CarData!V7*AR64/$AS$64</f>
        <v>13941.174295088211</v>
      </c>
    </row>
    <row r="59" spans="6:73" ht="15">
      <c r="G59" s="1161"/>
      <c r="H59" s="1266" t="e">
        <f>Commodities!#REF!</f>
        <v>#REF!</v>
      </c>
      <c r="I59" s="851" t="s">
        <v>146</v>
      </c>
      <c r="J59" s="1264">
        <f>L29*$K$27*$G$27*$N$27/I29</f>
        <v>3.8271441094946947</v>
      </c>
      <c r="K59" s="856">
        <f t="shared" ref="K59:K60" si="40">L33*$K$31*$G$31*$N$31/I33</f>
        <v>7.9889138353638387</v>
      </c>
      <c r="L59" s="856">
        <f>L37*$K$35*$G$35*$N$35/I37</f>
        <v>5.6892550956060915E-5</v>
      </c>
      <c r="M59" s="856">
        <f t="shared" ref="M59:M60" si="41">L41*$K$39*$G$39*$N$39/I41</f>
        <v>9.4820918260101526E-6</v>
      </c>
      <c r="N59" s="856">
        <f t="shared" ref="N59:N60" si="42">L45*$K$43*$G$43*$N$43/I45</f>
        <v>6.8465472061411789E-4</v>
      </c>
      <c r="O59" s="856">
        <f t="shared" si="35"/>
        <v>11.81680897422193</v>
      </c>
      <c r="P59" s="853"/>
      <c r="Q59" s="1161"/>
      <c r="R59" s="1161"/>
      <c r="S59" s="1161"/>
      <c r="T59" s="1161"/>
      <c r="U59" s="1161"/>
      <c r="V59" s="1161"/>
      <c r="W59" s="1161"/>
      <c r="X59" s="1161"/>
      <c r="AA59" s="756"/>
      <c r="AB59" s="1660"/>
      <c r="AC59" s="796" t="s">
        <v>931</v>
      </c>
      <c r="AD59" s="854">
        <f>1/CarMoreData!$F$18*10^3*$BJ$74</f>
        <v>293.81948852643836</v>
      </c>
      <c r="AE59" s="855">
        <f>1/CarMoreData!$H$18*10^3*$BJ$74</f>
        <v>309.71417585116035</v>
      </c>
      <c r="AF59" s="805"/>
      <c r="AG59" s="805"/>
      <c r="AH59" s="805"/>
      <c r="AI59" s="805"/>
      <c r="AJ59" s="805"/>
      <c r="AK59" s="805"/>
      <c r="AL59" s="805"/>
      <c r="AM59" s="806"/>
      <c r="AN59" s="756"/>
      <c r="AO59" s="756"/>
      <c r="AP59" s="763" t="s">
        <v>958</v>
      </c>
      <c r="AQ59" s="824"/>
      <c r="AR59" s="824"/>
      <c r="AS59" s="825"/>
      <c r="AT59" s="756"/>
      <c r="AU59" s="756"/>
      <c r="AV59" s="830" t="s">
        <v>941</v>
      </c>
      <c r="AW59" s="886">
        <f>Cars!AQ33*Cars!AW49*Cars!AW38</f>
        <v>715641.30636591534</v>
      </c>
      <c r="AX59" s="886">
        <f>Cars!AR33*Cars!AX49*Cars!AX38</f>
        <v>686687.03376884793</v>
      </c>
      <c r="AY59" s="886">
        <f>Cars!AS33*Cars!AY49*Cars!AY38</f>
        <v>719964.14808160183</v>
      </c>
      <c r="AZ59" s="886">
        <f>Cars!AW33*Cars!AZ49*Cars!AZ38</f>
        <v>649594.77416251856</v>
      </c>
      <c r="BA59" s="886">
        <f>Cars!AX33*Cars!BA49*Cars!BA38</f>
        <v>462190.61422144284</v>
      </c>
      <c r="BB59" s="886">
        <f>Cars!AY33*Cars!BB49*Cars!BB38</f>
        <v>274616.45164063032</v>
      </c>
      <c r="BC59" s="886">
        <f>Cars!AZ33*Cars!BC49*Cars!BC38</f>
        <v>123520.04297261508</v>
      </c>
      <c r="BD59" s="886">
        <f>Cars!BA33*Cars!BD49*Cars!BD38</f>
        <v>37213.077830629627</v>
      </c>
      <c r="BE59" s="886">
        <f>Cars!BB33*Cars!BE49*Cars!BE38</f>
        <v>6513.226134917556</v>
      </c>
      <c r="BF59" s="886">
        <f>Cars!BC33*Cars!BF49*Cars!BF38</f>
        <v>565.32127809547353</v>
      </c>
      <c r="BG59" s="887">
        <f>Cars!BD33*Cars!BG49*Cars!BG38</f>
        <v>20.000310557274908</v>
      </c>
      <c r="BH59" s="756"/>
      <c r="BI59" s="684"/>
      <c r="BJ59" s="714"/>
      <c r="BK59" s="686"/>
    </row>
    <row r="60" spans="6:73" ht="15">
      <c r="G60" s="1161"/>
      <c r="H60" s="1266" t="e">
        <f>Commodities!#REF!</f>
        <v>#REF!</v>
      </c>
      <c r="I60" s="851" t="s">
        <v>146</v>
      </c>
      <c r="J60" s="1265">
        <f>L30*$K$27*$G$27*$N$27/I30</f>
        <v>5.9905779382855338</v>
      </c>
      <c r="K60" s="1263">
        <f t="shared" si="40"/>
        <v>12.504940917762694</v>
      </c>
      <c r="L60" s="856">
        <f>L38*$K$35*$G$35*$N$35/I38</f>
        <v>8.9053155789099126E-5</v>
      </c>
      <c r="M60" s="856">
        <f t="shared" si="41"/>
        <v>1.4842192631516518E-5</v>
      </c>
      <c r="N60" s="856">
        <f t="shared" si="42"/>
        <v>1.7116368015352947E-4</v>
      </c>
      <c r="O60" s="856">
        <f t="shared" si="35"/>
        <v>18.495793915076803</v>
      </c>
      <c r="P60" s="853"/>
      <c r="Q60" s="1161"/>
      <c r="R60" s="1161"/>
      <c r="S60" s="1161"/>
      <c r="T60" s="1161"/>
      <c r="U60" s="1161"/>
      <c r="V60" s="1161"/>
      <c r="W60" s="1161"/>
      <c r="X60" s="1161"/>
      <c r="AA60" s="756"/>
      <c r="AB60" s="1661"/>
      <c r="AC60" s="795" t="s">
        <v>51</v>
      </c>
      <c r="AD60" s="860">
        <f>1/CarMoreData!$F$39*10^3*$BJ$75</f>
        <v>1431.7402692719506</v>
      </c>
      <c r="AE60" s="861">
        <f>1/CarMoreData!$H$39*10^3*$BJ$75</f>
        <v>1431.7402692719506</v>
      </c>
      <c r="AF60" s="808"/>
      <c r="AG60" s="808"/>
      <c r="AH60" s="808"/>
      <c r="AI60" s="808"/>
      <c r="AJ60" s="808"/>
      <c r="AK60" s="808"/>
      <c r="AL60" s="808"/>
      <c r="AM60" s="809"/>
      <c r="AN60" s="756"/>
      <c r="AO60" s="756"/>
      <c r="AP60" s="826" t="s">
        <v>959</v>
      </c>
      <c r="AQ60" s="827" t="s">
        <v>928</v>
      </c>
      <c r="AR60" s="827" t="s">
        <v>934</v>
      </c>
      <c r="AS60" s="888" t="s">
        <v>120</v>
      </c>
      <c r="AT60" s="756"/>
      <c r="AU60" s="756"/>
      <c r="AV60" s="835" t="s">
        <v>943</v>
      </c>
      <c r="AW60" s="889">
        <f>Cars!AQ33*Cars!AW49*Cars!AW39</f>
        <v>958387.19805452111</v>
      </c>
      <c r="AX60" s="889">
        <f>Cars!AR33*Cars!AX49*Cars!AX39</f>
        <v>936381.85530786647</v>
      </c>
      <c r="AY60" s="889">
        <f>Cars!AS33*Cars!AY49*Cars!AY39</f>
        <v>976403.84291021246</v>
      </c>
      <c r="AZ60" s="889">
        <f>Cars!AW33*Cars!AZ49*Cars!AZ39</f>
        <v>880970.02540574549</v>
      </c>
      <c r="BA60" s="889">
        <f>Cars!AX33*Cars!BA49*Cars!BA39</f>
        <v>626815.50614059053</v>
      </c>
      <c r="BB60" s="889">
        <f>Cars!AY33*Cars!BB49*Cars!BB39</f>
        <v>372430.43201907742</v>
      </c>
      <c r="BC60" s="889">
        <f>Cars!AZ33*Cars!BC49*Cars!BC39</f>
        <v>167515.90333526765</v>
      </c>
      <c r="BD60" s="889">
        <f>Cars!BA33*Cars!BD49*Cars!BD39</f>
        <v>50467.779954267025</v>
      </c>
      <c r="BE60" s="889">
        <f>Cars!BB33*Cars!BE49*Cars!BE39</f>
        <v>8833.1329342192912</v>
      </c>
      <c r="BF60" s="889">
        <f>Cars!BC33*Cars!BF49*Cars!BF39</f>
        <v>766.67966020548408</v>
      </c>
      <c r="BG60" s="890">
        <f>Cars!BD33*Cars!BG49*Cars!BG39</f>
        <v>27.124100748010491</v>
      </c>
      <c r="BH60" s="756"/>
    </row>
    <row r="61" spans="6:73" ht="15">
      <c r="G61" s="1161"/>
      <c r="H61" s="864" t="s">
        <v>120</v>
      </c>
      <c r="I61" s="865"/>
      <c r="J61" s="866">
        <f>SUM(J53:J60)</f>
        <v>30.752000000000002</v>
      </c>
      <c r="K61" s="866">
        <f t="shared" ref="K61:N61" si="43">SUM(K53:K60)</f>
        <v>64.194999999999979</v>
      </c>
      <c r="L61" s="866">
        <f t="shared" si="43"/>
        <v>4.376164259300557E-4</v>
      </c>
      <c r="M61" s="866">
        <f t="shared" si="43"/>
        <v>4.5814172519358756E-5</v>
      </c>
      <c r="N61" s="866">
        <f t="shared" si="43"/>
        <v>2.8413120643159847E-3</v>
      </c>
      <c r="O61" s="856">
        <f t="shared" si="35"/>
        <v>94.950324742662744</v>
      </c>
      <c r="P61" s="853"/>
      <c r="Q61" s="1161"/>
      <c r="R61" s="1161"/>
      <c r="S61" s="1161"/>
      <c r="T61" s="1161"/>
      <c r="U61" s="1161"/>
      <c r="V61" s="1161"/>
      <c r="W61" s="1161"/>
      <c r="X61" s="1161"/>
      <c r="AA61" s="756"/>
      <c r="AB61" s="771" t="s">
        <v>951</v>
      </c>
      <c r="AC61" s="773"/>
      <c r="AD61" s="773"/>
      <c r="AE61" s="773"/>
      <c r="AF61" s="773"/>
      <c r="AG61" s="773"/>
      <c r="AH61" s="773"/>
      <c r="AI61" s="773"/>
      <c r="AJ61" s="773"/>
      <c r="AK61" s="773"/>
      <c r="AL61" s="773"/>
      <c r="AM61" s="774"/>
      <c r="AN61" s="756"/>
      <c r="AO61" s="756"/>
      <c r="AP61" s="891" t="s">
        <v>961</v>
      </c>
      <c r="AQ61" s="892">
        <f>TransData!AC17+TransData!AC18</f>
        <v>6433.4263797378662</v>
      </c>
      <c r="AR61" s="892">
        <f>TransData!AD17+TransData!AD18</f>
        <v>9373.8641673896109</v>
      </c>
      <c r="AS61" s="893">
        <f>TransData!AE17+TransData!AE18</f>
        <v>15807.290547127477</v>
      </c>
      <c r="AT61" s="756"/>
      <c r="AU61" s="756"/>
      <c r="AV61" s="884" t="s">
        <v>791</v>
      </c>
      <c r="AW61" s="831"/>
      <c r="AX61" s="831"/>
      <c r="AY61" s="831"/>
      <c r="AZ61" s="832"/>
      <c r="BA61" s="832"/>
      <c r="BB61" s="832"/>
      <c r="BC61" s="832"/>
      <c r="BD61" s="832"/>
      <c r="BE61" s="832"/>
      <c r="BF61" s="832"/>
      <c r="BG61" s="833"/>
      <c r="BH61" s="756"/>
    </row>
    <row r="62" spans="6:73" ht="14.45" customHeight="1">
      <c r="G62" s="1161"/>
      <c r="H62" s="868" t="s">
        <v>804</v>
      </c>
      <c r="I62" s="869"/>
      <c r="J62" s="870">
        <f>(TRA_BAL!D8+TRA_BAL!D12)/10^3</f>
        <v>30.751999999999999</v>
      </c>
      <c r="K62" s="870">
        <f>(TRA_BAL!D7+TRA_BAL!D11)/10^3</f>
        <v>64.194999999999993</v>
      </c>
      <c r="L62" s="870">
        <f>TRA_BAL!D9/10^3</f>
        <v>3.0000000000000001E-3</v>
      </c>
      <c r="M62" s="870">
        <v>0</v>
      </c>
      <c r="N62" s="870">
        <v>0</v>
      </c>
      <c r="O62" s="870">
        <f>SUM(J62:N62)</f>
        <v>94.949999999999989</v>
      </c>
      <c r="P62" s="871"/>
      <c r="Q62" s="1161"/>
      <c r="R62" s="1161"/>
      <c r="S62" s="1161"/>
      <c r="T62" s="1161"/>
      <c r="U62" s="1161"/>
      <c r="V62" s="1161"/>
      <c r="W62" s="1161"/>
      <c r="X62" s="1161"/>
      <c r="AA62" s="756"/>
      <c r="AB62" s="1659" t="s">
        <v>928</v>
      </c>
      <c r="AC62" s="782" t="s">
        <v>790</v>
      </c>
      <c r="AD62" s="847">
        <f>1/CarMoreData!$F$18*10^3*$BJ$75</f>
        <v>380.5951923917595</v>
      </c>
      <c r="AE62" s="848">
        <f>1/CarMoreData!$H$18*10^3*$BJ$75</f>
        <v>401.18416561031131</v>
      </c>
      <c r="AF62" s="802"/>
      <c r="AG62" s="802"/>
      <c r="AH62" s="802"/>
      <c r="AI62" s="802"/>
      <c r="AJ62" s="802"/>
      <c r="AK62" s="802"/>
      <c r="AL62" s="802"/>
      <c r="AM62" s="803"/>
      <c r="AN62" s="756"/>
      <c r="AO62" s="756"/>
      <c r="AP62" s="891" t="str">
        <f>TransData!AB19</f>
        <v>25-50 km</v>
      </c>
      <c r="AQ62" s="892">
        <f>TransData!AC19</f>
        <v>5232.6721525388393</v>
      </c>
      <c r="AR62" s="892">
        <f>TransData!AD19</f>
        <v>7021.3480765124968</v>
      </c>
      <c r="AS62" s="893">
        <f>TransData!AE19</f>
        <v>12254.020229051337</v>
      </c>
      <c r="AT62" s="756"/>
      <c r="AU62" s="756"/>
      <c r="AV62" s="830" t="s">
        <v>941</v>
      </c>
      <c r="AW62" s="886">
        <f>Cars!AQ33*Cars!AW50*Cars!AW38</f>
        <v>199940.74590967223</v>
      </c>
      <c r="AX62" s="886">
        <f>Cars!AR33*Cars!AX50*Cars!AX38</f>
        <v>250311.80626949947</v>
      </c>
      <c r="AY62" s="886">
        <f>Cars!AS33*Cars!AY50*Cars!AY38</f>
        <v>295705.38438504719</v>
      </c>
      <c r="AZ62" s="886">
        <f>Cars!AW33*Cars!AZ50*Cars!AZ38</f>
        <v>266803.10804375476</v>
      </c>
      <c r="BA62" s="886">
        <f>Cars!AX33*Cars!BA50*Cars!BA38</f>
        <v>189832.02649977256</v>
      </c>
      <c r="BB62" s="886">
        <f>Cars!AY33*Cars!BB50*Cars!BB38</f>
        <v>112791.12106794288</v>
      </c>
      <c r="BC62" s="886">
        <f>Cars!AZ33*Cars!BC50*Cars!BC38</f>
        <v>50732.445336062527</v>
      </c>
      <c r="BD62" s="886">
        <f>Cars!BA33*Cars!BD50*Cars!BD38</f>
        <v>15284.243685436666</v>
      </c>
      <c r="BE62" s="886">
        <f>Cars!BB33*Cars!BE50*Cars!BE38</f>
        <v>2675.1277031564582</v>
      </c>
      <c r="BF62" s="886">
        <f>Cars!BC33*Cars!BF50*Cars!BF38</f>
        <v>232.19009763986335</v>
      </c>
      <c r="BG62" s="887">
        <f>Cars!BD33*Cars!BG50*Cars!BG38</f>
        <v>8.2145750408796321</v>
      </c>
      <c r="BH62" s="756"/>
    </row>
    <row r="63" spans="6:73" ht="15">
      <c r="G63" s="1161"/>
      <c r="H63" s="872" t="s">
        <v>953</v>
      </c>
      <c r="I63" s="873"/>
      <c r="J63" s="874">
        <f>J61-J62</f>
        <v>0</v>
      </c>
      <c r="K63" s="874">
        <f>K61-K62</f>
        <v>0</v>
      </c>
      <c r="L63" s="874">
        <f t="shared" ref="L63" si="44">L61-L62</f>
        <v>-2.5623835740699445E-3</v>
      </c>
      <c r="M63" s="874">
        <f>M61-M62</f>
        <v>4.5814172519358756E-5</v>
      </c>
      <c r="N63" s="874">
        <f>N61-N62</f>
        <v>2.8413120643159847E-3</v>
      </c>
      <c r="O63" s="874">
        <f>O61-O62</f>
        <v>3.2474266275528407E-4</v>
      </c>
      <c r="P63" s="875"/>
      <c r="Q63" s="1161"/>
      <c r="R63" s="1161"/>
      <c r="S63" s="1161"/>
      <c r="T63" s="1161"/>
      <c r="U63" s="1161"/>
      <c r="V63" s="1161"/>
      <c r="W63" s="1161"/>
      <c r="X63" s="1161"/>
      <c r="AA63" s="756"/>
      <c r="AB63" s="1660"/>
      <c r="AC63" s="796" t="s">
        <v>791</v>
      </c>
      <c r="AD63" s="854">
        <f>1/CarMoreData!$F$30*10^3*$BJ$75</f>
        <v>361.73918418434027</v>
      </c>
      <c r="AE63" s="855">
        <f>1/CarMoreData!$H$30*10^3*$BJ$75</f>
        <v>376.50143779493629</v>
      </c>
      <c r="AF63" s="805"/>
      <c r="AG63" s="805"/>
      <c r="AH63" s="805"/>
      <c r="AI63" s="805"/>
      <c r="AJ63" s="805"/>
      <c r="AK63" s="805"/>
      <c r="AL63" s="805"/>
      <c r="AM63" s="806"/>
      <c r="AN63" s="756"/>
      <c r="AO63" s="756"/>
      <c r="AP63" s="894" t="str">
        <f>TransData!AB20</f>
        <v>&gt;50 km</v>
      </c>
      <c r="AQ63" s="895">
        <f>TransData!AC20</f>
        <v>9247.8695137801878</v>
      </c>
      <c r="AR63" s="895">
        <f>TransData!AD20</f>
        <v>15147.345296559537</v>
      </c>
      <c r="AS63" s="896">
        <f>TransData!AE20</f>
        <v>24395.214810339727</v>
      </c>
      <c r="AT63" s="756"/>
      <c r="AU63" s="756"/>
      <c r="AV63" s="835" t="s">
        <v>943</v>
      </c>
      <c r="AW63" s="889">
        <f>Cars!AQ33*Cars!AW50*Cars!AW39</f>
        <v>267760.74766053818</v>
      </c>
      <c r="AX63" s="889">
        <f>Cars!AR33*Cars!AX50*Cars!AX39</f>
        <v>341330.79850608693</v>
      </c>
      <c r="AY63" s="889">
        <f>Cars!AS33*Cars!AY50*Cars!AY39</f>
        <v>401030.90473621298</v>
      </c>
      <c r="AZ63" s="889">
        <f>Cars!AW33*Cars!AZ50*Cars!AZ39</f>
        <v>361834.10061244393</v>
      </c>
      <c r="BA63" s="889">
        <f>Cars!AX33*Cars!BA50*Cars!BA39</f>
        <v>257447.15299462812</v>
      </c>
      <c r="BB63" s="889">
        <f>Cars!AY33*Cars!BB50*Cars!BB39</f>
        <v>152965.51133877877</v>
      </c>
      <c r="BC63" s="889">
        <f>Cars!AZ33*Cars!BC50*Cars!BC39</f>
        <v>68802.529568110273</v>
      </c>
      <c r="BD63" s="889">
        <f>Cars!BA33*Cars!BD50*Cars!BD39</f>
        <v>20728.246413660374</v>
      </c>
      <c r="BE63" s="889">
        <f>Cars!BB33*Cars!BE50*Cars!BE39</f>
        <v>3627.9653321591327</v>
      </c>
      <c r="BF63" s="889">
        <f>Cars!BC33*Cars!BF50*Cars!BF39</f>
        <v>314.89249044601627</v>
      </c>
      <c r="BG63" s="890">
        <f>Cars!BD33*Cars!BG50*Cars!BG39</f>
        <v>11.140475062766745</v>
      </c>
      <c r="BH63" s="756"/>
      <c r="BS63" s="682"/>
    </row>
    <row r="64" spans="6:73" ht="13.5" thickBot="1">
      <c r="G64" s="1161"/>
      <c r="H64" s="1161"/>
      <c r="I64" s="1161"/>
      <c r="J64" s="1161"/>
      <c r="K64" s="1161"/>
      <c r="L64" s="1161"/>
      <c r="M64" s="1161"/>
      <c r="N64" s="1161"/>
      <c r="O64" s="1161"/>
      <c r="P64" s="1161"/>
      <c r="Q64" s="1161"/>
      <c r="R64" s="1161"/>
      <c r="S64" s="1161"/>
      <c r="T64" s="1161"/>
      <c r="U64" s="1161"/>
      <c r="V64" s="1161"/>
      <c r="W64" s="1161"/>
      <c r="X64" s="1161"/>
      <c r="AA64" s="756"/>
      <c r="AB64" s="1660"/>
      <c r="AC64" s="796" t="s">
        <v>53</v>
      </c>
      <c r="AD64" s="854">
        <f>1/CarMoreData!$F$18*10^3*$BJ$75</f>
        <v>380.5951923917595</v>
      </c>
      <c r="AE64" s="855">
        <f>1/CarMoreData!$H$18*10^3*$BJ$75</f>
        <v>401.18416561031131</v>
      </c>
      <c r="AF64" s="805"/>
      <c r="AG64" s="805"/>
      <c r="AH64" s="805"/>
      <c r="AI64" s="805"/>
      <c r="AJ64" s="805"/>
      <c r="AK64" s="805"/>
      <c r="AL64" s="805"/>
      <c r="AM64" s="806"/>
      <c r="AN64" s="756"/>
      <c r="AO64" s="756"/>
      <c r="AP64" s="817" t="str">
        <f>TransData!AB21</f>
        <v>Total</v>
      </c>
      <c r="AQ64" s="842">
        <f>TransData!AC21</f>
        <v>20913.968046056892</v>
      </c>
      <c r="AR64" s="842">
        <f>TransData!AD21</f>
        <v>31542.557540461647</v>
      </c>
      <c r="AS64" s="843">
        <f>TransData!AE21</f>
        <v>52456.525586518539</v>
      </c>
      <c r="AT64" s="756"/>
      <c r="AU64" s="756"/>
      <c r="AV64" s="884" t="s">
        <v>53</v>
      </c>
      <c r="AW64" s="831"/>
      <c r="AX64" s="831"/>
      <c r="AY64" s="831"/>
      <c r="AZ64" s="831"/>
      <c r="BA64" s="831"/>
      <c r="BB64" s="831"/>
      <c r="BC64" s="831"/>
      <c r="BD64" s="831"/>
      <c r="BE64" s="831"/>
      <c r="BF64" s="831"/>
      <c r="BG64" s="897"/>
      <c r="BH64" s="756"/>
      <c r="BT64" s="719"/>
      <c r="BU64" s="719"/>
    </row>
    <row r="65" spans="7:64" ht="16.5" thickTop="1" thickBot="1">
      <c r="G65" s="1161"/>
      <c r="H65" s="1199" t="s">
        <v>957</v>
      </c>
      <c r="I65" s="1200"/>
      <c r="J65" s="881" t="str">
        <f>IF(SUMPRODUCT(J63)=0,"OK!","FAIL!")</f>
        <v>OK!</v>
      </c>
      <c r="K65" s="881" t="str">
        <f t="shared" ref="K65:O65" si="45">IF(SUMPRODUCT(K63)=0,"OK!","FAIL!")</f>
        <v>OK!</v>
      </c>
      <c r="L65" s="881" t="str">
        <f t="shared" si="45"/>
        <v>FAIL!</v>
      </c>
      <c r="M65" s="881" t="str">
        <f t="shared" si="45"/>
        <v>FAIL!</v>
      </c>
      <c r="N65" s="881" t="str">
        <f t="shared" si="45"/>
        <v>FAIL!</v>
      </c>
      <c r="O65" s="881" t="str">
        <f t="shared" si="45"/>
        <v>FAIL!</v>
      </c>
      <c r="P65" s="1161"/>
      <c r="Q65" s="1161"/>
      <c r="R65" s="1161"/>
      <c r="S65" s="1161"/>
      <c r="T65" s="1161"/>
      <c r="U65" s="1161"/>
      <c r="V65" s="1161"/>
      <c r="W65" s="1161"/>
      <c r="X65" s="1161"/>
      <c r="AA65" s="756"/>
      <c r="AB65" s="1660"/>
      <c r="AC65" s="796" t="s">
        <v>931</v>
      </c>
      <c r="AD65" s="854">
        <f>1/CarMoreData!$F$18*10^3*$BJ$75</f>
        <v>380.5951923917595</v>
      </c>
      <c r="AE65" s="855">
        <f>1/CarMoreData!$H$18*10^3*$BJ$75</f>
        <v>401.18416561031131</v>
      </c>
      <c r="AF65" s="805"/>
      <c r="AG65" s="805"/>
      <c r="AH65" s="805"/>
      <c r="AI65" s="805"/>
      <c r="AJ65" s="805"/>
      <c r="AK65" s="805"/>
      <c r="AL65" s="805"/>
      <c r="AM65" s="806"/>
      <c r="AN65" s="756"/>
      <c r="AO65" s="756"/>
      <c r="AP65" s="823" t="s">
        <v>370</v>
      </c>
      <c r="AQ65" s="756"/>
      <c r="AR65" s="756"/>
      <c r="AS65" s="756"/>
      <c r="AT65" s="756"/>
      <c r="AU65" s="756"/>
      <c r="AV65" s="830" t="s">
        <v>941</v>
      </c>
      <c r="AW65" s="886">
        <f>Cars!AQ33*Cars!AW51*Cars!AW38</f>
        <v>4.2749968122521853</v>
      </c>
      <c r="AX65" s="886">
        <f>Cars!AR33*Cars!AX51*Cars!AX38</f>
        <v>3.8077379219853573</v>
      </c>
      <c r="AY65" s="886">
        <f>Cars!AS33*Cars!AY51*Cars!AY38</f>
        <v>3.971687648438134</v>
      </c>
      <c r="AZ65" s="886">
        <f>Cars!AW33*Cars!AZ51*Cars!AZ38</f>
        <v>3.5834944669200581</v>
      </c>
      <c r="BA65" s="886">
        <f>Cars!AX33*Cars!BA51*Cars!BA38</f>
        <v>2.5496780063543949</v>
      </c>
      <c r="BB65" s="886">
        <f>Cars!AY33*Cars!BB51*Cars!BB38</f>
        <v>1.5149237249455079</v>
      </c>
      <c r="BC65" s="886">
        <f>Cars!AZ33*Cars!BC51*Cars!BC38</f>
        <v>0.68139924788765927</v>
      </c>
      <c r="BD65" s="886">
        <f>Cars!BA33*Cars!BD51*Cars!BD38</f>
        <v>0.2052862242850555</v>
      </c>
      <c r="BE65" s="886">
        <f>Cars!BB33*Cars!BE51*Cars!BE38</f>
        <v>3.5930261056005428E-2</v>
      </c>
      <c r="BF65" s="886">
        <f>Cars!BC33*Cars!BF51*Cars!BF38</f>
        <v>3.1185990907932936E-3</v>
      </c>
      <c r="BG65" s="887">
        <f>Cars!BD33*Cars!BG51*Cars!BG38</f>
        <v>1.1033186390866268E-4</v>
      </c>
      <c r="BH65" s="756"/>
    </row>
    <row r="66" spans="7:64" ht="13.5" thickTop="1">
      <c r="G66" s="1161"/>
      <c r="H66" s="1161"/>
      <c r="I66" s="1161"/>
      <c r="J66" s="1161"/>
      <c r="K66" s="1161"/>
      <c r="L66" s="1161"/>
      <c r="M66" s="1161"/>
      <c r="N66" s="1161"/>
      <c r="O66" s="1161"/>
      <c r="P66" s="1161"/>
      <c r="Q66" s="1161"/>
      <c r="R66" s="1161"/>
      <c r="S66" s="1161"/>
      <c r="T66" s="1161"/>
      <c r="U66" s="1161"/>
      <c r="V66" s="1161"/>
      <c r="W66" s="1161"/>
      <c r="X66" s="1161"/>
      <c r="AA66" s="756"/>
      <c r="AB66" s="1661"/>
      <c r="AC66" s="795" t="s">
        <v>51</v>
      </c>
      <c r="AD66" s="860">
        <f>1/CarMoreData!$F$39*10^3*$BJ$75</f>
        <v>1431.7402692719506</v>
      </c>
      <c r="AE66" s="861">
        <f>1/CarMoreData!$H$39*10^3*$BJ$75</f>
        <v>1431.7402692719506</v>
      </c>
      <c r="AF66" s="808"/>
      <c r="AG66" s="808"/>
      <c r="AH66" s="808"/>
      <c r="AI66" s="808"/>
      <c r="AJ66" s="808"/>
      <c r="AK66" s="808"/>
      <c r="AL66" s="808"/>
      <c r="AM66" s="809"/>
      <c r="AN66" s="756"/>
      <c r="AO66" s="756"/>
      <c r="AP66" s="756"/>
      <c r="AQ66" s="756"/>
      <c r="AR66" s="756"/>
      <c r="AS66" s="756"/>
      <c r="AT66" s="756"/>
      <c r="AU66" s="756"/>
      <c r="AV66" s="835" t="s">
        <v>943</v>
      </c>
      <c r="AW66" s="889">
        <f>Cars!AQ33*Cars!AW51*Cars!AW39</f>
        <v>5.7250778848859341</v>
      </c>
      <c r="AX66" s="889">
        <f>Cars!AR33*Cars!AX51*Cars!AX39</f>
        <v>5.1923169137848957</v>
      </c>
      <c r="AY66" s="889">
        <f>Cars!AS33*Cars!AY51*Cars!AY39</f>
        <v>5.386339157452718</v>
      </c>
      <c r="AZ66" s="889">
        <f>Cars!AW33*Cars!AZ51*Cars!AZ39</f>
        <v>4.8598777840138414</v>
      </c>
      <c r="BA66" s="889">
        <f>Cars!AX33*Cars!BA51*Cars!BA39</f>
        <v>3.4578324632158144</v>
      </c>
      <c r="BB66" s="889">
        <f>Cars!AY33*Cars!BB51*Cars!BB39</f>
        <v>2.0545152848152592</v>
      </c>
      <c r="BC66" s="889">
        <f>Cars!AZ33*Cars!BC51*Cars!BC39</f>
        <v>0.92410274312469032</v>
      </c>
      <c r="BD66" s="889">
        <f>Cars!BA33*Cars!BD51*Cars!BD39</f>
        <v>0.27840588843562464</v>
      </c>
      <c r="BE66" s="889">
        <f>Cars!BB33*Cars!BE51*Cars!BE39</f>
        <v>4.8728044396836478E-2</v>
      </c>
      <c r="BF66" s="889">
        <f>Cars!BC33*Cars!BF51*Cars!BF39</f>
        <v>4.2293941231108913E-3</v>
      </c>
      <c r="BG66" s="890">
        <f>Cars!BD33*Cars!BG51*Cars!BG39</f>
        <v>1.4963030617971091E-4</v>
      </c>
      <c r="BH66" s="756"/>
    </row>
    <row r="67" spans="7:64" ht="13.35" customHeight="1">
      <c r="G67" s="1161"/>
      <c r="H67" s="1161"/>
      <c r="I67" s="1161"/>
      <c r="J67" s="1161"/>
      <c r="K67" s="1161"/>
      <c r="L67" s="1161"/>
      <c r="M67" s="1161"/>
      <c r="N67" s="1161"/>
      <c r="O67" s="1161"/>
      <c r="P67" s="1161"/>
      <c r="Q67" s="1161"/>
      <c r="R67" s="1161"/>
      <c r="S67" s="1161"/>
      <c r="T67" s="1161"/>
      <c r="U67" s="1161"/>
      <c r="V67" s="1161"/>
      <c r="W67" s="1161"/>
      <c r="X67" s="1161"/>
      <c r="AA67" s="756"/>
      <c r="AB67" s="1660" t="s">
        <v>934</v>
      </c>
      <c r="AC67" s="782" t="s">
        <v>790</v>
      </c>
      <c r="AD67" s="839">
        <f>1/CarMoreData!$F$18*10^3*$BJ$75</f>
        <v>380.5951923917595</v>
      </c>
      <c r="AE67" s="839">
        <f>1/CarMoreData!$H$18*10^3*$BJ$75</f>
        <v>401.18416561031131</v>
      </c>
      <c r="AF67" s="805"/>
      <c r="AG67" s="805"/>
      <c r="AH67" s="805"/>
      <c r="AI67" s="805"/>
      <c r="AJ67" s="805"/>
      <c r="AK67" s="805"/>
      <c r="AL67" s="805"/>
      <c r="AM67" s="806"/>
      <c r="AN67" s="756"/>
      <c r="AO67" s="756"/>
      <c r="AP67" s="763" t="str">
        <f>LEFT(AP59,LEN(AP59)-4) &amp; "share"</f>
        <v>Transport work by trip length in 2010, share</v>
      </c>
      <c r="AQ67" s="824"/>
      <c r="AR67" s="824"/>
      <c r="AS67" s="825"/>
      <c r="AT67" s="756"/>
      <c r="AU67" s="756"/>
      <c r="AV67" s="884" t="s">
        <v>931</v>
      </c>
      <c r="AW67" s="831"/>
      <c r="AX67" s="831"/>
      <c r="AY67" s="831"/>
      <c r="AZ67" s="831"/>
      <c r="BA67" s="831"/>
      <c r="BB67" s="831"/>
      <c r="BC67" s="831"/>
      <c r="BD67" s="831"/>
      <c r="BE67" s="831"/>
      <c r="BF67" s="831"/>
      <c r="BG67" s="897"/>
      <c r="BH67" s="756"/>
    </row>
    <row r="68" spans="7:64">
      <c r="G68" s="1161"/>
      <c r="H68"/>
      <c r="I68"/>
      <c r="J68">
        <f>J63/J61*-1</f>
        <v>0</v>
      </c>
      <c r="K68" s="1161">
        <f>K63/K61*-1</f>
        <v>0</v>
      </c>
      <c r="L68" s="1161"/>
      <c r="M68" s="1161"/>
      <c r="N68" s="1161"/>
      <c r="O68" s="1161"/>
      <c r="P68" s="1161"/>
      <c r="Q68" s="1161"/>
      <c r="R68" s="1161"/>
      <c r="S68" s="1161"/>
      <c r="T68" s="1161"/>
      <c r="U68" s="1161"/>
      <c r="V68" s="1161"/>
      <c r="W68" s="1161"/>
      <c r="X68" s="1161"/>
      <c r="AA68" s="756"/>
      <c r="AB68" s="1660"/>
      <c r="AC68" s="796" t="s">
        <v>791</v>
      </c>
      <c r="AD68" s="839">
        <f>1/CarMoreData!$F$30*10^3*$BJ$75</f>
        <v>361.73918418434027</v>
      </c>
      <c r="AE68" s="839">
        <f>1/CarMoreData!$H$30*10^3*$BJ$75</f>
        <v>376.50143779493629</v>
      </c>
      <c r="AF68" s="805"/>
      <c r="AG68" s="805"/>
      <c r="AH68" s="805"/>
      <c r="AI68" s="805"/>
      <c r="AJ68" s="805"/>
      <c r="AK68" s="805"/>
      <c r="AL68" s="805"/>
      <c r="AM68" s="806"/>
      <c r="AN68" s="756"/>
      <c r="AO68" s="756"/>
      <c r="AP68" s="826" t="str">
        <f>AP60</f>
        <v>Trip length</v>
      </c>
      <c r="AQ68" s="827" t="str">
        <f>AQ60</f>
        <v>DK-East</v>
      </c>
      <c r="AR68" s="827" t="str">
        <f>AR60</f>
        <v>DK-West</v>
      </c>
      <c r="AS68" s="888"/>
      <c r="AT68" s="756"/>
      <c r="AU68" s="756"/>
      <c r="AV68" s="830" t="s">
        <v>941</v>
      </c>
      <c r="AW68" s="886">
        <f>Cars!AQ33*Cars!AW52*Cars!AW38</f>
        <v>0.42749968122521848</v>
      </c>
      <c r="AX68" s="886">
        <f>Cars!AR33*Cars!AX52*Cars!AX38</f>
        <v>1.6923279653268253</v>
      </c>
      <c r="AY68" s="886">
        <f>Cars!AS33*Cars!AY52*Cars!AY38</f>
        <v>17.210646476565248</v>
      </c>
      <c r="AZ68" s="886">
        <f>Cars!AW33*Cars!AZ52*Cars!AZ38</f>
        <v>15.528476023320255</v>
      </c>
      <c r="BA68" s="886">
        <f>Cars!AX33*Cars!BA52*Cars!BA38</f>
        <v>11.04860469420238</v>
      </c>
      <c r="BB68" s="886">
        <f>Cars!AY33*Cars!BB52*Cars!BB38</f>
        <v>6.5646694747638676</v>
      </c>
      <c r="BC68" s="886">
        <f>Cars!AZ33*Cars!BC52*Cars!BC38</f>
        <v>2.9527300741798568</v>
      </c>
      <c r="BD68" s="886">
        <f>Cars!BA33*Cars!BD52*Cars!BD38</f>
        <v>0.88957363856857385</v>
      </c>
      <c r="BE68" s="886">
        <f>Cars!BB33*Cars!BE52*Cars!BE38</f>
        <v>0.15569779790935687</v>
      </c>
      <c r="BF68" s="886">
        <f>Cars!BC33*Cars!BF52*Cars!BF38</f>
        <v>1.3513929393437605E-2</v>
      </c>
      <c r="BG68" s="887">
        <f>Cars!BD33*Cars!BG52*Cars!BG38</f>
        <v>4.7810474360420493E-4</v>
      </c>
      <c r="BH68" s="756"/>
    </row>
    <row r="69" spans="7:64">
      <c r="G69" s="1161"/>
      <c r="H69"/>
      <c r="I69"/>
      <c r="J69"/>
      <c r="K69" s="1161"/>
      <c r="L69" s="1161"/>
      <c r="M69" s="1161"/>
      <c r="N69" s="1161"/>
      <c r="O69" s="1161"/>
      <c r="P69" s="1161"/>
      <c r="Q69" s="1161"/>
      <c r="R69" s="1161"/>
      <c r="S69" s="1161"/>
      <c r="T69" s="1161"/>
      <c r="U69" s="1161"/>
      <c r="V69" s="1161"/>
      <c r="W69" s="1161"/>
      <c r="X69" s="1161"/>
      <c r="AA69" s="756"/>
      <c r="AB69" s="1660"/>
      <c r="AC69" s="796" t="s">
        <v>53</v>
      </c>
      <c r="AD69" s="839">
        <f>1/CarMoreData!$F$18*10^3*$BJ$75</f>
        <v>380.5951923917595</v>
      </c>
      <c r="AE69" s="839">
        <f>1/CarMoreData!$H$18*10^3*$BJ$75</f>
        <v>401.18416561031131</v>
      </c>
      <c r="AF69" s="805"/>
      <c r="AG69" s="805"/>
      <c r="AH69" s="805"/>
      <c r="AI69" s="805"/>
      <c r="AJ69" s="805"/>
      <c r="AK69" s="805"/>
      <c r="AL69" s="805"/>
      <c r="AM69" s="806"/>
      <c r="AN69" s="756"/>
      <c r="AO69" s="756"/>
      <c r="AP69" s="891" t="str">
        <f>AP61</f>
        <v>&lt;25 km</v>
      </c>
      <c r="AQ69" s="902">
        <f>SUM(AQ61:AQ61)/AQ64</f>
        <v>0.30761385718722184</v>
      </c>
      <c r="AR69" s="902">
        <f>SUM(AR61:AR61)/AR64</f>
        <v>0.29718148743535328</v>
      </c>
      <c r="AS69" s="893"/>
      <c r="AT69" s="756"/>
      <c r="AU69" s="756"/>
      <c r="AV69" s="835" t="s">
        <v>943</v>
      </c>
      <c r="AW69" s="889">
        <f>Cars!AQ33*Cars!AW52*Cars!AW39</f>
        <v>0.57250778848859341</v>
      </c>
      <c r="AX69" s="889">
        <f>Cars!AR33*Cars!AX52*Cars!AX39</f>
        <v>2.3076964061266203</v>
      </c>
      <c r="AY69" s="889">
        <f>Cars!AS33*Cars!AY52*Cars!AY39</f>
        <v>23.340803015628442</v>
      </c>
      <c r="AZ69" s="889">
        <f>Cars!AW33*Cars!AZ52*Cars!AZ39</f>
        <v>21.059470397393316</v>
      </c>
      <c r="BA69" s="889">
        <f>Cars!AX33*Cars!BA52*Cars!BA39</f>
        <v>14.983940673935196</v>
      </c>
      <c r="BB69" s="889">
        <f>Cars!AY33*Cars!BB52*Cars!BB39</f>
        <v>8.9028995675327902</v>
      </c>
      <c r="BC69" s="889">
        <f>Cars!AZ33*Cars!BC52*Cars!BC39</f>
        <v>4.0044452202069918</v>
      </c>
      <c r="BD69" s="889">
        <f>Cars!BA33*Cars!BD52*Cars!BD39</f>
        <v>1.2064255165543734</v>
      </c>
      <c r="BE69" s="889">
        <f>Cars!BB33*Cars!BE52*Cars!BE39</f>
        <v>0.21115485905295808</v>
      </c>
      <c r="BF69" s="889">
        <f>Cars!BC33*Cars!BF52*Cars!BF39</f>
        <v>1.8327374533480528E-2</v>
      </c>
      <c r="BG69" s="890">
        <f>Cars!BD33*Cars!BG52*Cars!BG39</f>
        <v>6.4839799344541403E-4</v>
      </c>
      <c r="BH69" s="756"/>
    </row>
    <row r="70" spans="7:64" ht="15">
      <c r="G70" s="1161"/>
      <c r="H70"/>
      <c r="I70"/>
      <c r="J70"/>
      <c r="K70" s="1161"/>
      <c r="L70" s="1161"/>
      <c r="M70" s="1161"/>
      <c r="N70" s="1161"/>
      <c r="O70" s="1161"/>
      <c r="P70" s="1161"/>
      <c r="Q70" s="1161"/>
      <c r="R70" s="1161"/>
      <c r="S70" s="1161"/>
      <c r="T70" s="1161"/>
      <c r="U70" s="1161"/>
      <c r="V70" s="1161"/>
      <c r="W70" s="1161"/>
      <c r="X70" s="1161"/>
      <c r="AA70" s="756"/>
      <c r="AB70" s="1660"/>
      <c r="AC70" s="796" t="s">
        <v>931</v>
      </c>
      <c r="AD70" s="839">
        <f>1/CarMoreData!$F$18*10^3*$BJ$75</f>
        <v>380.5951923917595</v>
      </c>
      <c r="AE70" s="839">
        <f>1/CarMoreData!$H$18*10^3*$BJ$75</f>
        <v>401.18416561031131</v>
      </c>
      <c r="AF70" s="805"/>
      <c r="AG70" s="805"/>
      <c r="AH70" s="805"/>
      <c r="AI70" s="805"/>
      <c r="AJ70" s="805"/>
      <c r="AK70" s="805"/>
      <c r="AL70" s="805"/>
      <c r="AM70" s="806"/>
      <c r="AN70" s="756"/>
      <c r="AO70" s="756"/>
      <c r="AP70" s="891" t="str">
        <f>AP62</f>
        <v>25-50 km</v>
      </c>
      <c r="AQ70" s="902">
        <f>AQ62/AQ64</f>
        <v>0.25019987316684289</v>
      </c>
      <c r="AR70" s="902">
        <f>AR62/AR64</f>
        <v>0.22259920006504758</v>
      </c>
      <c r="AS70" s="893"/>
      <c r="AT70" s="756"/>
      <c r="AU70" s="756"/>
      <c r="AV70" s="884" t="s">
        <v>51</v>
      </c>
      <c r="AW70" s="831"/>
      <c r="AX70" s="831"/>
      <c r="AY70" s="831"/>
      <c r="AZ70" s="831"/>
      <c r="BA70" s="831"/>
      <c r="BB70" s="831"/>
      <c r="BC70" s="831"/>
      <c r="BD70" s="831"/>
      <c r="BE70" s="831"/>
      <c r="BF70" s="831"/>
      <c r="BG70" s="897"/>
      <c r="BH70" s="756"/>
      <c r="BI70" s="867" t="s">
        <v>965</v>
      </c>
    </row>
    <row r="71" spans="7:64">
      <c r="G71" s="1161"/>
      <c r="H71" s="1161"/>
      <c r="I71" s="1161"/>
      <c r="J71" s="1161"/>
      <c r="K71" s="1161"/>
      <c r="L71" s="1161"/>
      <c r="M71" s="1161"/>
      <c r="N71" s="1161"/>
      <c r="O71" s="1161"/>
      <c r="P71" s="1161"/>
      <c r="Q71" s="1161"/>
      <c r="R71" s="1161"/>
      <c r="S71" s="1161"/>
      <c r="T71" s="1161"/>
      <c r="U71" s="1161"/>
      <c r="V71" s="1161"/>
      <c r="W71" s="1161"/>
      <c r="X71" s="1161"/>
      <c r="AA71" s="756"/>
      <c r="AB71" s="1661"/>
      <c r="AC71" s="795" t="s">
        <v>51</v>
      </c>
      <c r="AD71" s="839">
        <f>1/CarMoreData!$F$39*10^3*$BJ$75</f>
        <v>1431.7402692719506</v>
      </c>
      <c r="AE71" s="839">
        <f>1/CarMoreData!$H$39*10^3*$BJ$75</f>
        <v>1431.7402692719506</v>
      </c>
      <c r="AF71" s="808"/>
      <c r="AG71" s="808"/>
      <c r="AH71" s="808"/>
      <c r="AI71" s="808"/>
      <c r="AJ71" s="808"/>
      <c r="AK71" s="808"/>
      <c r="AL71" s="808"/>
      <c r="AM71" s="809"/>
      <c r="AN71" s="756"/>
      <c r="AO71" s="756"/>
      <c r="AP71" s="894" t="str">
        <f>AP63</f>
        <v>&gt;50 km</v>
      </c>
      <c r="AQ71" s="903">
        <f>AQ63/AQ64</f>
        <v>0.44218626964593533</v>
      </c>
      <c r="AR71" s="903">
        <f>AR63/AR64</f>
        <v>0.48021931249959909</v>
      </c>
      <c r="AS71" s="896"/>
      <c r="AT71" s="756"/>
      <c r="AU71" s="756"/>
      <c r="AV71" s="830" t="s">
        <v>941</v>
      </c>
      <c r="AW71" s="886">
        <f>Cars!AQ33*Cars!AW53*Cars!AW38</f>
        <v>110.29491775610637</v>
      </c>
      <c r="AX71" s="886">
        <f>Cars!AR33*Cars!AX53*Cars!AX38</f>
        <v>421.38966336637952</v>
      </c>
      <c r="AY71" s="886">
        <f>Cars!AS33*Cars!AY53*Cars!AY38</f>
        <v>983.21334230224022</v>
      </c>
      <c r="AZ71" s="886">
        <f>Cars!AW33*Cars!AZ53*Cars!AZ38</f>
        <v>887.11396358865454</v>
      </c>
      <c r="BA71" s="886">
        <f>Cars!AX33*Cars!BA53*Cars!BA38</f>
        <v>631.18695535084362</v>
      </c>
      <c r="BB71" s="886">
        <f>Cars!AY33*Cars!BB53*Cars!BB38</f>
        <v>375.02778435317686</v>
      </c>
      <c r="BC71" s="886">
        <f>Cars!AZ33*Cars!BC53*Cars!BC38</f>
        <v>168.68416936596719</v>
      </c>
      <c r="BD71" s="886">
        <f>Cars!BA33*Cars!BD53*Cars!BD38</f>
        <v>50.819745300789293</v>
      </c>
      <c r="BE71" s="886">
        <f>Cars!BB33*Cars!BE53*Cars!BE38</f>
        <v>8.8947357369755675</v>
      </c>
      <c r="BF71" s="886">
        <f>Cars!BC33*Cars!BF53*Cars!BF38</f>
        <v>0.77202653047638425</v>
      </c>
      <c r="BG71" s="887">
        <f>Cars!BD33*Cars!BG53*Cars!BG38</f>
        <v>2.7313265865388941E-2</v>
      </c>
      <c r="BH71" s="756"/>
      <c r="BI71" s="682"/>
      <c r="BJ71" s="1665" t="s">
        <v>966</v>
      </c>
      <c r="BK71" s="1665" t="s">
        <v>967</v>
      </c>
      <c r="BL71" s="1665" t="s">
        <v>968</v>
      </c>
    </row>
    <row r="72" spans="7:64">
      <c r="G72" s="1161"/>
      <c r="H72" s="1161"/>
      <c r="I72" s="1161"/>
      <c r="J72" s="1161"/>
      <c r="K72" s="1161"/>
      <c r="L72" s="1161"/>
      <c r="M72" s="1161"/>
      <c r="N72" s="1161"/>
      <c r="O72" s="1161"/>
      <c r="P72" s="1161"/>
      <c r="Q72" s="1161"/>
      <c r="R72" s="1161"/>
      <c r="S72" s="1161"/>
      <c r="T72" s="1161"/>
      <c r="U72" s="1161"/>
      <c r="V72" s="1161"/>
      <c r="W72" s="1161"/>
      <c r="X72" s="1161"/>
      <c r="AA72" s="756"/>
      <c r="AB72" s="771" t="s">
        <v>960</v>
      </c>
      <c r="AC72" s="773"/>
      <c r="AD72" s="834"/>
      <c r="AE72" s="834"/>
      <c r="AF72" s="773"/>
      <c r="AG72" s="773"/>
      <c r="AH72" s="773"/>
      <c r="AI72" s="773"/>
      <c r="AJ72" s="773"/>
      <c r="AK72" s="773"/>
      <c r="AL72" s="773"/>
      <c r="AM72" s="774"/>
      <c r="AN72" s="756"/>
      <c r="AO72" s="756"/>
      <c r="AP72" s="756"/>
      <c r="AQ72" s="756"/>
      <c r="AR72" s="756"/>
      <c r="AS72" s="756"/>
      <c r="AT72" s="756"/>
      <c r="AU72" s="756"/>
      <c r="AV72" s="835" t="s">
        <v>943</v>
      </c>
      <c r="AW72" s="889">
        <f>Cars!AQ33*Cars!AW53*Cars!AW39</f>
        <v>147.7070094300571</v>
      </c>
      <c r="AX72" s="889">
        <f>Cars!AR33*Cars!AX53*Cars!AX39</f>
        <v>574.61640512552844</v>
      </c>
      <c r="AY72" s="889">
        <f>Cars!AS33*Cars!AY53*Cars!AY39</f>
        <v>1333.4181825338505</v>
      </c>
      <c r="AZ72" s="889">
        <f>Cars!AW33*Cars!AZ53*Cars!AZ39</f>
        <v>1203.0897447536488</v>
      </c>
      <c r="BA72" s="889">
        <f>Cars!AX33*Cars!BA53*Cars!BA39</f>
        <v>856.00563644942599</v>
      </c>
      <c r="BB72" s="889">
        <f>Cars!AY33*Cars!BB53*Cars!BB39</f>
        <v>508.60667272982192</v>
      </c>
      <c r="BC72" s="889">
        <f>Cars!AZ33*Cars!BC53*Cars!BC39</f>
        <v>228.76676796464557</v>
      </c>
      <c r="BD72" s="889">
        <f>Cars!BA33*Cars!BD53*Cars!BD39</f>
        <v>68.920924381619074</v>
      </c>
      <c r="BE72" s="889">
        <f>Cars!BB33*Cars!BE53*Cars!BE39</f>
        <v>12.062898101794632</v>
      </c>
      <c r="BF72" s="889">
        <f>Cars!BC33*Cars!BF53*Cars!BF39</f>
        <v>1.0470100118101184</v>
      </c>
      <c r="BG72" s="890">
        <f>Cars!BD33*Cars!BG53*Cars!BG39</f>
        <v>3.7041813574266218E-2</v>
      </c>
      <c r="BJ72" s="1666"/>
      <c r="BK72" s="1666"/>
      <c r="BL72" s="1666"/>
    </row>
    <row r="73" spans="7:64" ht="14.45" customHeight="1">
      <c r="G73" s="1161"/>
      <c r="H73" s="898" t="s">
        <v>962</v>
      </c>
      <c r="I73" s="1161"/>
      <c r="J73" s="1161"/>
      <c r="K73" s="1161"/>
      <c r="L73" s="1161"/>
      <c r="M73" s="1161"/>
      <c r="N73" s="1161"/>
      <c r="O73" s="1161"/>
      <c r="P73" s="1161"/>
      <c r="Q73" s="1161"/>
      <c r="R73" s="1161"/>
      <c r="S73" s="1161"/>
      <c r="T73" s="1161"/>
      <c r="U73" s="1161"/>
      <c r="V73" s="1161"/>
      <c r="W73" s="1161"/>
      <c r="X73" s="1161"/>
      <c r="AA73" s="756"/>
      <c r="AB73" s="1659" t="s">
        <v>928</v>
      </c>
      <c r="AC73" s="782" t="s">
        <v>790</v>
      </c>
      <c r="AD73" s="839">
        <f t="array" ref="AD73">1/CarMoreData!$F$18*10^3*$BJ$76</f>
        <v>465.68565503424259</v>
      </c>
      <c r="AE73" s="839">
        <f>1/CarMoreData!$H$18*10^3*$BJ$76</f>
        <v>490.87774802814079</v>
      </c>
      <c r="AF73" s="802"/>
      <c r="AG73" s="802"/>
      <c r="AH73" s="802"/>
      <c r="AI73" s="802"/>
      <c r="AJ73" s="802"/>
      <c r="AK73" s="802"/>
      <c r="AL73" s="802"/>
      <c r="AM73" s="803"/>
      <c r="AN73" s="756"/>
      <c r="AP73" s="756"/>
      <c r="AQ73" s="756"/>
      <c r="AR73" s="756"/>
      <c r="AS73" s="756"/>
      <c r="AT73" s="756"/>
      <c r="AU73" s="756"/>
      <c r="AZ73" s="756"/>
      <c r="BA73" s="756"/>
      <c r="BB73" s="756"/>
      <c r="BC73" s="756"/>
      <c r="BD73" s="756"/>
      <c r="BE73" s="756"/>
      <c r="BF73" s="756"/>
      <c r="BG73" s="756"/>
      <c r="BH73" s="756"/>
      <c r="BI73" s="904" t="s">
        <v>1128</v>
      </c>
      <c r="BJ73" s="905">
        <v>0.61</v>
      </c>
      <c r="BK73" s="906">
        <f t="array" ref="BK73">L7</f>
        <v>6.2887732543907962E-2</v>
      </c>
      <c r="BL73" s="906">
        <f>BJ73*BK73</f>
        <v>3.8361516851783857E-2</v>
      </c>
    </row>
    <row r="74" spans="7:64" ht="15">
      <c r="G74" s="1161"/>
      <c r="H74" s="899" t="s">
        <v>963</v>
      </c>
      <c r="I74" s="677"/>
      <c r="J74" s="677"/>
      <c r="K74" s="1161"/>
      <c r="L74" s="1161"/>
      <c r="M74" s="1161"/>
      <c r="N74" s="1161"/>
      <c r="O74" s="1161"/>
      <c r="P74" s="1161"/>
      <c r="Q74" s="1161"/>
      <c r="R74" s="1161"/>
      <c r="S74" s="1161"/>
      <c r="T74" s="1161"/>
      <c r="U74" s="1161"/>
      <c r="V74" s="1161"/>
      <c r="W74" s="1161"/>
      <c r="X74" s="1161"/>
      <c r="AA74" s="756"/>
      <c r="AB74" s="1660"/>
      <c r="AC74" s="796" t="s">
        <v>791</v>
      </c>
      <c r="AD74" s="839">
        <f>1/CarMoreData!$F$30*10^3*$BJ$76</f>
        <v>442.61396966107446</v>
      </c>
      <c r="AE74" s="839">
        <f>1/CarMoreData!$H$30*10^3*$BJ$76</f>
        <v>460.67665116587858</v>
      </c>
      <c r="AF74" s="805"/>
      <c r="AG74" s="805"/>
      <c r="AH74" s="805"/>
      <c r="AI74" s="805"/>
      <c r="AJ74" s="805"/>
      <c r="AK74" s="805"/>
      <c r="AL74" s="805"/>
      <c r="AM74" s="806"/>
      <c r="AN74" s="756"/>
      <c r="AO74" s="756"/>
      <c r="AP74" s="763" t="s">
        <v>969</v>
      </c>
      <c r="AQ74" s="824"/>
      <c r="AR74" s="824"/>
      <c r="AS74" s="825"/>
      <c r="AT74" s="756"/>
      <c r="AU74" s="756"/>
      <c r="AZ74" s="756"/>
      <c r="BA74" s="756"/>
      <c r="BB74" s="756"/>
      <c r="BC74" s="756"/>
      <c r="BD74" s="756"/>
      <c r="BE74" s="756"/>
      <c r="BF74" s="756"/>
      <c r="BG74" s="756"/>
      <c r="BH74" s="756"/>
      <c r="BI74" s="904" t="s">
        <v>74</v>
      </c>
      <c r="BJ74" s="905">
        <v>0.77200000000000002</v>
      </c>
      <c r="BK74" s="906">
        <f t="shared" ref="BK74:BK76" si="46">L8</f>
        <v>0.30174197570528116</v>
      </c>
      <c r="BL74" s="906">
        <f>BJ74*BK74</f>
        <v>0.23294480524447705</v>
      </c>
    </row>
    <row r="75" spans="7:64" ht="15">
      <c r="G75" s="1161"/>
      <c r="H75" s="900" t="s">
        <v>791</v>
      </c>
      <c r="I75" s="900" t="s">
        <v>946</v>
      </c>
      <c r="J75" s="899"/>
      <c r="K75" s="1161"/>
      <c r="L75" s="1161"/>
      <c r="M75" s="1161"/>
      <c r="N75" s="1161"/>
      <c r="O75" s="1161"/>
      <c r="P75" s="1161"/>
      <c r="Q75" s="1161"/>
      <c r="R75" s="1161"/>
      <c r="S75" s="1161"/>
      <c r="T75" s="1161"/>
      <c r="U75" s="1161"/>
      <c r="V75" s="1161"/>
      <c r="W75" s="1161"/>
      <c r="X75" s="1161"/>
      <c r="AA75" s="756"/>
      <c r="AB75" s="1660"/>
      <c r="AC75" s="796" t="s">
        <v>53</v>
      </c>
      <c r="AD75" s="839">
        <f>1/CarMoreData!$F$18*10^3*$BJ$76</f>
        <v>465.68565503424259</v>
      </c>
      <c r="AE75" s="839">
        <f>1/CarMoreData!$H$18*10^3*$BJ$76</f>
        <v>490.87774802814079</v>
      </c>
      <c r="AF75" s="805"/>
      <c r="AG75" s="805"/>
      <c r="AH75" s="805"/>
      <c r="AI75" s="805"/>
      <c r="AJ75" s="805"/>
      <c r="AK75" s="805"/>
      <c r="AL75" s="805"/>
      <c r="AM75" s="806"/>
      <c r="AN75" s="756"/>
      <c r="AO75" s="756"/>
      <c r="AP75" s="826" t="s">
        <v>372</v>
      </c>
      <c r="AQ75" s="827">
        <f>CarData!V4</f>
        <v>2010</v>
      </c>
      <c r="AR75" s="827"/>
      <c r="AS75" s="888"/>
      <c r="AT75" s="756"/>
      <c r="AU75" s="756"/>
      <c r="AZ75" s="756"/>
      <c r="BA75" s="756"/>
      <c r="BB75" s="756"/>
      <c r="BC75" s="756"/>
      <c r="BD75" s="756"/>
      <c r="BE75" s="756"/>
      <c r="BF75" s="756"/>
      <c r="BG75" s="756"/>
      <c r="BH75" s="756"/>
      <c r="BI75" s="904" t="s">
        <v>75</v>
      </c>
      <c r="BJ75" s="905">
        <v>1</v>
      </c>
      <c r="BK75" s="906">
        <f>L9</f>
        <v>0.21795063031638209</v>
      </c>
      <c r="BL75" s="906">
        <f>BJ75*BK75</f>
        <v>0.21795063031638209</v>
      </c>
    </row>
    <row r="76" spans="7:64" ht="15">
      <c r="G76" s="1161"/>
      <c r="H76" s="901">
        <v>0.38419401276164339</v>
      </c>
      <c r="I76" s="901">
        <v>4.0618131167267035E-2</v>
      </c>
      <c r="J76" s="682" t="s">
        <v>964</v>
      </c>
      <c r="K76" s="1161"/>
      <c r="L76" s="1161"/>
      <c r="M76" s="1161"/>
      <c r="N76" s="1161"/>
      <c r="O76" s="1161"/>
      <c r="P76" s="1161"/>
      <c r="Q76" s="1161"/>
      <c r="R76" s="1161"/>
      <c r="S76" s="1161"/>
      <c r="T76" s="1161"/>
      <c r="U76" s="1161"/>
      <c r="V76" s="1161"/>
      <c r="W76" s="1161"/>
      <c r="X76" s="1161"/>
      <c r="AA76" s="756"/>
      <c r="AB76" s="1660"/>
      <c r="AC76" s="796" t="s">
        <v>931</v>
      </c>
      <c r="AD76" s="839">
        <f>1/CarMoreData!$F$18*10^3*$BJ$76</f>
        <v>465.68565503424259</v>
      </c>
      <c r="AE76" s="839">
        <f>1/CarMoreData!$H$18*10^3*$BJ$76</f>
        <v>490.87774802814079</v>
      </c>
      <c r="AF76" s="805"/>
      <c r="AG76" s="805"/>
      <c r="AH76" s="805"/>
      <c r="AI76" s="805"/>
      <c r="AJ76" s="805"/>
      <c r="AK76" s="805"/>
      <c r="AL76" s="805"/>
      <c r="AM76" s="806"/>
      <c r="AN76" s="756"/>
      <c r="AO76" s="907"/>
      <c r="AP76" s="908" t="s">
        <v>970</v>
      </c>
      <c r="AQ76" s="892"/>
      <c r="AR76" s="892"/>
      <c r="AS76" s="893"/>
      <c r="AT76" s="756"/>
      <c r="AU76" s="756"/>
      <c r="AZ76" s="756"/>
      <c r="BA76" s="756"/>
      <c r="BB76" s="756"/>
      <c r="BC76" s="756"/>
      <c r="BD76" s="756"/>
      <c r="BE76" s="756"/>
      <c r="BF76" s="756"/>
      <c r="BG76" s="756"/>
      <c r="BH76" s="756"/>
      <c r="BI76" s="904" t="s">
        <v>76</v>
      </c>
      <c r="BJ76" s="905">
        <f t="array" ref="BJ76">(1-BK74*BJ74-BJ75*BK75-BJ73*BK73)/BK76</f>
        <v>1.2235720900932889</v>
      </c>
      <c r="BK76" s="906">
        <f t="shared" si="46"/>
        <v>0.41741966143442871</v>
      </c>
      <c r="BL76" s="906">
        <f>BJ76*BK76</f>
        <v>0.510743047587357</v>
      </c>
    </row>
    <row r="77" spans="7:64" ht="12.75" customHeight="1">
      <c r="G77" s="1161"/>
      <c r="H77" s="1161"/>
      <c r="I77" s="1161"/>
      <c r="J77" s="1161"/>
      <c r="K77" s="1161"/>
      <c r="L77" s="1161"/>
      <c r="M77" s="1161"/>
      <c r="N77" s="1161"/>
      <c r="O77" s="1161"/>
      <c r="P77" s="1161"/>
      <c r="Q77" s="1161"/>
      <c r="R77" s="1161"/>
      <c r="S77" s="1161"/>
      <c r="T77" s="1161"/>
      <c r="U77" s="1161"/>
      <c r="V77" s="1161"/>
      <c r="W77" s="1161"/>
      <c r="X77" s="1161"/>
      <c r="AA77" s="756"/>
      <c r="AB77" s="1661"/>
      <c r="AC77" s="795" t="s">
        <v>51</v>
      </c>
      <c r="AD77" s="861">
        <f>1/CarMoreData!$F$39*10^3*$BJ$75</f>
        <v>1431.7402692719506</v>
      </c>
      <c r="AE77" s="861">
        <f>1/CarMoreData!$H$39*10^3*$BJ$75</f>
        <v>1431.7402692719506</v>
      </c>
      <c r="AF77" s="808"/>
      <c r="AG77" s="808"/>
      <c r="AH77" s="808"/>
      <c r="AI77" s="808"/>
      <c r="AJ77" s="808"/>
      <c r="AK77" s="808"/>
      <c r="AL77" s="808"/>
      <c r="AM77" s="809"/>
      <c r="AN77" s="756"/>
      <c r="AO77" s="756"/>
      <c r="AP77" s="909" t="s">
        <v>946</v>
      </c>
      <c r="AQ77" s="892">
        <f>CarData!V7</f>
        <v>23184.726386828876</v>
      </c>
      <c r="AR77" s="892"/>
      <c r="AS77" s="893"/>
      <c r="AT77" s="756"/>
      <c r="AU77" s="756"/>
      <c r="AV77" s="767" t="s">
        <v>795</v>
      </c>
      <c r="AW77" s="769"/>
      <c r="AX77" s="769"/>
      <c r="AY77" s="769"/>
      <c r="AZ77" s="756"/>
      <c r="BA77" s="756"/>
      <c r="BB77" s="756"/>
      <c r="BC77" s="756"/>
      <c r="BD77" s="756"/>
      <c r="BE77" s="756"/>
      <c r="BF77" s="756"/>
      <c r="BG77" s="756"/>
      <c r="BH77" s="756"/>
    </row>
    <row r="78" spans="7:64" ht="14.45" customHeight="1">
      <c r="G78" s="1161"/>
      <c r="H78"/>
      <c r="I78"/>
      <c r="J78"/>
      <c r="K78"/>
      <c r="L78"/>
      <c r="M78"/>
      <c r="N78"/>
      <c r="O78" s="1161"/>
      <c r="P78" s="1161"/>
      <c r="Q78" s="1161"/>
      <c r="R78" s="1161"/>
      <c r="S78" s="1161"/>
      <c r="T78" s="1161"/>
      <c r="U78" s="1161"/>
      <c r="V78" s="1161"/>
      <c r="W78" s="1161"/>
      <c r="X78" s="1161"/>
      <c r="AA78" s="756"/>
      <c r="AB78" s="1660" t="s">
        <v>934</v>
      </c>
      <c r="AC78" s="782" t="s">
        <v>790</v>
      </c>
      <c r="AD78" s="839">
        <f>1/CarMoreData!$F$18*10^3*$BJ$76</f>
        <v>465.68565503424259</v>
      </c>
      <c r="AE78" s="839">
        <f>1/CarMoreData!$H$18*10^3*$BJ$76</f>
        <v>490.87774802814079</v>
      </c>
      <c r="AF78" s="805"/>
      <c r="AG78" s="805"/>
      <c r="AH78" s="805"/>
      <c r="AI78" s="805"/>
      <c r="AJ78" s="805"/>
      <c r="AK78" s="805"/>
      <c r="AL78" s="805"/>
      <c r="AM78" s="806"/>
      <c r="AN78" s="756"/>
      <c r="AO78" s="756"/>
      <c r="AP78" s="909" t="s">
        <v>791</v>
      </c>
      <c r="AQ78" s="892">
        <f>CarData!V8</f>
        <v>10074.856681014116</v>
      </c>
      <c r="AR78" s="892"/>
      <c r="AS78" s="893"/>
      <c r="AT78" s="756"/>
      <c r="AU78" s="756"/>
      <c r="AV78" s="778" t="s">
        <v>1</v>
      </c>
      <c r="AW78" s="779">
        <v>2010</v>
      </c>
      <c r="AX78" s="779"/>
      <c r="AY78" s="780"/>
      <c r="AZ78" s="756"/>
      <c r="BA78" s="756"/>
      <c r="BB78" s="756"/>
      <c r="BC78" s="756"/>
      <c r="BD78" s="756"/>
      <c r="BE78" s="756"/>
      <c r="BF78" s="756"/>
      <c r="BG78" s="756"/>
      <c r="BH78" s="756"/>
    </row>
    <row r="79" spans="7:64">
      <c r="G79" s="1161"/>
      <c r="H79"/>
      <c r="I79"/>
      <c r="J79"/>
      <c r="K79"/>
      <c r="L79"/>
      <c r="M79"/>
      <c r="N79"/>
      <c r="O79" s="1161"/>
      <c r="P79" s="1161"/>
      <c r="Q79" s="1161"/>
      <c r="R79" s="1161"/>
      <c r="S79" s="1161"/>
      <c r="T79" s="1161"/>
      <c r="U79" s="1161"/>
      <c r="V79" s="1161"/>
      <c r="W79" s="1161"/>
      <c r="X79" s="1161"/>
      <c r="AA79" s="756"/>
      <c r="AB79" s="1660"/>
      <c r="AC79" s="796" t="s">
        <v>791</v>
      </c>
      <c r="AD79" s="839">
        <f>1/CarMoreData!$F$30*10^3*$BJ$76</f>
        <v>442.61396966107446</v>
      </c>
      <c r="AE79" s="839">
        <f>1/CarMoreData!$H$30*10^3*$BJ$76</f>
        <v>460.67665116587858</v>
      </c>
      <c r="AF79" s="805"/>
      <c r="AG79" s="805"/>
      <c r="AH79" s="805"/>
      <c r="AI79" s="805"/>
      <c r="AJ79" s="805"/>
      <c r="AK79" s="805"/>
      <c r="AL79" s="805"/>
      <c r="AM79" s="806"/>
      <c r="AN79" s="756"/>
      <c r="AO79" s="756"/>
      <c r="AP79" s="910" t="s">
        <v>971</v>
      </c>
      <c r="AQ79" s="895">
        <f>CarData!V10</f>
        <v>488.92129430381107</v>
      </c>
      <c r="AR79" s="895"/>
      <c r="AS79" s="896"/>
      <c r="AT79" s="756"/>
      <c r="AU79" s="756"/>
      <c r="AV79" s="788" t="s">
        <v>928</v>
      </c>
      <c r="AW79" s="911">
        <f>AS64/AQ80</f>
        <v>1.5543363055032191</v>
      </c>
      <c r="AX79" s="911"/>
      <c r="AY79" s="912"/>
      <c r="AZ79" s="1649" t="s">
        <v>1849</v>
      </c>
      <c r="BA79" s="756"/>
      <c r="BB79" s="756"/>
      <c r="BC79" s="756"/>
      <c r="BD79" s="756"/>
      <c r="BE79" s="756"/>
      <c r="BF79" s="756"/>
      <c r="BG79" s="756"/>
      <c r="BH79" s="756"/>
    </row>
    <row r="80" spans="7:64">
      <c r="H80"/>
      <c r="I80"/>
      <c r="J80"/>
      <c r="K80"/>
      <c r="L80"/>
      <c r="M80"/>
      <c r="N80"/>
      <c r="O80" s="1161"/>
      <c r="P80" s="1161"/>
      <c r="AA80" s="756"/>
      <c r="AB80" s="1660"/>
      <c r="AC80" s="796" t="s">
        <v>53</v>
      </c>
      <c r="AD80" s="839">
        <f>1/CarMoreData!$F$18*10^3*$BJ$76</f>
        <v>465.68565503424259</v>
      </c>
      <c r="AE80" s="839">
        <f>1/CarMoreData!$H$18*10^3*$BJ$76</f>
        <v>490.87774802814079</v>
      </c>
      <c r="AF80" s="805"/>
      <c r="AG80" s="805"/>
      <c r="AH80" s="805"/>
      <c r="AI80" s="805"/>
      <c r="AJ80" s="805"/>
      <c r="AK80" s="805"/>
      <c r="AL80" s="805"/>
      <c r="AM80" s="806"/>
      <c r="AN80" s="756"/>
      <c r="AP80" s="817" t="s">
        <v>120</v>
      </c>
      <c r="AQ80" s="842">
        <f>SUM(AQ77:AQ79)</f>
        <v>33748.504362146807</v>
      </c>
      <c r="AR80" s="842"/>
      <c r="AS80" s="843"/>
      <c r="AT80" s="756"/>
      <c r="AU80" s="756"/>
      <c r="AV80" s="813" t="s">
        <v>934</v>
      </c>
      <c r="AW80" s="913">
        <f>AW79</f>
        <v>1.5543363055032191</v>
      </c>
      <c r="AX80" s="913"/>
      <c r="AY80" s="914"/>
      <c r="AZ80" s="756"/>
      <c r="BA80" s="756"/>
      <c r="BB80" s="756"/>
      <c r="BC80" s="756"/>
      <c r="BD80" s="756"/>
      <c r="BE80" s="756"/>
      <c r="BF80" s="756"/>
      <c r="BG80" s="756"/>
      <c r="BH80" s="756"/>
    </row>
    <row r="81" spans="8:62">
      <c r="H81" s="1161"/>
      <c r="I81" s="1161"/>
      <c r="J81" s="1161"/>
      <c r="K81" s="1161"/>
      <c r="L81" s="1161"/>
      <c r="M81" s="1161"/>
      <c r="N81" s="1161"/>
      <c r="O81" s="1161"/>
      <c r="P81" s="1161"/>
      <c r="AA81" s="756"/>
      <c r="AB81" s="1660"/>
      <c r="AC81" s="796" t="s">
        <v>931</v>
      </c>
      <c r="AD81" s="839">
        <f>1/CarMoreData!$F$18*10^3*$BJ$76</f>
        <v>465.68565503424259</v>
      </c>
      <c r="AE81" s="839">
        <f>1/CarMoreData!$H$18*10^3*$BJ$76</f>
        <v>490.87774802814079</v>
      </c>
      <c r="AF81" s="805"/>
      <c r="AG81" s="805"/>
      <c r="AH81" s="805"/>
      <c r="AI81" s="805"/>
      <c r="AJ81" s="805"/>
      <c r="AK81" s="805"/>
      <c r="AL81" s="805"/>
      <c r="AM81" s="806"/>
      <c r="AN81" s="756"/>
      <c r="AO81" s="756"/>
      <c r="AP81" s="915" t="s">
        <v>370</v>
      </c>
      <c r="AQ81" s="756"/>
      <c r="AR81" s="756"/>
      <c r="AS81" s="756"/>
      <c r="AT81" s="756"/>
      <c r="AU81" s="756"/>
      <c r="AV81" s="756"/>
      <c r="AW81" s="756"/>
      <c r="AX81" s="756"/>
      <c r="AY81" s="756"/>
      <c r="AZ81" s="756"/>
      <c r="BA81" s="756"/>
      <c r="BB81" s="756"/>
      <c r="BC81" s="756"/>
      <c r="BD81" s="756"/>
      <c r="BE81" s="756"/>
      <c r="BF81" s="756"/>
      <c r="BG81" s="756"/>
      <c r="BH81" s="756"/>
    </row>
    <row r="82" spans="8:62">
      <c r="AA82" s="756"/>
      <c r="AB82" s="1661"/>
      <c r="AC82" s="795" t="s">
        <v>51</v>
      </c>
      <c r="AD82" s="861">
        <f>1/CarMoreData!$F$39*10^3*$BJ$75</f>
        <v>1431.7402692719506</v>
      </c>
      <c r="AE82" s="861">
        <f>1/CarMoreData!$H$39*10^3*$BJ$75</f>
        <v>1431.7402692719506</v>
      </c>
      <c r="AF82" s="808"/>
      <c r="AG82" s="808"/>
      <c r="AH82" s="808"/>
      <c r="AI82" s="808"/>
      <c r="AJ82" s="808"/>
      <c r="AK82" s="808"/>
      <c r="AL82" s="808"/>
      <c r="AM82" s="809"/>
      <c r="AN82" s="756"/>
      <c r="AO82" s="756"/>
      <c r="AP82" s="756"/>
      <c r="AQ82" s="756"/>
      <c r="AR82" s="756"/>
      <c r="AS82" s="756"/>
      <c r="AT82" s="756"/>
      <c r="AU82" s="756"/>
      <c r="AZ82" s="756"/>
      <c r="BA82" s="756"/>
      <c r="BB82" s="756"/>
      <c r="BC82" s="756"/>
      <c r="BD82" s="756"/>
      <c r="BE82" s="756"/>
      <c r="BF82" s="756"/>
      <c r="BG82" s="756"/>
      <c r="BH82" s="756"/>
    </row>
    <row r="83" spans="8:62">
      <c r="AA83" s="756"/>
      <c r="AB83"/>
      <c r="AC83"/>
      <c r="AD83"/>
      <c r="AE83"/>
      <c r="AF83"/>
      <c r="AG83"/>
      <c r="AH83"/>
      <c r="AI83"/>
      <c r="AJ83"/>
      <c r="AK83"/>
      <c r="AL83"/>
      <c r="AM83"/>
      <c r="AN83" s="756"/>
      <c r="AZ83" s="756"/>
      <c r="BA83" s="756"/>
      <c r="BB83" s="756"/>
      <c r="BC83" s="756"/>
      <c r="BD83" s="756"/>
      <c r="BE83" s="756"/>
      <c r="BF83" s="756"/>
      <c r="BG83" s="756"/>
      <c r="BH83" s="756"/>
    </row>
    <row r="84" spans="8:62">
      <c r="AA84" s="756"/>
      <c r="AB84"/>
      <c r="AC84"/>
      <c r="AD84"/>
      <c r="AE84"/>
      <c r="AF84"/>
      <c r="AG84"/>
      <c r="AH84"/>
      <c r="AI84"/>
      <c r="AJ84"/>
      <c r="AK84"/>
      <c r="AL84"/>
      <c r="AM84"/>
      <c r="AN84" s="756"/>
      <c r="AV84" s="767" t="s">
        <v>972</v>
      </c>
      <c r="AW84" s="768"/>
      <c r="AX84" s="768"/>
      <c r="AY84" s="769"/>
    </row>
    <row r="85" spans="8:62">
      <c r="AA85" s="756"/>
      <c r="AB85"/>
      <c r="AC85"/>
      <c r="AD85"/>
      <c r="AE85"/>
      <c r="AF85"/>
      <c r="AG85"/>
      <c r="AH85"/>
      <c r="AI85"/>
      <c r="AJ85"/>
      <c r="AK85"/>
      <c r="AL85"/>
      <c r="AM85"/>
      <c r="AN85" s="756"/>
      <c r="AP85" s="756"/>
      <c r="AQ85" s="756"/>
      <c r="AR85" s="756"/>
      <c r="AS85" s="756"/>
      <c r="AV85" s="778" t="s">
        <v>1</v>
      </c>
      <c r="AW85" s="779">
        <v>2010</v>
      </c>
      <c r="AX85" s="779"/>
      <c r="AY85" s="780"/>
      <c r="BJ85" s="1161"/>
    </row>
    <row r="86" spans="8:62">
      <c r="AA86" s="756"/>
      <c r="AB86"/>
      <c r="AC86"/>
      <c r="AD86"/>
      <c r="AE86"/>
      <c r="AF86"/>
      <c r="AG86"/>
      <c r="AH86"/>
      <c r="AI86"/>
      <c r="AJ86"/>
      <c r="AK86"/>
      <c r="AL86"/>
      <c r="AM86"/>
      <c r="AN86" s="756"/>
      <c r="AP86" s="756"/>
      <c r="AQ86" s="756"/>
      <c r="AR86" s="756"/>
      <c r="AS86" s="756"/>
      <c r="AV86" s="884" t="s">
        <v>790</v>
      </c>
      <c r="AW86" s="831"/>
      <c r="AX86" s="831"/>
      <c r="AY86" s="833"/>
    </row>
    <row r="87" spans="8:62">
      <c r="AA87" s="756"/>
      <c r="AB87"/>
      <c r="AC87"/>
      <c r="AD87"/>
      <c r="AE87"/>
      <c r="AF87"/>
      <c r="AG87"/>
      <c r="AH87"/>
      <c r="AI87"/>
      <c r="AJ87"/>
      <c r="AK87"/>
      <c r="AL87"/>
      <c r="AM87"/>
      <c r="AN87" s="756"/>
      <c r="AV87" s="830" t="s">
        <v>941</v>
      </c>
      <c r="AW87" s="886">
        <f>BJ58/AW59*10^6+10</f>
        <v>12926.459697778171</v>
      </c>
      <c r="AX87" s="831"/>
      <c r="AY87" s="833"/>
    </row>
    <row r="88" spans="8:62">
      <c r="AA88" s="756"/>
      <c r="AB88"/>
      <c r="AC88"/>
      <c r="AD88"/>
      <c r="AE88"/>
      <c r="AF88"/>
      <c r="AG88"/>
      <c r="AH88"/>
      <c r="AI88"/>
      <c r="AJ88"/>
      <c r="AK88"/>
      <c r="AL88"/>
      <c r="AM88"/>
      <c r="AN88" s="756"/>
      <c r="AV88" s="835" t="s">
        <v>943</v>
      </c>
      <c r="AW88" s="889">
        <f>BK58/AW60*10^6+10</f>
        <v>14556.494697955179</v>
      </c>
      <c r="AX88" s="836"/>
      <c r="AY88" s="838"/>
    </row>
    <row r="89" spans="8:62">
      <c r="AA89" s="756"/>
      <c r="AB89"/>
      <c r="AC89"/>
      <c r="AD89"/>
      <c r="AE89"/>
      <c r="AF89"/>
      <c r="AG89"/>
      <c r="AH89"/>
      <c r="AI89"/>
      <c r="AJ89"/>
      <c r="AK89"/>
      <c r="AL89"/>
      <c r="AM89"/>
      <c r="AN89" s="756"/>
      <c r="AV89" s="884" t="s">
        <v>791</v>
      </c>
      <c r="AW89" s="831"/>
      <c r="AX89" s="831"/>
      <c r="AY89" s="833"/>
    </row>
    <row r="90" spans="8:62">
      <c r="AA90" s="756"/>
      <c r="AB90"/>
      <c r="AC90"/>
      <c r="AD90"/>
      <c r="AE90"/>
      <c r="AF90"/>
      <c r="AG90"/>
      <c r="AH90"/>
      <c r="AI90"/>
      <c r="AJ90"/>
      <c r="AK90"/>
      <c r="AL90"/>
      <c r="AM90"/>
      <c r="AN90" s="756"/>
      <c r="AV90" s="830" t="s">
        <v>941</v>
      </c>
      <c r="AW90" s="886">
        <f>BJ57/AW62*10^6</f>
        <v>21064.68043128321</v>
      </c>
      <c r="AX90" s="831"/>
      <c r="AY90" s="833"/>
    </row>
    <row r="91" spans="8:62">
      <c r="AA91" s="756"/>
      <c r="AB91"/>
      <c r="AC91"/>
      <c r="AD91"/>
      <c r="AE91"/>
      <c r="AF91"/>
      <c r="AG91"/>
      <c r="AH91"/>
      <c r="AI91"/>
      <c r="AJ91"/>
      <c r="AK91"/>
      <c r="AL91"/>
      <c r="AM91"/>
      <c r="AN91" s="756"/>
      <c r="AV91" s="835" t="s">
        <v>943</v>
      </c>
      <c r="AW91" s="889">
        <f>BK57/AW63*10^6</f>
        <v>23723.006874746789</v>
      </c>
      <c r="AX91" s="836"/>
      <c r="AY91" s="838"/>
    </row>
    <row r="92" spans="8:62">
      <c r="AA92" s="756"/>
      <c r="AB92"/>
      <c r="AC92"/>
      <c r="AD92"/>
      <c r="AE92"/>
      <c r="AF92"/>
      <c r="AG92"/>
      <c r="AH92"/>
      <c r="AI92"/>
      <c r="AJ92"/>
      <c r="AK92"/>
      <c r="AL92"/>
      <c r="AM92"/>
      <c r="AN92" s="756"/>
      <c r="AV92" s="884" t="s">
        <v>53</v>
      </c>
      <c r="AW92" s="831"/>
      <c r="AX92" s="831"/>
      <c r="AY92" s="833"/>
    </row>
    <row r="93" spans="8:62">
      <c r="AA93" s="756"/>
      <c r="AB93"/>
      <c r="AC93"/>
      <c r="AD93"/>
      <c r="AE93"/>
      <c r="AF93"/>
      <c r="AG93"/>
      <c r="AH93"/>
      <c r="AI93"/>
      <c r="AJ93"/>
      <c r="AK93"/>
      <c r="AL93"/>
      <c r="AM93"/>
      <c r="AN93" s="756"/>
      <c r="AV93" s="830" t="s">
        <v>941</v>
      </c>
      <c r="AW93" s="916">
        <v>18000</v>
      </c>
      <c r="AX93" s="831"/>
      <c r="AY93" s="833"/>
    </row>
    <row r="94" spans="8:62">
      <c r="AA94" s="756"/>
      <c r="AB94"/>
      <c r="AC94"/>
      <c r="AD94"/>
      <c r="AE94"/>
      <c r="AF94"/>
      <c r="AG94"/>
      <c r="AH94"/>
      <c r="AI94"/>
      <c r="AJ94"/>
      <c r="AK94"/>
      <c r="AL94"/>
      <c r="AM94"/>
      <c r="AN94" s="756"/>
      <c r="AV94" s="835" t="s">
        <v>943</v>
      </c>
      <c r="AW94" s="917">
        <v>18000</v>
      </c>
      <c r="AX94" s="836"/>
      <c r="AY94" s="838"/>
    </row>
    <row r="95" spans="8:62" ht="12.75" customHeight="1">
      <c r="AA95" s="756"/>
      <c r="AB95"/>
      <c r="AC95"/>
      <c r="AD95"/>
      <c r="AE95"/>
      <c r="AF95"/>
      <c r="AG95"/>
      <c r="AH95"/>
      <c r="AI95"/>
      <c r="AJ95"/>
      <c r="AK95"/>
      <c r="AL95"/>
      <c r="AM95"/>
      <c r="AN95" s="756"/>
      <c r="AV95" s="884" t="s">
        <v>931</v>
      </c>
      <c r="AW95" s="831"/>
      <c r="AX95" s="831"/>
      <c r="AY95" s="833"/>
      <c r="BA95" s="718"/>
      <c r="BB95" s="718"/>
    </row>
    <row r="96" spans="8:62">
      <c r="AA96" s="756"/>
      <c r="AB96"/>
      <c r="AC96"/>
      <c r="AD96"/>
      <c r="AE96"/>
      <c r="AF96"/>
      <c r="AG96"/>
      <c r="AH96"/>
      <c r="AI96"/>
      <c r="AJ96"/>
      <c r="AK96"/>
      <c r="AL96"/>
      <c r="AM96"/>
      <c r="AN96" s="756"/>
      <c r="AV96" s="830" t="s">
        <v>941</v>
      </c>
      <c r="AW96" s="916">
        <v>18000</v>
      </c>
      <c r="AX96" s="831"/>
      <c r="AY96" s="833"/>
      <c r="BA96" s="682"/>
    </row>
    <row r="97" spans="27:51">
      <c r="AA97" s="756"/>
      <c r="AB97"/>
      <c r="AC97"/>
      <c r="AD97"/>
      <c r="AE97"/>
      <c r="AF97"/>
      <c r="AG97"/>
      <c r="AH97"/>
      <c r="AI97"/>
      <c r="AJ97"/>
      <c r="AK97"/>
      <c r="AL97"/>
      <c r="AM97"/>
      <c r="AN97" s="756"/>
      <c r="AV97" s="835" t="s">
        <v>943</v>
      </c>
      <c r="AW97" s="917">
        <v>18000</v>
      </c>
      <c r="AX97" s="836"/>
      <c r="AY97" s="838"/>
    </row>
    <row r="98" spans="27:51">
      <c r="AA98" s="756"/>
      <c r="AB98"/>
      <c r="AC98"/>
      <c r="AD98"/>
      <c r="AE98"/>
      <c r="AF98"/>
      <c r="AG98"/>
      <c r="AH98"/>
      <c r="AI98"/>
      <c r="AJ98"/>
      <c r="AK98"/>
      <c r="AL98"/>
      <c r="AM98"/>
      <c r="AN98" s="756"/>
      <c r="AV98" s="884" t="s">
        <v>51</v>
      </c>
      <c r="AW98" s="831"/>
      <c r="AX98" s="831"/>
      <c r="AY98" s="833"/>
    </row>
    <row r="99" spans="27:51">
      <c r="AA99" s="756"/>
      <c r="AB99"/>
      <c r="AC99"/>
      <c r="AD99"/>
      <c r="AE99"/>
      <c r="AF99"/>
      <c r="AG99"/>
      <c r="AH99"/>
      <c r="AI99"/>
      <c r="AJ99"/>
      <c r="AK99"/>
      <c r="AL99"/>
      <c r="AM99"/>
      <c r="AN99" s="756"/>
      <c r="AV99" s="830" t="s">
        <v>941</v>
      </c>
      <c r="AW99" s="916">
        <v>14000</v>
      </c>
      <c r="AX99" s="831"/>
      <c r="AY99" s="833"/>
    </row>
    <row r="100" spans="27:51" ht="12.75" customHeight="1">
      <c r="AA100" s="756"/>
      <c r="AB100"/>
      <c r="AC100"/>
      <c r="AD100"/>
      <c r="AE100"/>
      <c r="AF100"/>
      <c r="AG100"/>
      <c r="AH100"/>
      <c r="AI100"/>
      <c r="AJ100"/>
      <c r="AK100"/>
      <c r="AL100"/>
      <c r="AM100"/>
      <c r="AN100" s="756"/>
      <c r="AV100" s="835" t="s">
        <v>943</v>
      </c>
      <c r="AW100" s="917">
        <v>14000</v>
      </c>
      <c r="AX100" s="836"/>
      <c r="AY100" s="838"/>
    </row>
    <row r="101" spans="27:51">
      <c r="AA101" s="756"/>
      <c r="AB101"/>
      <c r="AC101"/>
      <c r="AD101"/>
      <c r="AE101"/>
      <c r="AF101"/>
      <c r="AG101"/>
      <c r="AH101"/>
      <c r="AI101"/>
      <c r="AJ101"/>
      <c r="AK101"/>
      <c r="AL101"/>
      <c r="AM101"/>
      <c r="AN101" s="756"/>
    </row>
    <row r="102" spans="27:51">
      <c r="AA102" s="756"/>
      <c r="AB102"/>
      <c r="AC102"/>
      <c r="AD102"/>
      <c r="AE102"/>
      <c r="AF102"/>
      <c r="AG102"/>
      <c r="AH102"/>
      <c r="AI102"/>
      <c r="AJ102"/>
      <c r="AK102"/>
      <c r="AL102"/>
      <c r="AM102"/>
      <c r="AN102" s="756"/>
    </row>
    <row r="103" spans="27:51">
      <c r="AA103" s="756"/>
      <c r="AB103"/>
      <c r="AC103"/>
      <c r="AD103"/>
      <c r="AE103"/>
      <c r="AF103"/>
      <c r="AG103"/>
      <c r="AH103"/>
      <c r="AI103"/>
      <c r="AJ103"/>
      <c r="AK103"/>
      <c r="AL103"/>
      <c r="AM103"/>
      <c r="AN103" s="756"/>
    </row>
    <row r="104" spans="27:51">
      <c r="AA104" s="756"/>
      <c r="AB104"/>
      <c r="AC104"/>
      <c r="AD104"/>
      <c r="AE104"/>
      <c r="AF104"/>
      <c r="AG104"/>
      <c r="AH104"/>
      <c r="AI104"/>
      <c r="AJ104"/>
      <c r="AK104"/>
      <c r="AL104"/>
      <c r="AM104"/>
      <c r="AN104" s="756"/>
    </row>
    <row r="105" spans="27:51">
      <c r="AA105" s="756"/>
      <c r="AB105" s="756"/>
      <c r="AC105" s="756"/>
      <c r="AD105" s="756"/>
      <c r="AE105" s="756"/>
      <c r="AF105" s="756"/>
      <c r="AG105" s="756"/>
      <c r="AH105" s="756"/>
      <c r="AI105" s="756"/>
      <c r="AJ105" s="756"/>
      <c r="AK105" s="756"/>
      <c r="AL105" s="756"/>
      <c r="AM105" s="756"/>
      <c r="AN105" s="756"/>
    </row>
    <row r="106" spans="27:51">
      <c r="AA106" s="756"/>
      <c r="AB106" s="756"/>
      <c r="AC106" s="756"/>
      <c r="AD106" s="756"/>
      <c r="AE106" s="756"/>
      <c r="AF106" s="756"/>
      <c r="AG106" s="756"/>
      <c r="AH106" s="756"/>
      <c r="AI106" s="756"/>
      <c r="AJ106" s="756"/>
      <c r="AK106" s="756"/>
      <c r="AL106" s="756"/>
      <c r="AM106" s="756"/>
      <c r="AN106" s="756"/>
    </row>
  </sheetData>
  <scenarios current="0">
    <scenario name="test" count="5" user="Author">
      <inputCells r="AW90" val="28000" numFmtId="1"/>
      <inputCells r="AW88" val="16905.8536508063" numFmtId="1"/>
      <inputCells r="CF5" val="0.260173787105008" numFmtId="2"/>
      <inputCells r="CH6" val="0.466056886295445" numFmtId="2"/>
      <inputCells r="CH7" val="0.273769326599547" numFmtId="2"/>
    </scenario>
  </scenarios>
  <mergeCells count="20">
    <mergeCell ref="AB73:AB77"/>
    <mergeCell ref="AB78:AB82"/>
    <mergeCell ref="BK71:BK72"/>
    <mergeCell ref="BL71:BL72"/>
    <mergeCell ref="BJ71:BJ72"/>
    <mergeCell ref="AB62:AB66"/>
    <mergeCell ref="AB67:AB71"/>
    <mergeCell ref="AV2:BG3"/>
    <mergeCell ref="AB7:AB11"/>
    <mergeCell ref="AB12:AB16"/>
    <mergeCell ref="AB56:AB60"/>
    <mergeCell ref="AB18:AB22"/>
    <mergeCell ref="AB2:AM3"/>
    <mergeCell ref="AP2:AS3"/>
    <mergeCell ref="AB23:AB27"/>
    <mergeCell ref="AB29:AB33"/>
    <mergeCell ref="AB34:AB38"/>
    <mergeCell ref="AB51:AB55"/>
    <mergeCell ref="AB40:AB44"/>
    <mergeCell ref="AB45:AB49"/>
  </mergeCells>
  <hyperlinks>
    <hyperlink ref="AP34" location="CarData!A18" display="Source" xr:uid="{00000000-0004-0000-0600-000000000000}"/>
    <hyperlink ref="AP45" location="CarData!A3" display="Source" xr:uid="{00000000-0004-0000-0600-000001000000}"/>
    <hyperlink ref="AP57" location="CarData!A54" display="Source" xr:uid="{00000000-0004-0000-0600-000002000000}"/>
    <hyperlink ref="AP81" location="CarData!J2" display="Source" xr:uid="{00000000-0004-0000-0600-000003000000}"/>
    <hyperlink ref="AP65" location="TransData!AB4" display="Source" xr:uid="{00000000-0004-0000-0600-000004000000}"/>
  </hyperlinks>
  <pageMargins left="0.7" right="0.7" top="0.75" bottom="0.75" header="0.3" footer="0.3"/>
  <pageSetup paperSize="9" orientation="portrait"/>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sheetPr>
  <dimension ref="A2:CH75"/>
  <sheetViews>
    <sheetView zoomScaleNormal="100" workbookViewId="0">
      <selection activeCell="S27" sqref="S27"/>
    </sheetView>
  </sheetViews>
  <sheetFormatPr defaultColWidth="8.85546875" defaultRowHeight="12.75"/>
  <cols>
    <col min="1" max="1" width="22" style="713" customWidth="1"/>
    <col min="2" max="4" width="10.42578125" style="713" bestFit="1" customWidth="1"/>
    <col min="5" max="5" width="11.28515625" style="713" bestFit="1" customWidth="1"/>
    <col min="6" max="7" width="11.28515625" style="713" customWidth="1"/>
    <col min="8" max="10" width="11.28515625" style="1161" customWidth="1"/>
    <col min="11" max="11" width="10.140625" style="713" bestFit="1" customWidth="1"/>
    <col min="12" max="12" width="12.85546875" style="713" customWidth="1"/>
    <col min="13" max="16" width="10.140625" style="713" customWidth="1"/>
    <col min="17" max="17" width="9.28515625" style="713" bestFit="1" customWidth="1"/>
    <col min="18" max="18" width="10.7109375" style="713" bestFit="1" customWidth="1"/>
    <col min="19" max="19" width="11.28515625" style="713" bestFit="1" customWidth="1"/>
    <col min="20" max="20" width="10.28515625" style="713" bestFit="1" customWidth="1"/>
    <col min="21" max="21" width="9.7109375" style="713" bestFit="1" customWidth="1"/>
    <col min="22" max="22" width="9.5703125" style="713" customWidth="1"/>
    <col min="23" max="27" width="8.85546875" style="713"/>
    <col min="28" max="30" width="10.28515625" style="713" bestFit="1" customWidth="1"/>
    <col min="31" max="16384" width="8.85546875" style="713"/>
  </cols>
  <sheetData>
    <row r="2" spans="1:39">
      <c r="A2" s="682" t="s">
        <v>973</v>
      </c>
      <c r="B2" s="918" t="s">
        <v>974</v>
      </c>
      <c r="C2" s="682"/>
      <c r="D2" s="682"/>
      <c r="E2" s="682"/>
      <c r="F2" s="682"/>
      <c r="G2" s="682"/>
      <c r="H2" s="682"/>
      <c r="I2" s="682"/>
      <c r="J2" s="682"/>
      <c r="L2" s="682" t="s">
        <v>973</v>
      </c>
      <c r="M2" s="919" t="s">
        <v>975</v>
      </c>
    </row>
    <row r="3" spans="1:39">
      <c r="A3" s="1667" t="s">
        <v>976</v>
      </c>
      <c r="B3" s="1668"/>
      <c r="C3" s="1668"/>
      <c r="D3" s="1668"/>
      <c r="E3" s="1668"/>
      <c r="F3" s="920"/>
      <c r="G3" s="921"/>
      <c r="H3" s="1650"/>
      <c r="I3" s="1650"/>
      <c r="J3" s="1650"/>
      <c r="L3" s="922" t="s">
        <v>977</v>
      </c>
      <c r="M3" s="923"/>
      <c r="N3" s="923"/>
      <c r="O3" s="923"/>
      <c r="P3" s="923"/>
      <c r="Q3" s="923"/>
      <c r="R3" s="923"/>
      <c r="S3" s="923"/>
      <c r="T3" s="923"/>
      <c r="U3" s="923"/>
      <c r="V3" s="923"/>
      <c r="W3" s="923"/>
      <c r="X3" s="923"/>
      <c r="Y3" s="923"/>
      <c r="Z3" s="924"/>
    </row>
    <row r="4" spans="1:39">
      <c r="A4" s="925"/>
      <c r="B4" s="515">
        <v>2010</v>
      </c>
      <c r="C4" s="515">
        <v>2011</v>
      </c>
      <c r="D4" s="515">
        <v>2012</v>
      </c>
      <c r="E4" s="515">
        <v>2013</v>
      </c>
      <c r="F4" s="515">
        <v>2014</v>
      </c>
      <c r="G4" s="796">
        <v>2015</v>
      </c>
      <c r="H4" s="515">
        <v>2016</v>
      </c>
      <c r="I4" s="515">
        <v>2017</v>
      </c>
      <c r="J4" s="515">
        <v>2018</v>
      </c>
      <c r="L4" s="925"/>
      <c r="M4" s="926">
        <v>2001</v>
      </c>
      <c r="N4" s="926">
        <v>2002</v>
      </c>
      <c r="O4" s="926">
        <v>2003</v>
      </c>
      <c r="P4" s="926">
        <v>2004</v>
      </c>
      <c r="Q4" s="926">
        <v>2005</v>
      </c>
      <c r="R4" s="926">
        <v>2006</v>
      </c>
      <c r="S4" s="926">
        <v>2007</v>
      </c>
      <c r="T4" s="926">
        <v>2008</v>
      </c>
      <c r="U4" s="926">
        <v>2009</v>
      </c>
      <c r="V4" s="926">
        <v>2010</v>
      </c>
      <c r="W4" s="926">
        <v>2011</v>
      </c>
      <c r="X4" s="926">
        <v>2012</v>
      </c>
      <c r="Y4" s="926">
        <v>2013</v>
      </c>
      <c r="Z4" s="927">
        <v>2014</v>
      </c>
      <c r="AA4" s="926">
        <v>2015</v>
      </c>
      <c r="AB4" s="926">
        <v>2016</v>
      </c>
      <c r="AC4" s="926">
        <v>2017</v>
      </c>
      <c r="AD4" s="926">
        <v>2018</v>
      </c>
    </row>
    <row r="5" spans="1:39">
      <c r="A5" s="925" t="s">
        <v>978</v>
      </c>
      <c r="B5" s="515"/>
      <c r="C5" s="515"/>
      <c r="D5" s="515"/>
      <c r="E5" s="515"/>
      <c r="F5" s="515"/>
      <c r="G5" s="796"/>
      <c r="H5" s="515"/>
      <c r="I5" s="515"/>
      <c r="J5" s="515"/>
      <c r="L5" s="928" t="s">
        <v>979</v>
      </c>
      <c r="M5" s="929"/>
      <c r="N5" s="929"/>
      <c r="O5" s="929"/>
      <c r="P5" s="929"/>
      <c r="Q5" s="929"/>
      <c r="R5" s="929"/>
      <c r="S5" s="929"/>
      <c r="T5" s="929"/>
      <c r="U5" s="929"/>
      <c r="V5" s="929"/>
      <c r="W5" s="929"/>
      <c r="X5" s="929"/>
      <c r="Y5" s="929"/>
      <c r="Z5" s="930"/>
      <c r="AG5" s="931"/>
      <c r="AH5" s="718"/>
      <c r="AI5" s="718"/>
      <c r="AJ5" s="718"/>
      <c r="AK5" s="718"/>
      <c r="AL5" s="718"/>
      <c r="AM5" s="932"/>
    </row>
    <row r="6" spans="1:39">
      <c r="A6" s="515" t="s">
        <v>497</v>
      </c>
      <c r="B6" s="933">
        <v>2120322</v>
      </c>
      <c r="C6" s="931">
        <v>2163676</v>
      </c>
      <c r="D6" s="931">
        <v>2197831</v>
      </c>
      <c r="E6" s="931">
        <v>2237122</v>
      </c>
      <c r="F6" s="931">
        <v>2278121</v>
      </c>
      <c r="G6" s="934">
        <v>2329578</v>
      </c>
      <c r="H6" s="1651">
        <v>2390823</v>
      </c>
      <c r="I6" s="1651">
        <v>2465538</v>
      </c>
      <c r="J6" s="1651">
        <v>2530047</v>
      </c>
      <c r="L6" s="928" t="s">
        <v>381</v>
      </c>
      <c r="M6" s="935">
        <v>30816.46551513052</v>
      </c>
      <c r="N6" s="935">
        <v>31010.009332083569</v>
      </c>
      <c r="O6" s="935">
        <v>31453.222922110897</v>
      </c>
      <c r="P6" s="935">
        <v>32301.000264391827</v>
      </c>
      <c r="Q6" s="935">
        <v>32096.100072354369</v>
      </c>
      <c r="R6" s="935">
        <v>32318.371416847385</v>
      </c>
      <c r="S6" s="935">
        <v>33050.203961555133</v>
      </c>
      <c r="T6" s="935">
        <v>33273.738298048265</v>
      </c>
      <c r="U6" s="935">
        <v>33344.339820621171</v>
      </c>
      <c r="V6" s="935">
        <v>33259.583067843021</v>
      </c>
      <c r="W6" s="935">
        <v>34424.539537894321</v>
      </c>
      <c r="X6" s="935">
        <v>34873.370706005167</v>
      </c>
      <c r="Y6" s="935">
        <v>35516.632368502447</v>
      </c>
      <c r="Z6" s="936">
        <v>36686.229466123317</v>
      </c>
      <c r="AA6" s="935">
        <v>38188</v>
      </c>
      <c r="AB6" s="935">
        <v>39470</v>
      </c>
      <c r="AC6" s="935">
        <v>40181</v>
      </c>
      <c r="AD6" s="935">
        <v>40827</v>
      </c>
      <c r="AG6" s="931"/>
      <c r="AH6" s="718"/>
      <c r="AI6" s="718"/>
      <c r="AJ6" s="718"/>
      <c r="AK6" s="718"/>
      <c r="AL6" s="718"/>
      <c r="AM6" s="932"/>
    </row>
    <row r="7" spans="1:39">
      <c r="A7" s="515" t="s">
        <v>149</v>
      </c>
      <c r="B7" s="937">
        <v>573890</v>
      </c>
      <c r="C7" s="937">
        <v>583052</v>
      </c>
      <c r="D7" s="937">
        <v>589110</v>
      </c>
      <c r="E7" s="937">
        <v>599932</v>
      </c>
      <c r="F7" s="937">
        <v>614500</v>
      </c>
      <c r="G7" s="938">
        <v>633794</v>
      </c>
      <c r="H7" s="937"/>
      <c r="I7" s="937"/>
      <c r="J7" s="937"/>
      <c r="L7" s="939" t="s">
        <v>382</v>
      </c>
      <c r="M7" s="935">
        <v>28021.349468226465</v>
      </c>
      <c r="N7" s="935">
        <v>27744.157236425272</v>
      </c>
      <c r="O7" s="935">
        <v>27620.711502393307</v>
      </c>
      <c r="P7" s="935">
        <v>27808.278924556704</v>
      </c>
      <c r="Q7" s="935">
        <v>26950.166704906274</v>
      </c>
      <c r="R7" s="935">
        <v>26356.122333291649</v>
      </c>
      <c r="S7" s="935">
        <v>25958.709854651981</v>
      </c>
      <c r="T7" s="935">
        <v>25219.415258289653</v>
      </c>
      <c r="U7" s="935">
        <v>24444.464106889583</v>
      </c>
      <c r="V7" s="935">
        <v>23184.726386828876</v>
      </c>
      <c r="W7" s="935">
        <v>22485.429395521642</v>
      </c>
      <c r="X7" s="935">
        <v>21419.627005953673</v>
      </c>
      <c r="Y7" s="935">
        <v>21243.849202216858</v>
      </c>
      <c r="Z7" s="936">
        <v>21598.476324223553</v>
      </c>
      <c r="AG7" s="718"/>
      <c r="AH7" s="718"/>
      <c r="AI7" s="718"/>
      <c r="AJ7" s="718"/>
      <c r="AK7" s="718"/>
      <c r="AL7" s="718"/>
      <c r="AM7" s="932"/>
    </row>
    <row r="8" spans="1:39">
      <c r="A8" s="515" t="s">
        <v>150</v>
      </c>
      <c r="B8" s="937">
        <v>330962</v>
      </c>
      <c r="C8" s="940">
        <v>334893</v>
      </c>
      <c r="D8" s="940">
        <v>337173</v>
      </c>
      <c r="E8" s="937">
        <v>342443</v>
      </c>
      <c r="F8" s="937">
        <v>348466</v>
      </c>
      <c r="G8" s="938">
        <v>355073</v>
      </c>
      <c r="H8" s="937"/>
      <c r="I8" s="937"/>
      <c r="J8" s="937"/>
      <c r="L8" s="939" t="s">
        <v>791</v>
      </c>
      <c r="M8" s="935">
        <v>2795.1160469040542</v>
      </c>
      <c r="N8" s="935">
        <v>3265.8520956582979</v>
      </c>
      <c r="O8" s="935">
        <v>3832.511419717589</v>
      </c>
      <c r="P8" s="935">
        <v>4492.7213398351232</v>
      </c>
      <c r="Q8" s="935">
        <v>5145.9333674480968</v>
      </c>
      <c r="R8" s="935">
        <v>5962.2490835557346</v>
      </c>
      <c r="S8" s="935">
        <v>7091.4941069031738</v>
      </c>
      <c r="T8" s="935">
        <v>8054.3230397586194</v>
      </c>
      <c r="U8" s="935">
        <v>8899.8757137315897</v>
      </c>
      <c r="V8" s="935">
        <v>10074.856681014116</v>
      </c>
      <c r="W8" s="935">
        <v>11939.110142372665</v>
      </c>
      <c r="X8" s="935">
        <v>13453.743700051486</v>
      </c>
      <c r="Y8" s="935">
        <v>14272.783166285531</v>
      </c>
      <c r="Z8" s="936">
        <v>15087.75314189971</v>
      </c>
      <c r="AG8" s="718"/>
      <c r="AH8" s="718"/>
      <c r="AI8" s="718"/>
      <c r="AJ8" s="718"/>
      <c r="AK8" s="718"/>
      <c r="AL8" s="718"/>
      <c r="AM8" s="932"/>
    </row>
    <row r="9" spans="1:39">
      <c r="A9" s="515" t="s">
        <v>151</v>
      </c>
      <c r="B9" s="937">
        <v>483399</v>
      </c>
      <c r="C9" s="937">
        <v>490649</v>
      </c>
      <c r="D9" s="937">
        <v>497916</v>
      </c>
      <c r="E9" s="937">
        <v>508877</v>
      </c>
      <c r="F9" s="937">
        <v>519859</v>
      </c>
      <c r="G9" s="938">
        <v>530174</v>
      </c>
      <c r="H9" s="937"/>
      <c r="I9" s="937"/>
      <c r="J9" s="937"/>
      <c r="L9" s="928"/>
      <c r="M9" s="935"/>
      <c r="N9" s="935"/>
      <c r="O9" s="935"/>
      <c r="P9" s="935"/>
      <c r="Q9" s="935"/>
      <c r="R9" s="935"/>
      <c r="S9" s="935"/>
      <c r="T9" s="935"/>
      <c r="U9" s="935"/>
      <c r="V9" s="935"/>
      <c r="W9" s="935"/>
      <c r="X9" s="935"/>
      <c r="Y9" s="935"/>
      <c r="Z9" s="936"/>
      <c r="AG9" s="718"/>
      <c r="AH9" s="718"/>
      <c r="AI9" s="718"/>
      <c r="AJ9" s="718"/>
      <c r="AK9" s="718"/>
      <c r="AL9" s="718"/>
      <c r="AM9" s="932"/>
    </row>
    <row r="10" spans="1:39">
      <c r="A10" s="515" t="s">
        <v>152</v>
      </c>
      <c r="B10" s="941">
        <v>493007</v>
      </c>
      <c r="C10" s="937">
        <v>506333</v>
      </c>
      <c r="D10" s="937">
        <v>520473</v>
      </c>
      <c r="E10" s="937">
        <v>532038</v>
      </c>
      <c r="F10" s="937">
        <v>542887</v>
      </c>
      <c r="G10" s="938">
        <v>555244</v>
      </c>
      <c r="H10" s="937"/>
      <c r="I10" s="937"/>
      <c r="J10" s="937"/>
      <c r="L10" s="928" t="s">
        <v>971</v>
      </c>
      <c r="M10" s="935">
        <v>546.65967594161214</v>
      </c>
      <c r="N10" s="935">
        <v>530.45377539914148</v>
      </c>
      <c r="O10" s="935">
        <v>518.38945961302011</v>
      </c>
      <c r="P10" s="935">
        <v>510.23430510062747</v>
      </c>
      <c r="Q10" s="935">
        <v>509.69864821321426</v>
      </c>
      <c r="R10" s="935">
        <v>518.92343532908421</v>
      </c>
      <c r="S10" s="935">
        <v>532.15350803878903</v>
      </c>
      <c r="T10" s="935">
        <v>538.82224971240794</v>
      </c>
      <c r="U10" s="935">
        <v>504.332176402426</v>
      </c>
      <c r="V10" s="935">
        <v>488.92129430381107</v>
      </c>
      <c r="W10" s="935">
        <v>467.55274902986406</v>
      </c>
      <c r="X10" s="935">
        <v>447.239935950448</v>
      </c>
      <c r="Y10" s="935">
        <v>430.95108335210193</v>
      </c>
      <c r="Z10" s="936">
        <v>424.09350859114494</v>
      </c>
      <c r="AG10" s="718"/>
      <c r="AH10" s="718"/>
      <c r="AI10" s="718"/>
      <c r="AJ10" s="718"/>
      <c r="AK10" s="718"/>
      <c r="AL10" s="718"/>
      <c r="AM10" s="718"/>
    </row>
    <row r="11" spans="1:39">
      <c r="A11" s="515" t="s">
        <v>153</v>
      </c>
      <c r="B11" s="940">
        <v>230035</v>
      </c>
      <c r="C11" s="940">
        <v>237668</v>
      </c>
      <c r="D11" s="941">
        <v>242765</v>
      </c>
      <c r="E11" s="937">
        <v>246072</v>
      </c>
      <c r="F11" s="937">
        <v>247500</v>
      </c>
      <c r="G11" s="938">
        <v>251380</v>
      </c>
      <c r="H11" s="937"/>
      <c r="I11" s="937"/>
      <c r="J11" s="937"/>
      <c r="L11" s="942"/>
      <c r="M11" s="933"/>
      <c r="N11" s="933"/>
      <c r="O11" s="933"/>
      <c r="P11" s="515"/>
      <c r="Q11" s="515"/>
      <c r="R11" s="515"/>
      <c r="S11" s="515"/>
      <c r="T11" s="515"/>
      <c r="U11" s="515"/>
      <c r="V11" s="515"/>
      <c r="W11" s="515"/>
      <c r="X11" s="515"/>
      <c r="Y11" s="515"/>
      <c r="Z11" s="796"/>
    </row>
    <row r="12" spans="1:39">
      <c r="A12" s="515" t="s">
        <v>610</v>
      </c>
      <c r="B12" s="933">
        <v>9029</v>
      </c>
      <c r="C12" s="931">
        <v>11081</v>
      </c>
      <c r="D12" s="931">
        <v>10394</v>
      </c>
      <c r="E12" s="931">
        <v>7760</v>
      </c>
      <c r="F12" s="931">
        <v>4909</v>
      </c>
      <c r="G12" s="934">
        <v>3913</v>
      </c>
      <c r="H12" s="1651"/>
      <c r="I12" s="1651"/>
      <c r="J12" s="1651"/>
      <c r="L12" s="943" t="s">
        <v>980</v>
      </c>
      <c r="M12" s="944"/>
      <c r="N12" s="945"/>
      <c r="O12" s="945"/>
      <c r="P12" s="944"/>
      <c r="Q12" s="944"/>
      <c r="R12" s="944"/>
      <c r="S12" s="944"/>
      <c r="T12" s="944"/>
      <c r="U12" s="944"/>
      <c r="V12" s="944"/>
      <c r="W12" s="944"/>
      <c r="X12" s="944"/>
      <c r="Y12" s="944"/>
      <c r="Z12" s="795"/>
      <c r="AG12" s="718"/>
      <c r="AH12" s="718"/>
      <c r="AI12" s="718"/>
      <c r="AJ12" s="718"/>
      <c r="AK12" s="718"/>
      <c r="AL12" s="718"/>
    </row>
    <row r="13" spans="1:39">
      <c r="A13" s="515"/>
      <c r="B13" s="946"/>
      <c r="C13" s="946"/>
      <c r="D13" s="947"/>
      <c r="E13" s="515"/>
      <c r="F13" s="515"/>
      <c r="G13" s="796"/>
      <c r="H13" s="515"/>
      <c r="I13" s="515"/>
      <c r="J13" s="515"/>
      <c r="K13" s="714"/>
      <c r="L13" s="713" t="s">
        <v>981</v>
      </c>
    </row>
    <row r="14" spans="1:39">
      <c r="A14" s="544" t="s">
        <v>982</v>
      </c>
      <c r="B14" s="948"/>
      <c r="C14" s="949"/>
      <c r="D14" s="950"/>
      <c r="E14" s="944"/>
      <c r="F14" s="944"/>
      <c r="G14" s="795"/>
      <c r="H14" s="515"/>
      <c r="I14" s="515"/>
      <c r="J14" s="515"/>
    </row>
    <row r="15" spans="1:39">
      <c r="A15" s="452" t="s">
        <v>983</v>
      </c>
      <c r="B15" s="951"/>
      <c r="C15" s="952"/>
      <c r="D15" s="952"/>
      <c r="E15" s="952"/>
      <c r="F15" s="952"/>
      <c r="G15" s="952"/>
      <c r="H15" s="952"/>
      <c r="I15" s="952"/>
      <c r="J15" s="952"/>
      <c r="M15" s="713">
        <v>2010</v>
      </c>
      <c r="N15" s="713">
        <v>2011</v>
      </c>
      <c r="O15" s="1161">
        <v>2012</v>
      </c>
      <c r="P15" s="1161">
        <v>2013</v>
      </c>
      <c r="Q15" s="1161">
        <v>2014</v>
      </c>
      <c r="R15" s="1161">
        <v>2015</v>
      </c>
      <c r="S15" s="1161">
        <v>2016</v>
      </c>
      <c r="T15" s="1161">
        <v>2017</v>
      </c>
      <c r="U15" s="1161">
        <v>2018</v>
      </c>
    </row>
    <row r="16" spans="1:39">
      <c r="A16" s="694"/>
      <c r="B16" s="953"/>
      <c r="C16" s="952"/>
      <c r="D16" s="952"/>
      <c r="E16" s="952"/>
      <c r="F16" s="952"/>
      <c r="G16" s="952"/>
      <c r="H16" s="952"/>
      <c r="I16" s="952"/>
      <c r="J16" s="952"/>
      <c r="L16" s="682" t="s">
        <v>1850</v>
      </c>
      <c r="M16" s="713">
        <v>51299</v>
      </c>
      <c r="N16" s="713">
        <v>52583</v>
      </c>
      <c r="O16" s="713">
        <v>52307</v>
      </c>
      <c r="P16" s="713">
        <v>52559</v>
      </c>
      <c r="Q16" s="713">
        <v>54064</v>
      </c>
      <c r="R16" s="713">
        <v>56511</v>
      </c>
      <c r="S16" s="713">
        <v>58731</v>
      </c>
      <c r="T16" s="713">
        <v>59739</v>
      </c>
      <c r="U16" s="713">
        <v>60417</v>
      </c>
    </row>
    <row r="17" spans="1:25">
      <c r="A17" s="694" t="s">
        <v>973</v>
      </c>
      <c r="B17" s="918" t="s">
        <v>984</v>
      </c>
      <c r="C17" s="954"/>
      <c r="D17" s="955"/>
      <c r="E17" s="682"/>
      <c r="F17" s="682"/>
      <c r="G17" s="682"/>
      <c r="H17" s="682"/>
      <c r="I17" s="682"/>
      <c r="J17" s="682"/>
      <c r="K17" s="718"/>
      <c r="L17" s="1648"/>
    </row>
    <row r="18" spans="1:25" ht="15" customHeight="1">
      <c r="A18" s="1667" t="s">
        <v>985</v>
      </c>
      <c r="B18" s="1668"/>
      <c r="C18" s="1668"/>
      <c r="D18" s="1668"/>
      <c r="E18" s="1668"/>
      <c r="F18" s="920"/>
      <c r="G18" s="921"/>
      <c r="H18" s="1650"/>
      <c r="I18" s="1650"/>
      <c r="J18" s="1650"/>
      <c r="L18" s="956"/>
      <c r="M18" s="957">
        <v>2010</v>
      </c>
      <c r="N18" s="957">
        <v>2011</v>
      </c>
      <c r="O18" s="957">
        <v>2012</v>
      </c>
      <c r="P18" s="957">
        <v>2013</v>
      </c>
      <c r="Q18" s="957">
        <v>2014</v>
      </c>
      <c r="R18" s="957">
        <v>2015</v>
      </c>
      <c r="S18" s="957">
        <v>2016</v>
      </c>
      <c r="T18" s="957">
        <v>2017</v>
      </c>
      <c r="U18" s="957">
        <v>2018</v>
      </c>
      <c r="V18" s="957"/>
      <c r="W18" s="957"/>
      <c r="X18" s="957"/>
      <c r="Y18" s="957"/>
    </row>
    <row r="19" spans="1:25">
      <c r="A19" s="925"/>
      <c r="B19" s="958">
        <v>2010</v>
      </c>
      <c r="C19" s="947">
        <v>2011</v>
      </c>
      <c r="D19" s="947">
        <v>2012</v>
      </c>
      <c r="E19" s="515">
        <v>2013</v>
      </c>
      <c r="F19" s="515">
        <v>2014</v>
      </c>
      <c r="G19" s="796">
        <v>2015</v>
      </c>
      <c r="H19" s="515">
        <v>2016</v>
      </c>
      <c r="I19" s="515">
        <v>2017</v>
      </c>
      <c r="J19" s="515">
        <v>2018</v>
      </c>
      <c r="L19" s="682" t="s">
        <v>601</v>
      </c>
      <c r="M19" s="1652">
        <f>V6/(B21/1000000)</f>
        <v>15686.100067745854</v>
      </c>
      <c r="N19" s="1652">
        <f>W6/(C21/1000000)</f>
        <v>15910.210002742702</v>
      </c>
      <c r="O19" s="1652">
        <f>X6/(D21/1000000)</f>
        <v>15867.175731894386</v>
      </c>
      <c r="P19" s="1652">
        <f>Y6/(E21/1000000)</f>
        <v>15900.999891880161</v>
      </c>
      <c r="Q19" s="1652">
        <f t="shared" ref="Q19:U19" si="0">Z6/(F21/1000000)</f>
        <v>16103.722965603371</v>
      </c>
      <c r="R19" s="1652">
        <f t="shared" si="0"/>
        <v>16392.668543401422</v>
      </c>
      <c r="S19" s="1652">
        <f t="shared" si="0"/>
        <v>16508.959467095639</v>
      </c>
      <c r="T19" s="1652">
        <f t="shared" si="0"/>
        <v>16297.051596852289</v>
      </c>
      <c r="U19" s="1652">
        <f t="shared" si="0"/>
        <v>16136.854374642051</v>
      </c>
      <c r="V19" s="957"/>
      <c r="W19" s="957"/>
      <c r="X19" s="957"/>
      <c r="Y19" s="957"/>
    </row>
    <row r="20" spans="1:25">
      <c r="A20" s="925" t="s">
        <v>978</v>
      </c>
      <c r="B20" s="958"/>
      <c r="C20" s="946"/>
      <c r="D20" s="947"/>
      <c r="E20" s="515"/>
      <c r="F20" s="515"/>
      <c r="G20" s="796"/>
      <c r="H20" s="515"/>
      <c r="I20" s="515"/>
      <c r="J20" s="515"/>
      <c r="L20" s="682" t="s">
        <v>1851</v>
      </c>
      <c r="M20" s="1648">
        <f>M16/V6</f>
        <v>1.5423825336403079</v>
      </c>
      <c r="N20" s="1648">
        <f t="shared" ref="N20:U20" si="1">N16/W6</f>
        <v>1.5274859360752511</v>
      </c>
      <c r="O20" s="1648">
        <f t="shared" si="1"/>
        <v>1.499912366973829</v>
      </c>
      <c r="P20" s="1648">
        <f t="shared" si="1"/>
        <v>1.4798418795643304</v>
      </c>
      <c r="Q20" s="1648">
        <f t="shared" si="1"/>
        <v>1.4736864700125045</v>
      </c>
      <c r="R20" s="1648">
        <f t="shared" si="1"/>
        <v>1.479810411647638</v>
      </c>
      <c r="S20" s="1648">
        <f t="shared" si="1"/>
        <v>1.4879908791487206</v>
      </c>
      <c r="T20" s="1648">
        <f t="shared" si="1"/>
        <v>1.4867474677086185</v>
      </c>
      <c r="U20" s="1648">
        <f t="shared" si="1"/>
        <v>1.4798295245793225</v>
      </c>
    </row>
    <row r="21" spans="1:25">
      <c r="A21" s="925" t="s">
        <v>120</v>
      </c>
      <c r="B21" s="940">
        <v>2120322</v>
      </c>
      <c r="C21" s="941">
        <v>2163676</v>
      </c>
      <c r="D21" s="941">
        <v>2197831</v>
      </c>
      <c r="E21" s="937">
        <v>2233610</v>
      </c>
      <c r="F21" s="937">
        <v>2278121</v>
      </c>
      <c r="G21" s="938">
        <v>2329578</v>
      </c>
      <c r="H21" s="937">
        <f>H6</f>
        <v>2390823</v>
      </c>
      <c r="I21" s="937">
        <f>I6</f>
        <v>2465538</v>
      </c>
      <c r="J21" s="937">
        <f>J6</f>
        <v>2530047</v>
      </c>
    </row>
    <row r="22" spans="1:25">
      <c r="A22" s="925" t="s">
        <v>986</v>
      </c>
      <c r="B22" s="940">
        <v>108575</v>
      </c>
      <c r="C22" s="941">
        <v>149217</v>
      </c>
      <c r="D22" s="941">
        <v>159714</v>
      </c>
      <c r="E22" s="937">
        <v>162027</v>
      </c>
      <c r="F22" s="937">
        <v>174505</v>
      </c>
      <c r="G22" s="938">
        <v>179950</v>
      </c>
      <c r="H22" s="937"/>
      <c r="I22" s="937"/>
      <c r="J22" s="937"/>
    </row>
    <row r="23" spans="1:25">
      <c r="A23" s="925" t="s">
        <v>987</v>
      </c>
      <c r="B23" s="940">
        <v>144501</v>
      </c>
      <c r="C23" s="941">
        <v>107011</v>
      </c>
      <c r="D23" s="941">
        <v>147777</v>
      </c>
      <c r="E23" s="937">
        <v>159623</v>
      </c>
      <c r="F23" s="937">
        <v>163135</v>
      </c>
      <c r="G23" s="938">
        <v>173208</v>
      </c>
      <c r="H23" s="937"/>
      <c r="I23" s="937"/>
      <c r="J23" s="937"/>
    </row>
    <row r="24" spans="1:25">
      <c r="A24" s="925" t="s">
        <v>988</v>
      </c>
      <c r="B24" s="940">
        <v>155456</v>
      </c>
      <c r="C24" s="941">
        <v>143603</v>
      </c>
      <c r="D24" s="941">
        <v>105377</v>
      </c>
      <c r="E24" s="937">
        <v>146477</v>
      </c>
      <c r="F24" s="937">
        <v>159206</v>
      </c>
      <c r="G24" s="938">
        <v>163086</v>
      </c>
      <c r="H24" s="937"/>
      <c r="I24" s="937"/>
      <c r="J24" s="937"/>
    </row>
    <row r="25" spans="1:25">
      <c r="A25" s="925" t="s">
        <v>989</v>
      </c>
      <c r="B25" s="940">
        <v>148037</v>
      </c>
      <c r="C25" s="941">
        <v>154489</v>
      </c>
      <c r="D25" s="941">
        <v>140302</v>
      </c>
      <c r="E25" s="937">
        <v>103465</v>
      </c>
      <c r="F25" s="937">
        <v>142583</v>
      </c>
      <c r="G25" s="938">
        <v>156413</v>
      </c>
      <c r="H25" s="937"/>
      <c r="I25" s="937"/>
      <c r="J25" s="937"/>
    </row>
    <row r="26" spans="1:25">
      <c r="A26" s="925" t="s">
        <v>990</v>
      </c>
      <c r="B26" s="940">
        <v>142003</v>
      </c>
      <c r="C26" s="941">
        <v>149725</v>
      </c>
      <c r="D26" s="941">
        <v>154871</v>
      </c>
      <c r="E26" s="937">
        <v>141753</v>
      </c>
      <c r="F26" s="937">
        <v>103922</v>
      </c>
      <c r="G26" s="938">
        <v>143186</v>
      </c>
      <c r="H26" s="937"/>
      <c r="I26" s="937"/>
      <c r="J26" s="937"/>
    </row>
    <row r="27" spans="1:25">
      <c r="A27" s="925" t="s">
        <v>991</v>
      </c>
      <c r="B27" s="937">
        <v>118293</v>
      </c>
      <c r="C27" s="941">
        <v>142980</v>
      </c>
      <c r="D27" s="941">
        <v>149249</v>
      </c>
      <c r="E27" s="937">
        <v>155298</v>
      </c>
      <c r="F27" s="937">
        <v>141795</v>
      </c>
      <c r="G27" s="938">
        <v>104057</v>
      </c>
      <c r="H27" s="937"/>
      <c r="I27" s="937"/>
      <c r="J27" s="937"/>
      <c r="L27" s="714"/>
      <c r="N27" s="714"/>
      <c r="O27" s="714"/>
      <c r="P27" s="714"/>
    </row>
    <row r="28" spans="1:25">
      <c r="A28" s="925" t="s">
        <v>992</v>
      </c>
      <c r="B28" s="937">
        <v>92188</v>
      </c>
      <c r="C28" s="941">
        <v>117961</v>
      </c>
      <c r="D28" s="941">
        <v>140918</v>
      </c>
      <c r="E28" s="937">
        <v>147716</v>
      </c>
      <c r="F28" s="937">
        <v>153073</v>
      </c>
      <c r="G28" s="938">
        <v>140115</v>
      </c>
      <c r="H28" s="937"/>
      <c r="I28" s="937"/>
      <c r="J28" s="937"/>
      <c r="L28" s="880"/>
      <c r="M28" s="682"/>
      <c r="N28" s="714"/>
      <c r="O28" s="714"/>
      <c r="P28" s="714"/>
    </row>
    <row r="29" spans="1:25">
      <c r="A29" s="925" t="s">
        <v>993</v>
      </c>
      <c r="B29" s="937">
        <v>104486</v>
      </c>
      <c r="C29" s="941">
        <v>90995</v>
      </c>
      <c r="D29" s="941">
        <v>115556</v>
      </c>
      <c r="E29" s="937">
        <v>138432</v>
      </c>
      <c r="F29" s="937">
        <v>144483</v>
      </c>
      <c r="G29" s="938">
        <v>149781</v>
      </c>
      <c r="H29" s="937"/>
      <c r="I29" s="937"/>
      <c r="J29" s="937"/>
      <c r="L29" s="714"/>
      <c r="M29" s="919"/>
      <c r="N29" s="714"/>
      <c r="O29" s="714"/>
      <c r="P29" s="714"/>
    </row>
    <row r="30" spans="1:25">
      <c r="A30" s="925" t="s">
        <v>994</v>
      </c>
      <c r="B30" s="937">
        <v>87084</v>
      </c>
      <c r="C30" s="941">
        <v>102663</v>
      </c>
      <c r="D30" s="941">
        <v>88758</v>
      </c>
      <c r="E30" s="937">
        <v>112988</v>
      </c>
      <c r="F30" s="937">
        <v>134662</v>
      </c>
      <c r="G30" s="938">
        <v>140545</v>
      </c>
      <c r="H30" s="937"/>
      <c r="I30" s="937"/>
      <c r="J30" s="937"/>
      <c r="L30" s="718"/>
      <c r="M30" s="718"/>
      <c r="N30" s="718"/>
      <c r="O30" s="718"/>
      <c r="P30" s="718"/>
    </row>
    <row r="31" spans="1:25">
      <c r="A31" s="925" t="s">
        <v>995</v>
      </c>
      <c r="B31" s="937">
        <v>100815</v>
      </c>
      <c r="C31" s="941">
        <v>85350</v>
      </c>
      <c r="D31" s="941">
        <v>99795</v>
      </c>
      <c r="E31" s="937">
        <v>86384</v>
      </c>
      <c r="F31" s="937">
        <v>109518</v>
      </c>
      <c r="G31" s="938">
        <v>130270</v>
      </c>
      <c r="H31" s="937"/>
      <c r="I31" s="937"/>
      <c r="J31" s="937"/>
      <c r="L31" s="718"/>
      <c r="M31" s="718"/>
      <c r="N31" s="718"/>
      <c r="O31" s="718"/>
      <c r="P31" s="718"/>
    </row>
    <row r="32" spans="1:25">
      <c r="A32" s="925" t="s">
        <v>996</v>
      </c>
      <c r="B32" s="937">
        <v>124184</v>
      </c>
      <c r="C32" s="941">
        <v>98210</v>
      </c>
      <c r="D32" s="941">
        <v>82374</v>
      </c>
      <c r="E32" s="937">
        <v>96799</v>
      </c>
      <c r="F32" s="937">
        <v>83289</v>
      </c>
      <c r="G32" s="938">
        <v>105310</v>
      </c>
      <c r="H32" s="937"/>
      <c r="I32" s="937"/>
      <c r="J32" s="937"/>
      <c r="L32" s="718"/>
      <c r="M32" s="718"/>
      <c r="N32" s="718"/>
      <c r="O32" s="718"/>
      <c r="P32" s="718"/>
    </row>
    <row r="33" spans="1:16">
      <c r="A33" s="925" t="s">
        <v>997</v>
      </c>
      <c r="B33" s="937">
        <v>134757</v>
      </c>
      <c r="C33" s="941">
        <v>120732</v>
      </c>
      <c r="D33" s="941">
        <v>95013</v>
      </c>
      <c r="E33" s="937">
        <v>79810</v>
      </c>
      <c r="F33" s="937">
        <v>93697</v>
      </c>
      <c r="G33" s="938">
        <v>80283</v>
      </c>
      <c r="H33" s="937"/>
      <c r="I33" s="937"/>
      <c r="J33" s="937"/>
      <c r="L33" s="718"/>
      <c r="M33" s="718"/>
      <c r="N33" s="718"/>
      <c r="O33" s="718"/>
      <c r="P33" s="718"/>
    </row>
    <row r="34" spans="1:16">
      <c r="A34" s="925" t="s">
        <v>998</v>
      </c>
      <c r="B34" s="937">
        <v>121700</v>
      </c>
      <c r="C34" s="941">
        <v>128479</v>
      </c>
      <c r="D34" s="941">
        <v>114966</v>
      </c>
      <c r="E34" s="937">
        <v>90521</v>
      </c>
      <c r="F34" s="937">
        <v>76179</v>
      </c>
      <c r="G34" s="938">
        <v>89718</v>
      </c>
      <c r="H34" s="937"/>
      <c r="I34" s="937"/>
      <c r="J34" s="937"/>
      <c r="L34" s="718"/>
      <c r="M34" s="718"/>
      <c r="N34" s="718"/>
      <c r="O34" s="718"/>
      <c r="P34" s="718"/>
    </row>
    <row r="35" spans="1:16">
      <c r="A35" s="925" t="s">
        <v>999</v>
      </c>
      <c r="B35" s="937">
        <v>108197</v>
      </c>
      <c r="C35" s="941">
        <v>115909</v>
      </c>
      <c r="D35" s="941">
        <v>121962</v>
      </c>
      <c r="E35" s="937">
        <v>109527</v>
      </c>
      <c r="F35" s="937">
        <v>85835</v>
      </c>
      <c r="G35" s="938">
        <v>72513</v>
      </c>
      <c r="H35" s="937"/>
      <c r="I35" s="937"/>
      <c r="J35" s="937"/>
      <c r="L35" s="718"/>
      <c r="M35" s="718"/>
      <c r="N35" s="718"/>
      <c r="O35" s="718"/>
      <c r="P35" s="718"/>
    </row>
    <row r="36" spans="1:16">
      <c r="A36" s="925" t="s">
        <v>1000</v>
      </c>
      <c r="B36" s="937">
        <v>93149</v>
      </c>
      <c r="C36" s="941">
        <v>97178</v>
      </c>
      <c r="D36" s="941">
        <v>103436</v>
      </c>
      <c r="E36" s="937">
        <v>108824</v>
      </c>
      <c r="F36" s="937">
        <v>98667</v>
      </c>
      <c r="G36" s="938">
        <v>77599</v>
      </c>
      <c r="H36" s="937"/>
      <c r="I36" s="937"/>
      <c r="J36" s="937"/>
      <c r="L36" s="718"/>
      <c r="M36" s="718"/>
      <c r="N36" s="718"/>
      <c r="O36" s="718"/>
      <c r="P36" s="718"/>
    </row>
    <row r="37" spans="1:16">
      <c r="A37" s="925" t="s">
        <v>1001</v>
      </c>
      <c r="B37" s="937">
        <v>88616</v>
      </c>
      <c r="C37" s="941">
        <v>85139</v>
      </c>
      <c r="D37" s="941">
        <v>87874</v>
      </c>
      <c r="E37" s="937">
        <v>93488</v>
      </c>
      <c r="F37" s="937">
        <v>98174</v>
      </c>
      <c r="G37" s="938">
        <v>89791</v>
      </c>
      <c r="H37" s="937"/>
      <c r="I37" s="937"/>
      <c r="J37" s="937"/>
      <c r="L37" s="718"/>
      <c r="M37" s="718"/>
      <c r="N37" s="718"/>
      <c r="O37" s="718"/>
      <c r="P37" s="718"/>
    </row>
    <row r="38" spans="1:16">
      <c r="A38" s="925" t="s">
        <v>1002</v>
      </c>
      <c r="B38" s="937">
        <v>45133</v>
      </c>
      <c r="C38" s="941">
        <v>72292</v>
      </c>
      <c r="D38" s="941">
        <v>67983</v>
      </c>
      <c r="E38" s="937">
        <v>69886</v>
      </c>
      <c r="F38" s="937">
        <v>74452</v>
      </c>
      <c r="G38" s="938">
        <v>80069</v>
      </c>
      <c r="H38" s="937"/>
      <c r="I38" s="937"/>
      <c r="J38" s="937"/>
      <c r="L38" s="718"/>
      <c r="M38" s="718"/>
      <c r="N38" s="718"/>
      <c r="O38" s="718"/>
      <c r="P38" s="718"/>
    </row>
    <row r="39" spans="1:16">
      <c r="A39" s="925" t="s">
        <v>1003</v>
      </c>
      <c r="B39" s="937">
        <v>40801</v>
      </c>
      <c r="C39" s="941">
        <v>38409</v>
      </c>
      <c r="D39" s="941">
        <v>61170</v>
      </c>
      <c r="E39" s="937">
        <v>57292</v>
      </c>
      <c r="F39" s="937">
        <v>58833</v>
      </c>
      <c r="G39" s="938">
        <v>63334</v>
      </c>
      <c r="H39" s="937"/>
      <c r="I39" s="937"/>
      <c r="J39" s="937"/>
      <c r="L39" s="718"/>
      <c r="M39" s="718"/>
      <c r="N39" s="718"/>
      <c r="O39" s="718"/>
      <c r="P39" s="718"/>
    </row>
    <row r="40" spans="1:16">
      <c r="A40" s="925" t="s">
        <v>1004</v>
      </c>
      <c r="B40" s="937">
        <v>30770</v>
      </c>
      <c r="C40" s="941">
        <v>31037</v>
      </c>
      <c r="D40" s="941">
        <v>28741</v>
      </c>
      <c r="E40" s="937">
        <v>43571</v>
      </c>
      <c r="F40" s="937">
        <v>40892</v>
      </c>
      <c r="G40" s="938">
        <v>42668</v>
      </c>
      <c r="H40" s="937"/>
      <c r="I40" s="937"/>
      <c r="J40" s="937"/>
      <c r="L40" s="718"/>
      <c r="M40" s="718"/>
      <c r="N40" s="718"/>
      <c r="O40" s="718"/>
      <c r="P40" s="718"/>
    </row>
    <row r="41" spans="1:16">
      <c r="A41" s="925" t="s">
        <v>1005</v>
      </c>
      <c r="B41" s="937">
        <v>24272</v>
      </c>
      <c r="C41" s="941">
        <v>25215</v>
      </c>
      <c r="D41" s="941">
        <v>25139</v>
      </c>
      <c r="E41" s="937">
        <v>22618</v>
      </c>
      <c r="F41" s="937">
        <v>34358</v>
      </c>
      <c r="G41" s="938">
        <v>32890</v>
      </c>
      <c r="H41" s="937"/>
      <c r="I41" s="937"/>
      <c r="J41" s="937"/>
      <c r="L41" s="718"/>
      <c r="M41" s="718"/>
      <c r="N41" s="718"/>
      <c r="O41" s="718"/>
      <c r="P41" s="718"/>
    </row>
    <row r="42" spans="1:16">
      <c r="A42" s="925" t="s">
        <v>1006</v>
      </c>
      <c r="B42" s="937">
        <v>16791</v>
      </c>
      <c r="C42" s="937">
        <v>17406</v>
      </c>
      <c r="D42" s="937">
        <v>17979</v>
      </c>
      <c r="E42" s="937">
        <v>17614</v>
      </c>
      <c r="F42" s="937">
        <v>15993</v>
      </c>
      <c r="G42" s="938">
        <v>23272</v>
      </c>
      <c r="H42" s="937"/>
      <c r="I42" s="937"/>
      <c r="J42" s="937"/>
      <c r="L42" s="718"/>
      <c r="M42" s="718"/>
      <c r="N42" s="718"/>
      <c r="O42" s="718"/>
      <c r="P42" s="718"/>
    </row>
    <row r="43" spans="1:16">
      <c r="A43" s="925" t="s">
        <v>1007</v>
      </c>
      <c r="B43" s="937">
        <v>14353</v>
      </c>
      <c r="C43" s="937">
        <v>13513</v>
      </c>
      <c r="D43" s="937">
        <v>13695</v>
      </c>
      <c r="E43" s="937">
        <v>14070</v>
      </c>
      <c r="F43" s="937">
        <v>13656</v>
      </c>
      <c r="G43" s="938">
        <v>12381</v>
      </c>
      <c r="H43" s="937"/>
      <c r="I43" s="937"/>
      <c r="J43" s="937"/>
      <c r="L43" s="718"/>
      <c r="M43" s="718"/>
      <c r="N43" s="718"/>
      <c r="O43" s="718"/>
      <c r="P43" s="718"/>
    </row>
    <row r="44" spans="1:16">
      <c r="A44" s="925" t="s">
        <v>1008</v>
      </c>
      <c r="B44" s="937">
        <v>12346</v>
      </c>
      <c r="C44" s="937">
        <v>10094</v>
      </c>
      <c r="D44" s="937">
        <v>9425</v>
      </c>
      <c r="E44" s="937">
        <v>9643</v>
      </c>
      <c r="F44" s="937">
        <v>9958</v>
      </c>
      <c r="G44" s="938">
        <v>9639</v>
      </c>
      <c r="H44" s="937"/>
      <c r="I44" s="937"/>
      <c r="J44" s="937"/>
      <c r="L44" s="718"/>
      <c r="M44" s="718"/>
      <c r="N44" s="718"/>
      <c r="O44" s="718"/>
      <c r="P44" s="718"/>
    </row>
    <row r="45" spans="1:16">
      <c r="A45" s="925" t="s">
        <v>1009</v>
      </c>
      <c r="B45" s="937">
        <v>11767</v>
      </c>
      <c r="C45" s="937">
        <v>9650</v>
      </c>
      <c r="D45" s="937">
        <v>7701</v>
      </c>
      <c r="E45" s="937">
        <v>7275</v>
      </c>
      <c r="F45" s="937">
        <v>7503</v>
      </c>
      <c r="G45" s="938">
        <v>7816</v>
      </c>
      <c r="H45" s="937"/>
      <c r="I45" s="937"/>
      <c r="J45" s="937"/>
      <c r="L45" s="718"/>
      <c r="M45" s="718"/>
      <c r="N45" s="718"/>
      <c r="O45" s="718"/>
      <c r="P45" s="718"/>
    </row>
    <row r="46" spans="1:16">
      <c r="A46" s="925" t="s">
        <v>1010</v>
      </c>
      <c r="B46" s="937">
        <v>7326</v>
      </c>
      <c r="C46" s="937">
        <v>7853</v>
      </c>
      <c r="D46" s="937">
        <v>6516</v>
      </c>
      <c r="E46" s="937">
        <v>5229</v>
      </c>
      <c r="F46" s="937">
        <v>5179</v>
      </c>
      <c r="G46" s="938">
        <v>5511</v>
      </c>
      <c r="H46" s="937"/>
      <c r="I46" s="937"/>
      <c r="J46" s="937"/>
      <c r="L46" s="718"/>
      <c r="M46" s="718"/>
      <c r="N46" s="718"/>
      <c r="O46" s="718"/>
      <c r="P46" s="718"/>
    </row>
    <row r="47" spans="1:16">
      <c r="A47" s="925" t="s">
        <v>1011</v>
      </c>
      <c r="B47" s="937">
        <v>44722</v>
      </c>
      <c r="C47" s="937">
        <v>48566</v>
      </c>
      <c r="D47" s="937">
        <v>51540</v>
      </c>
      <c r="E47" s="937">
        <v>53280</v>
      </c>
      <c r="F47" s="937">
        <v>54574</v>
      </c>
      <c r="G47" s="938">
        <v>56173</v>
      </c>
      <c r="H47" s="937"/>
      <c r="I47" s="937"/>
      <c r="J47" s="937"/>
      <c r="L47" s="718"/>
      <c r="M47" s="718"/>
      <c r="N47" s="718"/>
      <c r="O47" s="718"/>
      <c r="P47" s="718"/>
    </row>
    <row r="48" spans="1:16">
      <c r="A48" s="925" t="s">
        <v>1012</v>
      </c>
      <c r="B48" s="959">
        <v>9.3000000000000007</v>
      </c>
      <c r="C48" s="959">
        <v>9.4</v>
      </c>
      <c r="D48" s="959">
        <v>9.3000000000000007</v>
      </c>
      <c r="E48" s="959">
        <v>9.3000000000000007</v>
      </c>
      <c r="F48" s="959">
        <v>9.1999999999999993</v>
      </c>
      <c r="G48" s="960">
        <v>9.1</v>
      </c>
      <c r="H48" s="959"/>
      <c r="I48" s="959"/>
      <c r="J48" s="959"/>
      <c r="L48" s="718"/>
      <c r="M48" s="718"/>
      <c r="N48" s="718"/>
      <c r="O48" s="718"/>
      <c r="P48" s="718"/>
    </row>
    <row r="49" spans="1:16">
      <c r="A49" s="925"/>
      <c r="B49" s="515"/>
      <c r="C49" s="515"/>
      <c r="D49" s="515"/>
      <c r="E49" s="515"/>
      <c r="F49" s="515"/>
      <c r="G49" s="796"/>
      <c r="H49" s="515"/>
      <c r="I49" s="515"/>
      <c r="J49" s="515"/>
    </row>
    <row r="50" spans="1:16">
      <c r="A50" s="544" t="s">
        <v>982</v>
      </c>
      <c r="B50" s="944"/>
      <c r="C50" s="944"/>
      <c r="D50" s="944"/>
      <c r="E50" s="944"/>
      <c r="F50" s="944"/>
      <c r="G50" s="795"/>
      <c r="H50" s="515"/>
      <c r="I50" s="515"/>
      <c r="J50" s="515"/>
    </row>
    <row r="51" spans="1:16">
      <c r="A51" s="925" t="s">
        <v>1013</v>
      </c>
      <c r="B51" s="961"/>
      <c r="C51" s="682"/>
      <c r="D51" s="682"/>
      <c r="E51" s="682"/>
      <c r="F51" s="682"/>
      <c r="G51" s="682"/>
      <c r="H51" s="682"/>
      <c r="I51" s="682"/>
      <c r="J51" s="682"/>
    </row>
    <row r="52" spans="1:16">
      <c r="A52" s="515"/>
      <c r="B52" s="961"/>
      <c r="C52" s="682"/>
      <c r="D52" s="682"/>
      <c r="E52" s="682"/>
      <c r="F52" s="682"/>
      <c r="G52" s="682"/>
      <c r="H52" s="682"/>
      <c r="I52" s="682"/>
      <c r="J52" s="682"/>
    </row>
    <row r="53" spans="1:16">
      <c r="A53" s="694" t="s">
        <v>973</v>
      </c>
      <c r="B53" s="918" t="s">
        <v>1014</v>
      </c>
      <c r="C53" s="682"/>
      <c r="D53" s="682"/>
      <c r="E53" s="682"/>
      <c r="F53" s="682"/>
      <c r="G53" s="682"/>
      <c r="H53" s="682"/>
      <c r="I53" s="682"/>
      <c r="J53" s="682"/>
    </row>
    <row r="54" spans="1:16">
      <c r="A54" s="1669" t="s">
        <v>1015</v>
      </c>
      <c r="B54" s="1670"/>
      <c r="C54" s="1670"/>
      <c r="D54" s="1670"/>
      <c r="E54" s="1670"/>
      <c r="F54" s="920"/>
      <c r="G54" s="921"/>
      <c r="H54" s="1650"/>
      <c r="I54" s="1650"/>
      <c r="J54" s="1650"/>
    </row>
    <row r="55" spans="1:16">
      <c r="A55" s="925"/>
      <c r="B55" s="515">
        <v>2010</v>
      </c>
      <c r="C55" s="515">
        <v>2011</v>
      </c>
      <c r="D55" s="515">
        <v>2012</v>
      </c>
      <c r="E55" s="515">
        <v>2013</v>
      </c>
      <c r="F55" s="515">
        <v>2014</v>
      </c>
      <c r="G55" s="796">
        <v>2015</v>
      </c>
      <c r="H55" s="515"/>
      <c r="I55" s="515"/>
      <c r="J55" s="515"/>
    </row>
    <row r="56" spans="1:16">
      <c r="A56" s="925"/>
      <c r="B56" s="515"/>
      <c r="C56" s="515"/>
      <c r="D56" s="515"/>
      <c r="E56" s="515"/>
      <c r="F56" s="515"/>
      <c r="G56" s="796"/>
      <c r="H56" s="515"/>
      <c r="I56" s="515"/>
      <c r="J56" s="515"/>
    </row>
    <row r="57" spans="1:16">
      <c r="A57" s="925" t="s">
        <v>789</v>
      </c>
      <c r="B57" s="515">
        <v>2120322</v>
      </c>
      <c r="C57" s="515">
        <v>2163676</v>
      </c>
      <c r="D57" s="515">
        <v>2197831</v>
      </c>
      <c r="E57" s="515">
        <v>2233610</v>
      </c>
      <c r="F57" s="515">
        <v>2278121</v>
      </c>
      <c r="G57" s="796">
        <v>2329578</v>
      </c>
      <c r="H57" s="515"/>
      <c r="I57" s="515"/>
      <c r="J57" s="515"/>
      <c r="P57" s="718"/>
    </row>
    <row r="58" spans="1:16">
      <c r="A58" s="925" t="s">
        <v>790</v>
      </c>
      <c r="B58" s="515">
        <v>1686330</v>
      </c>
      <c r="C58" s="515">
        <v>1661702</v>
      </c>
      <c r="D58" s="515">
        <v>1632047</v>
      </c>
      <c r="E58" s="515">
        <v>1614071</v>
      </c>
      <c r="F58" s="515">
        <v>1623238</v>
      </c>
      <c r="G58" s="796">
        <v>1639695</v>
      </c>
      <c r="H58" s="515"/>
      <c r="I58" s="515"/>
      <c r="J58" s="515"/>
      <c r="P58" s="718"/>
    </row>
    <row r="59" spans="1:16">
      <c r="A59" s="925" t="s">
        <v>791</v>
      </c>
      <c r="B59" s="515">
        <v>433743</v>
      </c>
      <c r="C59" s="515">
        <v>501653</v>
      </c>
      <c r="D59" s="515">
        <v>565009</v>
      </c>
      <c r="E59" s="515">
        <v>618268</v>
      </c>
      <c r="F59" s="515">
        <v>653290</v>
      </c>
      <c r="G59" s="796">
        <v>686869</v>
      </c>
      <c r="H59" s="515"/>
      <c r="I59" s="515"/>
      <c r="J59" s="515"/>
      <c r="P59" s="718"/>
    </row>
    <row r="60" spans="1:16">
      <c r="A60" s="925" t="s">
        <v>53</v>
      </c>
      <c r="B60" s="515">
        <v>10</v>
      </c>
      <c r="C60" s="515">
        <v>10</v>
      </c>
      <c r="D60" s="515">
        <v>9</v>
      </c>
      <c r="E60" s="515">
        <v>8</v>
      </c>
      <c r="F60" s="515">
        <v>7</v>
      </c>
      <c r="G60" s="796">
        <v>10</v>
      </c>
      <c r="H60" s="515"/>
      <c r="I60" s="515"/>
      <c r="J60" s="515"/>
      <c r="P60" s="718"/>
    </row>
    <row r="61" spans="1:16">
      <c r="A61" s="925" t="s">
        <v>1016</v>
      </c>
      <c r="B61" s="515">
        <v>1</v>
      </c>
      <c r="C61" s="515">
        <v>1</v>
      </c>
      <c r="D61" s="515">
        <v>3</v>
      </c>
      <c r="E61" s="515">
        <v>4</v>
      </c>
      <c r="F61" s="515">
        <v>19</v>
      </c>
      <c r="G61" s="796">
        <v>58</v>
      </c>
      <c r="H61" s="515"/>
      <c r="I61" s="515"/>
      <c r="J61" s="515"/>
      <c r="P61" s="718"/>
    </row>
    <row r="62" spans="1:16">
      <c r="A62" s="925" t="s">
        <v>51</v>
      </c>
      <c r="B62" s="515">
        <v>219</v>
      </c>
      <c r="C62" s="515">
        <v>296</v>
      </c>
      <c r="D62" s="515">
        <v>749</v>
      </c>
      <c r="E62" s="515">
        <v>1243</v>
      </c>
      <c r="F62" s="515">
        <v>1536</v>
      </c>
      <c r="G62" s="796">
        <v>2919</v>
      </c>
      <c r="H62" s="515"/>
      <c r="I62" s="515"/>
      <c r="J62" s="515"/>
      <c r="P62" s="718"/>
    </row>
    <row r="63" spans="1:16">
      <c r="A63" s="925" t="s">
        <v>1017</v>
      </c>
      <c r="B63" s="515">
        <v>19</v>
      </c>
      <c r="C63" s="515">
        <v>14</v>
      </c>
      <c r="D63" s="515">
        <v>14</v>
      </c>
      <c r="E63" s="515">
        <v>15</v>
      </c>
      <c r="F63" s="515">
        <v>12</v>
      </c>
      <c r="G63" s="796">
        <v>8</v>
      </c>
      <c r="H63" s="515"/>
      <c r="I63" s="515"/>
      <c r="J63" s="515"/>
      <c r="P63" s="718"/>
    </row>
    <row r="64" spans="1:16">
      <c r="A64" s="925" t="s">
        <v>1018</v>
      </c>
      <c r="B64" s="515">
        <v>0</v>
      </c>
      <c r="C64" s="515">
        <v>0</v>
      </c>
      <c r="D64" s="515">
        <v>0</v>
      </c>
      <c r="E64" s="515">
        <v>1</v>
      </c>
      <c r="F64" s="515">
        <v>19</v>
      </c>
      <c r="G64" s="796">
        <v>19</v>
      </c>
      <c r="H64" s="515"/>
      <c r="I64" s="515"/>
      <c r="J64" s="515"/>
    </row>
    <row r="65" spans="1:86">
      <c r="A65" s="925"/>
      <c r="B65" s="515"/>
      <c r="C65" s="515"/>
      <c r="D65" s="515"/>
      <c r="E65" s="515"/>
      <c r="F65" s="515"/>
      <c r="G65" s="796"/>
      <c r="H65" s="515"/>
      <c r="I65" s="515"/>
      <c r="J65" s="515"/>
    </row>
    <row r="66" spans="1:86">
      <c r="A66" s="544" t="s">
        <v>982</v>
      </c>
      <c r="B66" s="944"/>
      <c r="C66" s="944"/>
      <c r="D66" s="944"/>
      <c r="E66" s="944"/>
      <c r="F66" s="944"/>
      <c r="G66" s="795"/>
      <c r="H66" s="515"/>
      <c r="I66" s="515"/>
      <c r="J66" s="515"/>
    </row>
    <row r="67" spans="1:86">
      <c r="A67" s="925" t="s">
        <v>1013</v>
      </c>
      <c r="B67" s="682"/>
      <c r="C67" s="682"/>
      <c r="D67" s="682"/>
      <c r="E67" s="682"/>
      <c r="F67" s="682"/>
      <c r="G67" s="682"/>
      <c r="H67" s="682"/>
      <c r="I67" s="682"/>
      <c r="J67" s="682"/>
      <c r="K67" s="679"/>
    </row>
    <row r="68" spans="1:86">
      <c r="A68" s="682"/>
      <c r="B68" s="682"/>
      <c r="C68" s="682"/>
      <c r="D68" s="682"/>
      <c r="E68" s="682"/>
      <c r="F68" s="682"/>
      <c r="G68" s="682"/>
      <c r="H68" s="682"/>
      <c r="I68" s="682"/>
      <c r="J68" s="682"/>
      <c r="K68" s="962"/>
    </row>
    <row r="69" spans="1:86">
      <c r="A69" s="682"/>
      <c r="B69" s="682"/>
      <c r="C69" s="682"/>
      <c r="D69" s="682"/>
      <c r="E69" s="682"/>
      <c r="F69" s="682"/>
      <c r="G69" s="682"/>
      <c r="H69" s="682"/>
      <c r="I69" s="682"/>
      <c r="J69" s="682"/>
      <c r="K69" s="682"/>
    </row>
    <row r="70" spans="1:86">
      <c r="A70" s="682"/>
      <c r="B70" s="682"/>
      <c r="C70" s="954"/>
      <c r="D70" s="682"/>
      <c r="E70" s="682"/>
      <c r="F70" s="682"/>
      <c r="G70" s="682"/>
      <c r="H70" s="682"/>
      <c r="I70" s="682"/>
      <c r="J70" s="682"/>
      <c r="K70" s="962"/>
      <c r="R70" s="963"/>
      <c r="S70" s="963"/>
      <c r="T70" s="963"/>
      <c r="U70" s="963"/>
      <c r="V70" s="963"/>
      <c r="W70" s="963"/>
      <c r="X70" s="963"/>
      <c r="Y70" s="963"/>
      <c r="Z70" s="963"/>
      <c r="AA70" s="963"/>
      <c r="AB70" s="963"/>
      <c r="AC70" s="963"/>
      <c r="AD70" s="963"/>
      <c r="AE70" s="963"/>
      <c r="AF70" s="963"/>
      <c r="AG70" s="963"/>
      <c r="AH70" s="963"/>
      <c r="AI70" s="963"/>
      <c r="AJ70" s="963"/>
      <c r="AK70" s="963"/>
      <c r="AL70" s="963"/>
      <c r="AM70" s="963"/>
      <c r="AN70" s="963"/>
      <c r="AO70" s="963"/>
      <c r="AP70" s="963"/>
      <c r="AQ70" s="963"/>
      <c r="AR70" s="963"/>
      <c r="AS70" s="963"/>
      <c r="AT70" s="963"/>
      <c r="AU70" s="963"/>
      <c r="AV70" s="963"/>
      <c r="AW70" s="963"/>
      <c r="AX70" s="963"/>
      <c r="AY70" s="963"/>
      <c r="AZ70" s="963"/>
      <c r="BA70" s="963"/>
      <c r="BB70" s="963"/>
      <c r="BC70" s="963"/>
      <c r="BD70" s="963"/>
      <c r="BE70" s="963"/>
      <c r="BF70" s="963"/>
      <c r="BG70" s="963"/>
      <c r="BH70" s="963"/>
      <c r="BI70" s="963"/>
      <c r="BJ70" s="963"/>
      <c r="BK70" s="963"/>
      <c r="BL70" s="963"/>
      <c r="BM70" s="963"/>
      <c r="BN70" s="963"/>
      <c r="BO70" s="963"/>
      <c r="BP70" s="963"/>
      <c r="BQ70" s="963"/>
      <c r="BR70" s="963"/>
      <c r="BS70" s="963"/>
      <c r="BT70" s="963"/>
      <c r="BU70" s="963"/>
      <c r="BV70" s="963"/>
      <c r="BW70" s="963"/>
      <c r="BX70" s="963"/>
      <c r="BY70" s="963"/>
      <c r="BZ70" s="963"/>
      <c r="CA70" s="963"/>
      <c r="CB70" s="963"/>
      <c r="CC70" s="963"/>
      <c r="CD70" s="963"/>
      <c r="CE70" s="963"/>
      <c r="CF70" s="963"/>
      <c r="CG70" s="963"/>
    </row>
    <row r="71" spans="1:86">
      <c r="A71" s="682"/>
      <c r="B71" s="682"/>
      <c r="C71" s="682"/>
      <c r="D71" s="682"/>
      <c r="E71" s="682"/>
      <c r="F71" s="682"/>
      <c r="G71" s="682"/>
      <c r="H71" s="682"/>
      <c r="I71" s="682"/>
      <c r="J71" s="682"/>
      <c r="K71" s="962"/>
      <c r="R71" s="964"/>
      <c r="S71" s="964"/>
      <c r="T71" s="964"/>
      <c r="U71" s="964"/>
      <c r="V71" s="964"/>
      <c r="W71" s="964"/>
      <c r="X71" s="964"/>
      <c r="Y71" s="964"/>
      <c r="Z71" s="964"/>
      <c r="AA71" s="964"/>
      <c r="AB71" s="964"/>
      <c r="AC71" s="964"/>
      <c r="AD71" s="964"/>
      <c r="AE71" s="964"/>
      <c r="AF71" s="964"/>
      <c r="AG71" s="964"/>
      <c r="AH71" s="964"/>
      <c r="AI71" s="964"/>
      <c r="AJ71" s="964"/>
      <c r="AK71" s="964"/>
      <c r="AL71" s="964"/>
      <c r="AM71" s="964"/>
      <c r="AN71" s="964"/>
      <c r="AO71" s="964"/>
      <c r="AP71" s="964"/>
      <c r="AQ71" s="964"/>
      <c r="AR71" s="964"/>
      <c r="AS71" s="964"/>
      <c r="AT71" s="964"/>
      <c r="AU71" s="964"/>
      <c r="AV71" s="964"/>
      <c r="AW71" s="964"/>
      <c r="AX71" s="964"/>
      <c r="AY71" s="964"/>
      <c r="AZ71" s="964"/>
      <c r="BA71" s="964"/>
      <c r="BB71" s="964"/>
      <c r="BC71" s="964"/>
      <c r="BD71" s="964"/>
      <c r="BE71" s="964"/>
      <c r="BF71" s="964"/>
      <c r="BG71" s="964"/>
      <c r="BH71" s="964"/>
      <c r="BI71" s="964"/>
      <c r="BJ71" s="964"/>
      <c r="BK71" s="964"/>
      <c r="BL71" s="964"/>
      <c r="BM71" s="964"/>
      <c r="BN71" s="964"/>
      <c r="BO71" s="964"/>
      <c r="BP71" s="964"/>
      <c r="BQ71" s="964"/>
      <c r="BR71" s="964"/>
      <c r="BS71" s="964"/>
      <c r="BT71" s="964"/>
      <c r="BU71" s="964"/>
      <c r="BV71" s="964"/>
      <c r="BW71" s="964"/>
      <c r="BX71" s="964"/>
      <c r="BY71" s="964"/>
      <c r="BZ71" s="964"/>
      <c r="CA71" s="964"/>
      <c r="CB71" s="964"/>
      <c r="CC71" s="964"/>
      <c r="CD71" s="964"/>
      <c r="CE71" s="964"/>
      <c r="CF71" s="964"/>
      <c r="CG71" s="964"/>
      <c r="CH71" s="964"/>
    </row>
    <row r="72" spans="1:86">
      <c r="A72" s="682"/>
      <c r="B72" s="682"/>
      <c r="C72" s="682"/>
      <c r="D72" s="682"/>
      <c r="E72" s="682"/>
      <c r="F72" s="682"/>
      <c r="G72" s="682"/>
      <c r="H72" s="682"/>
      <c r="I72" s="682"/>
      <c r="J72" s="682"/>
      <c r="K72" s="962"/>
      <c r="AO72" s="713">
        <f>SUM(AP71:BA71)</f>
        <v>0</v>
      </c>
    </row>
    <row r="73" spans="1:86">
      <c r="A73" s="682"/>
      <c r="B73" s="682"/>
      <c r="C73" s="682"/>
      <c r="D73" s="682"/>
      <c r="E73" s="682"/>
      <c r="F73" s="682"/>
      <c r="G73" s="682"/>
      <c r="H73" s="682"/>
      <c r="I73" s="682"/>
      <c r="J73" s="682"/>
      <c r="K73" s="962"/>
    </row>
    <row r="74" spans="1:86">
      <c r="A74" s="682"/>
      <c r="B74" s="682"/>
      <c r="C74" s="682"/>
      <c r="D74" s="682"/>
      <c r="E74" s="682"/>
      <c r="F74" s="682"/>
      <c r="G74" s="682"/>
      <c r="H74" s="682"/>
      <c r="I74" s="682"/>
      <c r="J74" s="682"/>
      <c r="K74" s="962"/>
    </row>
    <row r="75" spans="1:86">
      <c r="A75" s="682"/>
      <c r="B75" s="682"/>
      <c r="C75" s="682"/>
      <c r="D75" s="682"/>
      <c r="E75" s="682"/>
      <c r="F75" s="682"/>
      <c r="G75" s="682"/>
      <c r="H75" s="682"/>
      <c r="I75" s="682"/>
      <c r="J75" s="682"/>
    </row>
  </sheetData>
  <mergeCells count="3">
    <mergeCell ref="A3:E3"/>
    <mergeCell ref="A18:E18"/>
    <mergeCell ref="A54:E54"/>
  </mergeCells>
  <hyperlinks>
    <hyperlink ref="B17" r:id="rId1" xr:uid="{00000000-0004-0000-0700-000000000000}"/>
    <hyperlink ref="B2" r:id="rId2" xr:uid="{00000000-0004-0000-0700-000001000000}"/>
    <hyperlink ref="B53" r:id="rId3" xr:uid="{00000000-0004-0000-0700-000002000000}"/>
    <hyperlink ref="M2" r:id="rId4" xr:uid="{00000000-0004-0000-0700-000003000000}"/>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D4:U47"/>
  <sheetViews>
    <sheetView workbookViewId="0">
      <selection activeCell="B34" sqref="B34"/>
    </sheetView>
  </sheetViews>
  <sheetFormatPr defaultColWidth="8.85546875" defaultRowHeight="12.75"/>
  <cols>
    <col min="1" max="16384" width="8.85546875" style="713"/>
  </cols>
  <sheetData>
    <row r="4" spans="4:21" ht="12.75" customHeight="1"/>
    <row r="6" spans="4:21" ht="18">
      <c r="D6" s="965" t="s">
        <v>1019</v>
      </c>
      <c r="E6" s="966"/>
      <c r="F6" s="966"/>
      <c r="G6" s="966"/>
      <c r="H6" s="966"/>
      <c r="I6" s="966"/>
      <c r="J6" s="966"/>
      <c r="K6" s="966"/>
      <c r="L6" s="966"/>
      <c r="M6" s="966"/>
      <c r="N6" s="966"/>
      <c r="O6" s="966"/>
      <c r="P6" s="966"/>
    </row>
    <row r="8" spans="4:21">
      <c r="D8" s="1671" t="s">
        <v>1173</v>
      </c>
      <c r="E8" s="1671"/>
      <c r="F8" s="1671"/>
      <c r="G8" s="1671"/>
      <c r="H8" s="1671"/>
      <c r="I8" s="1671"/>
      <c r="J8" s="1671"/>
      <c r="K8" s="1671"/>
      <c r="L8" s="1671"/>
      <c r="M8" s="1671"/>
      <c r="N8" s="1671"/>
      <c r="O8" s="1671"/>
      <c r="P8" s="1671"/>
    </row>
    <row r="9" spans="4:21">
      <c r="D9" s="1671"/>
      <c r="E9" s="1671"/>
      <c r="F9" s="1671"/>
      <c r="G9" s="1671"/>
      <c r="H9" s="1671"/>
      <c r="I9" s="1671"/>
      <c r="J9" s="1671"/>
      <c r="K9" s="1671"/>
      <c r="L9" s="1671"/>
      <c r="M9" s="1671"/>
      <c r="N9" s="1671"/>
      <c r="O9" s="1671"/>
      <c r="P9" s="1671"/>
    </row>
    <row r="11" spans="4:21" ht="13.5" thickBot="1">
      <c r="D11" s="967" t="s">
        <v>1020</v>
      </c>
    </row>
    <row r="12" spans="4:21">
      <c r="D12" s="968" t="s">
        <v>1021</v>
      </c>
      <c r="E12" s="969"/>
      <c r="F12" s="309">
        <v>2010</v>
      </c>
      <c r="G12" s="309">
        <v>2011</v>
      </c>
      <c r="H12" s="309">
        <v>2012</v>
      </c>
      <c r="I12" s="309">
        <v>2013</v>
      </c>
      <c r="J12" s="309">
        <v>2014</v>
      </c>
      <c r="K12" s="309">
        <v>2015</v>
      </c>
      <c r="L12" s="309">
        <v>2016</v>
      </c>
      <c r="M12" s="309">
        <v>2017</v>
      </c>
      <c r="N12" s="309">
        <v>2018</v>
      </c>
      <c r="O12" s="309">
        <v>2019</v>
      </c>
      <c r="P12" s="970">
        <v>2020</v>
      </c>
      <c r="T12" s="971" t="s">
        <v>1022</v>
      </c>
      <c r="U12" s="713" t="s">
        <v>1023</v>
      </c>
    </row>
    <row r="13" spans="4:21" ht="13.5" thickBot="1">
      <c r="D13" s="972" t="s">
        <v>1024</v>
      </c>
      <c r="E13" s="973" t="s">
        <v>1025</v>
      </c>
      <c r="F13" s="974">
        <v>13.010382369976957</v>
      </c>
      <c r="G13" s="974">
        <v>13.359157049013131</v>
      </c>
      <c r="H13" s="974">
        <v>13.714202122652253</v>
      </c>
      <c r="I13" s="974">
        <v>13.962055625054294</v>
      </c>
      <c r="J13" s="974">
        <v>14.224353525898598</v>
      </c>
      <c r="K13" s="974">
        <v>14.600000000000003</v>
      </c>
      <c r="L13" s="974">
        <v>14.897704563212315</v>
      </c>
      <c r="M13" s="974">
        <v>15.216066092258634</v>
      </c>
      <c r="N13" s="974">
        <v>15.545424970308364</v>
      </c>
      <c r="O13" s="974">
        <v>15.91569032748319</v>
      </c>
      <c r="P13" s="975">
        <v>16.307477014706478</v>
      </c>
      <c r="T13" s="713" t="s">
        <v>1026</v>
      </c>
      <c r="U13" s="713" t="s">
        <v>1027</v>
      </c>
    </row>
    <row r="14" spans="4:21">
      <c r="D14" s="976" t="s">
        <v>1028</v>
      </c>
      <c r="E14" s="977" t="s">
        <v>1029</v>
      </c>
      <c r="F14" s="978">
        <f>0.75</f>
        <v>0.75</v>
      </c>
      <c r="G14" s="660"/>
      <c r="H14" s="660"/>
      <c r="I14" s="660"/>
      <c r="J14" s="660"/>
      <c r="K14" s="660"/>
      <c r="L14" s="660"/>
      <c r="M14" s="660"/>
      <c r="N14" s="660"/>
      <c r="O14" s="660"/>
      <c r="P14" s="81"/>
    </row>
    <row r="15" spans="4:21">
      <c r="D15" s="979" t="s">
        <v>1030</v>
      </c>
      <c r="E15" s="714" t="s">
        <v>1031</v>
      </c>
      <c r="F15" s="714">
        <v>43.8</v>
      </c>
      <c r="G15" s="714"/>
      <c r="H15" s="714"/>
      <c r="I15" s="714"/>
      <c r="J15" s="714"/>
      <c r="K15" s="714"/>
      <c r="L15" s="714"/>
      <c r="M15" s="714"/>
      <c r="N15" s="714"/>
      <c r="O15" s="714"/>
      <c r="P15" s="99"/>
    </row>
    <row r="16" spans="4:21">
      <c r="D16" s="972" t="s">
        <v>440</v>
      </c>
      <c r="E16" s="980" t="s">
        <v>1164</v>
      </c>
      <c r="F16" s="981">
        <f>F14*F15</f>
        <v>32.849999999999994</v>
      </c>
      <c r="G16" s="982"/>
      <c r="H16" s="714"/>
      <c r="I16" s="983"/>
      <c r="J16" s="714"/>
      <c r="K16" s="714"/>
      <c r="L16" s="714"/>
      <c r="M16" s="714"/>
      <c r="N16" s="714"/>
      <c r="O16" s="714"/>
      <c r="P16" s="99"/>
    </row>
    <row r="17" spans="4:21">
      <c r="D17" s="972" t="s">
        <v>1032</v>
      </c>
      <c r="E17" s="980"/>
      <c r="F17" s="984">
        <f>1+Cars!$I$76</f>
        <v>1.0406181311672671</v>
      </c>
      <c r="G17" s="982"/>
      <c r="H17" s="714"/>
      <c r="I17" s="983"/>
      <c r="J17" s="714"/>
      <c r="K17" s="714"/>
      <c r="L17" s="714"/>
      <c r="M17" s="714"/>
      <c r="N17" s="714"/>
      <c r="O17" s="714"/>
      <c r="P17" s="99"/>
    </row>
    <row r="18" spans="4:21" ht="13.5" thickBot="1">
      <c r="D18" s="985" t="s">
        <v>440</v>
      </c>
      <c r="E18" s="986" t="s">
        <v>498</v>
      </c>
      <c r="F18" s="987">
        <f t="shared" ref="F18:P18" si="0">$F$16/F13*$F$17</f>
        <v>2.6274635623107563</v>
      </c>
      <c r="G18" s="987">
        <f t="shared" si="0"/>
        <v>2.5588669616972566</v>
      </c>
      <c r="H18" s="987">
        <f t="shared" si="0"/>
        <v>2.4926208103919687</v>
      </c>
      <c r="I18" s="987">
        <f t="shared" si="0"/>
        <v>2.448371968057661</v>
      </c>
      <c r="J18" s="987">
        <f t="shared" si="0"/>
        <v>2.4032238475094552</v>
      </c>
      <c r="K18" s="987">
        <f t="shared" si="0"/>
        <v>2.3413907951263502</v>
      </c>
      <c r="L18" s="987">
        <f t="shared" si="0"/>
        <v>2.2946021961838219</v>
      </c>
      <c r="M18" s="987">
        <f t="shared" si="0"/>
        <v>2.2465928710862011</v>
      </c>
      <c r="N18" s="987">
        <f t="shared" si="0"/>
        <v>2.1989946028581699</v>
      </c>
      <c r="O18" s="987">
        <f t="shared" si="0"/>
        <v>2.1478368142043647</v>
      </c>
      <c r="P18" s="988">
        <f t="shared" si="0"/>
        <v>2.0962350937558569</v>
      </c>
    </row>
    <row r="19" spans="4:21" ht="13.5" thickBot="1">
      <c r="D19" s="989"/>
      <c r="E19" s="990"/>
      <c r="F19" s="991"/>
      <c r="G19" s="992"/>
      <c r="H19" s="992"/>
      <c r="I19" s="992"/>
      <c r="J19" s="992"/>
      <c r="K19" s="992"/>
      <c r="L19" s="993"/>
      <c r="M19" s="993"/>
      <c r="N19" s="993"/>
      <c r="O19" s="993"/>
      <c r="P19" s="994"/>
    </row>
    <row r="20" spans="4:21">
      <c r="D20" s="1272" t="s">
        <v>1170</v>
      </c>
      <c r="E20" s="995"/>
      <c r="F20" s="995"/>
      <c r="G20" s="995"/>
      <c r="H20" s="995"/>
      <c r="I20" s="995"/>
      <c r="J20" s="995"/>
      <c r="K20" s="995"/>
      <c r="L20" s="995"/>
      <c r="M20" s="995"/>
      <c r="N20" s="995"/>
      <c r="O20" s="996"/>
      <c r="P20" s="996"/>
    </row>
    <row r="21" spans="4:21">
      <c r="D21" s="1273" t="s">
        <v>1171</v>
      </c>
      <c r="E21" s="995"/>
      <c r="F21" s="995"/>
      <c r="G21" s="995"/>
      <c r="H21" s="997"/>
      <c r="I21" s="997"/>
      <c r="J21" s="997"/>
      <c r="K21" s="997"/>
      <c r="L21" s="997"/>
      <c r="M21" s="995"/>
      <c r="N21" s="995"/>
      <c r="O21" s="995"/>
      <c r="P21" s="995"/>
    </row>
    <row r="22" spans="4:21">
      <c r="D22" s="1273" t="s">
        <v>1172</v>
      </c>
      <c r="E22" s="995"/>
      <c r="F22" s="995"/>
      <c r="G22" s="995"/>
      <c r="H22" s="995"/>
      <c r="I22" s="995"/>
      <c r="J22" s="995"/>
      <c r="K22" s="997"/>
      <c r="L22" s="997"/>
      <c r="M22" s="995"/>
      <c r="N22" s="995"/>
      <c r="O22" s="995"/>
      <c r="P22" s="995"/>
    </row>
    <row r="23" spans="4:21" ht="13.5" thickBot="1"/>
    <row r="24" spans="4:21">
      <c r="D24" s="968" t="s">
        <v>1033</v>
      </c>
      <c r="E24" s="969"/>
      <c r="F24" s="309">
        <v>2010</v>
      </c>
      <c r="G24" s="309">
        <v>2011</v>
      </c>
      <c r="H24" s="309">
        <v>2012</v>
      </c>
      <c r="I24" s="309">
        <v>2013</v>
      </c>
      <c r="J24" s="309">
        <v>2014</v>
      </c>
      <c r="K24" s="309">
        <v>2015</v>
      </c>
      <c r="L24" s="309">
        <v>2016</v>
      </c>
      <c r="M24" s="309">
        <v>2017</v>
      </c>
      <c r="N24" s="309">
        <v>2018</v>
      </c>
      <c r="O24" s="309">
        <v>2019</v>
      </c>
      <c r="P24" s="970">
        <v>2020</v>
      </c>
      <c r="T24" s="971" t="s">
        <v>1022</v>
      </c>
      <c r="U24" s="713" t="s">
        <v>1023</v>
      </c>
    </row>
    <row r="25" spans="4:21" ht="13.5" thickBot="1">
      <c r="D25" s="972" t="s">
        <v>1024</v>
      </c>
      <c r="E25" s="973" t="s">
        <v>1025</v>
      </c>
      <c r="F25" s="998">
        <v>17.959724993346168</v>
      </c>
      <c r="G25" s="998">
        <v>18.360814735602663</v>
      </c>
      <c r="H25" s="998">
        <v>18.692645358957513</v>
      </c>
      <c r="I25" s="998">
        <v>19.030473077984951</v>
      </c>
      <c r="J25" s="998">
        <v>19.387988709957668</v>
      </c>
      <c r="K25" s="998">
        <v>19.899999999999995</v>
      </c>
      <c r="L25" s="998">
        <v>20.305775397803078</v>
      </c>
      <c r="M25" s="998">
        <v>20.739706523010049</v>
      </c>
      <c r="N25" s="998">
        <v>21.188627185557284</v>
      </c>
      <c r="O25" s="998">
        <v>21.693303939514752</v>
      </c>
      <c r="P25" s="999">
        <v>22.227314561141011</v>
      </c>
      <c r="T25" s="713" t="s">
        <v>1026</v>
      </c>
      <c r="U25" s="713" t="s">
        <v>1027</v>
      </c>
    </row>
    <row r="26" spans="4:21">
      <c r="D26" s="976" t="s">
        <v>1028</v>
      </c>
      <c r="E26" s="977" t="s">
        <v>1029</v>
      </c>
      <c r="F26" s="978">
        <v>0.84</v>
      </c>
      <c r="P26" s="99"/>
    </row>
    <row r="27" spans="4:21">
      <c r="D27" s="979" t="s">
        <v>1030</v>
      </c>
      <c r="E27" s="714" t="s">
        <v>1031</v>
      </c>
      <c r="F27" s="714">
        <v>42.7</v>
      </c>
      <c r="P27" s="99"/>
    </row>
    <row r="28" spans="4:21">
      <c r="D28" s="972" t="s">
        <v>440</v>
      </c>
      <c r="E28" s="980" t="s">
        <v>1164</v>
      </c>
      <c r="F28" s="981">
        <f>F26*F27</f>
        <v>35.868000000000002</v>
      </c>
      <c r="G28" s="303"/>
      <c r="P28" s="99"/>
    </row>
    <row r="29" spans="4:21">
      <c r="D29" s="972" t="s">
        <v>1032</v>
      </c>
      <c r="E29" s="980"/>
      <c r="F29" s="984">
        <f>1+Cars!$H$76</f>
        <v>1.3841940127616434</v>
      </c>
      <c r="G29" s="303"/>
      <c r="P29" s="99"/>
    </row>
    <row r="30" spans="4:21" ht="13.5" thickBot="1">
      <c r="D30" s="985" t="s">
        <v>440</v>
      </c>
      <c r="E30" s="986" t="s">
        <v>498</v>
      </c>
      <c r="F30" s="987">
        <f t="shared" ref="F30:P30" si="1">$F$28/F25*$F$29</f>
        <v>2.7644226661671398</v>
      </c>
      <c r="G30" s="987">
        <f t="shared" si="1"/>
        <v>2.7040341926365508</v>
      </c>
      <c r="H30" s="987">
        <f t="shared" si="1"/>
        <v>2.6560323537055277</v>
      </c>
      <c r="I30" s="987">
        <f t="shared" si="1"/>
        <v>2.6088826402938614</v>
      </c>
      <c r="J30" s="987">
        <f t="shared" si="1"/>
        <v>2.5607746936759503</v>
      </c>
      <c r="K30" s="987">
        <f t="shared" si="1"/>
        <v>2.4948879823987258</v>
      </c>
      <c r="L30" s="987">
        <f t="shared" si="1"/>
        <v>2.4450320107010626</v>
      </c>
      <c r="M30" s="987">
        <f t="shared" si="1"/>
        <v>2.3938752843320827</v>
      </c>
      <c r="N30" s="987">
        <f t="shared" si="1"/>
        <v>2.3431565629497779</v>
      </c>
      <c r="O30" s="987">
        <f t="shared" si="1"/>
        <v>2.2886449656614727</v>
      </c>
      <c r="P30" s="988">
        <f t="shared" si="1"/>
        <v>2.2336603332429736</v>
      </c>
    </row>
    <row r="31" spans="4:21" ht="13.5" thickBot="1">
      <c r="D31" s="989"/>
      <c r="E31" s="990"/>
      <c r="F31" s="991"/>
      <c r="G31" s="1000"/>
      <c r="H31" s="1000"/>
      <c r="I31" s="1000"/>
      <c r="J31" s="1000"/>
      <c r="K31" s="1000"/>
      <c r="L31" s="1001"/>
      <c r="M31" s="1001"/>
      <c r="N31" s="1001"/>
      <c r="O31" s="1001"/>
      <c r="P31" s="1002"/>
    </row>
    <row r="32" spans="4:21">
      <c r="D32" s="1272" t="s">
        <v>1170</v>
      </c>
      <c r="E32" s="995"/>
      <c r="F32" s="995"/>
      <c r="G32" s="995"/>
      <c r="H32" s="995"/>
      <c r="I32" s="995"/>
      <c r="J32" s="995"/>
      <c r="K32" s="995"/>
      <c r="L32" s="995"/>
      <c r="M32" s="995"/>
      <c r="N32" s="995"/>
      <c r="O32" s="996"/>
      <c r="P32" s="996"/>
    </row>
    <row r="33" spans="4:21">
      <c r="D33" s="1273" t="s">
        <v>1171</v>
      </c>
      <c r="E33" s="995"/>
      <c r="F33" s="995"/>
      <c r="G33" s="995"/>
      <c r="H33" s="997"/>
      <c r="I33" s="997"/>
      <c r="J33" s="997"/>
      <c r="K33" s="997"/>
      <c r="L33" s="997"/>
      <c r="M33" s="995"/>
      <c r="N33" s="995"/>
      <c r="O33" s="995"/>
      <c r="P33" s="995"/>
    </row>
    <row r="34" spans="4:21">
      <c r="D34" s="1273" t="s">
        <v>1172</v>
      </c>
      <c r="E34" s="995"/>
      <c r="F34" s="995"/>
      <c r="G34" s="995"/>
      <c r="H34" s="995"/>
      <c r="I34" s="995"/>
      <c r="J34" s="995"/>
      <c r="K34" s="997"/>
      <c r="L34" s="997"/>
      <c r="M34" s="995"/>
      <c r="N34" s="995"/>
      <c r="O34" s="995"/>
      <c r="P34" s="995"/>
    </row>
    <row r="35" spans="4:21" ht="13.5" thickBot="1"/>
    <row r="36" spans="4:21">
      <c r="D36" s="968" t="s">
        <v>1034</v>
      </c>
      <c r="E36" s="969"/>
      <c r="F36" s="309">
        <v>2010</v>
      </c>
      <c r="G36" s="309">
        <v>2011</v>
      </c>
      <c r="H36" s="309">
        <v>2012</v>
      </c>
      <c r="I36" s="309">
        <v>2013</v>
      </c>
      <c r="J36" s="309">
        <v>2014</v>
      </c>
      <c r="K36" s="309">
        <v>2015</v>
      </c>
      <c r="L36" s="309">
        <v>2016</v>
      </c>
      <c r="M36" s="309">
        <v>2017</v>
      </c>
      <c r="N36" s="309">
        <v>2018</v>
      </c>
      <c r="O36" s="309">
        <v>2019</v>
      </c>
      <c r="P36" s="970">
        <v>2020</v>
      </c>
      <c r="T36" s="971" t="s">
        <v>1022</v>
      </c>
      <c r="U36" s="713" t="s">
        <v>1023</v>
      </c>
    </row>
    <row r="37" spans="4:21" ht="13.5" thickBot="1">
      <c r="D37" s="985" t="s">
        <v>1035</v>
      </c>
      <c r="E37" s="990" t="s">
        <v>1036</v>
      </c>
      <c r="F37" s="1271">
        <v>5.1542649693790219</v>
      </c>
      <c r="G37" s="1271">
        <v>5.1542649693790219</v>
      </c>
      <c r="H37" s="1271">
        <v>5.1542649693790219</v>
      </c>
      <c r="I37" s="1271">
        <v>5.1542649693790219</v>
      </c>
      <c r="J37" s="1271">
        <v>5.1542649693790219</v>
      </c>
      <c r="K37" s="1271">
        <v>5.1542649693790219</v>
      </c>
      <c r="L37" s="1271">
        <v>5.1542649693790219</v>
      </c>
      <c r="M37" s="1271">
        <v>5.1542649693790219</v>
      </c>
      <c r="N37" s="1271">
        <v>5.1542649693790219</v>
      </c>
      <c r="O37" s="1271">
        <v>5.1542649693790219</v>
      </c>
      <c r="P37" s="1271">
        <v>5.1542649693790219</v>
      </c>
    </row>
    <row r="38" spans="4:21">
      <c r="D38" s="1004" t="s">
        <v>1037</v>
      </c>
      <c r="E38" s="1005" t="s">
        <v>1038</v>
      </c>
      <c r="F38" s="981">
        <f>3.6</f>
        <v>3.6</v>
      </c>
      <c r="G38" s="1006"/>
      <c r="H38" s="1007"/>
      <c r="I38" s="1007"/>
      <c r="J38" s="1007"/>
      <c r="K38" s="1007"/>
      <c r="L38" s="1007"/>
      <c r="M38" s="1007"/>
      <c r="N38" s="1007"/>
      <c r="O38" s="1007"/>
      <c r="P38" s="1008"/>
    </row>
    <row r="39" spans="4:21">
      <c r="D39" s="972" t="s">
        <v>440</v>
      </c>
      <c r="E39" s="1009" t="s">
        <v>498</v>
      </c>
      <c r="F39" s="981">
        <f>$F$38/F37</f>
        <v>0.69845070468577841</v>
      </c>
      <c r="G39" s="981">
        <f t="shared" ref="G39:P39" si="2">$F$38/G37</f>
        <v>0.69845070468577841</v>
      </c>
      <c r="H39" s="981">
        <f t="shared" si="2"/>
        <v>0.69845070468577841</v>
      </c>
      <c r="I39" s="981">
        <f t="shared" si="2"/>
        <v>0.69845070468577841</v>
      </c>
      <c r="J39" s="981">
        <f t="shared" si="2"/>
        <v>0.69845070468577841</v>
      </c>
      <c r="K39" s="981">
        <f t="shared" si="2"/>
        <v>0.69845070468577841</v>
      </c>
      <c r="L39" s="981">
        <f t="shared" si="2"/>
        <v>0.69845070468577841</v>
      </c>
      <c r="M39" s="981">
        <f t="shared" si="2"/>
        <v>0.69845070468577841</v>
      </c>
      <c r="N39" s="981">
        <f t="shared" si="2"/>
        <v>0.69845070468577841</v>
      </c>
      <c r="O39" s="981">
        <f t="shared" si="2"/>
        <v>0.69845070468577841</v>
      </c>
      <c r="P39" s="1003">
        <f t="shared" si="2"/>
        <v>0.69845070468577841</v>
      </c>
    </row>
    <row r="40" spans="4:21">
      <c r="D40" s="972"/>
      <c r="E40" s="1009"/>
      <c r="F40" s="1010"/>
      <c r="G40" s="1011"/>
      <c r="H40" s="1011"/>
      <c r="I40" s="1011"/>
      <c r="J40" s="1011"/>
      <c r="K40" s="1011"/>
      <c r="L40" s="1011"/>
      <c r="M40" s="1011"/>
      <c r="N40" s="1011"/>
      <c r="O40" s="1011"/>
      <c r="P40" s="1012"/>
    </row>
    <row r="41" spans="4:21" ht="13.5" thickBot="1">
      <c r="D41" s="972"/>
      <c r="E41" s="1009"/>
      <c r="F41" s="1011"/>
      <c r="G41" s="993"/>
      <c r="H41" s="993"/>
      <c r="I41" s="993">
        <f>1/F37</f>
        <v>0.19401408463493844</v>
      </c>
      <c r="J41" s="993"/>
      <c r="K41" s="993"/>
      <c r="L41" s="993"/>
      <c r="M41" s="993"/>
      <c r="N41" s="993"/>
      <c r="O41" s="993"/>
      <c r="P41" s="994"/>
    </row>
    <row r="42" spans="4:21" ht="13.5" thickBot="1">
      <c r="D42" s="985"/>
      <c r="E42" s="990"/>
      <c r="F42" s="1013"/>
      <c r="T42" s="971" t="s">
        <v>1022</v>
      </c>
      <c r="U42" s="713" t="s">
        <v>1023</v>
      </c>
    </row>
    <row r="43" spans="4:21">
      <c r="D43" s="1272" t="s">
        <v>1170</v>
      </c>
      <c r="E43" s="995"/>
      <c r="F43" s="995"/>
      <c r="G43" s="995"/>
      <c r="H43" s="995"/>
      <c r="I43" s="995"/>
      <c r="J43" s="995"/>
      <c r="K43" s="995"/>
      <c r="L43" s="995"/>
      <c r="M43" s="995"/>
      <c r="N43" s="995"/>
      <c r="O43" s="996"/>
      <c r="P43" s="996"/>
    </row>
    <row r="44" spans="4:21">
      <c r="D44" s="1273" t="s">
        <v>1171</v>
      </c>
      <c r="E44" s="995"/>
      <c r="F44" s="1014"/>
      <c r="G44" s="995"/>
      <c r="H44" s="995"/>
      <c r="I44" s="995"/>
      <c r="J44" s="995"/>
      <c r="K44" s="995"/>
      <c r="L44" s="995"/>
      <c r="M44" s="995"/>
      <c r="N44" s="995"/>
      <c r="O44" s="995"/>
      <c r="P44" s="995"/>
    </row>
    <row r="45" spans="4:21">
      <c r="D45" s="1273" t="s">
        <v>1172</v>
      </c>
      <c r="E45" s="995"/>
      <c r="F45" s="1014"/>
      <c r="G45" s="995"/>
      <c r="H45" s="995"/>
      <c r="I45" s="995"/>
      <c r="J45" s="995"/>
      <c r="K45" s="995"/>
      <c r="L45" s="995"/>
      <c r="M45" s="995"/>
      <c r="N45" s="995"/>
      <c r="O45" s="995"/>
      <c r="P45" s="995"/>
    </row>
    <row r="46" spans="4:21">
      <c r="D46" s="971"/>
      <c r="E46" s="995"/>
      <c r="F46" s="1015"/>
      <c r="G46" s="1015"/>
      <c r="H46" s="971"/>
      <c r="I46" s="971"/>
      <c r="J46" s="971"/>
      <c r="K46" s="971"/>
      <c r="L46" s="971"/>
      <c r="M46" s="971"/>
      <c r="N46" s="971"/>
      <c r="O46" s="971"/>
      <c r="P46" s="971"/>
    </row>
    <row r="47" spans="4:21">
      <c r="D47" s="971"/>
      <c r="E47" s="995"/>
      <c r="F47" s="1015"/>
      <c r="G47" s="1015"/>
      <c r="H47" s="1015"/>
      <c r="I47" s="1015"/>
      <c r="J47" s="1015"/>
      <c r="K47" s="1015"/>
      <c r="L47" s="1015"/>
      <c r="M47" s="1015"/>
      <c r="N47" s="1015"/>
      <c r="O47" s="1015"/>
      <c r="P47" s="1015"/>
    </row>
  </sheetData>
  <mergeCells count="1">
    <mergeCell ref="D8:P9"/>
  </mergeCells>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U80"/>
  <sheetViews>
    <sheetView zoomScale="80" zoomScaleNormal="80" workbookViewId="0">
      <selection activeCell="G7" sqref="G7"/>
    </sheetView>
  </sheetViews>
  <sheetFormatPr defaultColWidth="8.85546875" defaultRowHeight="12.75"/>
  <cols>
    <col min="1" max="1" width="8.85546875" style="1161"/>
    <col min="2" max="2" width="27" style="1161" bestFit="1" customWidth="1"/>
    <col min="3" max="3" width="15.28515625" style="1161" bestFit="1" customWidth="1"/>
    <col min="4" max="4" width="63" style="1161" bestFit="1" customWidth="1"/>
    <col min="5" max="5" width="16.7109375" style="1161" customWidth="1"/>
    <col min="6" max="6" width="8.28515625" style="1161" bestFit="1" customWidth="1"/>
    <col min="7" max="7" width="9.85546875" style="1161" customWidth="1"/>
    <col min="8" max="8" width="8.85546875" style="1161"/>
    <col min="9" max="9" width="12" style="1161" bestFit="1" customWidth="1"/>
    <col min="10" max="16" width="8.85546875" style="1161"/>
    <col min="17" max="17" width="9.7109375" style="1161" bestFit="1" customWidth="1"/>
    <col min="18" max="16384" width="8.85546875" style="1161"/>
  </cols>
  <sheetData>
    <row r="3" spans="2:20">
      <c r="B3" s="681"/>
      <c r="E3" s="677"/>
      <c r="F3" s="680" t="s">
        <v>8</v>
      </c>
      <c r="G3" s="680"/>
      <c r="H3" s="680"/>
      <c r="I3" s="680"/>
      <c r="J3" s="680"/>
      <c r="K3" s="680"/>
      <c r="L3" s="1186"/>
      <c r="M3" s="1186"/>
      <c r="N3" s="1186"/>
    </row>
    <row r="4" spans="2:20" ht="38.25">
      <c r="B4" s="757" t="s">
        <v>1</v>
      </c>
      <c r="C4" s="757" t="s">
        <v>2</v>
      </c>
      <c r="D4" s="757" t="s">
        <v>26</v>
      </c>
      <c r="E4" s="757" t="s">
        <v>14</v>
      </c>
      <c r="F4" s="757" t="s">
        <v>15</v>
      </c>
      <c r="G4" s="1018" t="s">
        <v>155</v>
      </c>
      <c r="H4" s="758" t="s">
        <v>853</v>
      </c>
      <c r="I4" s="1017" t="s">
        <v>854</v>
      </c>
      <c r="J4" s="1019" t="s">
        <v>157</v>
      </c>
      <c r="K4" s="1017" t="s">
        <v>820</v>
      </c>
      <c r="L4" s="757" t="s">
        <v>601</v>
      </c>
      <c r="M4" s="710" t="s">
        <v>0</v>
      </c>
      <c r="N4" s="710" t="s">
        <v>55</v>
      </c>
      <c r="O4" s="710" t="s">
        <v>847</v>
      </c>
      <c r="Q4" s="721" t="s">
        <v>802</v>
      </c>
      <c r="R4" s="721" t="s">
        <v>757</v>
      </c>
    </row>
    <row r="5" spans="2:20" ht="34.5" thickBot="1">
      <c r="B5" s="716" t="s">
        <v>27</v>
      </c>
      <c r="C5" s="716"/>
      <c r="D5" s="716"/>
      <c r="E5" s="716"/>
      <c r="F5" s="716"/>
      <c r="G5" s="716" t="s">
        <v>148</v>
      </c>
      <c r="H5" s="716" t="s">
        <v>78</v>
      </c>
      <c r="I5" s="716" t="s">
        <v>505</v>
      </c>
      <c r="J5" s="716" t="s">
        <v>699</v>
      </c>
      <c r="K5" s="716" t="s">
        <v>499</v>
      </c>
      <c r="L5" s="716" t="s">
        <v>77</v>
      </c>
      <c r="M5" s="716"/>
      <c r="N5" s="716" t="s">
        <v>56</v>
      </c>
      <c r="O5" s="716" t="s">
        <v>848</v>
      </c>
      <c r="T5" s="1190" t="s">
        <v>771</v>
      </c>
    </row>
    <row r="6" spans="2:20">
      <c r="B6" s="694" t="s">
        <v>145</v>
      </c>
      <c r="C6" s="714" t="str">
        <f>Processes!D17</f>
        <v>TPMTGSBL1E</v>
      </c>
      <c r="D6" s="714" t="str">
        <f>Processes!E17</f>
        <v>Transport Passengers Motorbikes - Gasoline Engine - Blending 1 - Existing</v>
      </c>
      <c r="E6" s="440" t="str">
        <f>Commodities!D75</f>
        <v>TRAGSBL1</v>
      </c>
      <c r="F6" s="1161" t="s">
        <v>1182</v>
      </c>
      <c r="G6" s="642">
        <f>(D42+D43+D47/2)/1000</f>
        <v>54.044499999999999</v>
      </c>
      <c r="H6" s="569">
        <f>I36</f>
        <v>0.34287491692204397</v>
      </c>
      <c r="I6" s="1161">
        <v>5</v>
      </c>
      <c r="J6" s="534">
        <f>C34/C35</f>
        <v>1.0495495495495495</v>
      </c>
      <c r="K6" s="534">
        <f>$C$74</f>
        <v>762.19512195121956</v>
      </c>
      <c r="L6" s="534">
        <f>T6*10^6/J6/G6/1000</f>
        <v>3012.7635319902561</v>
      </c>
      <c r="M6" s="723">
        <v>1E-3</v>
      </c>
      <c r="N6" s="536">
        <v>15</v>
      </c>
      <c r="O6" s="1185">
        <f>0.06/1000</f>
        <v>5.9999999999999995E-5</v>
      </c>
      <c r="Q6" s="719">
        <f>G6*H6*J6*L6*M6</f>
        <v>58.594278508129207</v>
      </c>
      <c r="R6" s="719">
        <f>$T$6*H6</f>
        <v>58.594278508129214</v>
      </c>
      <c r="T6" s="715">
        <f>C34*(D42+D43+D47/2)/D41</f>
        <v>170.89111981163441</v>
      </c>
    </row>
    <row r="7" spans="2:20">
      <c r="B7" s="694" t="s">
        <v>145</v>
      </c>
      <c r="F7" s="1161" t="s">
        <v>1184</v>
      </c>
      <c r="H7" s="569">
        <f>I37</f>
        <v>0.27062885192502678</v>
      </c>
      <c r="I7" s="1161">
        <v>5</v>
      </c>
      <c r="K7" s="451">
        <f>$D$74</f>
        <v>781.8608287724785</v>
      </c>
      <c r="Q7" s="719">
        <f>G6*H7*J6*L6*M6</f>
        <v>46.24806755880482</v>
      </c>
      <c r="R7" s="719">
        <f t="shared" ref="R7:R8" si="0">$T$6*H7</f>
        <v>46.24806755880482</v>
      </c>
      <c r="S7" s="719"/>
      <c r="T7" s="718">
        <f>C36*(D49+D50+D54/2)/D48</f>
        <v>25.967424739916357</v>
      </c>
    </row>
    <row r="8" spans="2:20">
      <c r="B8" s="694" t="s">
        <v>145</v>
      </c>
      <c r="F8" s="1161" t="s">
        <v>1186</v>
      </c>
      <c r="H8" s="569">
        <f>I38</f>
        <v>0.38649623115292919</v>
      </c>
      <c r="I8" s="714">
        <v>5</v>
      </c>
      <c r="K8" s="451">
        <f>$E$74</f>
        <v>641.02564102564099</v>
      </c>
      <c r="Q8" s="719">
        <f>G6*H8*J6*L6*M6</f>
        <v>66.04877374470037</v>
      </c>
      <c r="R8" s="719">
        <f t="shared" si="0"/>
        <v>66.04877374470037</v>
      </c>
      <c r="S8" s="719"/>
      <c r="T8" s="718">
        <f>C34*(D44+D45+D46+D47/2)/D41</f>
        <v>295.10888018836556</v>
      </c>
    </row>
    <row r="9" spans="2:20">
      <c r="B9" s="694" t="s">
        <v>145</v>
      </c>
      <c r="C9" s="714" t="str">
        <f>Processes!D18</f>
        <v>TPMPGSBL1E</v>
      </c>
      <c r="D9" s="714" t="str">
        <f>Processes!E18</f>
        <v>Transport Passengers Mopeds - Gasoline Engine - Blending 1 - Existing</v>
      </c>
      <c r="E9" s="440" t="str">
        <f>Commodities!D75</f>
        <v>TRAGSBL1</v>
      </c>
      <c r="F9" s="1161" t="s">
        <v>1180</v>
      </c>
      <c r="G9" s="719">
        <f>(D49+D50+D54/2)/1000</f>
        <v>19.264500000000002</v>
      </c>
      <c r="H9" s="535">
        <f>H30</f>
        <v>0.20332022489883478</v>
      </c>
      <c r="I9" s="714">
        <v>5</v>
      </c>
      <c r="J9" s="1161">
        <f>C36/C37</f>
        <v>1</v>
      </c>
      <c r="K9" s="451">
        <f>$C$71</f>
        <v>1265.8227848101264</v>
      </c>
      <c r="L9" s="534">
        <f>T7*10^6/J9/G9/1000</f>
        <v>1347.9417965644764</v>
      </c>
      <c r="M9" s="723">
        <v>1E-3</v>
      </c>
      <c r="N9" s="536">
        <v>10</v>
      </c>
      <c r="O9" s="1161">
        <f>0.05/1000</f>
        <v>5.0000000000000002E-5</v>
      </c>
      <c r="Q9" s="719">
        <f>G9*H9*J9*L9*M9</f>
        <v>5.2797026381633607</v>
      </c>
      <c r="R9" s="719">
        <f>$T$7*H9</f>
        <v>5.2797026381633598</v>
      </c>
      <c r="S9" s="719"/>
      <c r="T9" s="718">
        <f>C36*(D51+D52+D53+D54/2)/D48</f>
        <v>52.03257526008364</v>
      </c>
    </row>
    <row r="10" spans="2:20">
      <c r="B10" s="694" t="s">
        <v>145</v>
      </c>
      <c r="F10" s="1161" t="s">
        <v>1182</v>
      </c>
      <c r="H10" s="535">
        <f>H31</f>
        <v>0.66759516249134232</v>
      </c>
      <c r="I10" s="714">
        <v>5</v>
      </c>
      <c r="K10" s="451">
        <f>$D$71</f>
        <v>1265.8227848101264</v>
      </c>
      <c r="Q10" s="719">
        <f>G9*H10*J9*L9*M9</f>
        <v>17.335727138726163</v>
      </c>
      <c r="R10" s="719">
        <f t="shared" ref="R10:R12" si="1">$T$7*H10</f>
        <v>17.335727138726163</v>
      </c>
      <c r="S10" s="719"/>
    </row>
    <row r="11" spans="2:20">
      <c r="B11" s="694" t="s">
        <v>145</v>
      </c>
      <c r="F11" s="1161" t="s">
        <v>1184</v>
      </c>
      <c r="G11" s="719"/>
      <c r="H11" s="535">
        <f>H32</f>
        <v>8.700238297130819E-2</v>
      </c>
      <c r="I11" s="679">
        <v>5</v>
      </c>
      <c r="K11" s="451">
        <f>$D$71</f>
        <v>1265.8227848101264</v>
      </c>
      <c r="Q11" s="719">
        <f>G9*H11*J9*L9*M9</f>
        <v>2.2592278320008261</v>
      </c>
      <c r="R11" s="719">
        <f t="shared" si="1"/>
        <v>2.2592278320008257</v>
      </c>
      <c r="S11" s="719"/>
    </row>
    <row r="12" spans="2:20">
      <c r="B12" s="694" t="s">
        <v>145</v>
      </c>
      <c r="F12" s="1161" t="s">
        <v>1186</v>
      </c>
      <c r="G12" s="435"/>
      <c r="H12" s="1191">
        <f>H33</f>
        <v>4.2082229638514775E-2</v>
      </c>
      <c r="I12" s="23">
        <v>5</v>
      </c>
      <c r="J12" s="22"/>
      <c r="K12" s="708">
        <f>$D$71</f>
        <v>1265.8227848101264</v>
      </c>
      <c r="L12" s="22"/>
      <c r="M12" s="22"/>
      <c r="Q12" s="719">
        <f>G9*H12*J9*L9*M9</f>
        <v>1.0927671310260101</v>
      </c>
      <c r="R12" s="719">
        <f t="shared" si="1"/>
        <v>1.0927671310260099</v>
      </c>
      <c r="S12" s="719"/>
    </row>
    <row r="13" spans="2:20">
      <c r="B13" s="1189" t="s">
        <v>146</v>
      </c>
      <c r="C13" s="700" t="str">
        <f>Processes!D17</f>
        <v>TPMTGSBL1E</v>
      </c>
      <c r="D13" s="700" t="str">
        <f>Processes!E17</f>
        <v>Transport Passengers Motorbikes - Gasoline Engine - Blending 1 - Existing</v>
      </c>
      <c r="E13" s="1188" t="str">
        <f>Commodities!D75</f>
        <v>TRAGSBL1</v>
      </c>
      <c r="F13" s="1161" t="s">
        <v>1182</v>
      </c>
      <c r="G13" s="717">
        <f>(D44+D45+D46+D47/2)/1000</f>
        <v>93.328500000000005</v>
      </c>
      <c r="H13" s="578">
        <f>I36</f>
        <v>0.34287491692204397</v>
      </c>
      <c r="I13" s="679">
        <v>5</v>
      </c>
      <c r="J13" s="534">
        <f>C34/C35</f>
        <v>1.0495495495495495</v>
      </c>
      <c r="K13" s="552">
        <f>$C$74</f>
        <v>762.19512195121956</v>
      </c>
      <c r="L13" s="534">
        <f>T8*10^6/J13/G13/1000</f>
        <v>3012.7635319902561</v>
      </c>
      <c r="M13" s="723">
        <v>1E-3</v>
      </c>
      <c r="N13" s="1187">
        <v>15</v>
      </c>
      <c r="O13" s="700">
        <f>O6</f>
        <v>5.9999999999999995E-5</v>
      </c>
      <c r="Q13" s="719">
        <f>G13*H13*J13*L13*M13</f>
        <v>101.1854327775433</v>
      </c>
      <c r="R13" s="719">
        <f>$T$8*H13</f>
        <v>101.18543277754327</v>
      </c>
      <c r="S13" s="719"/>
    </row>
    <row r="14" spans="2:20">
      <c r="B14" s="694" t="s">
        <v>146</v>
      </c>
      <c r="F14" s="1161" t="s">
        <v>1184</v>
      </c>
      <c r="G14" s="714"/>
      <c r="H14" s="535">
        <f>I37</f>
        <v>0.27062885192502678</v>
      </c>
      <c r="I14" s="679">
        <v>5</v>
      </c>
      <c r="J14" s="714"/>
      <c r="K14" s="552">
        <f>$D$74</f>
        <v>781.8608287724785</v>
      </c>
      <c r="Q14" s="719">
        <f>G13*H14*J13*L13*M13</f>
        <v>79.864977438257654</v>
      </c>
      <c r="R14" s="719">
        <f t="shared" ref="R14:R15" si="2">$T$8*H14</f>
        <v>79.864977438257654</v>
      </c>
      <c r="S14" s="719"/>
    </row>
    <row r="15" spans="2:20">
      <c r="B15" s="694" t="s">
        <v>146</v>
      </c>
      <c r="C15" s="714"/>
      <c r="D15" s="714"/>
      <c r="E15" s="714"/>
      <c r="F15" s="1161" t="s">
        <v>1186</v>
      </c>
      <c r="G15" s="714"/>
      <c r="H15" s="535">
        <f>I38</f>
        <v>0.38649623115292919</v>
      </c>
      <c r="I15" s="679">
        <v>5</v>
      </c>
      <c r="J15" s="714"/>
      <c r="K15" s="552">
        <f>$E$74</f>
        <v>641.02564102564099</v>
      </c>
      <c r="L15" s="714"/>
      <c r="M15" s="714"/>
      <c r="N15" s="714"/>
      <c r="O15" s="714"/>
      <c r="Q15" s="719">
        <f>G13*H15*J13*L13*M13</f>
        <v>114.05846997256465</v>
      </c>
      <c r="R15" s="719">
        <f t="shared" si="2"/>
        <v>114.05846997256462</v>
      </c>
      <c r="S15" s="719"/>
    </row>
    <row r="16" spans="2:20">
      <c r="B16" s="694" t="s">
        <v>146</v>
      </c>
      <c r="C16" s="714" t="str">
        <f>Processes!D18</f>
        <v>TPMPGSBL1E</v>
      </c>
      <c r="D16" s="714" t="str">
        <f>Processes!E18</f>
        <v>Transport Passengers Mopeds - Gasoline Engine - Blending 1 - Existing</v>
      </c>
      <c r="E16" s="440" t="str">
        <f>Commodities!D75</f>
        <v>TRAGSBL1</v>
      </c>
      <c r="F16" s="1161" t="s">
        <v>1180</v>
      </c>
      <c r="G16" s="717">
        <f>(D51+D52+D53+D54/2)/1000</f>
        <v>38.601500000000001</v>
      </c>
      <c r="H16" s="535">
        <f>H30</f>
        <v>0.20332022489883478</v>
      </c>
      <c r="I16" s="679">
        <v>5</v>
      </c>
      <c r="J16" s="714">
        <f>C36/C37</f>
        <v>1</v>
      </c>
      <c r="K16" s="552">
        <f>$C$71</f>
        <v>1265.8227848101264</v>
      </c>
      <c r="L16" s="534">
        <f>T9*10^6/J16/G16/1000</f>
        <v>1347.9417965644764</v>
      </c>
      <c r="M16" s="723">
        <v>1E-3</v>
      </c>
      <c r="N16" s="536">
        <v>10</v>
      </c>
      <c r="O16" s="714">
        <f>O9</f>
        <v>5.0000000000000002E-5</v>
      </c>
      <c r="Q16" s="719">
        <f>G16*H16*J16*L16*M16</f>
        <v>10.579274903945752</v>
      </c>
      <c r="R16" s="719">
        <f>$T$9*H16</f>
        <v>10.579274903945752</v>
      </c>
      <c r="S16" s="719"/>
      <c r="T16" s="685" t="s">
        <v>802</v>
      </c>
    </row>
    <row r="17" spans="2:21">
      <c r="B17" s="694" t="s">
        <v>146</v>
      </c>
      <c r="F17" s="1161" t="s">
        <v>1182</v>
      </c>
      <c r="H17" s="535">
        <f>H31</f>
        <v>0.66759516249134232</v>
      </c>
      <c r="I17" s="679">
        <v>5</v>
      </c>
      <c r="K17" s="552">
        <f>$C$71</f>
        <v>1265.8227848101264</v>
      </c>
      <c r="Q17" s="719">
        <f>G16*H17*J16*L16*M16</f>
        <v>34.736695535598535</v>
      </c>
      <c r="R17" s="719">
        <f t="shared" ref="R17:R19" si="3">$T$9*H17</f>
        <v>34.736695535598535</v>
      </c>
      <c r="S17" s="719"/>
      <c r="T17" s="1161">
        <f>G6*J6*L6*M6+G13*J13*L13*M13</f>
        <v>466</v>
      </c>
      <c r="U17" s="682" t="s">
        <v>851</v>
      </c>
    </row>
    <row r="18" spans="2:21">
      <c r="B18" s="694" t="s">
        <v>146</v>
      </c>
      <c r="F18" s="1161" t="s">
        <v>1184</v>
      </c>
      <c r="G18" s="719"/>
      <c r="H18" s="535">
        <f>H32</f>
        <v>8.700238297130819E-2</v>
      </c>
      <c r="I18" s="679">
        <v>5</v>
      </c>
      <c r="K18" s="451">
        <f>$D$71</f>
        <v>1265.8227848101264</v>
      </c>
      <c r="Q18" s="719">
        <f>G16*H18*J16*L16*M16</f>
        <v>4.5269580397612126</v>
      </c>
      <c r="R18" s="719">
        <f t="shared" si="3"/>
        <v>4.5269580397612126</v>
      </c>
      <c r="S18" s="719"/>
      <c r="U18" s="682"/>
    </row>
    <row r="19" spans="2:21">
      <c r="B19" s="694" t="s">
        <v>146</v>
      </c>
      <c r="F19" s="1161" t="s">
        <v>1186</v>
      </c>
      <c r="G19" s="719"/>
      <c r="H19" s="535">
        <f>H33</f>
        <v>4.2082229638514775E-2</v>
      </c>
      <c r="I19" s="679">
        <v>5</v>
      </c>
      <c r="K19" s="451">
        <f>$D$71</f>
        <v>1265.8227848101264</v>
      </c>
      <c r="Q19" s="719">
        <f>G16*H19*J16*L16*M16</f>
        <v>2.1896467807781423</v>
      </c>
      <c r="R19" s="719">
        <f t="shared" si="3"/>
        <v>2.1896467807781423</v>
      </c>
      <c r="S19" s="719"/>
      <c r="T19" s="1161">
        <f>G9*J9*L9*M9+G16*J16*L16*M16</f>
        <v>78</v>
      </c>
      <c r="U19" s="682" t="s">
        <v>852</v>
      </c>
    </row>
    <row r="20" spans="2:21">
      <c r="S20" s="719"/>
      <c r="T20" s="1161">
        <f>(G6+G13)*1/(H6*K6+H7*K7+H8*K8)*L6*M6</f>
        <v>0.61607995156526496</v>
      </c>
      <c r="U20" s="682" t="s">
        <v>849</v>
      </c>
    </row>
    <row r="21" spans="2:21">
      <c r="B21" s="694"/>
      <c r="G21" s="719"/>
      <c r="H21" s="569"/>
      <c r="I21" s="679"/>
      <c r="K21" s="451"/>
      <c r="Q21" s="719"/>
      <c r="S21" s="719"/>
      <c r="T21" s="1161">
        <f>(G9+G16)*1/(H10*K9+H11*K10+H12*K11)*L9*M9</f>
        <v>7.7346007675637637E-2</v>
      </c>
      <c r="U21" s="682" t="s">
        <v>850</v>
      </c>
    </row>
    <row r="22" spans="2:21">
      <c r="S22" s="719"/>
      <c r="U22" s="682"/>
    </row>
    <row r="23" spans="2:21">
      <c r="B23" s="694"/>
      <c r="G23" s="719"/>
      <c r="H23" s="569"/>
      <c r="I23" s="679"/>
      <c r="K23" s="451"/>
      <c r="Q23" s="719"/>
      <c r="S23" s="719"/>
      <c r="U23" s="682"/>
    </row>
    <row r="24" spans="2:21">
      <c r="B24" s="694"/>
      <c r="G24" s="719"/>
      <c r="H24" s="569"/>
      <c r="I24" s="679"/>
      <c r="K24" s="451"/>
      <c r="Q24" s="719"/>
      <c r="S24" s="719"/>
      <c r="U24" s="682"/>
    </row>
    <row r="25" spans="2:21">
      <c r="I25" s="679"/>
    </row>
    <row r="27" spans="2:21">
      <c r="H27" s="681"/>
      <c r="I27"/>
      <c r="J27" s="681"/>
    </row>
    <row r="28" spans="2:21">
      <c r="G28" s="643" t="s">
        <v>777</v>
      </c>
      <c r="H28" s="1184" t="s">
        <v>774</v>
      </c>
      <c r="I28"/>
      <c r="J28" s="681"/>
    </row>
    <row r="29" spans="2:21">
      <c r="G29" s="643"/>
      <c r="H29" s="643"/>
      <c r="I29"/>
      <c r="J29" s="681"/>
    </row>
    <row r="30" spans="2:21">
      <c r="G30" s="643" t="s">
        <v>1118</v>
      </c>
      <c r="H30" s="1192">
        <v>0.20332022489883478</v>
      </c>
      <c r="I30"/>
      <c r="J30" s="681"/>
    </row>
    <row r="31" spans="2:21">
      <c r="G31" s="643" t="s">
        <v>504</v>
      </c>
      <c r="H31" s="1192">
        <v>0.66759516249134232</v>
      </c>
      <c r="I31"/>
      <c r="J31" s="681"/>
    </row>
    <row r="32" spans="2:21">
      <c r="B32" s="512"/>
      <c r="C32" s="537"/>
      <c r="D32" s="538"/>
      <c r="E32" s="538"/>
      <c r="F32" s="538"/>
      <c r="G32" s="643" t="s">
        <v>725</v>
      </c>
      <c r="H32" s="1192">
        <v>8.700238297130819E-2</v>
      </c>
      <c r="I32"/>
      <c r="J32" s="538"/>
    </row>
    <row r="33" spans="2:10" ht="15">
      <c r="B33" s="635" t="s">
        <v>764</v>
      </c>
      <c r="C33" s="537" t="s">
        <v>486</v>
      </c>
      <c r="D33" s="537"/>
      <c r="E33" s="537"/>
      <c r="F33" s="537"/>
      <c r="G33" s="643" t="s">
        <v>503</v>
      </c>
      <c r="H33" s="1192">
        <v>4.2082229638514775E-2</v>
      </c>
      <c r="I33"/>
      <c r="J33" s="538"/>
    </row>
    <row r="34" spans="2:10">
      <c r="B34" s="537" t="s">
        <v>765</v>
      </c>
      <c r="C34" s="538">
        <v>466</v>
      </c>
      <c r="D34" s="538"/>
      <c r="E34" s="538"/>
      <c r="F34" s="538"/>
      <c r="H34" s="681"/>
      <c r="I34" s="681"/>
      <c r="J34" s="681"/>
    </row>
    <row r="35" spans="2:10">
      <c r="B35" s="537" t="s">
        <v>768</v>
      </c>
      <c r="C35" s="538">
        <v>444</v>
      </c>
      <c r="D35" s="538"/>
      <c r="E35" s="538"/>
      <c r="F35" s="538"/>
      <c r="G35" s="643" t="s">
        <v>778</v>
      </c>
      <c r="H35" s="1184"/>
      <c r="I35" s="1184" t="s">
        <v>774</v>
      </c>
      <c r="J35" s="681"/>
    </row>
    <row r="36" spans="2:10">
      <c r="B36" s="537" t="s">
        <v>766</v>
      </c>
      <c r="C36" s="538">
        <v>78</v>
      </c>
      <c r="D36" s="538"/>
      <c r="E36" s="538"/>
      <c r="F36" s="538"/>
      <c r="G36" s="643" t="s">
        <v>504</v>
      </c>
      <c r="H36" s="1184">
        <v>6046.27</v>
      </c>
      <c r="I36" s="1193">
        <f>H36/$H$39</f>
        <v>0.34287491692204397</v>
      </c>
      <c r="J36" s="681"/>
    </row>
    <row r="37" spans="2:10">
      <c r="B37" s="537" t="s">
        <v>767</v>
      </c>
      <c r="C37" s="538">
        <v>78</v>
      </c>
      <c r="D37" s="538"/>
      <c r="E37" s="538"/>
      <c r="F37" s="538"/>
      <c r="G37" s="643" t="s">
        <v>725</v>
      </c>
      <c r="H37" s="1184">
        <v>4772.28</v>
      </c>
      <c r="I37" s="1193">
        <f>H37/$H$39</f>
        <v>0.27062885192502678</v>
      </c>
      <c r="J37" s="681"/>
    </row>
    <row r="38" spans="2:10">
      <c r="G38" s="643" t="s">
        <v>503</v>
      </c>
      <c r="H38" s="1184">
        <v>6815.49</v>
      </c>
      <c r="I38" s="1193">
        <f>H38/$H$39</f>
        <v>0.38649623115292919</v>
      </c>
      <c r="J38" s="681"/>
    </row>
    <row r="39" spans="2:10">
      <c r="G39" s="643"/>
      <c r="H39" s="1184">
        <f>SUM(H36:H38)</f>
        <v>17634.04</v>
      </c>
      <c r="I39" s="1184"/>
      <c r="J39" s="681"/>
    </row>
    <row r="40" spans="2:10">
      <c r="B40" s="537" t="s">
        <v>761</v>
      </c>
      <c r="C40" s="512"/>
      <c r="D40" s="537" t="s">
        <v>486</v>
      </c>
      <c r="E40" s="537"/>
      <c r="F40" s="537"/>
      <c r="G40" s="537"/>
      <c r="H40" s="537"/>
      <c r="I40" s="537"/>
      <c r="J40" s="537"/>
    </row>
    <row r="41" spans="2:10">
      <c r="B41" s="537" t="s">
        <v>759</v>
      </c>
      <c r="C41" s="537" t="s">
        <v>497</v>
      </c>
      <c r="D41" s="538">
        <v>147373</v>
      </c>
      <c r="E41" s="538"/>
      <c r="F41" s="538"/>
      <c r="G41" s="538"/>
      <c r="H41" s="538"/>
      <c r="I41" s="538"/>
      <c r="J41" s="538"/>
    </row>
    <row r="42" spans="2:10">
      <c r="B42" s="512"/>
      <c r="C42" s="537" t="s">
        <v>149</v>
      </c>
      <c r="D42" s="538">
        <v>30331</v>
      </c>
      <c r="E42" s="538"/>
      <c r="F42" s="538"/>
      <c r="G42" s="538"/>
      <c r="H42" s="538"/>
      <c r="I42" s="538"/>
      <c r="J42" s="538"/>
    </row>
    <row r="43" spans="2:10">
      <c r="B43" s="512"/>
      <c r="C43" s="537" t="s">
        <v>150</v>
      </c>
      <c r="D43" s="538">
        <v>23300</v>
      </c>
      <c r="E43" s="538"/>
      <c r="F43" s="538"/>
      <c r="G43" s="538"/>
      <c r="H43" s="538"/>
      <c r="I43" s="538"/>
      <c r="J43" s="538"/>
    </row>
    <row r="44" spans="2:10">
      <c r="B44" s="512"/>
      <c r="C44" s="537" t="s">
        <v>151</v>
      </c>
      <c r="D44" s="538">
        <v>35562</v>
      </c>
      <c r="E44" s="538"/>
      <c r="F44" s="538"/>
      <c r="G44" s="538"/>
      <c r="H44" s="538"/>
      <c r="I44" s="538"/>
      <c r="J44" s="538"/>
    </row>
    <row r="45" spans="2:10">
      <c r="B45" s="512"/>
      <c r="C45" s="537" t="s">
        <v>152</v>
      </c>
      <c r="D45" s="538">
        <v>37558</v>
      </c>
      <c r="E45" s="538"/>
      <c r="F45" s="538"/>
      <c r="G45" s="538"/>
      <c r="H45" s="538"/>
      <c r="I45" s="538"/>
      <c r="J45" s="538"/>
    </row>
    <row r="46" spans="2:10">
      <c r="B46" s="512"/>
      <c r="C46" s="537" t="s">
        <v>153</v>
      </c>
      <c r="D46" s="538">
        <v>19795</v>
      </c>
      <c r="E46" s="538"/>
      <c r="F46" s="538"/>
      <c r="G46" s="538"/>
      <c r="H46" s="538"/>
      <c r="I46" s="538"/>
      <c r="J46" s="538"/>
    </row>
    <row r="47" spans="2:10">
      <c r="B47" s="512"/>
      <c r="C47" s="537" t="s">
        <v>610</v>
      </c>
      <c r="D47" s="538">
        <v>827</v>
      </c>
      <c r="E47" s="538"/>
      <c r="F47" s="538"/>
      <c r="G47" s="538"/>
      <c r="H47" s="538"/>
      <c r="I47" s="538"/>
      <c r="J47" s="538"/>
    </row>
    <row r="48" spans="2:10">
      <c r="B48" s="537" t="s">
        <v>760</v>
      </c>
      <c r="C48" s="537" t="s">
        <v>497</v>
      </c>
      <c r="D48" s="538">
        <v>57866</v>
      </c>
      <c r="E48" s="538"/>
      <c r="F48" s="538"/>
      <c r="G48" s="538"/>
      <c r="H48" s="538"/>
      <c r="I48" s="538"/>
      <c r="J48" s="538"/>
    </row>
    <row r="49" spans="2:10">
      <c r="B49" s="512"/>
      <c r="C49" s="537" t="s">
        <v>149</v>
      </c>
      <c r="D49" s="538">
        <v>10431</v>
      </c>
      <c r="E49" s="538"/>
      <c r="F49" s="538"/>
      <c r="G49" s="538"/>
      <c r="H49" s="538"/>
      <c r="I49" s="538"/>
      <c r="J49" s="538"/>
    </row>
    <row r="50" spans="2:10">
      <c r="B50" s="512"/>
      <c r="C50" s="537" t="s">
        <v>150</v>
      </c>
      <c r="D50" s="538">
        <v>8700</v>
      </c>
      <c r="E50" s="538"/>
      <c r="F50" s="538"/>
      <c r="G50" s="538"/>
      <c r="H50" s="538"/>
      <c r="I50" s="538"/>
      <c r="J50" s="538"/>
    </row>
    <row r="51" spans="2:10">
      <c r="B51" s="512"/>
      <c r="C51" s="537" t="s">
        <v>151</v>
      </c>
      <c r="D51" s="538">
        <v>16456</v>
      </c>
      <c r="E51" s="538"/>
      <c r="F51" s="538"/>
      <c r="G51" s="538"/>
      <c r="H51" s="538"/>
      <c r="I51" s="538"/>
      <c r="J51" s="538"/>
    </row>
    <row r="52" spans="2:10">
      <c r="B52" s="512"/>
      <c r="C52" s="537" t="s">
        <v>152</v>
      </c>
      <c r="D52" s="538">
        <v>14253</v>
      </c>
      <c r="E52" s="538"/>
      <c r="F52" s="538"/>
      <c r="G52" s="538"/>
      <c r="H52" s="538"/>
      <c r="I52" s="538"/>
      <c r="J52" s="538"/>
    </row>
    <row r="53" spans="2:10">
      <c r="B53" s="512"/>
      <c r="C53" s="537" t="s">
        <v>153</v>
      </c>
      <c r="D53" s="538">
        <v>7759</v>
      </c>
      <c r="E53" s="538"/>
      <c r="F53" s="538"/>
      <c r="G53" s="538"/>
      <c r="H53" s="538"/>
      <c r="I53" s="538"/>
      <c r="J53" s="538"/>
    </row>
    <row r="54" spans="2:10">
      <c r="B54" s="512"/>
      <c r="C54" s="537" t="s">
        <v>610</v>
      </c>
      <c r="D54" s="538">
        <v>267</v>
      </c>
      <c r="E54" s="538"/>
      <c r="F54" s="538"/>
      <c r="G54" s="538"/>
      <c r="H54" s="538"/>
      <c r="I54" s="538"/>
      <c r="J54" s="538"/>
    </row>
    <row r="57" spans="2:10" ht="15">
      <c r="B57" s="1091" t="s">
        <v>52</v>
      </c>
      <c r="C57" s="1092"/>
      <c r="D57" s="1093">
        <v>2010</v>
      </c>
      <c r="E57" s="1093">
        <v>2011</v>
      </c>
      <c r="F57" s="1093">
        <v>2012</v>
      </c>
    </row>
    <row r="58" spans="2:10" ht="15">
      <c r="B58" s="1094" t="s">
        <v>390</v>
      </c>
      <c r="C58" s="1097"/>
      <c r="D58" s="1098">
        <v>190</v>
      </c>
      <c r="E58" s="1098">
        <v>195</v>
      </c>
      <c r="F58" s="1098">
        <v>197</v>
      </c>
    </row>
    <row r="59" spans="2:10" ht="15">
      <c r="B59" s="252"/>
      <c r="C59" s="246" t="s">
        <v>382</v>
      </c>
      <c r="D59" s="255">
        <v>187</v>
      </c>
      <c r="E59" s="255">
        <v>189</v>
      </c>
      <c r="F59" s="255">
        <v>190</v>
      </c>
    </row>
    <row r="60" spans="2:10" ht="15">
      <c r="B60" s="252"/>
      <c r="C60" s="246" t="s">
        <v>386</v>
      </c>
      <c r="D60" s="255">
        <v>3</v>
      </c>
      <c r="E60" s="255">
        <v>6</v>
      </c>
      <c r="F60" s="255">
        <v>6</v>
      </c>
    </row>
    <row r="61" spans="2:10" ht="15">
      <c r="B61" s="1094" t="s">
        <v>391</v>
      </c>
      <c r="C61" s="1097"/>
      <c r="D61" s="1098">
        <v>616</v>
      </c>
      <c r="E61" s="1098">
        <v>597</v>
      </c>
      <c r="F61" s="1098">
        <v>596</v>
      </c>
    </row>
    <row r="62" spans="2:10" ht="15">
      <c r="B62" s="252"/>
      <c r="C62" s="246" t="s">
        <v>382</v>
      </c>
      <c r="D62" s="255">
        <v>606</v>
      </c>
      <c r="E62" s="255">
        <v>578</v>
      </c>
      <c r="F62" s="255">
        <v>576</v>
      </c>
    </row>
    <row r="63" spans="2:10" ht="15">
      <c r="B63" s="252"/>
      <c r="C63" s="246" t="s">
        <v>386</v>
      </c>
      <c r="D63" s="255">
        <v>10</v>
      </c>
      <c r="E63" s="255">
        <v>20</v>
      </c>
      <c r="F63" s="255">
        <v>19</v>
      </c>
    </row>
    <row r="66" spans="2:7">
      <c r="B66" s="1161" t="s">
        <v>811</v>
      </c>
    </row>
    <row r="67" spans="2:7">
      <c r="B67" s="1161" t="s">
        <v>806</v>
      </c>
    </row>
    <row r="69" spans="2:7">
      <c r="C69" s="1161" t="s">
        <v>723</v>
      </c>
      <c r="D69" s="1161" t="s">
        <v>727</v>
      </c>
      <c r="E69" s="1161" t="s">
        <v>807</v>
      </c>
    </row>
    <row r="70" spans="2:7">
      <c r="B70" s="1161" t="s">
        <v>812</v>
      </c>
      <c r="C70" s="1161">
        <v>0.79</v>
      </c>
      <c r="D70" s="1161">
        <v>0.79</v>
      </c>
    </row>
    <row r="71" spans="2:7">
      <c r="B71" s="1161" t="s">
        <v>813</v>
      </c>
      <c r="C71" s="718">
        <f>1/C70*10^3</f>
        <v>1265.8227848101264</v>
      </c>
      <c r="D71" s="718">
        <f>1/D70*10^3</f>
        <v>1265.8227848101264</v>
      </c>
    </row>
    <row r="73" spans="2:7">
      <c r="B73" s="1161" t="s">
        <v>814</v>
      </c>
      <c r="C73" s="1161">
        <v>1.3120000000000001</v>
      </c>
      <c r="D73" s="1161">
        <v>1.2789999999999999</v>
      </c>
      <c r="E73" s="1161">
        <v>1.56</v>
      </c>
    </row>
    <row r="74" spans="2:7">
      <c r="B74" s="1161" t="s">
        <v>815</v>
      </c>
      <c r="C74" s="718">
        <f>1/C73*10^3</f>
        <v>762.19512195121956</v>
      </c>
      <c r="D74" s="718">
        <f t="shared" ref="D74:E74" si="4">1/D73*10^3</f>
        <v>781.8608287724785</v>
      </c>
      <c r="E74" s="718">
        <f t="shared" si="4"/>
        <v>641.02564102564099</v>
      </c>
      <c r="G74" s="715"/>
    </row>
    <row r="75" spans="2:7">
      <c r="B75" s="1161" t="s">
        <v>816</v>
      </c>
      <c r="D75" s="456">
        <f>C74*I36+D74*I37+E74*I38</f>
        <v>720.68568190205815</v>
      </c>
      <c r="G75" s="715"/>
    </row>
    <row r="76" spans="2:7">
      <c r="G76" s="715"/>
    </row>
    <row r="78" spans="2:7">
      <c r="B78" s="1161" t="s">
        <v>817</v>
      </c>
    </row>
    <row r="79" spans="2:7">
      <c r="B79" s="1161" t="s">
        <v>778</v>
      </c>
      <c r="C79" s="719">
        <f>D41/1000000*L6/(D61/1000)</f>
        <v>720.77922077922074</v>
      </c>
      <c r="D79" s="1161" t="s">
        <v>818</v>
      </c>
    </row>
    <row r="80" spans="2:7">
      <c r="B80" s="1161" t="s">
        <v>777</v>
      </c>
      <c r="C80" s="719">
        <f>D48/1000000*L9/(D58/1000)</f>
        <v>410.52631578947359</v>
      </c>
      <c r="D80" s="1161" t="s">
        <v>818</v>
      </c>
    </row>
  </sheetData>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W20"/>
  <sheetViews>
    <sheetView workbookViewId="0">
      <selection activeCell="E8" sqref="E8"/>
    </sheetView>
  </sheetViews>
  <sheetFormatPr defaultColWidth="8.85546875" defaultRowHeight="12.75"/>
  <cols>
    <col min="1" max="2" width="8.85546875" style="1161"/>
    <col min="3" max="3" width="12.85546875" style="1161" bestFit="1" customWidth="1"/>
    <col min="4" max="4" width="51.5703125" style="1161" bestFit="1" customWidth="1"/>
    <col min="5" max="5" width="8.85546875" style="1161" bestFit="1" customWidth="1"/>
    <col min="6" max="6" width="10" style="1161" customWidth="1"/>
    <col min="7" max="7" width="8.42578125" style="1161" bestFit="1" customWidth="1"/>
    <col min="8" max="8" width="12.7109375" style="1161" customWidth="1"/>
    <col min="9" max="10" width="9.85546875" style="1161" bestFit="1" customWidth="1"/>
    <col min="11" max="11" width="8.7109375" style="1161" bestFit="1" customWidth="1"/>
    <col min="12" max="12" width="7.42578125" style="1161" bestFit="1" customWidth="1"/>
    <col min="13" max="13" width="7.28515625" style="1161" bestFit="1" customWidth="1"/>
    <col min="14" max="14" width="6.28515625" style="1161" customWidth="1"/>
    <col min="15" max="15" width="11.28515625" style="1161" bestFit="1" customWidth="1"/>
    <col min="16" max="16" width="12.5703125" style="1161" customWidth="1"/>
    <col min="17" max="16384" width="8.85546875" style="1161"/>
  </cols>
  <sheetData>
    <row r="4" spans="2:23">
      <c r="B4" s="681"/>
      <c r="E4" s="677"/>
      <c r="F4" s="680" t="s">
        <v>8</v>
      </c>
      <c r="G4" s="680"/>
      <c r="H4" s="680"/>
      <c r="I4" s="1186"/>
      <c r="J4" s="658"/>
    </row>
    <row r="5" spans="2:23" ht="38.25">
      <c r="B5" s="757" t="s">
        <v>1</v>
      </c>
      <c r="C5" s="757" t="s">
        <v>2</v>
      </c>
      <c r="D5" s="757" t="s">
        <v>26</v>
      </c>
      <c r="E5" s="757" t="s">
        <v>14</v>
      </c>
      <c r="F5" s="757" t="s">
        <v>15</v>
      </c>
      <c r="G5" s="1018" t="s">
        <v>155</v>
      </c>
      <c r="H5" s="1019" t="s">
        <v>157</v>
      </c>
      <c r="I5" s="757" t="s">
        <v>853</v>
      </c>
      <c r="J5" s="757" t="s">
        <v>854</v>
      </c>
      <c r="K5" s="1017" t="s">
        <v>16</v>
      </c>
      <c r="L5" s="757" t="s">
        <v>601</v>
      </c>
      <c r="M5" s="710" t="s">
        <v>0</v>
      </c>
      <c r="N5" s="710" t="s">
        <v>55</v>
      </c>
      <c r="O5" s="710" t="s">
        <v>847</v>
      </c>
      <c r="Q5" s="710" t="s">
        <v>757</v>
      </c>
      <c r="V5" s="1161" t="s">
        <v>145</v>
      </c>
      <c r="W5" s="1161" t="s">
        <v>146</v>
      </c>
    </row>
    <row r="6" spans="2:23" ht="45.75" thickBot="1">
      <c r="B6" s="716" t="s">
        <v>27</v>
      </c>
      <c r="C6" s="716"/>
      <c r="D6" s="716"/>
      <c r="E6" s="716"/>
      <c r="F6" s="716"/>
      <c r="G6" s="716" t="s">
        <v>148</v>
      </c>
      <c r="H6" s="716" t="s">
        <v>699</v>
      </c>
      <c r="I6" s="716" t="s">
        <v>1119</v>
      </c>
      <c r="J6" s="716" t="s">
        <v>1120</v>
      </c>
      <c r="K6" s="716" t="s">
        <v>499</v>
      </c>
      <c r="L6" s="716" t="s">
        <v>77</v>
      </c>
      <c r="M6" s="716"/>
      <c r="N6" s="716" t="s">
        <v>56</v>
      </c>
      <c r="O6" s="716" t="s">
        <v>848</v>
      </c>
      <c r="Q6" s="716"/>
      <c r="S6"/>
      <c r="T6"/>
      <c r="U6" t="s">
        <v>1403</v>
      </c>
      <c r="V6">
        <v>1058.76514827245</v>
      </c>
      <c r="W6" s="1161">
        <v>1299.6221488680401</v>
      </c>
    </row>
    <row r="7" spans="2:23">
      <c r="B7" s="694" t="s">
        <v>145</v>
      </c>
      <c r="C7" s="714" t="str">
        <f>Processes!$D$28</f>
        <v>TPBIKINGX1E</v>
      </c>
      <c r="D7" s="714" t="str">
        <f>Processes!E28</f>
        <v>Transport Passengers - Bike - Existing</v>
      </c>
      <c r="E7" s="659" t="str">
        <f>Commodities!$D$171</f>
        <v>BIKEcom</v>
      </c>
      <c r="F7" s="1161" t="s">
        <v>1180</v>
      </c>
      <c r="G7" s="718">
        <f>V6/(H7*M7*L7)</f>
        <v>770.94549631489076</v>
      </c>
      <c r="H7" s="1161">
        <v>1</v>
      </c>
      <c r="I7" s="715">
        <v>0.58284315382888974</v>
      </c>
      <c r="J7" s="1161">
        <v>5</v>
      </c>
      <c r="K7" s="1161">
        <v>1</v>
      </c>
      <c r="L7" s="718">
        <f>'Bicycle - Walk'!AG29</f>
        <v>1373.3333333333333</v>
      </c>
      <c r="M7" s="1161">
        <v>1E-3</v>
      </c>
      <c r="N7" s="1161">
        <v>8</v>
      </c>
      <c r="O7" s="1161">
        <f>0.01/1000</f>
        <v>1.0000000000000001E-5</v>
      </c>
      <c r="Q7" s="719">
        <f>G7*H7*I7*L7*M7</f>
        <v>617.09401818322681</v>
      </c>
      <c r="S7"/>
      <c r="T7"/>
      <c r="U7"/>
      <c r="V7"/>
    </row>
    <row r="8" spans="2:23">
      <c r="B8" s="694" t="s">
        <v>145</v>
      </c>
      <c r="C8" s="714"/>
      <c r="F8" s="1161" t="s">
        <v>1182</v>
      </c>
      <c r="I8" s="715">
        <f>(1-I7)</f>
        <v>0.41715684617111026</v>
      </c>
      <c r="J8" s="1161">
        <v>5</v>
      </c>
      <c r="Q8" s="719">
        <f>G7*H7*I8*L7*M7</f>
        <v>441.67113008922314</v>
      </c>
      <c r="S8"/>
      <c r="T8"/>
      <c r="U8"/>
      <c r="V8"/>
    </row>
    <row r="9" spans="2:23">
      <c r="B9" s="694" t="s">
        <v>146</v>
      </c>
      <c r="C9" s="714" t="str">
        <f>Processes!$D$28</f>
        <v>TPBIKINGX1E</v>
      </c>
      <c r="D9" s="714" t="str">
        <f>Processes!E28</f>
        <v>Transport Passengers - Bike - Existing</v>
      </c>
      <c r="E9" s="659" t="str">
        <f>Commodities!$D$171</f>
        <v>BIKEcom</v>
      </c>
      <c r="F9" s="1161" t="s">
        <v>1180</v>
      </c>
      <c r="G9" s="718">
        <f>W6/(H9*M9*L9)</f>
        <v>946.32680742818457</v>
      </c>
      <c r="H9" s="1161">
        <v>1</v>
      </c>
      <c r="I9" s="715">
        <f>I7</f>
        <v>0.58284315382888974</v>
      </c>
      <c r="J9" s="1161">
        <v>5</v>
      </c>
      <c r="K9" s="1161">
        <v>1</v>
      </c>
      <c r="L9" s="718">
        <f>'Bicycle - Walk'!AG29</f>
        <v>1373.3333333333333</v>
      </c>
      <c r="M9" s="1161">
        <v>1E-3</v>
      </c>
      <c r="N9" s="1161">
        <v>8</v>
      </c>
      <c r="O9" s="1161">
        <f>0.01/1000</f>
        <v>1.0000000000000001E-5</v>
      </c>
      <c r="Q9" s="719">
        <f>G9*H9*I9*L9*M9</f>
        <v>757.47587203212731</v>
      </c>
      <c r="S9"/>
      <c r="T9"/>
      <c r="U9"/>
      <c r="V9"/>
    </row>
    <row r="10" spans="2:23">
      <c r="B10" s="694" t="s">
        <v>146</v>
      </c>
      <c r="C10" s="714"/>
      <c r="E10" s="659"/>
      <c r="F10" s="1161" t="s">
        <v>1182</v>
      </c>
      <c r="I10" s="715">
        <f>I8</f>
        <v>0.41715684617111026</v>
      </c>
      <c r="J10" s="1161">
        <v>5</v>
      </c>
      <c r="Q10" s="719">
        <f>G9*H9*I10*L9*M9</f>
        <v>542.14627683591277</v>
      </c>
      <c r="S10"/>
      <c r="T10"/>
      <c r="U10"/>
      <c r="V10"/>
    </row>
    <row r="11" spans="2:23">
      <c r="S11"/>
      <c r="T11"/>
      <c r="U11"/>
      <c r="V11"/>
    </row>
    <row r="12" spans="2:23">
      <c r="Q12" s="719">
        <f>SUM(Q7:Q10)</f>
        <v>2358.3872971404903</v>
      </c>
      <c r="S12"/>
      <c r="T12"/>
      <c r="U12"/>
      <c r="V12"/>
    </row>
    <row r="13" spans="2:23">
      <c r="I13" s="718"/>
      <c r="J13" s="1161" t="s">
        <v>819</v>
      </c>
      <c r="S13"/>
      <c r="T13"/>
      <c r="U13"/>
      <c r="V13"/>
    </row>
    <row r="18" spans="7:7">
      <c r="G18" s="718"/>
    </row>
    <row r="19" spans="7:7">
      <c r="G19" s="715"/>
    </row>
    <row r="20" spans="7:7">
      <c r="G20" s="718"/>
    </row>
  </sheetData>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4:S17"/>
  <sheetViews>
    <sheetView workbookViewId="0">
      <selection activeCell="G7" sqref="G7"/>
    </sheetView>
  </sheetViews>
  <sheetFormatPr defaultColWidth="8.85546875" defaultRowHeight="12.75"/>
  <cols>
    <col min="1" max="2" width="8.85546875" style="1161"/>
    <col min="3" max="3" width="13.28515625" style="1161" bestFit="1" customWidth="1"/>
    <col min="4" max="4" width="33.28515625" style="1161" bestFit="1" customWidth="1"/>
    <col min="5" max="5" width="11.140625" style="1161" bestFit="1" customWidth="1"/>
    <col min="6" max="6" width="8.85546875" style="1161"/>
    <col min="7" max="7" width="7" style="1161" bestFit="1" customWidth="1"/>
    <col min="8" max="8" width="12" style="1161" bestFit="1" customWidth="1"/>
    <col min="9" max="9" width="15.28515625" style="1161" bestFit="1" customWidth="1"/>
    <col min="10" max="10" width="12.7109375" style="1161" customWidth="1"/>
    <col min="11" max="11" width="7.42578125" style="1161" bestFit="1" customWidth="1"/>
    <col min="12" max="12" width="8.7109375" style="1161" bestFit="1" customWidth="1"/>
    <col min="13" max="13" width="4.7109375" style="1161" customWidth="1"/>
    <col min="14" max="16384" width="8.85546875" style="1161"/>
  </cols>
  <sheetData>
    <row r="4" spans="2:19">
      <c r="B4" s="681"/>
      <c r="E4" s="677"/>
      <c r="F4" s="680" t="s">
        <v>8</v>
      </c>
      <c r="G4" s="680"/>
      <c r="H4" s="680"/>
      <c r="I4" s="1296"/>
      <c r="J4" s="658"/>
    </row>
    <row r="5" spans="2:19" ht="25.5">
      <c r="B5" s="757" t="s">
        <v>1</v>
      </c>
      <c r="C5" s="757" t="s">
        <v>2</v>
      </c>
      <c r="D5" s="757" t="s">
        <v>26</v>
      </c>
      <c r="E5" s="757" t="s">
        <v>14</v>
      </c>
      <c r="F5" s="757" t="s">
        <v>15</v>
      </c>
      <c r="G5" s="1018" t="s">
        <v>155</v>
      </c>
      <c r="H5" s="1019" t="s">
        <v>157</v>
      </c>
      <c r="I5" s="757" t="s">
        <v>853</v>
      </c>
      <c r="J5" s="757" t="s">
        <v>854</v>
      </c>
      <c r="K5" s="1017" t="s">
        <v>16</v>
      </c>
      <c r="L5" s="757" t="s">
        <v>601</v>
      </c>
      <c r="M5" s="710" t="s">
        <v>0</v>
      </c>
      <c r="N5" s="710" t="s">
        <v>55</v>
      </c>
      <c r="O5" s="710" t="s">
        <v>847</v>
      </c>
      <c r="Q5" s="710" t="s">
        <v>757</v>
      </c>
    </row>
    <row r="6" spans="2:19" ht="23.25" thickBot="1">
      <c r="B6" s="716" t="s">
        <v>27</v>
      </c>
      <c r="C6" s="716"/>
      <c r="D6" s="716"/>
      <c r="E6" s="716"/>
      <c r="F6" s="716"/>
      <c r="G6" s="716" t="s">
        <v>148</v>
      </c>
      <c r="H6" s="716" t="s">
        <v>699</v>
      </c>
      <c r="I6" s="716" t="s">
        <v>1119</v>
      </c>
      <c r="J6" s="716" t="s">
        <v>1120</v>
      </c>
      <c r="K6" s="716" t="s">
        <v>499</v>
      </c>
      <c r="L6" s="716" t="s">
        <v>77</v>
      </c>
      <c r="M6" s="716"/>
      <c r="N6" s="716" t="s">
        <v>56</v>
      </c>
      <c r="O6" s="716" t="s">
        <v>848</v>
      </c>
      <c r="Q6" s="716"/>
    </row>
    <row r="7" spans="2:19">
      <c r="B7" s="694" t="s">
        <v>145</v>
      </c>
      <c r="C7" s="1161" t="str">
        <f>Processes!D29</f>
        <v>TPWALKXX1E</v>
      </c>
      <c r="D7" s="1161" t="str">
        <f>Processes!E29</f>
        <v>Transport Passengers - Walk - Existing</v>
      </c>
      <c r="E7" s="659" t="str">
        <f>Commodities!$D$171</f>
        <v>BIKEcom</v>
      </c>
      <c r="F7" s="1161" t="s">
        <v>1180</v>
      </c>
      <c r="G7" s="718">
        <f>G17*10^6/(L7*H7)/1000</f>
        <v>1132.9664964540539</v>
      </c>
      <c r="H7" s="1161">
        <v>1</v>
      </c>
      <c r="I7" s="715">
        <v>0.92810917351967004</v>
      </c>
      <c r="J7" s="1161">
        <v>5</v>
      </c>
      <c r="K7" s="1161">
        <v>1</v>
      </c>
      <c r="L7" s="718">
        <f>'Bicycle - Walk'!AI12</f>
        <v>300.84069092792851</v>
      </c>
      <c r="M7" s="1161">
        <v>1E-3</v>
      </c>
      <c r="N7" s="1161">
        <v>50</v>
      </c>
      <c r="O7" s="1161">
        <v>0</v>
      </c>
      <c r="Q7" s="719">
        <f>G7*H7*I7*L7*M7</f>
        <v>316.33898005988527</v>
      </c>
    </row>
    <row r="8" spans="2:19">
      <c r="B8" s="694" t="s">
        <v>145</v>
      </c>
      <c r="F8" s="1161" t="s">
        <v>1182</v>
      </c>
      <c r="I8" s="715">
        <f>(1-I7)</f>
        <v>7.1890826480329961E-2</v>
      </c>
      <c r="J8" s="1161">
        <v>5</v>
      </c>
      <c r="Q8" s="719">
        <f>G7*H7*I8*L7*M7</f>
        <v>24.503443531546765</v>
      </c>
    </row>
    <row r="9" spans="2:19">
      <c r="B9" s="694" t="s">
        <v>146</v>
      </c>
      <c r="C9" s="1161" t="str">
        <f>Processes!D29</f>
        <v>TPWALKXX1E</v>
      </c>
      <c r="D9" s="1161" t="str">
        <f>D7</f>
        <v>Transport Passengers - Walk - Existing</v>
      </c>
      <c r="E9" s="659" t="str">
        <f>Commodities!$D$171</f>
        <v>BIKEcom</v>
      </c>
      <c r="F9" s="1161" t="s">
        <v>1180</v>
      </c>
      <c r="G9" s="718">
        <f>H17*10^6/(L9*H9)/1000</f>
        <v>794.82374669070987</v>
      </c>
      <c r="H9" s="1161">
        <v>1</v>
      </c>
      <c r="I9" s="715">
        <f>I7</f>
        <v>0.92810917351967004</v>
      </c>
      <c r="J9" s="1161">
        <v>5</v>
      </c>
      <c r="K9" s="1161">
        <v>1</v>
      </c>
      <c r="L9" s="718">
        <f>'Bicycle - Walk'!AI12</f>
        <v>300.84069092792851</v>
      </c>
      <c r="M9" s="1161">
        <v>1E-3</v>
      </c>
      <c r="N9" s="1161">
        <v>50</v>
      </c>
      <c r="O9" s="1161">
        <v>0</v>
      </c>
      <c r="Q9" s="719">
        <f>G9*H9*I9*L9*M9</f>
        <v>221.92512677334264</v>
      </c>
    </row>
    <row r="10" spans="2:19">
      <c r="B10" s="694" t="s">
        <v>146</v>
      </c>
      <c r="C10" s="714"/>
      <c r="E10" s="659"/>
      <c r="F10" s="1161" t="s">
        <v>1182</v>
      </c>
      <c r="I10" s="715">
        <f>I8</f>
        <v>7.1890826480329961E-2</v>
      </c>
      <c r="J10" s="1161">
        <v>5</v>
      </c>
      <c r="Q10" s="719">
        <f>G9*H9*I10*L9*M9</f>
        <v>17.19019834701534</v>
      </c>
    </row>
    <row r="11" spans="2:19">
      <c r="S11" s="718"/>
    </row>
    <row r="12" spans="2:19">
      <c r="Q12" s="719">
        <f>SUM(Q7:Q10)</f>
        <v>579.95774871179003</v>
      </c>
    </row>
    <row r="16" spans="2:19">
      <c r="G16" s="1186" t="s">
        <v>757</v>
      </c>
      <c r="H16" s="1186"/>
    </row>
    <row r="17" spans="6:8">
      <c r="F17" s="1161" t="s">
        <v>733</v>
      </c>
      <c r="G17" s="718">
        <v>340.84242359143201</v>
      </c>
      <c r="H17" s="718">
        <v>239.11532512035799</v>
      </c>
    </row>
  </sheetData>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81"/>
  <sheetViews>
    <sheetView workbookViewId="0">
      <selection activeCell="U39" sqref="U39"/>
    </sheetView>
  </sheetViews>
  <sheetFormatPr defaultRowHeight="12.75"/>
  <cols>
    <col min="1" max="2" width="8.85546875" style="580"/>
    <col min="9" max="9" width="16.28515625" bestFit="1" customWidth="1"/>
    <col min="10" max="10" width="10.85546875" style="443" bestFit="1" customWidth="1"/>
    <col min="11" max="11" width="12.28515625" bestFit="1" customWidth="1"/>
    <col min="14" max="14" width="12.7109375" bestFit="1" customWidth="1"/>
    <col min="30" max="30" width="8.85546875" style="580"/>
  </cols>
  <sheetData>
    <row r="1" spans="1:38" s="580" customFormat="1">
      <c r="A1" s="1672" t="s">
        <v>770</v>
      </c>
      <c r="B1" s="1672"/>
      <c r="C1" s="1672"/>
      <c r="D1" s="1672"/>
      <c r="E1" s="1672"/>
      <c r="F1" s="1672"/>
      <c r="G1" s="1672"/>
      <c r="H1" s="1672"/>
      <c r="I1" s="1672"/>
      <c r="J1" s="1672"/>
      <c r="K1" s="1672"/>
      <c r="L1" s="1672"/>
      <c r="M1" s="1672"/>
    </row>
    <row r="2" spans="1:38" ht="15">
      <c r="A2" s="633" t="s">
        <v>752</v>
      </c>
      <c r="B2" s="633" t="s">
        <v>753</v>
      </c>
      <c r="C2" s="609" t="s">
        <v>712</v>
      </c>
      <c r="D2" s="609" t="s">
        <v>713</v>
      </c>
      <c r="E2" s="609" t="s">
        <v>714</v>
      </c>
      <c r="F2" s="609" t="s">
        <v>715</v>
      </c>
      <c r="G2" s="609" t="s">
        <v>716</v>
      </c>
      <c r="H2" s="609" t="s">
        <v>717</v>
      </c>
      <c r="I2" s="609" t="s">
        <v>718</v>
      </c>
      <c r="J2" s="599" t="s">
        <v>719</v>
      </c>
      <c r="K2" s="609" t="s">
        <v>720</v>
      </c>
      <c r="L2" s="609" t="s">
        <v>721</v>
      </c>
      <c r="M2" s="609"/>
      <c r="N2" s="609"/>
      <c r="O2" s="609"/>
      <c r="P2" s="609"/>
      <c r="Q2" s="609"/>
      <c r="R2" s="609"/>
      <c r="S2" s="609"/>
      <c r="T2" s="609"/>
      <c r="U2" s="609"/>
      <c r="V2" s="609"/>
      <c r="W2" s="609"/>
      <c r="X2" s="609"/>
      <c r="Y2" s="609"/>
      <c r="AC2">
        <f>SUM(AC5:AC9)</f>
        <v>4787330</v>
      </c>
    </row>
    <row r="3" spans="1:38" ht="15.75" thickBot="1">
      <c r="A3" s="632">
        <v>2010</v>
      </c>
      <c r="B3" s="632" t="s">
        <v>754</v>
      </c>
      <c r="C3" s="608" t="s">
        <v>722</v>
      </c>
      <c r="D3" s="608" t="s">
        <v>723</v>
      </c>
      <c r="E3" s="608" t="s">
        <v>504</v>
      </c>
      <c r="F3" s="610">
        <v>739084.44836875203</v>
      </c>
      <c r="G3" s="610">
        <v>1657604.56132127</v>
      </c>
      <c r="H3" s="610">
        <v>8058899.9691493604</v>
      </c>
      <c r="I3" s="610">
        <v>243772399.78763199</v>
      </c>
      <c r="J3" s="598">
        <v>528298733.530797</v>
      </c>
      <c r="K3" s="610">
        <v>2596913416.5664501</v>
      </c>
      <c r="L3" s="610">
        <v>20.137805102636101</v>
      </c>
      <c r="M3" s="608"/>
      <c r="N3" s="608"/>
      <c r="O3" s="621"/>
      <c r="P3" s="611" t="s">
        <v>724</v>
      </c>
      <c r="Q3" s="611"/>
      <c r="R3" s="611"/>
      <c r="S3" s="614"/>
      <c r="T3" s="608"/>
      <c r="U3" s="621"/>
      <c r="V3" s="611" t="s">
        <v>724</v>
      </c>
      <c r="W3" s="611"/>
      <c r="X3" s="611"/>
      <c r="Y3" s="614"/>
      <c r="AB3" s="1677" t="s">
        <v>747</v>
      </c>
      <c r="AC3" s="1677"/>
      <c r="AD3" s="1677"/>
      <c r="AE3" s="1677"/>
      <c r="AF3" s="1677"/>
      <c r="AG3" s="1677"/>
      <c r="AH3" s="1677"/>
      <c r="AI3" s="1677"/>
      <c r="AJ3" s="1677"/>
      <c r="AK3" s="1677"/>
      <c r="AL3" s="1677"/>
    </row>
    <row r="4" spans="1:38" ht="18.75" thickBot="1">
      <c r="A4" s="632">
        <v>2010</v>
      </c>
      <c r="B4" s="632" t="s">
        <v>754</v>
      </c>
      <c r="C4" s="608" t="s">
        <v>722</v>
      </c>
      <c r="D4" s="608" t="s">
        <v>723</v>
      </c>
      <c r="E4" s="608" t="s">
        <v>725</v>
      </c>
      <c r="F4" s="610">
        <v>1.47070824296769E-6</v>
      </c>
      <c r="G4" s="610">
        <v>3.7100554969191899E-5</v>
      </c>
      <c r="H4" s="610">
        <v>8.5391381662744495E-5</v>
      </c>
      <c r="I4" s="610">
        <v>4.8230195699261501E-4</v>
      </c>
      <c r="J4" s="627">
        <v>1.2168186673213999E-2</v>
      </c>
      <c r="K4" s="610">
        <v>2.8005321473325601E-2</v>
      </c>
      <c r="L4" s="610">
        <v>26.072351744550701</v>
      </c>
      <c r="M4" s="608"/>
      <c r="N4" s="608"/>
      <c r="O4" s="622"/>
      <c r="P4" s="616"/>
      <c r="Q4" s="616">
        <v>2010</v>
      </c>
      <c r="R4" s="616">
        <v>2020</v>
      </c>
      <c r="S4" s="617">
        <v>2030</v>
      </c>
      <c r="T4" s="608"/>
      <c r="U4" s="622"/>
      <c r="V4" s="616"/>
      <c r="W4" s="616">
        <v>2010</v>
      </c>
      <c r="X4" s="616">
        <v>2020</v>
      </c>
      <c r="Y4" s="617">
        <v>2030</v>
      </c>
      <c r="AB4" s="604" t="s">
        <v>156</v>
      </c>
      <c r="AC4" s="604" t="s">
        <v>746</v>
      </c>
      <c r="AD4" s="604" t="s">
        <v>745</v>
      </c>
      <c r="AE4" s="601" t="s">
        <v>734</v>
      </c>
      <c r="AF4" s="601" t="s">
        <v>735</v>
      </c>
      <c r="AG4" s="601" t="s">
        <v>736</v>
      </c>
      <c r="AH4" s="601" t="s">
        <v>737</v>
      </c>
      <c r="AI4" s="601" t="s">
        <v>738</v>
      </c>
      <c r="AJ4" s="601" t="s">
        <v>739</v>
      </c>
      <c r="AK4" s="601" t="s">
        <v>172</v>
      </c>
      <c r="AL4" s="603" t="s">
        <v>120</v>
      </c>
    </row>
    <row r="5" spans="1:38" ht="15.75" thickBot="1">
      <c r="A5" s="632">
        <v>2010</v>
      </c>
      <c r="B5" s="632" t="s">
        <v>754</v>
      </c>
      <c r="C5" s="608" t="s">
        <v>722</v>
      </c>
      <c r="D5" s="608" t="s">
        <v>726</v>
      </c>
      <c r="E5" s="608" t="s">
        <v>504</v>
      </c>
      <c r="F5" s="610">
        <v>335905.64093609602</v>
      </c>
      <c r="G5" s="610">
        <v>901979.57984697795</v>
      </c>
      <c r="H5" s="610">
        <v>4381359.6997859301</v>
      </c>
      <c r="I5" s="610">
        <v>109702924.649738</v>
      </c>
      <c r="J5" s="598">
        <v>291531598.55382401</v>
      </c>
      <c r="K5" s="610">
        <v>1421990935.74228</v>
      </c>
      <c r="L5" s="610">
        <v>22.601227666969098</v>
      </c>
      <c r="M5" s="608"/>
      <c r="N5" s="608"/>
      <c r="O5" s="1673" t="s">
        <v>145</v>
      </c>
      <c r="P5" s="616" t="s">
        <v>504</v>
      </c>
      <c r="Q5" s="623">
        <v>1052.791995072341</v>
      </c>
      <c r="R5" s="623">
        <v>1071.2858810985599</v>
      </c>
      <c r="S5" s="623">
        <v>1115.574768093127</v>
      </c>
      <c r="T5" s="608"/>
      <c r="U5" s="1673" t="s">
        <v>145</v>
      </c>
      <c r="V5" s="616" t="s">
        <v>504</v>
      </c>
      <c r="W5" s="623">
        <v>1052791995.072341</v>
      </c>
      <c r="X5" s="623">
        <v>1071285881.09856</v>
      </c>
      <c r="Y5" s="624">
        <v>1115574768.093127</v>
      </c>
      <c r="AB5" s="607" t="s">
        <v>740</v>
      </c>
      <c r="AC5" s="607">
        <v>559569</v>
      </c>
      <c r="AD5" s="607">
        <f>AC5/SUM($AC$5:$AC$9)</f>
        <v>0.11688540376368456</v>
      </c>
      <c r="AE5" s="606">
        <v>1.67</v>
      </c>
      <c r="AF5" s="606">
        <v>1.94</v>
      </c>
      <c r="AG5" s="606">
        <v>0.82</v>
      </c>
      <c r="AH5" s="606">
        <v>2.4500000000000002</v>
      </c>
      <c r="AI5" s="606">
        <v>15.02</v>
      </c>
      <c r="AJ5" s="606">
        <v>0.11</v>
      </c>
      <c r="AK5" s="606">
        <v>2.23</v>
      </c>
      <c r="AL5" s="605">
        <v>24.24</v>
      </c>
    </row>
    <row r="6" spans="1:38" ht="15.75" thickBot="1">
      <c r="A6" s="632">
        <v>2010</v>
      </c>
      <c r="B6" s="632" t="s">
        <v>754</v>
      </c>
      <c r="C6" s="608" t="s">
        <v>722</v>
      </c>
      <c r="D6" s="608" t="s">
        <v>726</v>
      </c>
      <c r="E6" s="608" t="s">
        <v>725</v>
      </c>
      <c r="F6" s="610">
        <v>4.8501455599314597E-5</v>
      </c>
      <c r="G6" s="610">
        <v>2.22782631698907E-3</v>
      </c>
      <c r="H6" s="610">
        <v>4.4791719640922302E-3</v>
      </c>
      <c r="I6" s="610">
        <v>1.5946938223919498E-2</v>
      </c>
      <c r="J6" s="627">
        <v>0.73203733282345695</v>
      </c>
      <c r="K6" s="610">
        <v>1.47182070221142</v>
      </c>
      <c r="L6" s="610">
        <v>28.653928481319699</v>
      </c>
      <c r="M6" s="608"/>
      <c r="N6" s="608"/>
      <c r="O6" s="1673"/>
      <c r="P6" s="616" t="s">
        <v>725</v>
      </c>
      <c r="Q6" s="623">
        <v>0.55501881250123142</v>
      </c>
      <c r="R6" s="623">
        <v>0.50294294529074457</v>
      </c>
      <c r="S6" s="623">
        <v>0.48023838358118531</v>
      </c>
      <c r="T6" s="608"/>
      <c r="U6" s="1673"/>
      <c r="V6" s="616" t="s">
        <v>725</v>
      </c>
      <c r="W6" s="623">
        <v>555018.81250123144</v>
      </c>
      <c r="X6" s="623">
        <v>502942.94529074454</v>
      </c>
      <c r="Y6" s="624">
        <v>480238.38358118531</v>
      </c>
      <c r="AB6" s="596" t="s">
        <v>741</v>
      </c>
      <c r="AC6" s="596">
        <v>774241</v>
      </c>
      <c r="AD6" s="596">
        <f t="shared" ref="AD6" si="0">AC6/SUM($AC$5:$AC$9)</f>
        <v>0.16172710049234124</v>
      </c>
      <c r="AE6" s="590">
        <v>2.58</v>
      </c>
      <c r="AF6" s="590">
        <v>2.1</v>
      </c>
      <c r="AG6" s="590">
        <v>1.1200000000000001</v>
      </c>
      <c r="AH6" s="590">
        <v>2.57</v>
      </c>
      <c r="AI6" s="590">
        <v>8.18</v>
      </c>
      <c r="AJ6" s="590">
        <v>19.07</v>
      </c>
      <c r="AK6" s="590">
        <v>6.49</v>
      </c>
      <c r="AL6" s="593">
        <v>42.11</v>
      </c>
    </row>
    <row r="7" spans="1:38" ht="15.75" thickBot="1">
      <c r="A7" s="632">
        <v>2010</v>
      </c>
      <c r="B7" s="632" t="s">
        <v>754</v>
      </c>
      <c r="C7" s="608" t="s">
        <v>722</v>
      </c>
      <c r="D7" s="608" t="s">
        <v>726</v>
      </c>
      <c r="E7" s="608" t="s">
        <v>503</v>
      </c>
      <c r="F7" s="610">
        <v>504.11921186823002</v>
      </c>
      <c r="G7" s="610">
        <v>28977.5916739516</v>
      </c>
      <c r="H7" s="610">
        <v>57955.183347903097</v>
      </c>
      <c r="I7" s="610">
        <v>151824.157249346</v>
      </c>
      <c r="J7" s="598">
        <v>8743422.8629185297</v>
      </c>
      <c r="K7" s="610">
        <v>17486845.7258371</v>
      </c>
      <c r="L7" s="610">
        <v>30</v>
      </c>
      <c r="M7" s="608"/>
      <c r="N7" s="608"/>
      <c r="O7" s="1673"/>
      <c r="P7" s="616" t="s">
        <v>503</v>
      </c>
      <c r="Q7" s="623">
        <v>17.673605610958919</v>
      </c>
      <c r="R7" s="623">
        <v>17.347028753334598</v>
      </c>
      <c r="S7" s="623">
        <v>17.114418619330788</v>
      </c>
      <c r="T7" s="608"/>
      <c r="U7" s="1673"/>
      <c r="V7" s="616" t="s">
        <v>503</v>
      </c>
      <c r="W7" s="623">
        <v>17673605.610958919</v>
      </c>
      <c r="X7" s="623">
        <v>17347028.753334597</v>
      </c>
      <c r="Y7" s="624">
        <v>17114418.61933079</v>
      </c>
      <c r="AB7" s="607" t="s">
        <v>742</v>
      </c>
      <c r="AC7" s="607">
        <v>2269471</v>
      </c>
      <c r="AD7" s="607">
        <f>AC7/SUM($AC$5:$AC$9)</f>
        <v>0.47405777333085458</v>
      </c>
      <c r="AE7" s="606">
        <v>3.92</v>
      </c>
      <c r="AF7" s="606">
        <v>1.82</v>
      </c>
      <c r="AG7" s="606">
        <v>0.75</v>
      </c>
      <c r="AH7" s="606">
        <v>0.75</v>
      </c>
      <c r="AI7" s="606">
        <v>5.62</v>
      </c>
      <c r="AJ7" s="606">
        <v>34.049999999999997</v>
      </c>
      <c r="AK7" s="606">
        <v>2.8</v>
      </c>
      <c r="AL7" s="605">
        <v>49.71</v>
      </c>
    </row>
    <row r="8" spans="1:38" ht="15.75" thickBot="1">
      <c r="A8" s="632">
        <v>2010</v>
      </c>
      <c r="B8" s="632" t="s">
        <v>754</v>
      </c>
      <c r="C8" s="608" t="s">
        <v>722</v>
      </c>
      <c r="D8" s="608" t="s">
        <v>727</v>
      </c>
      <c r="E8" s="608" t="s">
        <v>504</v>
      </c>
      <c r="F8" s="610">
        <v>138865.79060517601</v>
      </c>
      <c r="G8" s="610">
        <v>722421.74763641902</v>
      </c>
      <c r="H8" s="610">
        <v>2833834.09150148</v>
      </c>
      <c r="I8" s="610">
        <v>45071627.5688584</v>
      </c>
      <c r="J8" s="598">
        <v>232961662.98772001</v>
      </c>
      <c r="K8" s="610">
        <v>916121744.71939695</v>
      </c>
      <c r="L8" s="610">
        <v>22.4127177526738</v>
      </c>
      <c r="M8" s="608"/>
      <c r="N8" s="608"/>
      <c r="O8" s="1674" t="s">
        <v>146</v>
      </c>
      <c r="P8" s="613" t="s">
        <v>504</v>
      </c>
      <c r="Q8" s="612">
        <v>1383.4937733828301</v>
      </c>
      <c r="R8" s="612">
        <v>1309.5652206003617</v>
      </c>
      <c r="S8" s="625">
        <v>1319.4998939082059</v>
      </c>
      <c r="T8" s="608"/>
      <c r="U8" s="1674" t="s">
        <v>146</v>
      </c>
      <c r="V8" s="613" t="s">
        <v>504</v>
      </c>
      <c r="W8" s="612">
        <v>1383493773.3828301</v>
      </c>
      <c r="X8" s="612">
        <v>1309565220.6003618</v>
      </c>
      <c r="Y8" s="625">
        <v>1319499893.908206</v>
      </c>
      <c r="AB8" s="596" t="s">
        <v>743</v>
      </c>
      <c r="AC8" s="596">
        <v>671498</v>
      </c>
      <c r="AD8" s="596">
        <f>AC8/SUM($AC$5:$AC$9)</f>
        <v>0.14026565956389053</v>
      </c>
      <c r="AE8" s="590">
        <v>3.55</v>
      </c>
      <c r="AF8" s="590">
        <v>1.29</v>
      </c>
      <c r="AG8" s="590">
        <v>0.84</v>
      </c>
      <c r="AH8" s="590">
        <v>0.59</v>
      </c>
      <c r="AI8" s="590">
        <v>5.6</v>
      </c>
      <c r="AJ8" s="590">
        <v>21.76</v>
      </c>
      <c r="AK8" s="590">
        <v>1.38</v>
      </c>
      <c r="AL8" s="593">
        <v>35.01</v>
      </c>
    </row>
    <row r="9" spans="1:38" ht="15.75" thickBot="1">
      <c r="A9" s="632">
        <v>2010</v>
      </c>
      <c r="B9" s="632" t="s">
        <v>754</v>
      </c>
      <c r="C9" s="608" t="s">
        <v>722</v>
      </c>
      <c r="D9" s="608" t="s">
        <v>727</v>
      </c>
      <c r="E9" s="608" t="s">
        <v>725</v>
      </c>
      <c r="F9" s="610">
        <v>44.093008855139203</v>
      </c>
      <c r="G9" s="610">
        <v>1687.5723820252699</v>
      </c>
      <c r="H9" s="610">
        <v>3481.6396285721198</v>
      </c>
      <c r="I9" s="610">
        <v>14538.355382628601</v>
      </c>
      <c r="J9" s="598">
        <v>555018.068295712</v>
      </c>
      <c r="K9" s="610">
        <v>1145466.8970742601</v>
      </c>
      <c r="L9" s="610">
        <v>28.443719984351699</v>
      </c>
      <c r="M9" s="608"/>
      <c r="N9" s="608"/>
      <c r="O9" s="1675"/>
      <c r="P9" s="615" t="s">
        <v>725</v>
      </c>
      <c r="Q9" s="623">
        <v>0.33918543117675892</v>
      </c>
      <c r="R9" s="623">
        <v>0.31228909994676934</v>
      </c>
      <c r="S9" s="624">
        <v>0.31792980599640847</v>
      </c>
      <c r="T9" s="608"/>
      <c r="U9" s="1675"/>
      <c r="V9" s="615" t="s">
        <v>725</v>
      </c>
      <c r="W9" s="623">
        <v>339185.4311767589</v>
      </c>
      <c r="X9" s="623">
        <v>312289.09994676936</v>
      </c>
      <c r="Y9" s="624">
        <v>317929.80599640845</v>
      </c>
      <c r="AB9" s="607" t="s">
        <v>744</v>
      </c>
      <c r="AC9" s="607">
        <v>512551</v>
      </c>
      <c r="AD9" s="607">
        <f>AC9/SUM($AC$5:$AC$9)</f>
        <v>0.10706406284922911</v>
      </c>
      <c r="AE9" s="606">
        <v>1.19</v>
      </c>
      <c r="AF9" s="606">
        <v>0.77</v>
      </c>
      <c r="AG9" s="606">
        <v>0.69</v>
      </c>
      <c r="AH9" s="606">
        <v>0.61</v>
      </c>
      <c r="AI9" s="606">
        <v>5.24</v>
      </c>
      <c r="AJ9" s="606">
        <v>12.08</v>
      </c>
      <c r="AK9" s="606">
        <v>0.97</v>
      </c>
      <c r="AL9" s="605">
        <v>21.54</v>
      </c>
    </row>
    <row r="10" spans="1:38" ht="15">
      <c r="A10" s="632">
        <v>2010</v>
      </c>
      <c r="B10" s="632" t="s">
        <v>754</v>
      </c>
      <c r="C10" s="608" t="s">
        <v>722</v>
      </c>
      <c r="D10" s="608" t="s">
        <v>727</v>
      </c>
      <c r="E10" s="608" t="s">
        <v>503</v>
      </c>
      <c r="F10" s="610">
        <v>513.81275516967003</v>
      </c>
      <c r="G10" s="610">
        <v>29542.841987435299</v>
      </c>
      <c r="H10" s="610">
        <v>59085.683974870699</v>
      </c>
      <c r="I10" s="610">
        <v>154997.015830177</v>
      </c>
      <c r="J10" s="598">
        <v>8930182.7480403893</v>
      </c>
      <c r="K10" s="610">
        <v>17860365.496080801</v>
      </c>
      <c r="L10" s="610">
        <v>30</v>
      </c>
      <c r="M10" s="608"/>
      <c r="N10" s="608"/>
      <c r="O10" s="1676"/>
      <c r="P10" s="618" t="s">
        <v>503</v>
      </c>
      <c r="Q10" s="620">
        <v>1.1501858272104</v>
      </c>
      <c r="R10" s="620">
        <v>1.1367479631553801</v>
      </c>
      <c r="S10" s="626">
        <v>1.13312397410482</v>
      </c>
      <c r="T10" s="608"/>
      <c r="U10" s="1676"/>
      <c r="V10" s="618" t="s">
        <v>503</v>
      </c>
      <c r="W10" s="620">
        <v>1150185.8272104</v>
      </c>
      <c r="X10" s="620">
        <v>1136747.96315538</v>
      </c>
      <c r="Y10" s="626">
        <v>1133123.9741048201</v>
      </c>
    </row>
    <row r="11" spans="1:38" ht="15">
      <c r="A11" s="632">
        <v>2010</v>
      </c>
      <c r="B11" s="632" t="s">
        <v>754</v>
      </c>
      <c r="C11" s="608" t="s">
        <v>728</v>
      </c>
      <c r="D11" s="608" t="s">
        <v>723</v>
      </c>
      <c r="E11" s="608" t="s">
        <v>504</v>
      </c>
      <c r="F11" s="610">
        <v>337161.76898956299</v>
      </c>
      <c r="G11" s="610">
        <v>953877.21483213501</v>
      </c>
      <c r="H11" s="610">
        <v>4492219.5307670198</v>
      </c>
      <c r="I11" s="610">
        <v>109528735.642655</v>
      </c>
      <c r="J11" s="598">
        <v>306077631.16933298</v>
      </c>
      <c r="K11" s="610">
        <v>1447576191.92647</v>
      </c>
      <c r="L11" s="610">
        <v>20.324557141558799</v>
      </c>
      <c r="M11" s="608"/>
      <c r="N11" s="608"/>
      <c r="O11" s="608"/>
      <c r="P11" s="629" t="s">
        <v>729</v>
      </c>
      <c r="Q11" s="612">
        <f>SUM(Q5:Q7)</f>
        <v>1071.0206194958012</v>
      </c>
      <c r="R11" s="612">
        <f t="shared" ref="R11:S11" si="1">SUM(R5:R7)</f>
        <v>1089.1358527971852</v>
      </c>
      <c r="S11" s="612">
        <f t="shared" si="1"/>
        <v>1133.1694250960388</v>
      </c>
      <c r="T11" s="608"/>
      <c r="U11" s="608"/>
      <c r="V11" s="608"/>
      <c r="W11" s="608"/>
      <c r="X11" s="608"/>
      <c r="Y11" s="608"/>
      <c r="AB11" s="444" t="s">
        <v>750</v>
      </c>
      <c r="AF11" s="594">
        <f>AF5*AD5+AF6*AD6+AF7*AD7+AF8*AD8+AF9*AD9</f>
        <v>1.6925517710289453</v>
      </c>
      <c r="AG11" s="444" t="s">
        <v>748</v>
      </c>
      <c r="AI11" s="583">
        <f>AF11*365</f>
        <v>617.78139642556505</v>
      </c>
      <c r="AJ11" s="600"/>
      <c r="AK11" s="600"/>
    </row>
    <row r="12" spans="1:38" ht="15">
      <c r="A12" s="632">
        <v>2010</v>
      </c>
      <c r="B12" s="632" t="s">
        <v>754</v>
      </c>
      <c r="C12" s="608" t="s">
        <v>728</v>
      </c>
      <c r="D12" s="608" t="s">
        <v>723</v>
      </c>
      <c r="E12" s="608" t="s">
        <v>725</v>
      </c>
      <c r="F12" s="610">
        <v>8.2381565665201606E-5</v>
      </c>
      <c r="G12" s="610">
        <v>2.15561018551607E-3</v>
      </c>
      <c r="H12" s="610">
        <v>4.8957140099065901E-3</v>
      </c>
      <c r="I12" s="610">
        <v>2.4998556661785201E-2</v>
      </c>
      <c r="J12" s="598">
        <v>0.65673553656628103</v>
      </c>
      <c r="K12" s="610">
        <v>1.4894061279594499</v>
      </c>
      <c r="L12" s="610">
        <v>26.645140203320999</v>
      </c>
      <c r="M12" s="608"/>
      <c r="N12" s="608"/>
      <c r="O12" s="608"/>
      <c r="P12" s="630" t="s">
        <v>730</v>
      </c>
      <c r="Q12" s="620">
        <f>SUM(Q8:Q10)</f>
        <v>1384.9831446412172</v>
      </c>
      <c r="R12" s="620">
        <f t="shared" ref="R12:S12" si="2">SUM(R8:R10)</f>
        <v>1311.0142576634639</v>
      </c>
      <c r="S12" s="620">
        <f t="shared" si="2"/>
        <v>1320.950947688307</v>
      </c>
      <c r="T12" s="608"/>
      <c r="U12" s="608"/>
      <c r="V12" s="608"/>
      <c r="W12" s="608"/>
      <c r="X12" s="608"/>
      <c r="Y12" s="608"/>
      <c r="AB12" s="444" t="s">
        <v>751</v>
      </c>
      <c r="AF12" s="594">
        <f>AG5*AD5+AG6*AD6+AG7*AD7+AG8*AD8+AG9*AD9</f>
        <v>0.82422107103542053</v>
      </c>
      <c r="AG12" s="444" t="s">
        <v>749</v>
      </c>
      <c r="AH12" s="602"/>
      <c r="AI12" s="583">
        <f>AF12*365</f>
        <v>300.84069092792851</v>
      </c>
      <c r="AJ12" s="602"/>
      <c r="AK12" s="602"/>
    </row>
    <row r="13" spans="1:38" ht="15">
      <c r="A13" s="632">
        <v>2010</v>
      </c>
      <c r="B13" s="632" t="s">
        <v>754</v>
      </c>
      <c r="C13" s="608" t="s">
        <v>728</v>
      </c>
      <c r="D13" s="608" t="s">
        <v>726</v>
      </c>
      <c r="E13" s="608" t="s">
        <v>504</v>
      </c>
      <c r="F13" s="610">
        <v>425951.477316859</v>
      </c>
      <c r="G13" s="610">
        <v>1385862.1328896901</v>
      </c>
      <c r="H13" s="610">
        <v>6302805.5118608596</v>
      </c>
      <c r="I13" s="610">
        <v>138841770.86277899</v>
      </c>
      <c r="J13" s="598">
        <v>447422538.34166402</v>
      </c>
      <c r="K13" s="610">
        <v>2042637000.80495</v>
      </c>
      <c r="L13" s="610">
        <v>21.940743475643998</v>
      </c>
      <c r="M13" s="608"/>
      <c r="N13" s="608"/>
      <c r="O13" s="608"/>
      <c r="P13" s="608"/>
      <c r="Q13" s="610">
        <f>SUM(Q11:Q12)</f>
        <v>2456.0037641370182</v>
      </c>
      <c r="R13" s="610">
        <f t="shared" ref="R13:S13" si="3">SUM(R11:R12)</f>
        <v>2400.1501104606491</v>
      </c>
      <c r="S13" s="610">
        <f t="shared" si="3"/>
        <v>2454.1203727843458</v>
      </c>
      <c r="T13" s="608"/>
      <c r="U13" s="608"/>
      <c r="V13" s="608"/>
      <c r="W13" s="608"/>
      <c r="X13" s="608"/>
      <c r="Y13" s="608"/>
      <c r="AC13" s="591"/>
      <c r="AD13" s="591"/>
    </row>
    <row r="14" spans="1:38" ht="15">
      <c r="A14" s="632">
        <v>2010</v>
      </c>
      <c r="B14" s="632" t="s">
        <v>754</v>
      </c>
      <c r="C14" s="608" t="s">
        <v>728</v>
      </c>
      <c r="D14" s="608" t="s">
        <v>726</v>
      </c>
      <c r="E14" s="608" t="s">
        <v>725</v>
      </c>
      <c r="F14" s="610">
        <v>1.3196216905431201E-4</v>
      </c>
      <c r="G14" s="610">
        <v>3.56590439217837E-3</v>
      </c>
      <c r="H14" s="610">
        <v>8.0045852794391192E-3</v>
      </c>
      <c r="I14" s="610">
        <v>4.3402040011187602E-2</v>
      </c>
      <c r="J14" s="598">
        <v>1.1729849973527799</v>
      </c>
      <c r="K14" s="610">
        <v>2.6329264129055399</v>
      </c>
      <c r="L14" s="610">
        <v>26.784859102171101</v>
      </c>
      <c r="M14" s="608"/>
      <c r="N14" s="608"/>
      <c r="O14" s="608"/>
      <c r="P14" s="608"/>
      <c r="Q14" s="608"/>
      <c r="R14" s="608"/>
      <c r="S14" s="608"/>
      <c r="T14" s="608"/>
      <c r="U14" s="608"/>
      <c r="V14" s="608"/>
      <c r="W14" s="608"/>
      <c r="X14" s="608"/>
      <c r="Y14" s="608"/>
      <c r="AB14" t="s">
        <v>758</v>
      </c>
      <c r="AC14" s="444"/>
      <c r="AD14" s="444"/>
      <c r="AH14">
        <f>0.9*SUM('Bicycle - Walk'!AC5:AC9)</f>
        <v>4308597</v>
      </c>
    </row>
    <row r="15" spans="1:38" ht="15">
      <c r="A15" s="632">
        <v>2010</v>
      </c>
      <c r="B15" s="632" t="s">
        <v>754</v>
      </c>
      <c r="C15" s="608" t="s">
        <v>728</v>
      </c>
      <c r="D15" s="608" t="s">
        <v>727</v>
      </c>
      <c r="E15" s="608" t="s">
        <v>504</v>
      </c>
      <c r="F15" s="610">
        <v>312187.06280050898</v>
      </c>
      <c r="G15" s="610">
        <v>1961554.55593334</v>
      </c>
      <c r="H15" s="610">
        <v>7248839.7378467601</v>
      </c>
      <c r="I15" s="610">
        <v>100736579.233585</v>
      </c>
      <c r="J15" s="598">
        <v>629993603.87183297</v>
      </c>
      <c r="K15" s="610">
        <v>2332019574.8252802</v>
      </c>
      <c r="L15" s="610">
        <v>22.218430703606298</v>
      </c>
      <c r="M15" s="608"/>
      <c r="N15" s="608"/>
      <c r="O15" s="621"/>
      <c r="P15" s="611" t="s">
        <v>731</v>
      </c>
      <c r="Q15" s="611"/>
      <c r="R15" s="611"/>
      <c r="S15" s="614"/>
      <c r="T15" s="608"/>
      <c r="U15" s="621"/>
      <c r="V15" s="611" t="s">
        <v>731</v>
      </c>
      <c r="W15" s="611"/>
      <c r="X15" s="611"/>
      <c r="Y15" s="614"/>
      <c r="AB15" t="s">
        <v>769</v>
      </c>
      <c r="AC15" s="444"/>
      <c r="AD15" s="444"/>
      <c r="AE15" s="512"/>
    </row>
    <row r="16" spans="1:38" ht="15">
      <c r="A16" s="632">
        <v>2010</v>
      </c>
      <c r="B16" s="632" t="s">
        <v>754</v>
      </c>
      <c r="C16" s="608" t="s">
        <v>728</v>
      </c>
      <c r="D16" s="608" t="s">
        <v>727</v>
      </c>
      <c r="E16" s="608" t="s">
        <v>725</v>
      </c>
      <c r="F16" s="610">
        <v>28.249094540942799</v>
      </c>
      <c r="G16" s="610">
        <v>986.04516677987101</v>
      </c>
      <c r="H16" s="610">
        <v>2021.3513366449299</v>
      </c>
      <c r="I16" s="610">
        <v>9717.22984156436</v>
      </c>
      <c r="J16" s="598">
        <v>339183.60145622498</v>
      </c>
      <c r="K16" s="610">
        <v>695312.14121858205</v>
      </c>
      <c r="L16" s="610">
        <v>27.018692270515999</v>
      </c>
      <c r="M16" s="608"/>
      <c r="N16" s="608"/>
      <c r="O16" s="622"/>
      <c r="P16" s="616"/>
      <c r="Q16" s="616">
        <v>2010</v>
      </c>
      <c r="R16" s="616">
        <v>2020</v>
      </c>
      <c r="S16" s="617">
        <v>2030</v>
      </c>
      <c r="T16" s="608"/>
      <c r="U16" s="622"/>
      <c r="V16" s="616"/>
      <c r="W16" s="616">
        <v>2010</v>
      </c>
      <c r="X16" s="616">
        <v>2020</v>
      </c>
      <c r="Y16" s="617">
        <v>2030</v>
      </c>
      <c r="AC16" s="595"/>
      <c r="AD16" s="595"/>
      <c r="AE16" s="512"/>
    </row>
    <row r="17" spans="1:39" ht="15">
      <c r="A17" s="632">
        <v>2010</v>
      </c>
      <c r="B17" s="632" t="s">
        <v>754</v>
      </c>
      <c r="C17" s="608" t="s">
        <v>728</v>
      </c>
      <c r="D17" s="608" t="s">
        <v>727</v>
      </c>
      <c r="E17" s="608" t="s">
        <v>503</v>
      </c>
      <c r="F17" s="610">
        <v>56.215635772380402</v>
      </c>
      <c r="G17" s="610">
        <v>3295.5639970923498</v>
      </c>
      <c r="H17" s="610">
        <v>6591.1279941847097</v>
      </c>
      <c r="I17" s="610">
        <v>19534.9772068192</v>
      </c>
      <c r="J17" s="598">
        <v>1150185.8272104</v>
      </c>
      <c r="K17" s="610">
        <v>2300371.6544207898</v>
      </c>
      <c r="L17" s="610">
        <v>30</v>
      </c>
      <c r="M17" s="608"/>
      <c r="N17" s="608"/>
      <c r="O17" s="1673" t="s">
        <v>145</v>
      </c>
      <c r="P17" s="616" t="s">
        <v>504</v>
      </c>
      <c r="Q17" s="623">
        <v>659.17271377790098</v>
      </c>
      <c r="R17" s="623">
        <v>672.27279088119008</v>
      </c>
      <c r="S17" s="623">
        <v>706.37925882497507</v>
      </c>
      <c r="T17" s="608"/>
      <c r="U17" s="1673" t="s">
        <v>145</v>
      </c>
      <c r="V17" s="616" t="s">
        <v>504</v>
      </c>
      <c r="W17" s="623">
        <v>659172713.77790093</v>
      </c>
      <c r="X17" s="623">
        <v>672272790.88119006</v>
      </c>
      <c r="Y17" s="624">
        <v>706379258.82497501</v>
      </c>
      <c r="AC17" s="595"/>
      <c r="AD17" s="595"/>
      <c r="AE17" s="512"/>
    </row>
    <row r="18" spans="1:39" ht="15">
      <c r="A18" s="632">
        <v>2020</v>
      </c>
      <c r="B18" s="632" t="s">
        <v>754</v>
      </c>
      <c r="C18" s="608" t="s">
        <v>722</v>
      </c>
      <c r="D18" s="608" t="s">
        <v>723</v>
      </c>
      <c r="E18" s="608" t="s">
        <v>504</v>
      </c>
      <c r="F18" s="610">
        <v>839580.22272176703</v>
      </c>
      <c r="G18" s="610">
        <v>1876734.5925319099</v>
      </c>
      <c r="H18" s="610">
        <v>9125919.1415612008</v>
      </c>
      <c r="I18" s="610">
        <v>277425454.19872802</v>
      </c>
      <c r="J18" s="598">
        <v>599125399.38920701</v>
      </c>
      <c r="K18" s="610">
        <v>2945587393.06809</v>
      </c>
      <c r="L18" s="610">
        <v>20.137805102636001</v>
      </c>
      <c r="M18" s="608"/>
      <c r="N18" s="608"/>
      <c r="O18" s="1673"/>
      <c r="P18" s="616" t="s">
        <v>725</v>
      </c>
      <c r="Q18" s="623">
        <v>0</v>
      </c>
      <c r="R18" s="623">
        <v>0</v>
      </c>
      <c r="S18" s="623">
        <v>0</v>
      </c>
      <c r="T18" s="608"/>
      <c r="U18" s="1673"/>
      <c r="V18" s="616" t="s">
        <v>725</v>
      </c>
      <c r="W18" s="623"/>
      <c r="X18" s="623"/>
      <c r="Y18" s="624"/>
      <c r="AB18" t="s">
        <v>1131</v>
      </c>
      <c r="AC18" s="595"/>
      <c r="AD18" s="595"/>
      <c r="AE18" s="592"/>
    </row>
    <row r="19" spans="1:39" ht="15">
      <c r="A19" s="632">
        <v>2020</v>
      </c>
      <c r="B19" s="632" t="s">
        <v>754</v>
      </c>
      <c r="C19" s="608" t="s">
        <v>722</v>
      </c>
      <c r="D19" s="608" t="s">
        <v>723</v>
      </c>
      <c r="E19" s="608" t="s">
        <v>725</v>
      </c>
      <c r="F19" s="610">
        <v>1.5388047114317501E-6</v>
      </c>
      <c r="G19" s="610">
        <v>3.88150054955447E-5</v>
      </c>
      <c r="H19" s="610">
        <v>8.9340168700072299E-5</v>
      </c>
      <c r="I19" s="610">
        <v>5.0856544771704605E-4</v>
      </c>
      <c r="J19" s="598">
        <v>1.28294078121091E-2</v>
      </c>
      <c r="K19" s="610">
        <v>2.9528278639465399E-2</v>
      </c>
      <c r="L19" s="610">
        <v>26.072351744550701</v>
      </c>
      <c r="M19" s="608"/>
      <c r="N19" s="608"/>
      <c r="O19" s="1673"/>
      <c r="P19" s="616" t="s">
        <v>503</v>
      </c>
      <c r="Q19" s="623">
        <v>0</v>
      </c>
      <c r="R19" s="623">
        <v>0</v>
      </c>
      <c r="S19" s="623">
        <v>0</v>
      </c>
      <c r="T19" s="608"/>
      <c r="U19" s="1673"/>
      <c r="V19" s="616" t="s">
        <v>503</v>
      </c>
      <c r="W19" s="623"/>
      <c r="X19" s="623"/>
      <c r="Y19" s="624"/>
      <c r="AB19" t="s">
        <v>1132</v>
      </c>
      <c r="AC19" s="595"/>
      <c r="AD19" s="595"/>
      <c r="AE19" s="592"/>
    </row>
    <row r="20" spans="1:39" ht="15">
      <c r="A20" s="632">
        <v>2020</v>
      </c>
      <c r="B20" s="632" t="s">
        <v>754</v>
      </c>
      <c r="C20" s="608" t="s">
        <v>722</v>
      </c>
      <c r="D20" s="608" t="s">
        <v>726</v>
      </c>
      <c r="E20" s="608" t="s">
        <v>504</v>
      </c>
      <c r="F20" s="610">
        <v>311046.76518980903</v>
      </c>
      <c r="G20" s="610">
        <v>828223.52559793403</v>
      </c>
      <c r="H20" s="610">
        <v>4035407.2908191001</v>
      </c>
      <c r="I20" s="610">
        <v>102598632.855736</v>
      </c>
      <c r="J20" s="598">
        <v>270192826.33100599</v>
      </c>
      <c r="K20" s="610">
        <v>1322290509.8956599</v>
      </c>
      <c r="L20" s="610">
        <v>22.601227666968999</v>
      </c>
      <c r="M20" s="608"/>
      <c r="N20" s="608"/>
      <c r="O20" s="1674" t="s">
        <v>146</v>
      </c>
      <c r="P20" s="613" t="s">
        <v>504</v>
      </c>
      <c r="Q20" s="612">
        <v>955.66623779438203</v>
      </c>
      <c r="R20" s="612">
        <v>909.23244828358202</v>
      </c>
      <c r="S20" s="625">
        <v>927.43674708639696</v>
      </c>
      <c r="T20" s="608"/>
      <c r="U20" s="1674" t="s">
        <v>146</v>
      </c>
      <c r="V20" s="613" t="s">
        <v>504</v>
      </c>
      <c r="W20" s="612">
        <v>955666237.79438198</v>
      </c>
      <c r="X20" s="612">
        <v>909232448.28358197</v>
      </c>
      <c r="Y20" s="625">
        <v>927436747.08639693</v>
      </c>
      <c r="AB20" t="s">
        <v>1133</v>
      </c>
      <c r="AC20" s="595"/>
      <c r="AD20" s="595"/>
      <c r="AE20" s="592"/>
    </row>
    <row r="21" spans="1:39" ht="15">
      <c r="A21" s="632">
        <v>2020</v>
      </c>
      <c r="B21" s="632" t="s">
        <v>754</v>
      </c>
      <c r="C21" s="608" t="s">
        <v>722</v>
      </c>
      <c r="D21" s="608" t="s">
        <v>726</v>
      </c>
      <c r="E21" s="608" t="s">
        <v>725</v>
      </c>
      <c r="F21" s="610">
        <v>4.8074379038531797E-5</v>
      </c>
      <c r="G21" s="610">
        <v>2.21360401092866E-3</v>
      </c>
      <c r="H21" s="610">
        <v>4.44886322352588E-3</v>
      </c>
      <c r="I21" s="610">
        <v>1.5821658824677301E-2</v>
      </c>
      <c r="J21" s="598">
        <v>0.72792748170025301</v>
      </c>
      <c r="K21" s="610">
        <v>1.4630398338781101</v>
      </c>
      <c r="L21" s="610">
        <v>28.653928481319699</v>
      </c>
      <c r="M21" s="608"/>
      <c r="N21" s="608"/>
      <c r="O21" s="1675"/>
      <c r="P21" s="615" t="s">
        <v>725</v>
      </c>
      <c r="Q21" s="623">
        <v>0</v>
      </c>
      <c r="R21" s="623">
        <v>0</v>
      </c>
      <c r="S21" s="624">
        <v>0</v>
      </c>
      <c r="T21" s="608"/>
      <c r="U21" s="1675"/>
      <c r="V21" s="615" t="s">
        <v>725</v>
      </c>
      <c r="W21" s="623"/>
      <c r="X21" s="623"/>
      <c r="Y21" s="624"/>
      <c r="AC21" s="595"/>
      <c r="AD21" s="595"/>
      <c r="AE21" s="592"/>
    </row>
    <row r="22" spans="1:39" ht="15">
      <c r="A22" s="632">
        <v>2020</v>
      </c>
      <c r="B22" s="632" t="s">
        <v>754</v>
      </c>
      <c r="C22" s="608" t="s">
        <v>722</v>
      </c>
      <c r="D22" s="608" t="s">
        <v>726</v>
      </c>
      <c r="E22" s="608" t="s">
        <v>503</v>
      </c>
      <c r="F22" s="610">
        <v>501.14553626664002</v>
      </c>
      <c r="G22" s="610">
        <v>28806.764266317499</v>
      </c>
      <c r="H22" s="610">
        <v>57613.528532634999</v>
      </c>
      <c r="I22" s="610">
        <v>151070.90192127399</v>
      </c>
      <c r="J22" s="598">
        <v>8700023.6025293395</v>
      </c>
      <c r="K22" s="610">
        <v>17400047.205058701</v>
      </c>
      <c r="L22" s="610">
        <v>30</v>
      </c>
      <c r="M22" s="608"/>
      <c r="N22" s="608"/>
      <c r="O22" s="1676"/>
      <c r="P22" s="618" t="s">
        <v>503</v>
      </c>
      <c r="Q22" s="620">
        <v>0</v>
      </c>
      <c r="R22" s="620">
        <v>0</v>
      </c>
      <c r="S22" s="626">
        <v>0</v>
      </c>
      <c r="T22" s="608"/>
      <c r="U22" s="1676"/>
      <c r="V22" s="618" t="s">
        <v>503</v>
      </c>
      <c r="W22" s="620"/>
      <c r="X22" s="620"/>
      <c r="Y22" s="626"/>
      <c r="AB22" t="s">
        <v>1134</v>
      </c>
      <c r="AC22" s="595"/>
      <c r="AD22" s="595"/>
      <c r="AE22" s="592"/>
      <c r="AL22" s="719">
        <f>2.913425*2</f>
        <v>5.8268500000000003</v>
      </c>
      <c r="AM22" t="s">
        <v>373</v>
      </c>
    </row>
    <row r="23" spans="1:39" ht="15">
      <c r="A23" s="632">
        <v>2020</v>
      </c>
      <c r="B23" s="632" t="s">
        <v>754</v>
      </c>
      <c r="C23" s="608" t="s">
        <v>722</v>
      </c>
      <c r="D23" s="608" t="s">
        <v>727</v>
      </c>
      <c r="E23" s="608" t="s">
        <v>504</v>
      </c>
      <c r="F23" s="610">
        <v>120571.664282631</v>
      </c>
      <c r="G23" s="610">
        <v>621060.72670756199</v>
      </c>
      <c r="H23" s="610">
        <v>2443520.8107939698</v>
      </c>
      <c r="I23" s="610">
        <v>39484227.524390303</v>
      </c>
      <c r="J23" s="598">
        <v>201967655.37834701</v>
      </c>
      <c r="K23" s="610">
        <v>796754770.29956198</v>
      </c>
      <c r="L23" s="610">
        <v>22.4127177526738</v>
      </c>
      <c r="M23" s="608"/>
      <c r="N23" s="608"/>
      <c r="O23" s="608"/>
      <c r="P23" s="629" t="s">
        <v>729</v>
      </c>
      <c r="Q23" s="612">
        <f>SUM(Q17:Q19)</f>
        <v>659.17271377790098</v>
      </c>
      <c r="R23" s="612">
        <f t="shared" ref="R23:S23" si="4">SUM(R17:R19)</f>
        <v>672.27279088119008</v>
      </c>
      <c r="S23" s="612">
        <f t="shared" si="4"/>
        <v>706.37925882497507</v>
      </c>
      <c r="T23" s="608"/>
      <c r="U23" s="608"/>
      <c r="V23" s="608"/>
      <c r="W23" s="608"/>
      <c r="X23" s="608"/>
      <c r="Y23" s="608"/>
      <c r="AB23" s="1161" t="s">
        <v>1135</v>
      </c>
      <c r="AC23" s="595"/>
      <c r="AD23" s="595"/>
      <c r="AE23" s="592"/>
      <c r="AL23" s="719">
        <v>0.96902600000000005</v>
      </c>
      <c r="AM23" t="s">
        <v>373</v>
      </c>
    </row>
    <row r="24" spans="1:39" ht="15">
      <c r="A24" s="632">
        <v>2020</v>
      </c>
      <c r="B24" s="632" t="s">
        <v>754</v>
      </c>
      <c r="C24" s="608" t="s">
        <v>722</v>
      </c>
      <c r="D24" s="608" t="s">
        <v>727</v>
      </c>
      <c r="E24" s="608" t="s">
        <v>725</v>
      </c>
      <c r="F24" s="610">
        <v>39.096575502503597</v>
      </c>
      <c r="G24" s="610">
        <v>1524.47734250441</v>
      </c>
      <c r="H24" s="610">
        <v>3137.0456826412501</v>
      </c>
      <c r="I24" s="610">
        <v>12941.7471737214</v>
      </c>
      <c r="J24" s="598">
        <v>502942.20453385502</v>
      </c>
      <c r="K24" s="610">
        <v>1035424.96758023</v>
      </c>
      <c r="L24" s="610">
        <v>28.443719984351699</v>
      </c>
      <c r="M24" s="608"/>
      <c r="N24" s="608"/>
      <c r="O24" s="608"/>
      <c r="P24" s="630" t="s">
        <v>730</v>
      </c>
      <c r="Q24" s="620">
        <f>SUM(Q20:Q22)</f>
        <v>955.66623779438203</v>
      </c>
      <c r="R24" s="620">
        <f t="shared" ref="R24:S24" si="5">SUM(R20:R22)</f>
        <v>909.23244828358202</v>
      </c>
      <c r="S24" s="620">
        <f t="shared" si="5"/>
        <v>927.43674708639696</v>
      </c>
      <c r="T24" s="608"/>
      <c r="U24" s="608"/>
      <c r="V24" s="608"/>
      <c r="W24" s="608"/>
      <c r="X24" s="608"/>
      <c r="Y24" s="608"/>
      <c r="AC24" s="595"/>
      <c r="AD24" s="595"/>
      <c r="AE24" s="592"/>
    </row>
    <row r="25" spans="1:39" ht="15">
      <c r="A25" s="632">
        <v>2020</v>
      </c>
      <c r="B25" s="632" t="s">
        <v>754</v>
      </c>
      <c r="C25" s="608" t="s">
        <v>722</v>
      </c>
      <c r="D25" s="608" t="s">
        <v>727</v>
      </c>
      <c r="E25" s="608" t="s">
        <v>503</v>
      </c>
      <c r="F25" s="610">
        <v>495.47815044886602</v>
      </c>
      <c r="G25" s="610">
        <v>28498.9491754767</v>
      </c>
      <c r="H25" s="610">
        <v>56997.898350953299</v>
      </c>
      <c r="I25" s="610">
        <v>150012.53123378701</v>
      </c>
      <c r="J25" s="598">
        <v>8647005.1508052591</v>
      </c>
      <c r="K25" s="610">
        <v>17294010.3016105</v>
      </c>
      <c r="L25" s="610">
        <v>30</v>
      </c>
      <c r="M25" s="608"/>
      <c r="N25" s="608"/>
      <c r="O25" s="608"/>
      <c r="P25" s="608"/>
      <c r="Q25" s="610">
        <f>SUM(Q23:Q24)</f>
        <v>1614.8389515722829</v>
      </c>
      <c r="R25" s="610">
        <f t="shared" ref="R25" si="6">SUM(R23:R24)</f>
        <v>1581.5052391647721</v>
      </c>
      <c r="S25" s="610">
        <f>SUM(S23:S24)</f>
        <v>1633.816005911372</v>
      </c>
      <c r="T25" s="608"/>
      <c r="U25" s="608"/>
      <c r="V25" s="608"/>
      <c r="W25" s="608"/>
      <c r="X25" s="608"/>
      <c r="Y25" s="608"/>
      <c r="AB25" t="s">
        <v>1142</v>
      </c>
      <c r="AC25" s="595"/>
      <c r="AD25" s="595"/>
      <c r="AE25" s="592"/>
    </row>
    <row r="26" spans="1:39" ht="15">
      <c r="A26" s="632">
        <v>2020</v>
      </c>
      <c r="B26" s="632" t="s">
        <v>754</v>
      </c>
      <c r="C26" s="608" t="s">
        <v>728</v>
      </c>
      <c r="D26" s="608" t="s">
        <v>723</v>
      </c>
      <c r="E26" s="608" t="s">
        <v>504</v>
      </c>
      <c r="F26" s="610">
        <v>358864.99152101699</v>
      </c>
      <c r="G26" s="610">
        <v>1004593.98528707</v>
      </c>
      <c r="H26" s="610">
        <v>4748034.68451453</v>
      </c>
      <c r="I26" s="610">
        <v>117154388.549593</v>
      </c>
      <c r="J26" s="598">
        <v>324016052.07356298</v>
      </c>
      <c r="K26" s="610">
        <v>1537827204.3643701</v>
      </c>
      <c r="L26" s="610">
        <v>20.324557141558898</v>
      </c>
      <c r="M26" s="608"/>
      <c r="N26" s="608"/>
      <c r="O26" s="608"/>
      <c r="P26" s="608"/>
      <c r="Q26" s="608"/>
      <c r="R26" s="608"/>
      <c r="S26" s="608"/>
      <c r="T26" s="628">
        <v>1000000</v>
      </c>
      <c r="U26" s="608"/>
      <c r="V26" s="608"/>
      <c r="W26" s="608"/>
      <c r="X26" s="608"/>
      <c r="Y26" s="608"/>
      <c r="AB26" t="s">
        <v>1136</v>
      </c>
      <c r="AC26" s="676" t="s">
        <v>1143</v>
      </c>
      <c r="AD26" s="676">
        <v>5</v>
      </c>
      <c r="AE26" s="676">
        <v>5</v>
      </c>
      <c r="AF26" s="676">
        <v>5</v>
      </c>
      <c r="AG26" s="676">
        <v>5</v>
      </c>
      <c r="AH26" s="676">
        <v>5</v>
      </c>
      <c r="AI26" s="676">
        <v>5</v>
      </c>
    </row>
    <row r="27" spans="1:39" ht="15">
      <c r="A27" s="632">
        <v>2020</v>
      </c>
      <c r="B27" s="632" t="s">
        <v>754</v>
      </c>
      <c r="C27" s="608" t="s">
        <v>728</v>
      </c>
      <c r="D27" s="608" t="s">
        <v>723</v>
      </c>
      <c r="E27" s="608" t="s">
        <v>725</v>
      </c>
      <c r="F27" s="610">
        <v>7.2340493636247101E-5</v>
      </c>
      <c r="G27" s="610">
        <v>1.89531912025855E-3</v>
      </c>
      <c r="H27" s="610">
        <v>4.3025603073563899E-3</v>
      </c>
      <c r="I27" s="610">
        <v>2.22210109766365E-2</v>
      </c>
      <c r="J27" s="598">
        <v>0.58449261555239096</v>
      </c>
      <c r="K27" s="610">
        <v>1.32497752954902</v>
      </c>
      <c r="L27" s="610">
        <v>26.645140203320999</v>
      </c>
      <c r="M27" s="608"/>
      <c r="N27" s="608"/>
      <c r="O27" s="608"/>
      <c r="P27" s="608"/>
      <c r="Q27" s="610"/>
      <c r="R27" s="608"/>
      <c r="S27" s="608"/>
      <c r="T27" s="608"/>
      <c r="U27" s="608"/>
      <c r="V27" s="608"/>
      <c r="W27" s="608"/>
      <c r="X27" s="608"/>
      <c r="Y27" s="608"/>
      <c r="AB27" t="s">
        <v>1137</v>
      </c>
      <c r="AC27" s="676" t="s">
        <v>1144</v>
      </c>
      <c r="AD27" s="676">
        <v>1.0000000000000001E-5</v>
      </c>
      <c r="AE27" s="676">
        <v>1.0000000000000001E-5</v>
      </c>
      <c r="AF27" s="676">
        <v>1.0000000000000001E-5</v>
      </c>
      <c r="AG27" s="676">
        <v>1.0000000000000001E-5</v>
      </c>
      <c r="AH27" s="676">
        <v>1.0000000000000001E-5</v>
      </c>
      <c r="AI27" s="676">
        <v>1.0000000000000001E-5</v>
      </c>
    </row>
    <row r="28" spans="1:39" ht="15">
      <c r="A28" s="632">
        <v>2020</v>
      </c>
      <c r="B28" s="632" t="s">
        <v>754</v>
      </c>
      <c r="C28" s="608" t="s">
        <v>728</v>
      </c>
      <c r="D28" s="608" t="s">
        <v>726</v>
      </c>
      <c r="E28" s="608" t="s">
        <v>504</v>
      </c>
      <c r="F28" s="610">
        <v>399463.72303582297</v>
      </c>
      <c r="G28" s="610">
        <v>1287007.8197236201</v>
      </c>
      <c r="H28" s="610">
        <v>5875674.9522652104</v>
      </c>
      <c r="I28" s="610">
        <v>131319034.640044</v>
      </c>
      <c r="J28" s="598">
        <v>419093055.85157001</v>
      </c>
      <c r="K28" s="610">
        <v>1920646715.5727899</v>
      </c>
      <c r="L28" s="610">
        <v>21.940743475643998</v>
      </c>
      <c r="M28" s="608"/>
      <c r="N28" s="608"/>
      <c r="O28" s="608"/>
      <c r="P28" s="608"/>
      <c r="Q28" s="608"/>
      <c r="R28" s="608"/>
      <c r="S28" s="608"/>
      <c r="T28" s="608"/>
      <c r="U28" s="608"/>
      <c r="V28" s="608"/>
      <c r="W28" s="608"/>
      <c r="X28" s="608"/>
      <c r="Y28" s="608"/>
      <c r="AB28" t="s">
        <v>1138</v>
      </c>
      <c r="AC28" s="580" t="s">
        <v>1139</v>
      </c>
      <c r="AD28">
        <v>8</v>
      </c>
      <c r="AE28" s="1161">
        <v>8</v>
      </c>
      <c r="AF28" s="1161">
        <v>8</v>
      </c>
      <c r="AG28" s="1161">
        <v>8</v>
      </c>
      <c r="AH28" s="1161">
        <v>8</v>
      </c>
      <c r="AI28" s="1161">
        <v>8</v>
      </c>
    </row>
    <row r="29" spans="1:39" ht="15">
      <c r="A29" s="632">
        <v>2020</v>
      </c>
      <c r="B29" s="632" t="s">
        <v>754</v>
      </c>
      <c r="C29" s="608" t="s">
        <v>728</v>
      </c>
      <c r="D29" s="608" t="s">
        <v>726</v>
      </c>
      <c r="E29" s="608" t="s">
        <v>725</v>
      </c>
      <c r="F29" s="610">
        <v>1.1585716426676399E-4</v>
      </c>
      <c r="G29" s="610">
        <v>3.1236812770650498E-3</v>
      </c>
      <c r="H29" s="610">
        <v>7.0182984471127002E-3</v>
      </c>
      <c r="I29" s="610">
        <v>3.8428690080308997E-2</v>
      </c>
      <c r="J29" s="598">
        <v>1.0362533128232201</v>
      </c>
      <c r="K29" s="610">
        <v>2.3281234774038801</v>
      </c>
      <c r="L29" s="610">
        <v>26.784859102171101</v>
      </c>
      <c r="M29" s="608"/>
      <c r="N29" s="608"/>
      <c r="O29" s="608"/>
      <c r="P29" s="608"/>
      <c r="Q29" s="608"/>
      <c r="R29" s="608"/>
      <c r="S29" s="608"/>
      <c r="T29" s="608"/>
      <c r="U29" s="608"/>
      <c r="V29" s="608"/>
      <c r="W29" s="608"/>
      <c r="X29" s="608"/>
      <c r="Y29" s="608"/>
      <c r="AB29" t="s">
        <v>601</v>
      </c>
      <c r="AC29" s="676" t="s">
        <v>373</v>
      </c>
      <c r="AD29">
        <v>618</v>
      </c>
      <c r="AE29" s="1161">
        <f>618/0.9</f>
        <v>686.66666666666663</v>
      </c>
      <c r="AF29" s="1161">
        <f>618/0.9/0.7</f>
        <v>980.95238095238096</v>
      </c>
      <c r="AG29" s="725">
        <f>618/0.9/0.5</f>
        <v>1373.3333333333333</v>
      </c>
      <c r="AH29" s="1161">
        <f>618/0.9/0.3</f>
        <v>2288.8888888888887</v>
      </c>
      <c r="AI29" s="1161">
        <v>2127</v>
      </c>
    </row>
    <row r="30" spans="1:39" ht="15">
      <c r="A30" s="632">
        <v>2020</v>
      </c>
      <c r="B30" s="632" t="s">
        <v>754</v>
      </c>
      <c r="C30" s="608" t="s">
        <v>728</v>
      </c>
      <c r="D30" s="608" t="s">
        <v>727</v>
      </c>
      <c r="E30" s="608" t="s">
        <v>504</v>
      </c>
      <c r="F30" s="610">
        <v>281183.20701954002</v>
      </c>
      <c r="G30" s="610">
        <v>1751823.05882607</v>
      </c>
      <c r="H30" s="610">
        <v>6490758.8488055198</v>
      </c>
      <c r="I30" s="610">
        <v>91367226.011902198</v>
      </c>
      <c r="J30" s="598">
        <v>566456112.67522895</v>
      </c>
      <c r="K30" s="610">
        <v>2102434034.68678</v>
      </c>
      <c r="L30" s="610">
        <v>22.218430703606298</v>
      </c>
      <c r="M30" s="608"/>
      <c r="N30" s="608"/>
      <c r="O30" s="608"/>
      <c r="P30" s="608"/>
      <c r="Q30" s="608"/>
      <c r="R30" s="608"/>
      <c r="S30" s="608"/>
      <c r="T30" s="608"/>
      <c r="U30" s="608"/>
      <c r="V30" s="608"/>
      <c r="W30" s="608"/>
      <c r="X30" s="608"/>
      <c r="Y30" s="608"/>
      <c r="AB30" t="s">
        <v>843</v>
      </c>
      <c r="AC30" s="676" t="s">
        <v>1140</v>
      </c>
      <c r="AD30">
        <v>1</v>
      </c>
      <c r="AE30" s="1161">
        <v>1</v>
      </c>
      <c r="AF30" s="1161">
        <v>1</v>
      </c>
      <c r="AG30" s="1161">
        <v>1</v>
      </c>
      <c r="AH30" s="1161">
        <v>1</v>
      </c>
      <c r="AI30" s="1161">
        <v>1</v>
      </c>
    </row>
    <row r="31" spans="1:39" ht="15">
      <c r="A31" s="632">
        <v>2020</v>
      </c>
      <c r="B31" s="632" t="s">
        <v>754</v>
      </c>
      <c r="C31" s="608" t="s">
        <v>728</v>
      </c>
      <c r="D31" s="608" t="s">
        <v>727</v>
      </c>
      <c r="E31" s="608" t="s">
        <v>725</v>
      </c>
      <c r="F31" s="610">
        <v>25.698333146090899</v>
      </c>
      <c r="G31" s="610">
        <v>897.01001657596998</v>
      </c>
      <c r="H31" s="610">
        <v>1838.8329200308499</v>
      </c>
      <c r="I31" s="610">
        <v>8946.6848505504695</v>
      </c>
      <c r="J31" s="598">
        <v>312287.47920084099</v>
      </c>
      <c r="K31" s="610">
        <v>640176.19082055998</v>
      </c>
      <c r="L31" s="610">
        <v>27.018692270515999</v>
      </c>
      <c r="M31" s="608"/>
      <c r="N31" s="608"/>
      <c r="O31" s="608"/>
      <c r="P31" s="608"/>
      <c r="Q31" s="608"/>
      <c r="R31" s="608"/>
      <c r="S31" s="608"/>
      <c r="T31" s="608"/>
      <c r="U31" s="608"/>
      <c r="V31" s="608"/>
      <c r="W31" s="608"/>
      <c r="X31" s="608"/>
      <c r="Y31" s="608"/>
      <c r="AC31" s="676" t="s">
        <v>1141</v>
      </c>
      <c r="AD31" s="1267">
        <f t="shared" ref="AD31:AI31" si="7">(PMT(0.04,AD28,AD26)/(-AD29*AD30)+(AD27/AD30))*1000</f>
        <v>1.2116814890510752</v>
      </c>
      <c r="AE31" s="1267">
        <f t="shared" si="7"/>
        <v>1.091513340145968</v>
      </c>
      <c r="AF31" s="1267">
        <f t="shared" si="7"/>
        <v>0.76705933810217752</v>
      </c>
      <c r="AG31" s="1267">
        <f t="shared" si="7"/>
        <v>0.55075667007298401</v>
      </c>
      <c r="AH31" s="1267">
        <f t="shared" si="7"/>
        <v>0.33445400204379039</v>
      </c>
      <c r="AI31" s="1267">
        <f t="shared" si="7"/>
        <v>0.35914864138860586</v>
      </c>
    </row>
    <row r="32" spans="1:39" ht="15">
      <c r="A32" s="632">
        <v>2020</v>
      </c>
      <c r="B32" s="632" t="s">
        <v>754</v>
      </c>
      <c r="C32" s="608" t="s">
        <v>728</v>
      </c>
      <c r="D32" s="608" t="s">
        <v>727</v>
      </c>
      <c r="E32" s="608" t="s">
        <v>503</v>
      </c>
      <c r="F32" s="610">
        <v>55.580472288371602</v>
      </c>
      <c r="G32" s="610">
        <v>3257.298245982</v>
      </c>
      <c r="H32" s="610">
        <v>6514.5964919640101</v>
      </c>
      <c r="I32" s="610">
        <v>19312.382659837702</v>
      </c>
      <c r="J32" s="598">
        <v>1136747.96315538</v>
      </c>
      <c r="K32" s="610">
        <v>2273495.92631076</v>
      </c>
      <c r="L32" s="610">
        <v>30</v>
      </c>
      <c r="M32" s="608"/>
      <c r="N32" s="608"/>
      <c r="O32" s="608"/>
      <c r="P32" s="608"/>
      <c r="Q32" s="608"/>
      <c r="R32" s="608"/>
      <c r="S32" s="608"/>
      <c r="T32" s="608"/>
      <c r="U32" s="608"/>
      <c r="V32" s="608"/>
      <c r="W32" s="608"/>
      <c r="X32" s="608"/>
      <c r="Y32" s="608"/>
      <c r="AC32" s="676" t="s">
        <v>870</v>
      </c>
      <c r="AD32" s="715">
        <f>AD29/365</f>
        <v>1.6931506849315068</v>
      </c>
      <c r="AE32" s="715">
        <f t="shared" ref="AE32" si="8">AE29/365</f>
        <v>1.8812785388127853</v>
      </c>
      <c r="AF32" s="715">
        <f t="shared" ref="AF32" si="9">AF29/365</f>
        <v>2.6875407697325504</v>
      </c>
      <c r="AG32" s="715">
        <f>AG29/365</f>
        <v>3.7625570776255706</v>
      </c>
      <c r="AH32" s="715">
        <f>AH29/365</f>
        <v>6.2709284627092838</v>
      </c>
      <c r="AI32" s="715">
        <f>AI29/365</f>
        <v>5.8273972602739725</v>
      </c>
    </row>
    <row r="33" spans="1:25" ht="15">
      <c r="A33" s="632">
        <v>2030</v>
      </c>
      <c r="B33" s="632" t="s">
        <v>754</v>
      </c>
      <c r="C33" s="608" t="s">
        <v>722</v>
      </c>
      <c r="D33" s="608" t="s">
        <v>723</v>
      </c>
      <c r="E33" s="608" t="s">
        <v>504</v>
      </c>
      <c r="F33" s="610">
        <v>927844.03498112306</v>
      </c>
      <c r="G33" s="610">
        <v>2057821.4984909999</v>
      </c>
      <c r="H33" s="610">
        <v>10028677.208187601</v>
      </c>
      <c r="I33" s="610">
        <v>307268167.14813799</v>
      </c>
      <c r="J33" s="598">
        <v>659373281.804021</v>
      </c>
      <c r="K33" s="610">
        <v>3247481205.7458501</v>
      </c>
      <c r="L33" s="610">
        <v>20.137805102636101</v>
      </c>
      <c r="M33" s="608"/>
      <c r="N33" s="608"/>
      <c r="O33" s="608"/>
      <c r="P33" s="608"/>
      <c r="Q33" s="608"/>
      <c r="R33" s="608"/>
      <c r="S33" s="608"/>
      <c r="T33" s="608"/>
      <c r="U33" s="608"/>
      <c r="V33" s="608"/>
      <c r="W33" s="608"/>
      <c r="X33" s="608"/>
      <c r="Y33" s="608"/>
    </row>
    <row r="34" spans="1:25" ht="15">
      <c r="A34" s="632">
        <v>2030</v>
      </c>
      <c r="B34" s="632" t="s">
        <v>754</v>
      </c>
      <c r="C34" s="608" t="s">
        <v>722</v>
      </c>
      <c r="D34" s="608" t="s">
        <v>723</v>
      </c>
      <c r="E34" s="608" t="s">
        <v>725</v>
      </c>
      <c r="F34" s="610">
        <v>1.6242166416269299E-6</v>
      </c>
      <c r="G34" s="610">
        <v>4.0970276816277497E-5</v>
      </c>
      <c r="H34" s="610">
        <v>9.4300253874934694E-5</v>
      </c>
      <c r="I34" s="610">
        <v>5.4054289086025197E-4</v>
      </c>
      <c r="J34" s="598">
        <v>1.36362044369114E-2</v>
      </c>
      <c r="K34" s="610">
        <v>3.1385116003796197E-2</v>
      </c>
      <c r="L34" s="610">
        <v>26.072351744550701</v>
      </c>
    </row>
    <row r="35" spans="1:25" ht="15">
      <c r="A35" s="632">
        <v>2030</v>
      </c>
      <c r="B35" s="632" t="s">
        <v>754</v>
      </c>
      <c r="C35" s="608" t="s">
        <v>722</v>
      </c>
      <c r="D35" s="608" t="s">
        <v>726</v>
      </c>
      <c r="E35" s="608" t="s">
        <v>504</v>
      </c>
      <c r="F35" s="610">
        <v>305383.56160175899</v>
      </c>
      <c r="G35" s="610">
        <v>807529.44560131698</v>
      </c>
      <c r="H35" s="610">
        <v>3945557.3315554601</v>
      </c>
      <c r="I35" s="610">
        <v>101364884.234349</v>
      </c>
      <c r="J35" s="598">
        <v>265278911.84987801</v>
      </c>
      <c r="K35" s="610">
        <v>1301504246.3657401</v>
      </c>
      <c r="L35" s="610">
        <v>22.601227666969098</v>
      </c>
      <c r="N35" s="156"/>
    </row>
    <row r="36" spans="1:25" ht="15">
      <c r="A36" s="632">
        <v>2030</v>
      </c>
      <c r="B36" s="632" t="s">
        <v>754</v>
      </c>
      <c r="C36" s="608" t="s">
        <v>722</v>
      </c>
      <c r="D36" s="608" t="s">
        <v>726</v>
      </c>
      <c r="E36" s="608" t="s">
        <v>725</v>
      </c>
      <c r="F36" s="610">
        <v>4.7872851470565101E-5</v>
      </c>
      <c r="G36" s="610">
        <v>2.2064084958494001E-3</v>
      </c>
      <c r="H36" s="610">
        <v>4.4336661403563899E-3</v>
      </c>
      <c r="I36" s="610">
        <v>1.5772888330673099E-2</v>
      </c>
      <c r="J36" s="598">
        <v>0.726184477887589</v>
      </c>
      <c r="K36" s="610">
        <v>1.45935928542213</v>
      </c>
      <c r="L36" s="610">
        <v>28.653928481319699</v>
      </c>
    </row>
    <row r="37" spans="1:25" ht="15">
      <c r="A37" s="632">
        <v>2030</v>
      </c>
      <c r="B37" s="632" t="s">
        <v>754</v>
      </c>
      <c r="C37" s="608" t="s">
        <v>722</v>
      </c>
      <c r="D37" s="608" t="s">
        <v>726</v>
      </c>
      <c r="E37" s="608" t="s">
        <v>503</v>
      </c>
      <c r="F37" s="610">
        <v>497.62746954595002</v>
      </c>
      <c r="G37" s="610">
        <v>28605.084240350199</v>
      </c>
      <c r="H37" s="610">
        <v>57210.1684807005</v>
      </c>
      <c r="I37" s="610">
        <v>150210.33299827401</v>
      </c>
      <c r="J37" s="598">
        <v>8650572.9429873191</v>
      </c>
      <c r="K37" s="610">
        <v>17301145.885974601</v>
      </c>
      <c r="L37" s="610">
        <v>30</v>
      </c>
    </row>
    <row r="38" spans="1:25" ht="15">
      <c r="A38" s="632">
        <v>2030</v>
      </c>
      <c r="B38" s="632" t="s">
        <v>754</v>
      </c>
      <c r="C38" s="608" t="s">
        <v>722</v>
      </c>
      <c r="D38" s="608" t="s">
        <v>727</v>
      </c>
      <c r="E38" s="608" t="s">
        <v>504</v>
      </c>
      <c r="F38" s="610">
        <v>114305.02649489501</v>
      </c>
      <c r="G38" s="610">
        <v>582819.90145992697</v>
      </c>
      <c r="H38" s="610">
        <v>2300542.42223224</v>
      </c>
      <c r="I38" s="610">
        <v>37678507.0709261</v>
      </c>
      <c r="J38" s="598">
        <v>190922574.439228</v>
      </c>
      <c r="K38" s="610">
        <v>755462348.49221897</v>
      </c>
      <c r="L38" s="610">
        <v>22.4127177526738</v>
      </c>
    </row>
    <row r="39" spans="1:25" ht="15">
      <c r="A39" s="632">
        <v>2030</v>
      </c>
      <c r="B39" s="632" t="s">
        <v>754</v>
      </c>
      <c r="C39" s="608" t="s">
        <v>722</v>
      </c>
      <c r="D39" s="608" t="s">
        <v>727</v>
      </c>
      <c r="E39" s="608" t="s">
        <v>725</v>
      </c>
      <c r="F39" s="610">
        <v>36.930440651343297</v>
      </c>
      <c r="G39" s="610">
        <v>1452.06189727787</v>
      </c>
      <c r="H39" s="610">
        <v>2984.6206932432001</v>
      </c>
      <c r="I39" s="610">
        <v>12261.542854806399</v>
      </c>
      <c r="J39" s="598">
        <v>480237.64376050298</v>
      </c>
      <c r="K39" s="610">
        <v>987623.24740170105</v>
      </c>
      <c r="L39" s="610">
        <v>28.443719984351699</v>
      </c>
    </row>
    <row r="40" spans="1:25" ht="15">
      <c r="A40" s="632">
        <v>2030</v>
      </c>
      <c r="B40" s="632" t="s">
        <v>754</v>
      </c>
      <c r="C40" s="608" t="s">
        <v>722</v>
      </c>
      <c r="D40" s="608" t="s">
        <v>727</v>
      </c>
      <c r="E40" s="608" t="s">
        <v>503</v>
      </c>
      <c r="F40" s="610">
        <v>483.29712262550402</v>
      </c>
      <c r="G40" s="610">
        <v>27808.283642394599</v>
      </c>
      <c r="H40" s="610">
        <v>55616.567284789096</v>
      </c>
      <c r="I40" s="610">
        <v>146772.90727547201</v>
      </c>
      <c r="J40" s="598">
        <v>8463845.6763434708</v>
      </c>
      <c r="K40" s="610">
        <v>16927691.352686901</v>
      </c>
      <c r="L40" s="610">
        <v>30</v>
      </c>
    </row>
    <row r="41" spans="1:25" ht="15">
      <c r="A41" s="632">
        <v>2030</v>
      </c>
      <c r="B41" s="632" t="s">
        <v>754</v>
      </c>
      <c r="C41" s="608" t="s">
        <v>728</v>
      </c>
      <c r="D41" s="608" t="s">
        <v>723</v>
      </c>
      <c r="E41" s="608" t="s">
        <v>504</v>
      </c>
      <c r="F41" s="610">
        <v>378053.37686274399</v>
      </c>
      <c r="G41" s="610">
        <v>1057969.7920934199</v>
      </c>
      <c r="H41" s="610">
        <v>5003539.0038863001</v>
      </c>
      <c r="I41" s="610">
        <v>123802773.965114</v>
      </c>
      <c r="J41" s="598">
        <v>342767098.76448202</v>
      </c>
      <c r="K41" s="610">
        <v>1627067125.9687901</v>
      </c>
      <c r="L41" s="610">
        <v>20.324557141558898</v>
      </c>
    </row>
    <row r="42" spans="1:25" ht="15">
      <c r="A42" s="632">
        <v>2030</v>
      </c>
      <c r="B42" s="632" t="s">
        <v>754</v>
      </c>
      <c r="C42" s="608" t="s">
        <v>728</v>
      </c>
      <c r="D42" s="608" t="s">
        <v>723</v>
      </c>
      <c r="E42" s="608" t="s">
        <v>725</v>
      </c>
      <c r="F42" s="610">
        <v>1.48287484722509E-4</v>
      </c>
      <c r="G42" s="610">
        <v>4.5319429434929701E-3</v>
      </c>
      <c r="H42" s="610">
        <v>9.7319130021602494E-3</v>
      </c>
      <c r="I42" s="610">
        <v>4.1698246105625003E-2</v>
      </c>
      <c r="J42" s="598">
        <v>1.2597730662568301</v>
      </c>
      <c r="K42" s="610">
        <v>2.7161072025359498</v>
      </c>
      <c r="L42" s="610">
        <v>27.375186057845301</v>
      </c>
    </row>
    <row r="43" spans="1:25" ht="15">
      <c r="A43" s="632">
        <v>2030</v>
      </c>
      <c r="B43" s="632" t="s">
        <v>754</v>
      </c>
      <c r="C43" s="608" t="s">
        <v>728</v>
      </c>
      <c r="D43" s="608" t="s">
        <v>726</v>
      </c>
      <c r="E43" s="608" t="s">
        <v>504</v>
      </c>
      <c r="F43" s="610">
        <v>398952.59559573099</v>
      </c>
      <c r="G43" s="610">
        <v>1278096.00688455</v>
      </c>
      <c r="H43" s="610">
        <v>5848848.2989727696</v>
      </c>
      <c r="I43" s="610">
        <v>131944756.467526</v>
      </c>
      <c r="J43" s="598">
        <v>419192996.37979501</v>
      </c>
      <c r="K43" s="610">
        <v>1924839326.8942101</v>
      </c>
      <c r="L43" s="610">
        <v>21.9451416047267</v>
      </c>
    </row>
    <row r="44" spans="1:25" ht="15">
      <c r="A44" s="632">
        <v>2030</v>
      </c>
      <c r="B44" s="632" t="s">
        <v>754</v>
      </c>
      <c r="C44" s="608" t="s">
        <v>728</v>
      </c>
      <c r="D44" s="608" t="s">
        <v>726</v>
      </c>
      <c r="E44" s="608" t="s">
        <v>725</v>
      </c>
      <c r="F44" s="610">
        <v>1.20294417248701E-4</v>
      </c>
      <c r="G44" s="610">
        <v>3.2765426865121799E-3</v>
      </c>
      <c r="H44" s="610">
        <v>7.33398867815074E-3</v>
      </c>
      <c r="I44" s="610">
        <v>3.9530692976313703E-2</v>
      </c>
      <c r="J44" s="598">
        <v>1.0739742522369</v>
      </c>
      <c r="K44" s="610">
        <v>2.4061852217096402</v>
      </c>
      <c r="L44" s="610">
        <v>26.827724877352502</v>
      </c>
    </row>
    <row r="45" spans="1:25" ht="15">
      <c r="A45" s="632">
        <v>2030</v>
      </c>
      <c r="B45" s="632" t="s">
        <v>754</v>
      </c>
      <c r="C45" s="608" t="s">
        <v>728</v>
      </c>
      <c r="D45" s="608" t="s">
        <v>727</v>
      </c>
      <c r="E45" s="608" t="s">
        <v>504</v>
      </c>
      <c r="F45" s="610">
        <v>277090.49853953102</v>
      </c>
      <c r="G45" s="610">
        <v>1712329.56952585</v>
      </c>
      <c r="H45" s="610">
        <v>6361039.6051181396</v>
      </c>
      <c r="I45" s="610">
        <v>90603640.474229306</v>
      </c>
      <c r="J45" s="598">
        <v>557539798.76392901</v>
      </c>
      <c r="K45" s="610">
        <v>2074273863.4419899</v>
      </c>
      <c r="L45" s="610">
        <v>22.222237803978299</v>
      </c>
    </row>
    <row r="46" spans="1:25" ht="15">
      <c r="A46" s="632">
        <v>2030</v>
      </c>
      <c r="B46" s="632" t="s">
        <v>754</v>
      </c>
      <c r="C46" s="608" t="s">
        <v>728</v>
      </c>
      <c r="D46" s="608" t="s">
        <v>727</v>
      </c>
      <c r="E46" s="608" t="s">
        <v>725</v>
      </c>
      <c r="F46" s="610">
        <v>25.9533083891518</v>
      </c>
      <c r="G46" s="610">
        <v>905.90427764822095</v>
      </c>
      <c r="H46" s="610">
        <v>1857.06961756736</v>
      </c>
      <c r="I46" s="610">
        <v>9108.3060558274101</v>
      </c>
      <c r="J46" s="598">
        <v>317927.47224908997</v>
      </c>
      <c r="K46" s="610">
        <v>651738.91174342297</v>
      </c>
      <c r="L46" s="610">
        <v>27.442967182687699</v>
      </c>
    </row>
    <row r="47" spans="1:25" ht="15">
      <c r="A47" s="634">
        <v>2030</v>
      </c>
      <c r="B47" s="634" t="s">
        <v>754</v>
      </c>
      <c r="C47" s="619" t="s">
        <v>728</v>
      </c>
      <c r="D47" s="619" t="s">
        <v>727</v>
      </c>
      <c r="E47" s="619" t="s">
        <v>503</v>
      </c>
      <c r="F47" s="620">
        <v>55.420162153752202</v>
      </c>
      <c r="G47" s="620">
        <v>3247.6439508870399</v>
      </c>
      <c r="H47" s="620">
        <v>6495.2879017740797</v>
      </c>
      <c r="I47" s="620">
        <v>19252.438523586199</v>
      </c>
      <c r="J47" s="597">
        <v>1133123.9741048201</v>
      </c>
      <c r="K47" s="620">
        <v>2266247.9482096401</v>
      </c>
      <c r="L47" s="620">
        <v>30</v>
      </c>
    </row>
    <row r="48" spans="1:25" ht="15">
      <c r="A48" s="632">
        <v>2010</v>
      </c>
      <c r="B48" s="632" t="s">
        <v>736</v>
      </c>
      <c r="C48" s="608" t="s">
        <v>722</v>
      </c>
      <c r="D48" s="608" t="s">
        <v>723</v>
      </c>
      <c r="E48" s="608" t="s">
        <v>504</v>
      </c>
      <c r="F48" s="610">
        <v>951589.46567343303</v>
      </c>
      <c r="G48" s="610">
        <v>845737.136830676</v>
      </c>
      <c r="H48" s="610">
        <v>14556594.0742018</v>
      </c>
      <c r="I48" s="610">
        <v>358242458.73897099</v>
      </c>
      <c r="J48" s="598">
        <v>319137388.32489699</v>
      </c>
      <c r="K48" s="610">
        <v>5485826254.8172102</v>
      </c>
      <c r="L48" s="610">
        <v>6.0190505760248501</v>
      </c>
    </row>
    <row r="49" spans="1:12" ht="15">
      <c r="A49" s="632">
        <v>2010</v>
      </c>
      <c r="B49" s="632" t="s">
        <v>736</v>
      </c>
      <c r="C49" s="608" t="s">
        <v>722</v>
      </c>
      <c r="D49" s="608" t="s">
        <v>726</v>
      </c>
      <c r="E49" s="608" t="s">
        <v>504</v>
      </c>
      <c r="F49" s="610">
        <v>220865.957278446</v>
      </c>
      <c r="G49" s="610">
        <v>406203.32075277797</v>
      </c>
      <c r="H49" s="610">
        <v>5070165.2763356203</v>
      </c>
      <c r="I49" s="610">
        <v>83885544.277288198</v>
      </c>
      <c r="J49" s="598">
        <v>154409099.38821301</v>
      </c>
      <c r="K49" s="610">
        <v>1926638976.7947199</v>
      </c>
      <c r="L49" s="610">
        <v>5.8724148852749298</v>
      </c>
    </row>
    <row r="50" spans="1:12" ht="15">
      <c r="A50" s="632">
        <v>2010</v>
      </c>
      <c r="B50" s="632" t="s">
        <v>736</v>
      </c>
      <c r="C50" s="608" t="s">
        <v>722</v>
      </c>
      <c r="D50" s="608" t="s">
        <v>727</v>
      </c>
      <c r="E50" s="608" t="s">
        <v>504</v>
      </c>
      <c r="F50" s="610">
        <v>105514.738980765</v>
      </c>
      <c r="G50" s="610">
        <v>489237.76390261698</v>
      </c>
      <c r="H50" s="610">
        <v>3752037.6163011799</v>
      </c>
      <c r="I50" s="610">
        <v>40033688.306940898</v>
      </c>
      <c r="J50" s="598">
        <v>185626226.06479099</v>
      </c>
      <c r="K50" s="610">
        <v>1423600428.98908</v>
      </c>
      <c r="L50" s="610">
        <v>7.1228716658017301</v>
      </c>
    </row>
    <row r="51" spans="1:12" ht="15">
      <c r="A51" s="632">
        <v>2010</v>
      </c>
      <c r="B51" s="632" t="s">
        <v>736</v>
      </c>
      <c r="C51" s="608" t="s">
        <v>728</v>
      </c>
      <c r="D51" s="608" t="s">
        <v>723</v>
      </c>
      <c r="E51" s="608" t="s">
        <v>504</v>
      </c>
      <c r="F51" s="610">
        <v>269460.261660647</v>
      </c>
      <c r="G51" s="610">
        <v>413073.88793317502</v>
      </c>
      <c r="H51" s="610">
        <v>5603553.5581686702</v>
      </c>
      <c r="I51" s="610">
        <v>101846107.330659</v>
      </c>
      <c r="J51" s="598">
        <v>156397814.501142</v>
      </c>
      <c r="K51" s="610">
        <v>2119854052.6963799</v>
      </c>
      <c r="L51" s="610">
        <v>6.0499855518516297</v>
      </c>
    </row>
    <row r="52" spans="1:12" ht="15">
      <c r="A52" s="632">
        <v>2010</v>
      </c>
      <c r="B52" s="632" t="s">
        <v>736</v>
      </c>
      <c r="C52" s="608" t="s">
        <v>728</v>
      </c>
      <c r="D52" s="608" t="s">
        <v>726</v>
      </c>
      <c r="E52" s="608" t="s">
        <v>504</v>
      </c>
      <c r="F52" s="610">
        <v>278029.65334457898</v>
      </c>
      <c r="G52" s="610">
        <v>624487.43010605394</v>
      </c>
      <c r="H52" s="610">
        <v>6941243.78363021</v>
      </c>
      <c r="I52" s="610">
        <v>104824617.32062399</v>
      </c>
      <c r="J52" s="598">
        <v>236135400.388004</v>
      </c>
      <c r="K52" s="610">
        <v>2621194616.1335602</v>
      </c>
      <c r="L52" s="610">
        <v>6.1137123313900199</v>
      </c>
    </row>
    <row r="53" spans="1:12" ht="15">
      <c r="A53" s="632">
        <v>2010</v>
      </c>
      <c r="B53" s="632" t="s">
        <v>736</v>
      </c>
      <c r="C53" s="608" t="s">
        <v>728</v>
      </c>
      <c r="D53" s="608" t="s">
        <v>727</v>
      </c>
      <c r="E53" s="608" t="s">
        <v>504</v>
      </c>
      <c r="F53" s="610">
        <v>253781.44876856299</v>
      </c>
      <c r="G53" s="610">
        <v>1488033.7430684499</v>
      </c>
      <c r="H53" s="610">
        <v>10241014.868509</v>
      </c>
      <c r="I53" s="610">
        <v>96079230.181253299</v>
      </c>
      <c r="J53" s="598">
        <v>563133022.90523601</v>
      </c>
      <c r="K53" s="610">
        <v>3876350888.0884099</v>
      </c>
      <c r="L53" s="610">
        <v>8.1414244876584103</v>
      </c>
    </row>
    <row r="54" spans="1:12" ht="15">
      <c r="A54" s="632">
        <v>2020</v>
      </c>
      <c r="B54" s="632" t="s">
        <v>736</v>
      </c>
      <c r="C54" s="608" t="s">
        <v>722</v>
      </c>
      <c r="D54" s="608" t="s">
        <v>723</v>
      </c>
      <c r="E54" s="608" t="s">
        <v>504</v>
      </c>
      <c r="F54" s="610">
        <v>1091442.22414154</v>
      </c>
      <c r="G54" s="610">
        <v>960006.89846262406</v>
      </c>
      <c r="H54" s="610">
        <v>16566094.342399999</v>
      </c>
      <c r="I54" s="610">
        <v>410970491.39579803</v>
      </c>
      <c r="J54" s="598">
        <v>362404234.15318501</v>
      </c>
      <c r="K54" s="610">
        <v>6245097471.1121101</v>
      </c>
      <c r="L54" s="610">
        <v>6.0190505760248598</v>
      </c>
    </row>
    <row r="55" spans="1:12" ht="15">
      <c r="A55" s="632">
        <v>2020</v>
      </c>
      <c r="B55" s="632" t="s">
        <v>736</v>
      </c>
      <c r="C55" s="608" t="s">
        <v>722</v>
      </c>
      <c r="D55" s="608" t="s">
        <v>726</v>
      </c>
      <c r="E55" s="608" t="s">
        <v>504</v>
      </c>
      <c r="F55" s="610">
        <v>211267.966016091</v>
      </c>
      <c r="G55" s="610">
        <v>385743.74716229702</v>
      </c>
      <c r="H55" s="610">
        <v>4833597.6264761202</v>
      </c>
      <c r="I55" s="610">
        <v>80552172.758486897</v>
      </c>
      <c r="J55" s="598">
        <v>147184613.87667501</v>
      </c>
      <c r="K55" s="610">
        <v>1843754567.9623301</v>
      </c>
      <c r="L55" s="610">
        <v>5.8724148852749298</v>
      </c>
    </row>
    <row r="56" spans="1:12" ht="15">
      <c r="A56" s="632">
        <v>2020</v>
      </c>
      <c r="B56" s="632" t="s">
        <v>736</v>
      </c>
      <c r="C56" s="608" t="s">
        <v>722</v>
      </c>
      <c r="D56" s="608" t="s">
        <v>727</v>
      </c>
      <c r="E56" s="608" t="s">
        <v>504</v>
      </c>
      <c r="F56" s="610">
        <v>93495.933116667802</v>
      </c>
      <c r="G56" s="610">
        <v>427317.14686630201</v>
      </c>
      <c r="H56" s="610">
        <v>3299860.04481347</v>
      </c>
      <c r="I56" s="610">
        <v>35602545.7895694</v>
      </c>
      <c r="J56" s="598">
        <v>162683942.85133001</v>
      </c>
      <c r="K56" s="610">
        <v>1256442225.4570999</v>
      </c>
      <c r="L56" s="610">
        <v>7.1228716658017301</v>
      </c>
    </row>
    <row r="57" spans="1:12" ht="15">
      <c r="A57" s="632">
        <v>2020</v>
      </c>
      <c r="B57" s="632" t="s">
        <v>736</v>
      </c>
      <c r="C57" s="608" t="s">
        <v>728</v>
      </c>
      <c r="D57" s="608" t="s">
        <v>723</v>
      </c>
      <c r="E57" s="608" t="s">
        <v>504</v>
      </c>
      <c r="F57" s="610">
        <v>292298.36818183999</v>
      </c>
      <c r="G57" s="610">
        <v>444741.71408464899</v>
      </c>
      <c r="H57" s="610">
        <v>6055220.1002426902</v>
      </c>
      <c r="I57" s="610">
        <v>110652281.14071</v>
      </c>
      <c r="J57" s="598">
        <v>168678458.822698</v>
      </c>
      <c r="K57" s="610">
        <v>2294533133.4491301</v>
      </c>
      <c r="L57" s="610">
        <v>6.0499855518516297</v>
      </c>
    </row>
    <row r="58" spans="1:12" ht="15">
      <c r="A58" s="632">
        <v>2020</v>
      </c>
      <c r="B58" s="632" t="s">
        <v>736</v>
      </c>
      <c r="C58" s="608" t="s">
        <v>728</v>
      </c>
      <c r="D58" s="608" t="s">
        <v>726</v>
      </c>
      <c r="E58" s="608" t="s">
        <v>504</v>
      </c>
      <c r="F58" s="610">
        <v>269922.768275026</v>
      </c>
      <c r="G58" s="610">
        <v>600694.08701206394</v>
      </c>
      <c r="H58" s="610">
        <v>6710732.2221098403</v>
      </c>
      <c r="I58" s="610">
        <v>102074528.195401</v>
      </c>
      <c r="J58" s="598">
        <v>227840517.14114001</v>
      </c>
      <c r="K58" s="610">
        <v>2541908504.62288</v>
      </c>
      <c r="L58" s="610">
        <v>6.1137123313900199</v>
      </c>
    </row>
    <row r="59" spans="1:12" ht="15">
      <c r="A59" s="632">
        <v>2020</v>
      </c>
      <c r="B59" s="632" t="s">
        <v>736</v>
      </c>
      <c r="C59" s="608" t="s">
        <v>728</v>
      </c>
      <c r="D59" s="608" t="s">
        <v>727</v>
      </c>
      <c r="E59" s="608" t="s">
        <v>504</v>
      </c>
      <c r="F59" s="610">
        <v>232683.780673981</v>
      </c>
      <c r="G59" s="610">
        <v>1351835.90751436</v>
      </c>
      <c r="H59" s="610">
        <v>9341164.3138703909</v>
      </c>
      <c r="I59" s="610">
        <v>88291960.053410798</v>
      </c>
      <c r="J59" s="598">
        <v>512713472.31974399</v>
      </c>
      <c r="K59" s="610">
        <v>3543623314.5936098</v>
      </c>
      <c r="L59" s="610">
        <v>8.1414244876584103</v>
      </c>
    </row>
    <row r="60" spans="1:12" ht="15">
      <c r="A60" s="632">
        <v>2030</v>
      </c>
      <c r="B60" s="632" t="s">
        <v>736</v>
      </c>
      <c r="C60" s="608" t="s">
        <v>722</v>
      </c>
      <c r="D60" s="608" t="s">
        <v>723</v>
      </c>
      <c r="E60" s="608" t="s">
        <v>504</v>
      </c>
      <c r="F60" s="610">
        <v>1217132.8035564099</v>
      </c>
      <c r="G60" s="610">
        <v>1067296.15159844</v>
      </c>
      <c r="H60" s="610">
        <v>18433608.008513801</v>
      </c>
      <c r="I60" s="610">
        <v>458288138.31540102</v>
      </c>
      <c r="J60" s="598">
        <v>403020179.17410398</v>
      </c>
      <c r="K60" s="610">
        <v>6950224795.0423002</v>
      </c>
      <c r="L60" s="610">
        <v>6.0190505760248403</v>
      </c>
    </row>
    <row r="61" spans="1:12" ht="15">
      <c r="A61" s="632">
        <v>2030</v>
      </c>
      <c r="B61" s="632" t="s">
        <v>736</v>
      </c>
      <c r="C61" s="608" t="s">
        <v>722</v>
      </c>
      <c r="D61" s="608" t="s">
        <v>726</v>
      </c>
      <c r="E61" s="608" t="s">
        <v>504</v>
      </c>
      <c r="F61" s="610">
        <v>211746.80775026101</v>
      </c>
      <c r="G61" s="610">
        <v>385720.68924116099</v>
      </c>
      <c r="H61" s="610">
        <v>4840175.8952466501</v>
      </c>
      <c r="I61" s="610">
        <v>80918697.227412805</v>
      </c>
      <c r="J61" s="598">
        <v>147514647.74136201</v>
      </c>
      <c r="K61" s="610">
        <v>1850477382.7311699</v>
      </c>
      <c r="L61" s="610">
        <v>5.8724148852749396</v>
      </c>
    </row>
    <row r="62" spans="1:12" ht="15">
      <c r="A62" s="632">
        <v>2030</v>
      </c>
      <c r="B62" s="632" t="s">
        <v>736</v>
      </c>
      <c r="C62" s="608" t="s">
        <v>722</v>
      </c>
      <c r="D62" s="608" t="s">
        <v>727</v>
      </c>
      <c r="E62" s="608" t="s">
        <v>504</v>
      </c>
      <c r="F62" s="610">
        <v>90219.066421455704</v>
      </c>
      <c r="G62" s="610">
        <v>408473.60969317198</v>
      </c>
      <c r="H62" s="610">
        <v>3168863.6441821</v>
      </c>
      <c r="I62" s="610">
        <v>34433327.325136803</v>
      </c>
      <c r="J62" s="598">
        <v>155844431.909509</v>
      </c>
      <c r="K62" s="610">
        <v>1209251283.2569101</v>
      </c>
      <c r="L62" s="610">
        <v>7.1228716658017301</v>
      </c>
    </row>
    <row r="63" spans="1:12" ht="15">
      <c r="A63" s="632">
        <v>2030</v>
      </c>
      <c r="B63" s="632" t="s">
        <v>736</v>
      </c>
      <c r="C63" s="608" t="s">
        <v>728</v>
      </c>
      <c r="D63" s="608" t="s">
        <v>723</v>
      </c>
      <c r="E63" s="608" t="s">
        <v>504</v>
      </c>
      <c r="F63" s="610">
        <v>309251.328467677</v>
      </c>
      <c r="G63" s="610">
        <v>474621.776855445</v>
      </c>
      <c r="H63" s="610">
        <v>6435348.0575283999</v>
      </c>
      <c r="I63" s="610">
        <v>117187710.955429</v>
      </c>
      <c r="J63" s="598">
        <v>180207563.97303599</v>
      </c>
      <c r="K63" s="610">
        <v>2441111366.7090602</v>
      </c>
      <c r="L63" s="610">
        <v>6.0499855518516199</v>
      </c>
    </row>
    <row r="64" spans="1:12" ht="15">
      <c r="A64" s="632">
        <v>2030</v>
      </c>
      <c r="B64" s="632" t="s">
        <v>736</v>
      </c>
      <c r="C64" s="608" t="s">
        <v>728</v>
      </c>
      <c r="D64" s="608" t="s">
        <v>726</v>
      </c>
      <c r="E64" s="608" t="s">
        <v>504</v>
      </c>
      <c r="F64" s="610">
        <v>275675.77945559501</v>
      </c>
      <c r="G64" s="610">
        <v>613894.34334129596</v>
      </c>
      <c r="H64" s="610">
        <v>6856601.3878753502</v>
      </c>
      <c r="I64" s="610">
        <v>104460722.53474601</v>
      </c>
      <c r="J64" s="598">
        <v>233317076.06539601</v>
      </c>
      <c r="K64" s="610">
        <v>2602412062.1623702</v>
      </c>
      <c r="L64" s="610">
        <v>6.1137123313900199</v>
      </c>
    </row>
    <row r="65" spans="1:12" ht="15">
      <c r="A65" s="632">
        <v>2030</v>
      </c>
      <c r="B65" s="632" t="s">
        <v>736</v>
      </c>
      <c r="C65" s="608" t="s">
        <v>728</v>
      </c>
      <c r="D65" s="608" t="s">
        <v>727</v>
      </c>
      <c r="E65" s="608" t="s">
        <v>504</v>
      </c>
      <c r="F65" s="610">
        <v>234178.809819541</v>
      </c>
      <c r="G65" s="610">
        <v>1352889.5644220901</v>
      </c>
      <c r="H65" s="610">
        <v>9371716.0490117706</v>
      </c>
      <c r="I65" s="610">
        <v>88998216.935798705</v>
      </c>
      <c r="J65" s="598">
        <v>513912107.04796499</v>
      </c>
      <c r="K65" s="610">
        <v>3560758311.75383</v>
      </c>
      <c r="L65" s="610">
        <v>8.1522346419836502</v>
      </c>
    </row>
    <row r="66" spans="1:12" ht="15">
      <c r="A66" s="631"/>
      <c r="B66" s="631"/>
    </row>
    <row r="67" spans="1:12" ht="15">
      <c r="A67" s="631"/>
      <c r="B67" s="631"/>
    </row>
    <row r="68" spans="1:12" ht="15">
      <c r="A68" s="631"/>
      <c r="B68" s="631"/>
    </row>
    <row r="69" spans="1:12" ht="15">
      <c r="A69" s="631"/>
      <c r="B69" s="631"/>
    </row>
    <row r="70" spans="1:12" ht="15">
      <c r="A70" s="631"/>
      <c r="B70" s="631"/>
    </row>
    <row r="71" spans="1:12" ht="15">
      <c r="A71" s="631"/>
      <c r="B71" s="631"/>
    </row>
    <row r="72" spans="1:12" ht="15">
      <c r="A72" s="631"/>
      <c r="B72" s="631"/>
    </row>
    <row r="73" spans="1:12" ht="15">
      <c r="A73" s="631"/>
      <c r="B73" s="631"/>
    </row>
    <row r="74" spans="1:12" ht="15">
      <c r="A74" s="631"/>
      <c r="B74" s="631"/>
    </row>
    <row r="75" spans="1:12" ht="15">
      <c r="A75" s="631"/>
      <c r="B75" s="631"/>
    </row>
    <row r="76" spans="1:12" ht="15">
      <c r="A76" s="631"/>
      <c r="B76" s="631"/>
    </row>
    <row r="77" spans="1:12" ht="15">
      <c r="A77" s="631"/>
      <c r="B77" s="631"/>
    </row>
    <row r="78" spans="1:12" ht="15">
      <c r="A78" s="631"/>
      <c r="B78" s="631"/>
    </row>
    <row r="79" spans="1:12" ht="15">
      <c r="A79" s="631"/>
      <c r="B79" s="631"/>
    </row>
    <row r="80" spans="1:12" ht="15">
      <c r="A80" s="631"/>
      <c r="B80" s="631"/>
    </row>
    <row r="81" spans="1:2" ht="15">
      <c r="A81" s="631"/>
      <c r="B81" s="631"/>
    </row>
  </sheetData>
  <mergeCells count="10">
    <mergeCell ref="AB3:AL3"/>
    <mergeCell ref="U5:U7"/>
    <mergeCell ref="U8:U10"/>
    <mergeCell ref="U17:U19"/>
    <mergeCell ref="U20:U22"/>
    <mergeCell ref="A1:M1"/>
    <mergeCell ref="O5:O7"/>
    <mergeCell ref="O8:O10"/>
    <mergeCell ref="O17:O19"/>
    <mergeCell ref="O20:O22"/>
  </mergeCells>
  <pageMargins left="0.7" right="0.7" top="0.75" bottom="0.75" header="0.3" footer="0.3"/>
  <pageSetup paperSize="9" orientation="portrait"/>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4:V33"/>
  <sheetViews>
    <sheetView zoomScale="90" zoomScaleNormal="90" workbookViewId="0">
      <selection activeCell="G8" sqref="G8"/>
    </sheetView>
  </sheetViews>
  <sheetFormatPr defaultColWidth="8.85546875" defaultRowHeight="12.75"/>
  <cols>
    <col min="1" max="2" width="8.85546875" style="1161"/>
    <col min="3" max="3" width="14" style="1161" bestFit="1" customWidth="1"/>
    <col min="4" max="4" width="67.85546875" style="1161" bestFit="1" customWidth="1"/>
    <col min="5" max="5" width="12.28515625" style="1161" customWidth="1"/>
    <col min="6" max="8" width="8.85546875" style="1161"/>
    <col min="9" max="9" width="15.42578125" style="1161" customWidth="1"/>
    <col min="10" max="10" width="15" style="1161" bestFit="1" customWidth="1"/>
    <col min="11" max="17" width="8.85546875" style="1161"/>
    <col min="18" max="18" width="10.42578125" style="1161" bestFit="1" customWidth="1"/>
    <col min="19" max="19" width="10.5703125" style="1161" bestFit="1" customWidth="1"/>
    <col min="20" max="20" width="10.7109375" style="1161" bestFit="1" customWidth="1"/>
    <col min="21" max="23" width="8.85546875" style="1161"/>
    <col min="24" max="24" width="12.28515625" style="1161" bestFit="1" customWidth="1"/>
    <col min="25" max="16384" width="8.85546875" style="1161"/>
  </cols>
  <sheetData>
    <row r="4" spans="2:22">
      <c r="E4" s="677"/>
      <c r="F4" s="680" t="s">
        <v>8</v>
      </c>
      <c r="G4" s="680"/>
      <c r="H4" s="680"/>
      <c r="I4" s="680"/>
      <c r="J4" s="680"/>
      <c r="K4" s="680"/>
      <c r="L4" s="680"/>
      <c r="M4" s="1186"/>
      <c r="N4" s="658"/>
    </row>
    <row r="5" spans="2:22" ht="25.5">
      <c r="B5" s="757" t="s">
        <v>1</v>
      </c>
      <c r="C5" s="757" t="s">
        <v>2</v>
      </c>
      <c r="D5" s="757" t="s">
        <v>26</v>
      </c>
      <c r="E5" s="757" t="s">
        <v>14</v>
      </c>
      <c r="F5" s="757" t="s">
        <v>15</v>
      </c>
      <c r="G5" s="1018" t="s">
        <v>155</v>
      </c>
      <c r="H5" s="1019" t="s">
        <v>157</v>
      </c>
      <c r="I5" s="1194" t="s">
        <v>853</v>
      </c>
      <c r="J5" s="1017" t="s">
        <v>854</v>
      </c>
      <c r="K5" s="1017" t="s">
        <v>820</v>
      </c>
      <c r="L5" s="757" t="s">
        <v>601</v>
      </c>
      <c r="M5" s="710" t="s">
        <v>0</v>
      </c>
      <c r="N5" s="710" t="s">
        <v>55</v>
      </c>
      <c r="O5" s="710" t="s">
        <v>847</v>
      </c>
      <c r="R5" s="721" t="s">
        <v>757</v>
      </c>
      <c r="S5" s="721" t="s">
        <v>802</v>
      </c>
    </row>
    <row r="6" spans="2:22" ht="34.5" thickBot="1">
      <c r="B6" s="716" t="s">
        <v>27</v>
      </c>
      <c r="C6" s="716"/>
      <c r="D6" s="716"/>
      <c r="E6" s="716"/>
      <c r="F6" s="716"/>
      <c r="G6" s="716" t="s">
        <v>148</v>
      </c>
      <c r="H6" s="716" t="s">
        <v>795</v>
      </c>
      <c r="I6" s="716" t="s">
        <v>78</v>
      </c>
      <c r="J6" s="716" t="s">
        <v>505</v>
      </c>
      <c r="K6" s="716" t="s">
        <v>499</v>
      </c>
      <c r="L6" s="716" t="s">
        <v>77</v>
      </c>
      <c r="M6" s="716"/>
      <c r="N6" s="716" t="s">
        <v>56</v>
      </c>
      <c r="O6" s="716" t="s">
        <v>848</v>
      </c>
    </row>
    <row r="7" spans="2:22">
      <c r="B7" s="694" t="s">
        <v>145</v>
      </c>
      <c r="C7" s="660" t="str">
        <f>Processes!D15</f>
        <v>TPBUDSBL1E</v>
      </c>
      <c r="D7" s="660" t="str">
        <f>Processes!E15</f>
        <v>Transport Passengers Public Buses - Diesel Engine - Blending 1 - Existing</v>
      </c>
      <c r="E7" s="714" t="str">
        <f>Commodities!D70</f>
        <v>TRADSBL1</v>
      </c>
      <c r="F7" s="714" t="s">
        <v>1180</v>
      </c>
      <c r="G7" s="642">
        <f>BUS_data!N8*BUS_data!C28/1000</f>
        <v>3.4422012958897534</v>
      </c>
      <c r="H7" s="535">
        <f>BUS_data!R9*BUS!U11</f>
        <v>11.473503672166046</v>
      </c>
      <c r="I7" s="578">
        <f>F25</f>
        <v>0.19341199522670774</v>
      </c>
      <c r="J7" s="714">
        <v>5</v>
      </c>
      <c r="K7" s="638">
        <f>BUS_data!$D$36</f>
        <v>81.353726000650823</v>
      </c>
      <c r="L7" s="1195">
        <v>46175.971080848401</v>
      </c>
      <c r="M7" s="723">
        <v>1E-3</v>
      </c>
      <c r="N7" s="724">
        <v>8</v>
      </c>
      <c r="O7" s="714">
        <f>1.8/1000</f>
        <v>1.8E-3</v>
      </c>
      <c r="Q7" s="726" t="s">
        <v>1117</v>
      </c>
      <c r="R7" s="1196"/>
      <c r="S7" s="715">
        <f>$G$7*$H$7*I7*$L$7*$M$7</f>
        <v>352.72136400345494</v>
      </c>
    </row>
    <row r="8" spans="2:22">
      <c r="B8" s="694" t="s">
        <v>145</v>
      </c>
      <c r="E8" s="714"/>
      <c r="F8" s="714" t="s">
        <v>1182</v>
      </c>
      <c r="G8" s="714"/>
      <c r="H8" s="714"/>
      <c r="I8" s="578">
        <f t="shared" ref="I8:I10" si="0">F26</f>
        <v>0.55551345643957006</v>
      </c>
      <c r="J8" s="714">
        <v>5</v>
      </c>
      <c r="K8" s="653">
        <f>BUS_data!$D$36</f>
        <v>81.353726000650823</v>
      </c>
      <c r="L8" s="636"/>
      <c r="M8" s="714"/>
      <c r="N8" s="714"/>
      <c r="O8" s="714"/>
      <c r="Q8" s="726" t="s">
        <v>780</v>
      </c>
      <c r="R8" s="1196"/>
      <c r="S8" s="715">
        <f>$G$7*$H$7*I8*$L$7*$M$7</f>
        <v>1013.0781384472369</v>
      </c>
    </row>
    <row r="9" spans="2:22">
      <c r="B9" s="694" t="s">
        <v>145</v>
      </c>
      <c r="C9" s="714"/>
      <c r="D9" s="714"/>
      <c r="E9" s="714"/>
      <c r="F9" s="714" t="s">
        <v>1184</v>
      </c>
      <c r="G9" s="717"/>
      <c r="H9" s="666"/>
      <c r="I9" s="578">
        <f t="shared" si="0"/>
        <v>0.1597159303765317</v>
      </c>
      <c r="J9" s="714">
        <v>5</v>
      </c>
      <c r="K9" s="638">
        <f>BUS_data!$E$36</f>
        <v>102.84891494394734</v>
      </c>
      <c r="L9" s="636"/>
      <c r="M9" s="714"/>
      <c r="N9" s="714"/>
      <c r="O9" s="714"/>
      <c r="Q9" s="726" t="s">
        <v>779</v>
      </c>
      <c r="R9" s="1196"/>
      <c r="S9" s="715">
        <f>$G$7*$H$7*I9*$L$7*$M$7</f>
        <v>291.27056338702158</v>
      </c>
      <c r="U9" s="664" t="s">
        <v>800</v>
      </c>
    </row>
    <row r="10" spans="2:22">
      <c r="B10" s="694" t="s">
        <v>145</v>
      </c>
      <c r="C10" s="714"/>
      <c r="D10" s="714"/>
      <c r="E10" s="714"/>
      <c r="F10" s="714" t="s">
        <v>1186</v>
      </c>
      <c r="G10" s="717"/>
      <c r="H10" s="666"/>
      <c r="I10" s="578">
        <f t="shared" si="0"/>
        <v>9.1358617957190399E-2</v>
      </c>
      <c r="J10" s="714">
        <v>5</v>
      </c>
      <c r="K10" s="638">
        <f>BUS_data!$F$36</f>
        <v>115.30035743110803</v>
      </c>
      <c r="L10" s="636"/>
      <c r="M10" s="714"/>
      <c r="N10" s="714"/>
      <c r="O10" s="714"/>
      <c r="Q10" s="726" t="s">
        <v>781</v>
      </c>
      <c r="R10" s="1196"/>
      <c r="S10" s="715">
        <f>$G$7*$H$7*I10*$L$7*$M$7</f>
        <v>166.60877884827786</v>
      </c>
      <c r="T10" s="718"/>
      <c r="U10" s="722" t="s">
        <v>116</v>
      </c>
      <c r="V10" s="722" t="s">
        <v>117</v>
      </c>
    </row>
    <row r="11" spans="2:22">
      <c r="B11" s="694" t="s">
        <v>145</v>
      </c>
      <c r="C11" s="714" t="str">
        <f>Processes!D16</f>
        <v>TPCODSBL1E</v>
      </c>
      <c r="D11" s="714" t="str">
        <f>Processes!E16</f>
        <v>Transport Passengers Coaches - Diesel Engine - Blending 1 - Existing</v>
      </c>
      <c r="E11" s="714" t="str">
        <f>Commodities!D70</f>
        <v>TRADSBL1</v>
      </c>
      <c r="F11" s="714" t="s">
        <v>1182</v>
      </c>
      <c r="G11" s="717">
        <f>BUS_data!N9*BUS_data!C28/1000</f>
        <v>5.2320861573928097</v>
      </c>
      <c r="H11" s="535">
        <f>BUS_data!R10*BUS!U12</f>
        <v>10.155032123534717</v>
      </c>
      <c r="I11" s="535">
        <f>F31</f>
        <v>0.10287897819772944</v>
      </c>
      <c r="J11" s="714">
        <v>5</v>
      </c>
      <c r="K11" s="653">
        <f>K8</f>
        <v>81.353726000650823</v>
      </c>
      <c r="L11" s="636">
        <v>43171.795936334303</v>
      </c>
      <c r="M11" s="723">
        <v>1E-3</v>
      </c>
      <c r="N11" s="724">
        <v>8</v>
      </c>
      <c r="O11" s="714">
        <f t="shared" ref="O11:O18" si="1">1.8/1000</f>
        <v>1.8E-3</v>
      </c>
      <c r="Q11" s="726" t="s">
        <v>780</v>
      </c>
      <c r="R11" s="1196"/>
      <c r="S11" s="715">
        <f>$G$11*$H$11*I11*$L$11*$M$11</f>
        <v>235.98421080734377</v>
      </c>
      <c r="U11" s="668">
        <v>0.19670000000000001</v>
      </c>
      <c r="V11" s="668">
        <v>0.19670000000000001</v>
      </c>
    </row>
    <row r="12" spans="2:22">
      <c r="B12" s="694" t="s">
        <v>145</v>
      </c>
      <c r="E12" s="714"/>
      <c r="F12" s="714" t="s">
        <v>1184</v>
      </c>
      <c r="G12" s="653"/>
      <c r="H12" s="535"/>
      <c r="I12" s="535">
        <f t="shared" ref="I12:I13" si="2">F32</f>
        <v>0.10155615809083157</v>
      </c>
      <c r="J12" s="714">
        <v>5</v>
      </c>
      <c r="K12" s="653">
        <f t="shared" ref="K12:K13" si="3">K9</f>
        <v>102.84891494394734</v>
      </c>
      <c r="L12" s="636"/>
      <c r="M12" s="714"/>
      <c r="N12" s="714"/>
      <c r="O12" s="714"/>
      <c r="Q12" s="726" t="s">
        <v>779</v>
      </c>
      <c r="R12" s="1196"/>
      <c r="S12" s="715">
        <f t="shared" ref="S12" si="4">$G$11*$H$11*I12*$L$11*$M$11</f>
        <v>232.94992076641421</v>
      </c>
      <c r="U12" s="668">
        <v>0.495</v>
      </c>
      <c r="V12" s="668">
        <v>0.495</v>
      </c>
    </row>
    <row r="13" spans="2:22">
      <c r="B13" s="694" t="s">
        <v>145</v>
      </c>
      <c r="C13" s="714"/>
      <c r="D13" s="714"/>
      <c r="E13" s="714"/>
      <c r="F13" s="714" t="s">
        <v>1186</v>
      </c>
      <c r="G13" s="653"/>
      <c r="H13" s="535"/>
      <c r="I13" s="535">
        <f t="shared" si="2"/>
        <v>0.79556486371143909</v>
      </c>
      <c r="J13" s="714">
        <v>5</v>
      </c>
      <c r="K13" s="653">
        <f t="shared" si="3"/>
        <v>115.30035743110803</v>
      </c>
      <c r="L13" s="636"/>
      <c r="M13" s="723"/>
      <c r="N13" s="724"/>
      <c r="O13" s="714"/>
      <c r="Q13" s="726" t="s">
        <v>781</v>
      </c>
      <c r="R13" s="1196"/>
      <c r="S13" s="715">
        <f>$G$11*$H$11*I13*$L$11*$M$11</f>
        <v>1824.8698596924773</v>
      </c>
    </row>
    <row r="14" spans="2:22">
      <c r="B14" s="661" t="s">
        <v>146</v>
      </c>
      <c r="C14" s="714" t="str">
        <f>Processes!D15</f>
        <v>TPBUDSBL1E</v>
      </c>
      <c r="D14" s="714" t="str">
        <f>Processes!E15</f>
        <v>Transport Passengers Public Buses - Diesel Engine - Blending 1 - Existing</v>
      </c>
      <c r="E14" s="714" t="str">
        <f>Commodities!D70</f>
        <v>TRADSBL1</v>
      </c>
      <c r="F14" s="714" t="s">
        <v>1180</v>
      </c>
      <c r="G14" s="642">
        <f>BUS_data!N8*BUS_data!D28/1000</f>
        <v>2.3127987041102465</v>
      </c>
      <c r="H14" s="535">
        <f>BUS_data!R9*BUS!V11</f>
        <v>11.473503672166046</v>
      </c>
      <c r="I14" s="578">
        <f>F25</f>
        <v>0.19341199522670774</v>
      </c>
      <c r="J14" s="714">
        <v>5</v>
      </c>
      <c r="K14" s="653">
        <f>K7</f>
        <v>81.353726000650823</v>
      </c>
      <c r="L14" s="1201">
        <f>L7</f>
        <v>46175.971080848401</v>
      </c>
      <c r="M14" s="723">
        <v>1E-3</v>
      </c>
      <c r="N14" s="724">
        <v>8</v>
      </c>
      <c r="O14" s="714">
        <f t="shared" si="1"/>
        <v>1.8E-3</v>
      </c>
      <c r="Q14" s="726" t="s">
        <v>1117</v>
      </c>
      <c r="R14" s="1196"/>
      <c r="S14" s="715">
        <f>$G$14*$H$14*I14*$L$14*$M$14</f>
        <v>236.99180944277833</v>
      </c>
    </row>
    <row r="15" spans="2:22">
      <c r="B15" s="661" t="s">
        <v>146</v>
      </c>
      <c r="E15" s="714"/>
      <c r="F15" s="714" t="s">
        <v>1182</v>
      </c>
      <c r="G15" s="714"/>
      <c r="H15" s="714"/>
      <c r="I15" s="578">
        <f>F26</f>
        <v>0.55551345643957006</v>
      </c>
      <c r="J15" s="714">
        <v>5</v>
      </c>
      <c r="K15" s="653">
        <f t="shared" ref="K15:K20" si="5">K8</f>
        <v>81.353726000650823</v>
      </c>
      <c r="L15" s="636"/>
      <c r="Q15" s="726" t="s">
        <v>780</v>
      </c>
      <c r="R15" s="1196"/>
      <c r="S15" s="715">
        <f t="shared" ref="S15:S16" si="6">$G$14*$H$14*I15*$L$14*$M$14</f>
        <v>680.68239023701585</v>
      </c>
      <c r="T15" s="718"/>
      <c r="U15" s="1186" t="s">
        <v>802</v>
      </c>
      <c r="V15" s="1186"/>
    </row>
    <row r="16" spans="2:22">
      <c r="B16" s="661" t="s">
        <v>146</v>
      </c>
      <c r="C16" s="714"/>
      <c r="D16" s="714"/>
      <c r="E16" s="714"/>
      <c r="F16" s="714" t="s">
        <v>1184</v>
      </c>
      <c r="G16" s="642"/>
      <c r="H16" s="535"/>
      <c r="I16" s="578">
        <f>F27</f>
        <v>0.1597159303765317</v>
      </c>
      <c r="J16" s="714">
        <v>5</v>
      </c>
      <c r="K16" s="653">
        <f t="shared" si="5"/>
        <v>102.84891494394734</v>
      </c>
      <c r="L16" s="636"/>
      <c r="M16" s="723"/>
      <c r="N16" s="724"/>
      <c r="O16" s="714"/>
      <c r="Q16" s="726" t="s">
        <v>779</v>
      </c>
      <c r="R16" s="1196"/>
      <c r="S16" s="715">
        <f t="shared" si="6"/>
        <v>195.70330833102463</v>
      </c>
      <c r="U16" s="1161" t="s">
        <v>803</v>
      </c>
      <c r="V16" s="1161" t="s">
        <v>804</v>
      </c>
    </row>
    <row r="17" spans="2:22">
      <c r="B17" s="661" t="s">
        <v>146</v>
      </c>
      <c r="C17" s="714"/>
      <c r="D17" s="714"/>
      <c r="E17" s="714"/>
      <c r="F17" s="714" t="s">
        <v>1186</v>
      </c>
      <c r="G17" s="642"/>
      <c r="H17" s="535"/>
      <c r="I17" s="578">
        <f>F28</f>
        <v>9.1358617957190399E-2</v>
      </c>
      <c r="J17" s="714">
        <v>5</v>
      </c>
      <c r="K17" s="653">
        <f t="shared" si="5"/>
        <v>115.30035743110803</v>
      </c>
      <c r="L17" s="636"/>
      <c r="M17" s="723"/>
      <c r="N17" s="724"/>
      <c r="O17" s="714"/>
      <c r="Q17" s="726" t="s">
        <v>781</v>
      </c>
      <c r="R17" s="1196"/>
      <c r="S17" s="715">
        <f>$G$14*$H$14*I17*$L$14*$M$14</f>
        <v>111.94364730319629</v>
      </c>
      <c r="U17" s="720">
        <f>G7*1/K8*L7*M7+G11*1/K11*L11*M11+G14*1/K15*L14*M14+G18*1/K18*L18*M18</f>
        <v>7.9085252778492272</v>
      </c>
      <c r="V17" s="1161">
        <f>TRA_BAL!D16/1000</f>
        <v>7.399</v>
      </c>
    </row>
    <row r="18" spans="2:22">
      <c r="B18" s="661" t="s">
        <v>146</v>
      </c>
      <c r="C18" s="714" t="str">
        <f>Processes!D16</f>
        <v>TPCODSBL1E</v>
      </c>
      <c r="D18" s="714" t="str">
        <f>Processes!E16</f>
        <v>Transport Passengers Coaches - Diesel Engine - Blending 1 - Existing</v>
      </c>
      <c r="E18" s="714" t="str">
        <f>Commodities!D70</f>
        <v>TRADSBL1</v>
      </c>
      <c r="F18" s="714" t="s">
        <v>1182</v>
      </c>
      <c r="G18" s="653">
        <f>BUS_data!N9*BUS_data!D28/1000</f>
        <v>3.5154138426071904</v>
      </c>
      <c r="H18" s="535">
        <f>BUS_data!R10*BUS!V12</f>
        <v>10.155032123534717</v>
      </c>
      <c r="I18" s="578">
        <f>F31</f>
        <v>0.10287897819772944</v>
      </c>
      <c r="J18" s="714">
        <v>5</v>
      </c>
      <c r="K18" s="653">
        <f t="shared" si="5"/>
        <v>81.353726000650823</v>
      </c>
      <c r="L18" s="636">
        <f>L11</f>
        <v>43171.795936334303</v>
      </c>
      <c r="M18" s="723">
        <v>1E-3</v>
      </c>
      <c r="N18" s="724">
        <v>8</v>
      </c>
      <c r="O18" s="714">
        <f t="shared" si="1"/>
        <v>1.8E-3</v>
      </c>
      <c r="Q18" s="726" t="s">
        <v>780</v>
      </c>
      <c r="R18" s="1196"/>
      <c r="S18" s="715">
        <f>$G$18*$H$18*I18*$L$18*$M$18</f>
        <v>158.55667058094795</v>
      </c>
    </row>
    <row r="19" spans="2:22">
      <c r="B19" s="661" t="s">
        <v>146</v>
      </c>
      <c r="C19" s="714"/>
      <c r="D19" s="714"/>
      <c r="E19" s="714"/>
      <c r="F19" s="714" t="s">
        <v>1184</v>
      </c>
      <c r="G19" s="714"/>
      <c r="H19" s="714"/>
      <c r="I19" s="578">
        <f t="shared" ref="I19:I20" si="7">F32</f>
        <v>0.10155615809083157</v>
      </c>
      <c r="J19" s="1161">
        <v>5</v>
      </c>
      <c r="K19" s="653">
        <f t="shared" si="5"/>
        <v>102.84891494394734</v>
      </c>
      <c r="L19" s="636"/>
      <c r="M19" s="714"/>
      <c r="N19" s="714"/>
      <c r="Q19" s="726" t="s">
        <v>779</v>
      </c>
      <c r="R19" s="1196"/>
      <c r="S19" s="715">
        <f t="shared" ref="S19:S20" si="8">$G$18*$H$18*I19*$L$18*$M$18</f>
        <v>156.51794551192418</v>
      </c>
    </row>
    <row r="20" spans="2:22">
      <c r="B20" s="661" t="s">
        <v>146</v>
      </c>
      <c r="F20" s="714" t="s">
        <v>1186</v>
      </c>
      <c r="I20" s="578">
        <f t="shared" si="7"/>
        <v>0.79556486371143909</v>
      </c>
      <c r="J20" s="1161">
        <v>5</v>
      </c>
      <c r="K20" s="653">
        <f t="shared" si="5"/>
        <v>115.30035743110803</v>
      </c>
      <c r="L20" s="725"/>
      <c r="Q20" s="726" t="s">
        <v>781</v>
      </c>
      <c r="R20" s="1196"/>
      <c r="S20" s="715">
        <f t="shared" si="8"/>
        <v>1226.1213926408864</v>
      </c>
    </row>
    <row r="22" spans="2:22">
      <c r="I22" s="535"/>
      <c r="J22" s="714"/>
    </row>
    <row r="23" spans="2:22">
      <c r="I23" s="569"/>
      <c r="J23" s="714"/>
    </row>
    <row r="24" spans="2:22">
      <c r="E24" s="1161" t="s">
        <v>1121</v>
      </c>
      <c r="I24" s="569"/>
      <c r="J24" s="714"/>
      <c r="K24" s="715"/>
    </row>
    <row r="25" spans="2:22">
      <c r="E25" s="1161" t="s">
        <v>1122</v>
      </c>
      <c r="F25" s="426">
        <v>0.19341199522670774</v>
      </c>
      <c r="I25" s="569"/>
      <c r="J25" s="679"/>
      <c r="K25" s="715"/>
    </row>
    <row r="26" spans="2:22">
      <c r="E26" s="1161" t="s">
        <v>1123</v>
      </c>
      <c r="F26" s="426">
        <v>0.55551345643957006</v>
      </c>
      <c r="K26" s="715"/>
    </row>
    <row r="27" spans="2:22">
      <c r="E27" s="1161" t="s">
        <v>1124</v>
      </c>
      <c r="F27" s="426">
        <v>0.1597159303765317</v>
      </c>
    </row>
    <row r="28" spans="2:22">
      <c r="E28" s="1161" t="s">
        <v>1125</v>
      </c>
      <c r="F28" s="426">
        <v>9.1358617957190399E-2</v>
      </c>
    </row>
    <row r="30" spans="2:22">
      <c r="E30" s="1161" t="s">
        <v>1121</v>
      </c>
    </row>
    <row r="31" spans="2:22">
      <c r="E31" s="1161" t="s">
        <v>1123</v>
      </c>
      <c r="F31" s="426">
        <v>0.10287897819772944</v>
      </c>
    </row>
    <row r="32" spans="2:22">
      <c r="E32" s="1161" t="s">
        <v>1124</v>
      </c>
      <c r="F32" s="426">
        <v>0.10155615809083157</v>
      </c>
    </row>
    <row r="33" spans="5:6">
      <c r="E33" s="1161" t="s">
        <v>1125</v>
      </c>
      <c r="F33" s="426">
        <v>0.79556486371143909</v>
      </c>
    </row>
  </sheetData>
  <pageMargins left="0.7" right="0.7" top="0.75" bottom="0.75" header="0.3" footer="0.3"/>
  <pageSetup paperSize="9" orientation="portrait"/>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4:R41"/>
  <sheetViews>
    <sheetView workbookViewId="0">
      <selection activeCell="H50" sqref="H50"/>
    </sheetView>
  </sheetViews>
  <sheetFormatPr defaultRowHeight="12.75"/>
  <cols>
    <col min="2" max="2" width="21.7109375" customWidth="1"/>
    <col min="3" max="3" width="12" bestFit="1" customWidth="1"/>
    <col min="11" max="11" width="17.5703125" customWidth="1"/>
  </cols>
  <sheetData>
    <row r="4" spans="2:18" ht="17.25">
      <c r="B4" s="647" t="s">
        <v>175</v>
      </c>
      <c r="C4" s="646"/>
      <c r="D4" s="646"/>
      <c r="E4" s="646"/>
      <c r="F4" s="646"/>
      <c r="G4" s="646"/>
      <c r="I4" s="654" t="s">
        <v>798</v>
      </c>
      <c r="J4" s="656"/>
      <c r="K4" s="656"/>
      <c r="L4" s="656"/>
      <c r="M4" s="656"/>
    </row>
    <row r="5" spans="2:18" ht="15">
      <c r="B5" s="676" t="s">
        <v>169</v>
      </c>
      <c r="C5" s="651">
        <v>3049</v>
      </c>
      <c r="D5" s="649"/>
      <c r="E5" s="649"/>
      <c r="F5" s="649"/>
      <c r="G5" s="649"/>
      <c r="I5" s="652" t="s">
        <v>618</v>
      </c>
      <c r="J5" s="656"/>
      <c r="K5" s="656"/>
      <c r="L5" s="656"/>
      <c r="M5" s="656"/>
    </row>
    <row r="6" spans="2:18" ht="15">
      <c r="B6" s="676" t="s">
        <v>171</v>
      </c>
      <c r="C6" s="651">
        <v>3835</v>
      </c>
      <c r="D6" s="649"/>
      <c r="E6" s="649"/>
      <c r="F6" s="649"/>
      <c r="G6" s="649"/>
      <c r="I6" s="656"/>
      <c r="J6" s="656"/>
      <c r="K6" s="656"/>
      <c r="L6" s="655" t="s">
        <v>486</v>
      </c>
      <c r="M6" s="655" t="s">
        <v>487</v>
      </c>
      <c r="N6" t="s">
        <v>799</v>
      </c>
    </row>
    <row r="7" spans="2:18" ht="15">
      <c r="B7" s="676"/>
      <c r="C7" s="681">
        <f>SUM(C5:C6)</f>
        <v>6884</v>
      </c>
      <c r="D7" s="649"/>
      <c r="E7" s="649"/>
      <c r="F7" s="649"/>
      <c r="G7" s="649"/>
      <c r="I7" s="655" t="s">
        <v>120</v>
      </c>
      <c r="J7" s="655" t="s">
        <v>784</v>
      </c>
      <c r="K7" s="655" t="s">
        <v>120</v>
      </c>
      <c r="L7" s="651">
        <v>14509</v>
      </c>
      <c r="M7" s="651">
        <v>14496</v>
      </c>
      <c r="N7" s="663">
        <f>AVERAGE(L7:M7)</f>
        <v>14502.5</v>
      </c>
    </row>
    <row r="8" spans="2:18" ht="15">
      <c r="D8" s="649"/>
      <c r="E8" s="649"/>
      <c r="F8" s="649"/>
      <c r="G8" s="649"/>
      <c r="I8" s="656"/>
      <c r="J8" s="656"/>
      <c r="K8" s="655" t="s">
        <v>786</v>
      </c>
      <c r="L8" s="651">
        <v>5637</v>
      </c>
      <c r="M8" s="651">
        <v>5873</v>
      </c>
      <c r="N8" s="663">
        <f t="shared" ref="N8:N12" si="0">AVERAGE(L8:M8)</f>
        <v>5755</v>
      </c>
      <c r="P8" t="s">
        <v>805</v>
      </c>
    </row>
    <row r="9" spans="2:18" ht="15">
      <c r="D9" s="649"/>
      <c r="E9" s="649"/>
      <c r="F9" s="649"/>
      <c r="G9" s="649"/>
      <c r="I9" s="656"/>
      <c r="J9" s="656"/>
      <c r="K9" s="655" t="s">
        <v>787</v>
      </c>
      <c r="L9" s="651">
        <v>8872</v>
      </c>
      <c r="M9" s="651">
        <v>8623</v>
      </c>
      <c r="N9" s="663">
        <f t="shared" si="0"/>
        <v>8747.5</v>
      </c>
      <c r="P9" s="655" t="s">
        <v>786</v>
      </c>
      <c r="R9">
        <f>L11/L8</f>
        <v>58.329962746141568</v>
      </c>
    </row>
    <row r="10" spans="2:18" ht="15">
      <c r="D10" s="649"/>
      <c r="E10" s="728" t="s">
        <v>782</v>
      </c>
      <c r="F10" s="729"/>
      <c r="G10" s="649"/>
      <c r="I10" s="656"/>
      <c r="J10" s="655" t="s">
        <v>785</v>
      </c>
      <c r="K10" s="655" t="s">
        <v>120</v>
      </c>
      <c r="L10" s="651">
        <v>510817</v>
      </c>
      <c r="M10" s="651">
        <v>517124</v>
      </c>
      <c r="N10" s="663">
        <f t="shared" si="0"/>
        <v>513970.5</v>
      </c>
      <c r="P10" s="655" t="s">
        <v>787</v>
      </c>
      <c r="R10" s="665">
        <f>L12/L9</f>
        <v>20.515216411181246</v>
      </c>
    </row>
    <row r="11" spans="2:18" ht="15">
      <c r="D11" s="649"/>
      <c r="E11" s="730" t="s">
        <v>504</v>
      </c>
      <c r="F11" s="731">
        <v>6724.92</v>
      </c>
      <c r="G11" s="649"/>
      <c r="I11" s="656"/>
      <c r="J11" s="656"/>
      <c r="K11" s="655" t="s">
        <v>786</v>
      </c>
      <c r="L11" s="651">
        <v>328806</v>
      </c>
      <c r="M11" s="651">
        <v>337304</v>
      </c>
      <c r="N11" s="663">
        <f t="shared" si="0"/>
        <v>333055</v>
      </c>
    </row>
    <row r="12" spans="2:18" ht="15">
      <c r="D12" s="649"/>
      <c r="E12" s="730" t="s">
        <v>725</v>
      </c>
      <c r="F12" s="731">
        <v>6638.46</v>
      </c>
      <c r="G12" s="649"/>
      <c r="I12" s="656"/>
      <c r="J12" s="656"/>
      <c r="K12" s="655" t="s">
        <v>787</v>
      </c>
      <c r="L12" s="651">
        <v>182011</v>
      </c>
      <c r="M12" s="651">
        <v>179820</v>
      </c>
      <c r="N12" s="663">
        <f t="shared" si="0"/>
        <v>180915.5</v>
      </c>
    </row>
    <row r="13" spans="2:18" ht="15">
      <c r="D13" s="649"/>
      <c r="E13" s="730" t="s">
        <v>503</v>
      </c>
      <c r="F13" s="731">
        <v>52003.95</v>
      </c>
      <c r="G13" s="649"/>
    </row>
    <row r="14" spans="2:18" ht="17.25">
      <c r="D14" s="649"/>
      <c r="E14" s="730"/>
      <c r="F14" s="732"/>
      <c r="G14" s="649"/>
      <c r="I14" s="650" t="s">
        <v>788</v>
      </c>
      <c r="J14" s="662"/>
      <c r="K14" s="662"/>
      <c r="L14" s="662"/>
      <c r="M14" s="662"/>
    </row>
    <row r="15" spans="2:18" ht="15">
      <c r="E15" s="730"/>
      <c r="F15" s="733" t="s">
        <v>115</v>
      </c>
      <c r="I15" s="662"/>
      <c r="J15" s="662">
        <v>2010</v>
      </c>
      <c r="K15" s="662"/>
      <c r="L15" s="662"/>
      <c r="M15" s="662"/>
    </row>
    <row r="16" spans="2:18" ht="15">
      <c r="E16" s="734" t="s">
        <v>504</v>
      </c>
      <c r="F16" s="735">
        <f>BUS!F31</f>
        <v>0.10287897819772944</v>
      </c>
      <c r="I16" s="662" t="s">
        <v>120</v>
      </c>
      <c r="J16" s="662"/>
      <c r="K16" s="662"/>
      <c r="L16" s="662"/>
      <c r="M16" s="662"/>
    </row>
    <row r="17" spans="2:13" ht="15">
      <c r="E17" s="734" t="s">
        <v>725</v>
      </c>
      <c r="F17" s="735">
        <f>BUS!F32</f>
        <v>0.10155615809083157</v>
      </c>
      <c r="I17" s="662" t="s">
        <v>789</v>
      </c>
      <c r="J17" s="662">
        <v>14509</v>
      </c>
      <c r="K17" s="662"/>
      <c r="L17" s="662"/>
      <c r="M17" s="662"/>
    </row>
    <row r="18" spans="2:13" ht="15">
      <c r="D18" s="649"/>
      <c r="E18" s="736" t="s">
        <v>503</v>
      </c>
      <c r="F18" s="735">
        <f>BUS!F33</f>
        <v>0.79556486371143909</v>
      </c>
      <c r="G18" s="649"/>
      <c r="I18" s="662" t="s">
        <v>790</v>
      </c>
      <c r="J18" s="662">
        <v>1133</v>
      </c>
      <c r="K18" s="662"/>
    </row>
    <row r="19" spans="2:13" ht="15">
      <c r="B19" s="648"/>
      <c r="C19" s="649"/>
      <c r="D19" s="649"/>
      <c r="E19" s="649"/>
      <c r="F19" s="649"/>
      <c r="G19" s="649"/>
      <c r="I19" s="662" t="s">
        <v>791</v>
      </c>
      <c r="J19" s="662">
        <v>13310</v>
      </c>
      <c r="K19" s="662"/>
    </row>
    <row r="20" spans="2:13" ht="15">
      <c r="B20" s="648"/>
      <c r="C20" s="649"/>
      <c r="D20" s="649"/>
      <c r="E20" s="649"/>
      <c r="F20" s="649"/>
      <c r="G20" s="649"/>
      <c r="I20" s="662" t="s">
        <v>792</v>
      </c>
      <c r="J20" s="662">
        <v>51</v>
      </c>
      <c r="K20" s="662"/>
    </row>
    <row r="21" spans="2:13">
      <c r="I21" s="662" t="s">
        <v>793</v>
      </c>
      <c r="J21" s="662">
        <v>15</v>
      </c>
      <c r="K21" s="662"/>
    </row>
    <row r="22" spans="2:13">
      <c r="I22" s="662"/>
      <c r="J22" s="662"/>
      <c r="K22" s="662"/>
    </row>
    <row r="23" spans="2:13">
      <c r="I23" s="657" t="s">
        <v>794</v>
      </c>
      <c r="J23" s="657"/>
      <c r="K23" s="657"/>
    </row>
    <row r="25" spans="2:13">
      <c r="B25" s="1672" t="s">
        <v>783</v>
      </c>
      <c r="C25" s="1672"/>
      <c r="D25" s="1672"/>
      <c r="I25" s="657"/>
      <c r="J25" s="657"/>
      <c r="K25" s="657"/>
    </row>
    <row r="26" spans="2:13">
      <c r="C26" t="s">
        <v>116</v>
      </c>
      <c r="D26" t="s">
        <v>117</v>
      </c>
      <c r="I26" s="657"/>
      <c r="J26" s="657"/>
      <c r="K26" s="657"/>
    </row>
    <row r="27" spans="2:13">
      <c r="B27" t="s">
        <v>120</v>
      </c>
      <c r="C27">
        <f>Data!Q30+Data!U30</f>
        <v>5131.1559747467118</v>
      </c>
      <c r="D27">
        <f>Data!S30+Data!W30</f>
        <v>3447.5993321925207</v>
      </c>
      <c r="I27" s="657"/>
      <c r="J27" s="657"/>
      <c r="K27" s="657"/>
    </row>
    <row r="28" spans="2:13">
      <c r="B28" t="s">
        <v>774</v>
      </c>
      <c r="C28" s="550">
        <f>C27/SUM($C$27:$D$27)</f>
        <v>0.59812359615808053</v>
      </c>
      <c r="D28" s="550">
        <f>D27/SUM($C$27:$D$27)</f>
        <v>0.40187640384191947</v>
      </c>
      <c r="I28" s="657"/>
      <c r="J28" s="657"/>
      <c r="K28" s="657"/>
    </row>
    <row r="30" spans="2:13">
      <c r="B30" t="s">
        <v>801</v>
      </c>
      <c r="D30" s="669">
        <f>EnergyEffRoadTransport_ksa!AP16</f>
        <v>11.444856390083132</v>
      </c>
      <c r="F30">
        <f>1/D30*10^3</f>
        <v>87.375495673889915</v>
      </c>
    </row>
    <row r="31" spans="2:13">
      <c r="L31" s="665"/>
    </row>
    <row r="32" spans="2:13">
      <c r="B32" s="665"/>
      <c r="C32" s="665"/>
      <c r="D32" s="665"/>
      <c r="E32" s="665"/>
      <c r="F32" s="665"/>
      <c r="G32" s="665"/>
      <c r="L32" s="665"/>
    </row>
    <row r="33" spans="2:12">
      <c r="B33" s="665" t="s">
        <v>806</v>
      </c>
      <c r="C33" s="665"/>
      <c r="D33" s="665"/>
      <c r="E33" s="665"/>
      <c r="F33" s="665"/>
      <c r="G33" s="665"/>
      <c r="L33" s="665"/>
    </row>
    <row r="34" spans="2:12">
      <c r="B34" s="665"/>
      <c r="C34" s="665"/>
      <c r="D34" s="665" t="s">
        <v>723</v>
      </c>
      <c r="E34" s="665" t="s">
        <v>727</v>
      </c>
      <c r="F34" s="665" t="s">
        <v>807</v>
      </c>
      <c r="G34" s="665"/>
    </row>
    <row r="35" spans="2:12">
      <c r="B35" s="665" t="s">
        <v>808</v>
      </c>
      <c r="C35" s="665"/>
      <c r="D35" s="667">
        <v>12.292</v>
      </c>
      <c r="E35" s="665">
        <v>9.7230000000000008</v>
      </c>
      <c r="F35" s="665">
        <v>8.673</v>
      </c>
      <c r="G35" s="665"/>
    </row>
    <row r="36" spans="2:12">
      <c r="B36" s="665" t="s">
        <v>809</v>
      </c>
      <c r="C36" s="665"/>
      <c r="D36" s="665">
        <f>1/D35*10^3</f>
        <v>81.353726000650823</v>
      </c>
      <c r="E36" s="665">
        <f t="shared" ref="E36:F36" si="1">1/E35*10^3</f>
        <v>102.84891494394734</v>
      </c>
      <c r="F36" s="665">
        <f t="shared" si="1"/>
        <v>115.30035743110803</v>
      </c>
      <c r="G36" s="665"/>
    </row>
    <row r="37" spans="2:12">
      <c r="B37" s="665"/>
      <c r="C37" s="665"/>
      <c r="D37" s="665"/>
      <c r="E37" s="665"/>
      <c r="F37" s="665"/>
      <c r="G37" s="665"/>
    </row>
    <row r="38" spans="2:12">
      <c r="B38" s="665" t="s">
        <v>810</v>
      </c>
      <c r="C38" s="665"/>
      <c r="D38" s="665"/>
      <c r="E38" s="445">
        <f>D35*C16+E35*C17+F35*C18</f>
        <v>0</v>
      </c>
      <c r="F38" s="665" t="s">
        <v>498</v>
      </c>
      <c r="G38" s="665"/>
      <c r="H38" s="665"/>
      <c r="I38" s="665"/>
      <c r="J38" s="665"/>
      <c r="K38" s="665"/>
    </row>
    <row r="41" spans="2:12">
      <c r="H41" s="665"/>
      <c r="I41" s="665"/>
      <c r="J41" s="665"/>
      <c r="K41" s="665"/>
      <c r="L41" s="665"/>
    </row>
  </sheetData>
  <mergeCells count="1">
    <mergeCell ref="B25:D25"/>
  </mergeCells>
  <pageMargins left="0.7" right="0.7" top="0.75" bottom="0.75" header="0.3" footer="0.3"/>
  <pageSetup paperSize="9" orientation="portrait"/>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4:T64"/>
  <sheetViews>
    <sheetView zoomScale="80" zoomScaleNormal="80" workbookViewId="0">
      <selection activeCell="U36" sqref="U36:Z45"/>
    </sheetView>
  </sheetViews>
  <sheetFormatPr defaultColWidth="8.85546875" defaultRowHeight="12.75"/>
  <cols>
    <col min="1" max="2" width="8.85546875" style="1161"/>
    <col min="3" max="3" width="14.7109375" style="1161" customWidth="1"/>
    <col min="4" max="4" width="48" style="1161" customWidth="1"/>
    <col min="5" max="5" width="10.28515625" style="1161" bestFit="1" customWidth="1"/>
    <col min="6" max="6" width="9.42578125" style="1161" customWidth="1"/>
    <col min="7" max="7" width="9.28515625" style="1161" bestFit="1" customWidth="1"/>
    <col min="8" max="8" width="11" style="1161" customWidth="1"/>
    <col min="9" max="9" width="9.28515625" style="1161" bestFit="1" customWidth="1"/>
    <col min="10" max="10" width="8.85546875" style="1161"/>
    <col min="11" max="11" width="10.42578125" style="1161" bestFit="1" customWidth="1"/>
    <col min="12" max="12" width="8.85546875" style="1161"/>
    <col min="13" max="13" width="15.28515625" style="1161" customWidth="1"/>
    <col min="14" max="14" width="9.5703125" style="1161" bestFit="1" customWidth="1"/>
    <col min="15" max="15" width="10.5703125" style="1161" bestFit="1" customWidth="1"/>
    <col min="16" max="16" width="8.85546875" style="1161"/>
    <col min="17" max="18" width="10.5703125" style="1161" bestFit="1" customWidth="1"/>
    <col min="19" max="19" width="10.85546875" style="1161" customWidth="1"/>
    <col min="20" max="20" width="10.5703125" style="1161" customWidth="1"/>
    <col min="21" max="22" width="8.85546875" style="1161"/>
    <col min="23" max="24" width="9.5703125" style="1161" bestFit="1" customWidth="1"/>
    <col min="25" max="16384" width="8.85546875" style="1161"/>
  </cols>
  <sheetData>
    <row r="4" spans="2:20">
      <c r="E4" s="677"/>
      <c r="F4" s="680" t="s">
        <v>8</v>
      </c>
      <c r="G4" s="680"/>
      <c r="H4" s="680"/>
      <c r="I4" s="680"/>
      <c r="J4" s="680"/>
      <c r="K4" s="1186"/>
      <c r="N4" s="681"/>
      <c r="P4" s="679"/>
    </row>
    <row r="5" spans="2:20" ht="25.5">
      <c r="B5" s="757" t="s">
        <v>1</v>
      </c>
      <c r="C5" s="757" t="s">
        <v>2</v>
      </c>
      <c r="D5" s="757" t="s">
        <v>26</v>
      </c>
      <c r="E5" s="757" t="s">
        <v>14</v>
      </c>
      <c r="F5" s="757" t="s">
        <v>15</v>
      </c>
      <c r="G5" s="1018" t="s">
        <v>155</v>
      </c>
      <c r="H5" s="1197" t="s">
        <v>853</v>
      </c>
      <c r="I5" s="1017" t="s">
        <v>854</v>
      </c>
      <c r="J5" s="1019" t="s">
        <v>157</v>
      </c>
      <c r="K5" s="1017" t="s">
        <v>16</v>
      </c>
      <c r="L5" s="757" t="s">
        <v>601</v>
      </c>
      <c r="M5" s="710" t="s">
        <v>0</v>
      </c>
      <c r="N5" s="710" t="s">
        <v>55</v>
      </c>
      <c r="O5" s="710" t="s">
        <v>847</v>
      </c>
      <c r="Q5" s="721" t="s">
        <v>757</v>
      </c>
      <c r="R5" s="721" t="s">
        <v>802</v>
      </c>
    </row>
    <row r="6" spans="2:20" ht="34.5" thickBot="1">
      <c r="B6" s="716" t="s">
        <v>27</v>
      </c>
      <c r="C6" s="716" t="s">
        <v>27</v>
      </c>
      <c r="D6" s="716"/>
      <c r="E6" s="716"/>
      <c r="F6" s="716"/>
      <c r="G6" s="716" t="s">
        <v>148</v>
      </c>
      <c r="H6" s="716" t="s">
        <v>78</v>
      </c>
      <c r="I6" s="716" t="s">
        <v>505</v>
      </c>
      <c r="J6" s="716" t="s">
        <v>795</v>
      </c>
      <c r="K6" s="716" t="s">
        <v>838</v>
      </c>
      <c r="L6" s="716" t="s">
        <v>77</v>
      </c>
      <c r="M6" s="716"/>
      <c r="N6" s="716" t="s">
        <v>56</v>
      </c>
      <c r="O6" s="716" t="s">
        <v>848</v>
      </c>
    </row>
    <row r="7" spans="2:20">
      <c r="B7" s="694" t="s">
        <v>145</v>
      </c>
      <c r="C7" s="682" t="str">
        <f>Processes!D11</f>
        <v>TPRSELCX1E</v>
      </c>
      <c r="D7" s="682" t="str">
        <f>Processes!E11</f>
        <v>Transport Passengers Rail S-train - Electric - Existing</v>
      </c>
      <c r="E7" s="1161" t="str">
        <f>Commodities!D46</f>
        <v>TRAELC</v>
      </c>
      <c r="F7" s="1161" t="s">
        <v>1180</v>
      </c>
      <c r="G7" s="720">
        <f>'STRAIN,METRO_Data'!P10/1000</f>
        <v>0.12</v>
      </c>
      <c r="H7" s="715">
        <f>'STRAIN,METRO_Data'!J15</f>
        <v>7.1468868249054004E-2</v>
      </c>
      <c r="I7" s="718">
        <v>5</v>
      </c>
      <c r="J7" s="1286">
        <v>87.892005847394643</v>
      </c>
      <c r="K7" s="718">
        <f>'STRAIN,METRO_Data'!L10</f>
        <v>34.852920674752546</v>
      </c>
      <c r="L7" s="451">
        <f>'STRAIN,METRO_Data'!Q10</f>
        <v>121225</v>
      </c>
      <c r="M7" s="1161">
        <v>1E-3</v>
      </c>
      <c r="N7" s="1161">
        <v>30</v>
      </c>
      <c r="O7" s="681">
        <f>29.3/1000</f>
        <v>2.93E-2</v>
      </c>
      <c r="Q7" s="718">
        <f>H7*'STRAIN,METRO_Data'!$M$27</f>
        <v>79.18750601995184</v>
      </c>
      <c r="R7" s="718">
        <f>G7*H7*J7*L7*M7</f>
        <v>91.377594180506179</v>
      </c>
      <c r="T7" s="718"/>
    </row>
    <row r="8" spans="2:20">
      <c r="B8" s="694" t="s">
        <v>145</v>
      </c>
      <c r="F8" s="1161" t="s">
        <v>1182</v>
      </c>
      <c r="H8" s="715">
        <f>'STRAIN,METRO_Data'!J16</f>
        <v>0.60348125214998283</v>
      </c>
      <c r="I8" s="718">
        <v>5</v>
      </c>
      <c r="J8" s="1286"/>
      <c r="K8" s="718"/>
      <c r="L8" s="718"/>
      <c r="O8" s="681"/>
      <c r="Q8" s="718">
        <f>H8*'STRAIN,METRO_Data'!$M$27</f>
        <v>668.65722738218096</v>
      </c>
      <c r="R8" s="718">
        <f>G7*H8*J7*L7*M7</f>
        <v>771.59001262391985</v>
      </c>
    </row>
    <row r="9" spans="2:20">
      <c r="B9" s="694" t="s">
        <v>145</v>
      </c>
      <c r="F9" s="1161" t="s">
        <v>1184</v>
      </c>
      <c r="H9" s="715">
        <f>'STRAIN,METRO_Data'!J17</f>
        <v>0.32504987960096349</v>
      </c>
      <c r="I9" s="718">
        <v>5</v>
      </c>
      <c r="J9" s="1286"/>
      <c r="Q9" s="718">
        <f>H9*'STRAIN,METRO_Data'!$M$27</f>
        <v>360.15526659786752</v>
      </c>
      <c r="R9" s="718">
        <f>G7*H9*J7*L7*M7</f>
        <v>415.59740225762408</v>
      </c>
    </row>
    <row r="10" spans="2:20">
      <c r="B10" s="694" t="s">
        <v>145</v>
      </c>
      <c r="C10" s="682" t="str">
        <f>Processes!D12</f>
        <v>TPRMELCX1E</v>
      </c>
      <c r="D10" s="682" t="str">
        <f>Processes!E12</f>
        <v>Transport Passengers Rail Metro - Electric  - Existing</v>
      </c>
      <c r="E10" s="682" t="str">
        <f>Commodities!D46</f>
        <v>TRAELC</v>
      </c>
      <c r="F10" s="1161" t="s">
        <v>1180</v>
      </c>
      <c r="G10" s="720">
        <f>'STRAIN,METRO_Data'!P11/1000</f>
        <v>3.4000000000000002E-2</v>
      </c>
      <c r="H10" s="715">
        <f>'STRAIN,METRO_Data'!M15</f>
        <v>0.36997054859353357</v>
      </c>
      <c r="I10" s="718">
        <v>5</v>
      </c>
      <c r="J10" s="1286">
        <v>51.752757477682017</v>
      </c>
      <c r="K10" s="718">
        <f>'STRAIN,METRO_Data'!L11</f>
        <v>74.074074074074076</v>
      </c>
      <c r="L10" s="451">
        <f>'STRAIN,METRO_Data'!Q11</f>
        <v>141794.11764705883</v>
      </c>
      <c r="M10" s="1161">
        <v>1E-3</v>
      </c>
      <c r="N10" s="1161">
        <v>30</v>
      </c>
      <c r="O10" s="681">
        <f>29.3/1000</f>
        <v>2.93E-2</v>
      </c>
      <c r="Q10" s="718">
        <f>H10*'STRAIN,METRO_Data'!$N$27</f>
        <v>88.422961113854527</v>
      </c>
      <c r="R10" s="718">
        <f>G10*H10*J10*L10*M10</f>
        <v>92.307668078761523</v>
      </c>
      <c r="T10" s="1198"/>
    </row>
    <row r="11" spans="2:20">
      <c r="B11" s="694" t="s">
        <v>145</v>
      </c>
      <c r="F11" s="1161" t="s">
        <v>1182</v>
      </c>
      <c r="H11" s="715">
        <f>'STRAIN,METRO_Data'!M16</f>
        <v>0.6300294514064666</v>
      </c>
      <c r="I11" s="718">
        <v>5</v>
      </c>
      <c r="J11" s="1286"/>
      <c r="Q11" s="718">
        <f>H11*'STRAIN,METRO_Data'!$N$27</f>
        <v>150.57703888614552</v>
      </c>
      <c r="R11" s="718">
        <f>G10*H11*J10*L10*M10</f>
        <v>157.19237572114352</v>
      </c>
    </row>
    <row r="12" spans="2:20">
      <c r="B12" s="694" t="s">
        <v>145</v>
      </c>
      <c r="C12" s="682" t="str">
        <f>Processes!D13</f>
        <v>TPROELCX1E</v>
      </c>
      <c r="D12" s="682" t="str">
        <f>Processes!E13</f>
        <v>Transport Passengers Rail Other train - Electric - Existing</v>
      </c>
      <c r="E12" s="682" t="str">
        <f>Commodities!D46</f>
        <v>TRAELC</v>
      </c>
      <c r="F12" s="1161" t="s">
        <v>1182</v>
      </c>
      <c r="G12" s="720">
        <f>TRAIN_Data!C16*TRAIN_Data!G11/1000</f>
        <v>0.12642</v>
      </c>
      <c r="H12" s="715">
        <f>TRAIN_Data!O10</f>
        <v>9.09062495659059E-2</v>
      </c>
      <c r="I12" s="718">
        <v>5</v>
      </c>
      <c r="J12" s="1286">
        <v>97.157828390868474</v>
      </c>
      <c r="K12" s="718">
        <f>1/EnergyEffRoadTransport_ksa!AP58*10^3</f>
        <v>23.392972403134614</v>
      </c>
      <c r="L12" s="718">
        <f>TRAIN_Data!H15</f>
        <v>100670.56850219477</v>
      </c>
      <c r="M12" s="1161">
        <v>1E-3</v>
      </c>
      <c r="N12" s="1161">
        <v>30</v>
      </c>
      <c r="O12" s="681">
        <f>29.3/1000</f>
        <v>2.93E-2</v>
      </c>
      <c r="R12" s="718">
        <f>G12*H12*J12*L12*M12+G15*H15*J15*L15*M15</f>
        <v>249.14816407726059</v>
      </c>
    </row>
    <row r="13" spans="2:20">
      <c r="B13" s="694" t="s">
        <v>145</v>
      </c>
      <c r="C13" s="682"/>
      <c r="D13" s="682"/>
      <c r="F13" s="1161" t="s">
        <v>1184</v>
      </c>
      <c r="G13" s="720"/>
      <c r="H13" s="715">
        <f>TRAIN_Data!O11</f>
        <v>0.20298240008890248</v>
      </c>
      <c r="I13" s="718">
        <v>5</v>
      </c>
      <c r="J13" s="1286"/>
      <c r="K13" s="718"/>
      <c r="L13" s="718"/>
      <c r="O13" s="681"/>
      <c r="R13" s="718">
        <f>G12*H13*J12*L12*M12+G15*H16*J15*L15*M15</f>
        <v>556.31700310638666</v>
      </c>
    </row>
    <row r="14" spans="2:20">
      <c r="B14" s="694" t="s">
        <v>145</v>
      </c>
      <c r="C14" s="682"/>
      <c r="D14" s="682"/>
      <c r="F14" s="1161" t="s">
        <v>1186</v>
      </c>
      <c r="G14" s="720"/>
      <c r="H14" s="715">
        <f>TRAIN_Data!O12</f>
        <v>0.70611135034519168</v>
      </c>
      <c r="I14" s="718">
        <v>5</v>
      </c>
      <c r="J14" s="1286"/>
      <c r="K14" s="718"/>
      <c r="L14" s="718"/>
      <c r="O14" s="681"/>
      <c r="R14" s="718">
        <f>G12*H14*J12*L12*M12+G15*H17*J15*L15*M15</f>
        <v>1935.2502981115226</v>
      </c>
    </row>
    <row r="15" spans="2:20">
      <c r="B15" s="694" t="s">
        <v>145</v>
      </c>
      <c r="C15" s="682" t="str">
        <f>Processes!D14</f>
        <v>TPRODSBL1E</v>
      </c>
      <c r="D15" s="682" t="str">
        <f>Processes!E14</f>
        <v>Transport Passengers Rail Other train - Diesel - Existing</v>
      </c>
      <c r="E15" s="682" t="str">
        <f>Commodities!D70</f>
        <v>TRADSBL1</v>
      </c>
      <c r="F15" s="1161" t="s">
        <v>1182</v>
      </c>
      <c r="G15" s="720">
        <f>(TRAIN_Data!C9*TRAIN_Data!E9+TRAIN_Data!C10*TRAIN_Data!E10)/1000</f>
        <v>0.15379000000000001</v>
      </c>
      <c r="H15" s="715">
        <f>H12</f>
        <v>9.09062495659059E-2</v>
      </c>
      <c r="I15" s="718">
        <v>5</v>
      </c>
      <c r="J15" s="1286">
        <v>97.157828390868474</v>
      </c>
      <c r="K15" s="718">
        <f>1/EnergyEffRoadTransport_ksa!AP56*10^3</f>
        <v>18.503186394715023</v>
      </c>
      <c r="L15" s="718">
        <f>TRAIN_Data!H15</f>
        <v>100670.56850219477</v>
      </c>
      <c r="M15" s="1161">
        <v>1E-3</v>
      </c>
      <c r="N15" s="1161">
        <v>30</v>
      </c>
      <c r="O15" s="681">
        <f>29.3/1000</f>
        <v>2.93E-2</v>
      </c>
      <c r="R15" s="718"/>
    </row>
    <row r="16" spans="2:20">
      <c r="B16" s="694" t="s">
        <v>145</v>
      </c>
      <c r="C16" s="682"/>
      <c r="D16" s="682"/>
      <c r="F16" s="1161" t="s">
        <v>1184</v>
      </c>
      <c r="G16" s="720"/>
      <c r="H16" s="715">
        <f>H13</f>
        <v>0.20298240008890248</v>
      </c>
      <c r="I16" s="718">
        <v>5</v>
      </c>
      <c r="J16" s="1286"/>
      <c r="K16" s="718"/>
      <c r="L16" s="718"/>
      <c r="O16" s="681"/>
      <c r="R16" s="718"/>
    </row>
    <row r="17" spans="2:19">
      <c r="B17" s="694" t="s">
        <v>145</v>
      </c>
      <c r="C17" s="682"/>
      <c r="D17" s="682"/>
      <c r="F17" s="1161" t="s">
        <v>1186</v>
      </c>
      <c r="G17" s="720"/>
      <c r="H17" s="715">
        <f>H14</f>
        <v>0.70611135034519168</v>
      </c>
      <c r="I17" s="718">
        <v>5</v>
      </c>
      <c r="J17" s="1286"/>
      <c r="K17" s="718"/>
      <c r="L17" s="718"/>
      <c r="O17" s="681"/>
      <c r="R17" s="718"/>
    </row>
    <row r="18" spans="2:19">
      <c r="B18" s="694" t="s">
        <v>146</v>
      </c>
      <c r="C18" s="682" t="str">
        <f>Processes!D11</f>
        <v>TPRSELCX1E</v>
      </c>
      <c r="D18" s="682" t="str">
        <f>Processes!E11</f>
        <v>Transport Passengers Rail S-train - Electric - Existing</v>
      </c>
      <c r="E18" s="1161" t="str">
        <f>Commodities!D46</f>
        <v>TRAELC</v>
      </c>
      <c r="F18" s="1161" t="s">
        <v>1180</v>
      </c>
      <c r="G18" s="720">
        <v>0</v>
      </c>
      <c r="H18" s="715">
        <f>H7</f>
        <v>7.1468868249054004E-2</v>
      </c>
      <c r="I18" s="718">
        <v>5</v>
      </c>
      <c r="J18" s="1286">
        <v>87.892005847394643</v>
      </c>
      <c r="K18" s="718">
        <f>K7</f>
        <v>34.852920674752546</v>
      </c>
      <c r="L18" s="451">
        <f>L7</f>
        <v>121225</v>
      </c>
      <c r="M18" s="1161">
        <v>1E-3</v>
      </c>
      <c r="N18" s="1161">
        <v>30</v>
      </c>
      <c r="O18" s="681">
        <f>29.3/1000</f>
        <v>2.93E-2</v>
      </c>
    </row>
    <row r="19" spans="2:19">
      <c r="B19" s="694" t="s">
        <v>146</v>
      </c>
      <c r="F19" s="1161" t="s">
        <v>1182</v>
      </c>
      <c r="H19" s="715">
        <f t="shared" ref="H19:H28" si="0">H8</f>
        <v>0.60348125214998283</v>
      </c>
      <c r="I19" s="718">
        <v>5</v>
      </c>
      <c r="J19" s="1286"/>
      <c r="R19" s="718"/>
    </row>
    <row r="20" spans="2:19">
      <c r="B20" s="694" t="s">
        <v>146</v>
      </c>
      <c r="F20" s="1161" t="s">
        <v>1184</v>
      </c>
      <c r="G20" s="720"/>
      <c r="H20" s="715">
        <f t="shared" si="0"/>
        <v>0.32504987960096349</v>
      </c>
      <c r="I20" s="718">
        <v>5</v>
      </c>
      <c r="J20" s="1286"/>
      <c r="K20" s="718"/>
      <c r="L20" s="718"/>
      <c r="O20" s="681"/>
      <c r="R20" s="718"/>
    </row>
    <row r="21" spans="2:19">
      <c r="B21" s="694" t="s">
        <v>146</v>
      </c>
      <c r="C21" s="682" t="str">
        <f>Processes!D12</f>
        <v>TPRMELCX1E</v>
      </c>
      <c r="D21" s="682" t="str">
        <f>Processes!E12</f>
        <v>Transport Passengers Rail Metro - Electric  - Existing</v>
      </c>
      <c r="E21" s="682" t="str">
        <f>Commodities!D46</f>
        <v>TRAELC</v>
      </c>
      <c r="F21" s="1161" t="s">
        <v>1180</v>
      </c>
      <c r="G21" s="720">
        <v>0</v>
      </c>
      <c r="H21" s="715">
        <f t="shared" si="0"/>
        <v>0.36997054859353357</v>
      </c>
      <c r="I21" s="718">
        <v>5</v>
      </c>
      <c r="J21" s="1286">
        <v>49.575000000000003</v>
      </c>
      <c r="K21" s="718">
        <f>K10</f>
        <v>74.074074074074076</v>
      </c>
      <c r="L21" s="451">
        <f>L10</f>
        <v>141794.11764705883</v>
      </c>
      <c r="M21" s="1161">
        <v>1E-3</v>
      </c>
      <c r="N21" s="1161">
        <v>30</v>
      </c>
      <c r="O21" s="681">
        <f>29.3/1000</f>
        <v>2.93E-2</v>
      </c>
      <c r="R21" s="718"/>
    </row>
    <row r="22" spans="2:19">
      <c r="B22" s="694" t="s">
        <v>146</v>
      </c>
      <c r="F22" s="1161" t="s">
        <v>1182</v>
      </c>
      <c r="H22" s="715">
        <f t="shared" si="0"/>
        <v>0.6300294514064666</v>
      </c>
      <c r="I22" s="718">
        <v>5</v>
      </c>
      <c r="J22" s="1286"/>
    </row>
    <row r="23" spans="2:19">
      <c r="B23" s="694" t="s">
        <v>146</v>
      </c>
      <c r="C23" s="682" t="str">
        <f>Processes!D13</f>
        <v>TPROELCX1E</v>
      </c>
      <c r="D23" s="682" t="str">
        <f>Processes!E13</f>
        <v>Transport Passengers Rail Other train - Electric - Existing</v>
      </c>
      <c r="E23" s="682" t="str">
        <f>Commodities!D46</f>
        <v>TRAELC</v>
      </c>
      <c r="F23" s="1161" t="s">
        <v>1182</v>
      </c>
      <c r="G23" s="720">
        <f>(TRAIN_Data!C11*TRAIN_Data!H11)/1000</f>
        <v>2.5800000000000003E-3</v>
      </c>
      <c r="H23" s="715">
        <f t="shared" si="0"/>
        <v>9.09062495659059E-2</v>
      </c>
      <c r="I23" s="718">
        <v>5</v>
      </c>
      <c r="J23" s="1286">
        <v>56.862513286380391</v>
      </c>
      <c r="K23" s="718">
        <f>K12</f>
        <v>23.392972403134614</v>
      </c>
      <c r="L23" s="718">
        <f>TRAIN_Data!H16</f>
        <v>180733.26127766081</v>
      </c>
      <c r="M23" s="1161">
        <v>1E-3</v>
      </c>
      <c r="N23" s="1161">
        <v>30</v>
      </c>
      <c r="O23" s="681">
        <f>29.3/1000</f>
        <v>2.93E-2</v>
      </c>
      <c r="R23" s="718">
        <f>G23*H23*J23*L23*M23+G26*H26*J26*L26*M26</f>
        <v>164.22983013434492</v>
      </c>
    </row>
    <row r="24" spans="2:19">
      <c r="B24" s="694" t="s">
        <v>146</v>
      </c>
      <c r="C24" s="682"/>
      <c r="D24" s="682"/>
      <c r="F24" s="1161" t="s">
        <v>1184</v>
      </c>
      <c r="G24" s="720"/>
      <c r="H24" s="715">
        <f t="shared" si="0"/>
        <v>0.20298240008890248</v>
      </c>
      <c r="I24" s="718">
        <v>5</v>
      </c>
      <c r="J24" s="1286"/>
      <c r="K24" s="718"/>
      <c r="L24" s="718"/>
      <c r="O24" s="681"/>
      <c r="R24" s="718">
        <f>G23*H24*J23*L23*M23+G26*H27*J26*L26*M26</f>
        <v>366.70487723392523</v>
      </c>
    </row>
    <row r="25" spans="2:19">
      <c r="B25" s="694" t="s">
        <v>146</v>
      </c>
      <c r="C25" s="682"/>
      <c r="D25" s="682"/>
      <c r="F25" s="1161" t="s">
        <v>1186</v>
      </c>
      <c r="G25" s="720"/>
      <c r="H25" s="715">
        <f t="shared" si="0"/>
        <v>0.70611135034519168</v>
      </c>
      <c r="I25" s="718">
        <v>5</v>
      </c>
      <c r="J25" s="1286"/>
      <c r="K25" s="718"/>
      <c r="L25" s="718"/>
      <c r="O25" s="681"/>
      <c r="R25" s="718">
        <f>G23*H25*J23*L23*M23+G26*H28*J26*L26*M26</f>
        <v>1275.6498885046499</v>
      </c>
    </row>
    <row r="26" spans="2:19">
      <c r="B26" s="694" t="s">
        <v>146</v>
      </c>
      <c r="C26" s="682" t="str">
        <f>Processes!D14</f>
        <v>TPRODSBL1E</v>
      </c>
      <c r="D26" s="682" t="str">
        <f>Processes!E14</f>
        <v>Transport Passengers Rail Other train - Diesel - Existing</v>
      </c>
      <c r="E26" s="682" t="str">
        <f>Commodities!D70</f>
        <v>TRADSBL1</v>
      </c>
      <c r="F26" s="1161" t="s">
        <v>1182</v>
      </c>
      <c r="G26" s="720">
        <f>(TRAIN_Data!C9*TRAIN_Data!F9+TRAIN_Data!C10*TRAIN_Data!F10)/1000</f>
        <v>0.17321</v>
      </c>
      <c r="H26" s="715">
        <f t="shared" si="0"/>
        <v>9.09062495659059E-2</v>
      </c>
      <c r="I26" s="718">
        <v>5</v>
      </c>
      <c r="J26" s="1286">
        <v>56.862513286380391</v>
      </c>
      <c r="K26" s="718">
        <f>K15</f>
        <v>18.503186394715023</v>
      </c>
      <c r="L26" s="718">
        <f>TRAIN_Data!H16</f>
        <v>180733.26127766081</v>
      </c>
      <c r="M26" s="1161">
        <v>1E-3</v>
      </c>
      <c r="N26" s="1161">
        <v>30</v>
      </c>
      <c r="O26" s="681">
        <f>29.3/1000</f>
        <v>2.93E-2</v>
      </c>
    </row>
    <row r="27" spans="2:19">
      <c r="B27" s="694" t="s">
        <v>146</v>
      </c>
      <c r="C27" s="682"/>
      <c r="D27" s="682"/>
      <c r="F27" s="1161" t="s">
        <v>1184</v>
      </c>
      <c r="G27" s="720"/>
      <c r="H27" s="715">
        <f t="shared" si="0"/>
        <v>0.20298240008890248</v>
      </c>
      <c r="I27" s="718">
        <v>5</v>
      </c>
      <c r="J27" s="456"/>
      <c r="K27" s="718"/>
    </row>
    <row r="28" spans="2:19">
      <c r="B28" s="694" t="s">
        <v>146</v>
      </c>
      <c r="C28" s="682"/>
      <c r="D28" s="682"/>
      <c r="F28" s="1161" t="s">
        <v>1186</v>
      </c>
      <c r="G28" s="720"/>
      <c r="H28" s="715">
        <f t="shared" si="0"/>
        <v>0.70611135034519168</v>
      </c>
      <c r="I28" s="718">
        <v>5</v>
      </c>
      <c r="J28" s="456"/>
      <c r="K28" s="718"/>
    </row>
    <row r="30" spans="2:19">
      <c r="F30" s="682"/>
    </row>
    <row r="31" spans="2:19">
      <c r="F31" s="682" t="s">
        <v>836</v>
      </c>
      <c r="G31" s="1161">
        <f>SUM(G7:G28)*1000</f>
        <v>610</v>
      </c>
      <c r="Q31" s="718"/>
      <c r="R31" s="718"/>
      <c r="S31" s="718"/>
    </row>
    <row r="32" spans="2:19">
      <c r="E32" s="682"/>
      <c r="Q32" s="718"/>
      <c r="R32" s="718"/>
      <c r="S32" s="718"/>
    </row>
    <row r="33" spans="2:20">
      <c r="D33" s="691" t="s">
        <v>894</v>
      </c>
      <c r="E33" s="695"/>
      <c r="G33"/>
      <c r="H33"/>
      <c r="I33"/>
      <c r="J33"/>
      <c r="K33"/>
    </row>
    <row r="34" spans="2:20">
      <c r="D34" s="684" t="s">
        <v>822</v>
      </c>
      <c r="E34" s="686">
        <v>6577</v>
      </c>
      <c r="G34"/>
      <c r="H34"/>
      <c r="I34"/>
      <c r="J34"/>
      <c r="K34"/>
      <c r="L34"/>
      <c r="M34"/>
      <c r="N34"/>
      <c r="O34"/>
    </row>
    <row r="35" spans="2:20">
      <c r="B35" s="682"/>
      <c r="D35" s="684" t="s">
        <v>823</v>
      </c>
      <c r="E35" s="686">
        <v>1108</v>
      </c>
      <c r="G35"/>
      <c r="H35"/>
      <c r="I35"/>
      <c r="J35"/>
      <c r="K35"/>
      <c r="L35"/>
      <c r="M35"/>
      <c r="N35"/>
      <c r="O35"/>
    </row>
    <row r="36" spans="2:20">
      <c r="D36" s="563" t="s">
        <v>824</v>
      </c>
      <c r="E36" s="686">
        <v>4659</v>
      </c>
      <c r="G36"/>
      <c r="H36"/>
      <c r="I36"/>
      <c r="J36"/>
      <c r="K36"/>
      <c r="L36"/>
      <c r="M36"/>
      <c r="N36"/>
      <c r="O36"/>
    </row>
    <row r="37" spans="2:20">
      <c r="D37" s="684" t="s">
        <v>825</v>
      </c>
      <c r="E37" s="686">
        <v>1424</v>
      </c>
      <c r="G37"/>
      <c r="H37"/>
      <c r="I37"/>
      <c r="J37"/>
      <c r="K37"/>
      <c r="L37"/>
      <c r="M37"/>
      <c r="N37"/>
      <c r="O37"/>
      <c r="P37" s="682"/>
      <c r="T37" s="699"/>
    </row>
    <row r="38" spans="2:20">
      <c r="D38" s="563" t="s">
        <v>826</v>
      </c>
      <c r="E38" s="686">
        <v>1196</v>
      </c>
      <c r="G38"/>
      <c r="H38"/>
      <c r="I38"/>
      <c r="J38"/>
      <c r="K38"/>
      <c r="L38"/>
      <c r="M38"/>
      <c r="N38"/>
      <c r="O38"/>
    </row>
    <row r="39" spans="2:20">
      <c r="D39" s="684" t="s">
        <v>827</v>
      </c>
      <c r="E39" s="686">
        <v>2039</v>
      </c>
      <c r="G39"/>
      <c r="H39"/>
      <c r="I39"/>
      <c r="J39"/>
      <c r="K39"/>
      <c r="L39"/>
      <c r="M39"/>
      <c r="N39"/>
      <c r="O39"/>
    </row>
    <row r="40" spans="2:20">
      <c r="D40" s="684" t="s">
        <v>828</v>
      </c>
      <c r="E40" s="686">
        <v>378</v>
      </c>
      <c r="G40"/>
      <c r="H40"/>
      <c r="I40"/>
      <c r="J40"/>
      <c r="K40"/>
      <c r="L40"/>
      <c r="M40"/>
      <c r="N40"/>
      <c r="O40"/>
      <c r="S40" s="682"/>
    </row>
    <row r="41" spans="2:20">
      <c r="D41" s="684" t="s">
        <v>829</v>
      </c>
      <c r="E41" s="686">
        <v>239</v>
      </c>
      <c r="G41"/>
      <c r="H41"/>
      <c r="I41"/>
      <c r="J41"/>
      <c r="K41"/>
      <c r="L41"/>
      <c r="M41"/>
      <c r="N41"/>
      <c r="O41"/>
    </row>
    <row r="42" spans="2:20">
      <c r="D42" s="696" t="s">
        <v>830</v>
      </c>
      <c r="E42" s="455">
        <v>193</v>
      </c>
      <c r="G42"/>
      <c r="H42"/>
      <c r="I42"/>
      <c r="J42"/>
      <c r="K42"/>
      <c r="L42"/>
      <c r="M42"/>
      <c r="N42"/>
      <c r="O42"/>
    </row>
    <row r="43" spans="2:20">
      <c r="L43"/>
      <c r="M43"/>
      <c r="N43"/>
      <c r="O43"/>
    </row>
    <row r="44" spans="2:20">
      <c r="L44"/>
      <c r="M44"/>
      <c r="N44"/>
      <c r="O44"/>
    </row>
    <row r="45" spans="2:20">
      <c r="L45"/>
      <c r="M45"/>
      <c r="N45"/>
      <c r="O45"/>
    </row>
    <row r="46" spans="2:20">
      <c r="E46" s="682"/>
      <c r="G46" s="682"/>
      <c r="J46" s="682"/>
      <c r="L46"/>
      <c r="M46"/>
      <c r="N46"/>
      <c r="O46"/>
    </row>
    <row r="47" spans="2:20">
      <c r="F47" s="719"/>
      <c r="G47" s="8"/>
      <c r="L47"/>
      <c r="M47"/>
      <c r="N47"/>
      <c r="O47"/>
    </row>
    <row r="48" spans="2:20">
      <c r="D48" s="1161" t="s">
        <v>444</v>
      </c>
      <c r="H48" s="682"/>
      <c r="L48"/>
      <c r="M48"/>
      <c r="N48"/>
      <c r="O48"/>
    </row>
    <row r="49" spans="4:15">
      <c r="D49" s="1161" t="s">
        <v>426</v>
      </c>
      <c r="F49" s="1161">
        <v>2010</v>
      </c>
      <c r="G49" s="1161" t="s">
        <v>44</v>
      </c>
      <c r="L49"/>
      <c r="M49"/>
      <c r="N49"/>
      <c r="O49"/>
    </row>
    <row r="50" spans="4:15">
      <c r="D50" s="1161" t="s">
        <v>427</v>
      </c>
    </row>
    <row r="51" spans="4:15">
      <c r="D51" s="1161" t="s">
        <v>422</v>
      </c>
      <c r="F51" s="1161">
        <v>4728</v>
      </c>
      <c r="G51" s="1161">
        <v>4.7279999999999998</v>
      </c>
    </row>
    <row r="52" spans="4:15">
      <c r="D52" s="1161" t="s">
        <v>425</v>
      </c>
      <c r="F52" s="1161">
        <v>3273</v>
      </c>
      <c r="G52" s="1161">
        <v>3.2730000000000001</v>
      </c>
    </row>
    <row r="53" spans="4:15">
      <c r="D53" s="1161" t="s">
        <v>51</v>
      </c>
      <c r="F53" s="1161">
        <v>1455</v>
      </c>
      <c r="G53" s="1161">
        <v>1.4550000000000001</v>
      </c>
    </row>
    <row r="55" spans="4:15">
      <c r="D55" s="1161" t="s">
        <v>895</v>
      </c>
      <c r="E55" s="1161" t="s">
        <v>896</v>
      </c>
      <c r="G55" s="1161" t="s">
        <v>802</v>
      </c>
    </row>
    <row r="56" spans="4:15">
      <c r="D56" s="1161" t="s">
        <v>897</v>
      </c>
      <c r="E56" s="1161">
        <v>2460</v>
      </c>
      <c r="G56" s="715">
        <f>G15*1/K15*L15*M15+G26*1/K26*L26*M26</f>
        <v>2.5285879911591707</v>
      </c>
    </row>
    <row r="57" spans="4:15">
      <c r="D57" s="1161" t="s">
        <v>898</v>
      </c>
      <c r="E57" s="1161">
        <v>886</v>
      </c>
      <c r="G57" s="715">
        <f>G7*1/K7*L7*M7+G10*1/K10*L10*M10+G12*1/K12*L12*M12+G23*1/K23*L23*M23</f>
        <v>1.0464415999458758</v>
      </c>
    </row>
    <row r="64" spans="4:15">
      <c r="H64" s="682"/>
    </row>
  </sheetData>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R27"/>
  <sheetViews>
    <sheetView workbookViewId="0">
      <selection activeCell="J15" sqref="J15"/>
    </sheetView>
  </sheetViews>
  <sheetFormatPr defaultRowHeight="12.75"/>
  <cols>
    <col min="8" max="8" width="11.85546875" customWidth="1"/>
    <col min="9" max="9" width="19" bestFit="1" customWidth="1"/>
    <col min="10" max="10" width="11.28515625" bestFit="1" customWidth="1"/>
    <col min="11" max="11" width="11.140625" bestFit="1" customWidth="1"/>
    <col min="12" max="12" width="14.140625" bestFit="1" customWidth="1"/>
    <col min="13" max="13" width="10.28515625" bestFit="1" customWidth="1"/>
    <col min="15" max="15" width="14.7109375" bestFit="1" customWidth="1"/>
  </cols>
  <sheetData>
    <row r="2" spans="2:18">
      <c r="B2" s="682" t="s">
        <v>841</v>
      </c>
    </row>
    <row r="8" spans="2:18">
      <c r="I8" s="713"/>
      <c r="J8" s="713"/>
      <c r="K8" s="713"/>
      <c r="L8" s="681" t="s">
        <v>16</v>
      </c>
      <c r="M8" s="681"/>
      <c r="N8" s="681"/>
      <c r="O8" s="737" t="s">
        <v>843</v>
      </c>
      <c r="P8" s="681" t="s">
        <v>155</v>
      </c>
      <c r="Q8" s="681" t="s">
        <v>601</v>
      </c>
      <c r="R8" s="713"/>
    </row>
    <row r="9" spans="2:18">
      <c r="I9" s="713" t="s">
        <v>863</v>
      </c>
      <c r="J9" s="713" t="s">
        <v>864</v>
      </c>
      <c r="K9" s="682" t="s">
        <v>865</v>
      </c>
      <c r="L9" s="713" t="s">
        <v>866</v>
      </c>
      <c r="M9" s="713" t="s">
        <v>867</v>
      </c>
      <c r="N9" s="713" t="s">
        <v>630</v>
      </c>
      <c r="O9" s="713" t="s">
        <v>868</v>
      </c>
      <c r="P9" s="713" t="s">
        <v>869</v>
      </c>
      <c r="Q9" s="713" t="s">
        <v>870</v>
      </c>
      <c r="R9" s="713" t="s">
        <v>871</v>
      </c>
    </row>
    <row r="10" spans="2:18">
      <c r="I10" s="713" t="s">
        <v>842</v>
      </c>
      <c r="J10" s="713">
        <v>7.97</v>
      </c>
      <c r="K10" s="715">
        <f>J10*0.0000000036*10^6</f>
        <v>2.8691999999999999E-2</v>
      </c>
      <c r="L10" s="719">
        <f>1/K10</f>
        <v>34.852920674752546</v>
      </c>
      <c r="M10" s="713">
        <v>0.24199999999999999</v>
      </c>
      <c r="N10" s="713">
        <v>336</v>
      </c>
      <c r="O10" s="719">
        <f>N10*M10</f>
        <v>81.311999999999998</v>
      </c>
      <c r="P10" s="713">
        <v>120</v>
      </c>
      <c r="Q10" s="713">
        <f>I27/P10</f>
        <v>121225</v>
      </c>
      <c r="R10" s="718">
        <v>332.1232876712329</v>
      </c>
    </row>
    <row r="11" spans="2:18">
      <c r="I11" s="713" t="s">
        <v>407</v>
      </c>
      <c r="J11" s="713">
        <v>3.75</v>
      </c>
      <c r="K11" s="715">
        <f>J11*0.0000000036*10^6</f>
        <v>1.35E-2</v>
      </c>
      <c r="L11" s="719">
        <f>1/K11</f>
        <v>74.074074074074076</v>
      </c>
      <c r="M11" s="713">
        <v>0.63900000000000001</v>
      </c>
      <c r="N11" s="713">
        <v>96</v>
      </c>
      <c r="O11" s="719">
        <f>N11*M11</f>
        <v>61.344000000000001</v>
      </c>
      <c r="P11" s="713">
        <v>34</v>
      </c>
      <c r="Q11" s="718">
        <f>J27/P11</f>
        <v>141794.11764705883</v>
      </c>
      <c r="R11" s="718">
        <v>388.47703464947625</v>
      </c>
    </row>
    <row r="14" spans="2:18">
      <c r="I14" s="691" t="s">
        <v>1126</v>
      </c>
      <c r="J14" s="695"/>
      <c r="L14" s="691" t="s">
        <v>1127</v>
      </c>
      <c r="M14" s="695"/>
    </row>
    <row r="15" spans="2:18">
      <c r="I15" s="684" t="s">
        <v>1122</v>
      </c>
      <c r="J15" s="91">
        <v>7.1468868249054004E-2</v>
      </c>
      <c r="L15" s="684" t="s">
        <v>1122</v>
      </c>
      <c r="M15" s="91">
        <v>0.36997054859353357</v>
      </c>
    </row>
    <row r="16" spans="2:18">
      <c r="I16" s="684" t="s">
        <v>1123</v>
      </c>
      <c r="J16" s="91">
        <v>0.60348125214998283</v>
      </c>
      <c r="L16" s="696" t="s">
        <v>1123</v>
      </c>
      <c r="M16" s="190">
        <v>0.6300294514064666</v>
      </c>
    </row>
    <row r="17" spans="2:14">
      <c r="I17" s="696" t="s">
        <v>1124</v>
      </c>
      <c r="J17" s="190">
        <v>0.32504987960096349</v>
      </c>
    </row>
    <row r="19" spans="2:14">
      <c r="B19" s="713" t="s">
        <v>855</v>
      </c>
      <c r="C19" s="713"/>
      <c r="D19" s="713"/>
      <c r="E19" s="713"/>
    </row>
    <row r="20" spans="2:14">
      <c r="B20" s="713">
        <v>2010</v>
      </c>
      <c r="C20" s="713"/>
      <c r="D20" s="713" t="s">
        <v>856</v>
      </c>
      <c r="E20" s="713" t="s">
        <v>407</v>
      </c>
    </row>
    <row r="21" spans="2:14">
      <c r="B21" s="713" t="s">
        <v>857</v>
      </c>
      <c r="C21" s="713"/>
      <c r="D21" s="713">
        <v>39600</v>
      </c>
      <c r="E21" s="713">
        <v>3300</v>
      </c>
    </row>
    <row r="24" spans="2:14">
      <c r="B24" s="713" t="s">
        <v>858</v>
      </c>
      <c r="C24" s="713"/>
      <c r="D24" s="713"/>
      <c r="E24" s="713"/>
    </row>
    <row r="25" spans="2:14">
      <c r="B25" s="682" t="s">
        <v>859</v>
      </c>
      <c r="C25" s="713" t="s">
        <v>860</v>
      </c>
      <c r="D25" s="682" t="s">
        <v>861</v>
      </c>
      <c r="E25" s="713" t="s">
        <v>862</v>
      </c>
      <c r="H25" s="713" t="s">
        <v>872</v>
      </c>
      <c r="I25" s="713"/>
      <c r="J25" s="713"/>
      <c r="L25" s="713" t="s">
        <v>874</v>
      </c>
      <c r="M25" s="713"/>
      <c r="N25" s="713"/>
    </row>
    <row r="26" spans="2:14">
      <c r="B26" s="713" t="s">
        <v>823</v>
      </c>
      <c r="C26" s="713">
        <v>120</v>
      </c>
      <c r="D26" s="713">
        <v>478</v>
      </c>
      <c r="E26" s="719">
        <f>D26/C26</f>
        <v>3.9833333333333334</v>
      </c>
      <c r="H26" s="713">
        <v>2010</v>
      </c>
      <c r="I26" s="713" t="s">
        <v>856</v>
      </c>
      <c r="J26" s="713" t="s">
        <v>407</v>
      </c>
      <c r="L26" s="713">
        <v>2010</v>
      </c>
      <c r="M26" s="713" t="s">
        <v>856</v>
      </c>
      <c r="N26" s="713" t="s">
        <v>407</v>
      </c>
    </row>
    <row r="27" spans="2:14">
      <c r="B27" s="713" t="s">
        <v>407</v>
      </c>
      <c r="C27" s="713">
        <v>34</v>
      </c>
      <c r="D27" s="713">
        <v>102</v>
      </c>
      <c r="E27" s="719">
        <f>D27/C27</f>
        <v>3</v>
      </c>
      <c r="H27" s="713" t="s">
        <v>873</v>
      </c>
      <c r="I27" s="713">
        <f>14547*1000</f>
        <v>14547000</v>
      </c>
      <c r="J27" s="713">
        <f>4821*1000</f>
        <v>4821000</v>
      </c>
      <c r="L27" s="713" t="s">
        <v>819</v>
      </c>
      <c r="M27" s="713">
        <v>1108</v>
      </c>
      <c r="N27" s="713">
        <v>239</v>
      </c>
    </row>
  </sheetData>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4:O37"/>
  <sheetViews>
    <sheetView zoomScale="80" zoomScaleNormal="80" workbookViewId="0">
      <selection activeCell="I19" sqref="I19"/>
    </sheetView>
  </sheetViews>
  <sheetFormatPr defaultRowHeight="12.75"/>
  <cols>
    <col min="1" max="1" width="9.5703125" customWidth="1"/>
    <col min="2" max="2" width="46.7109375" customWidth="1"/>
    <col min="6" max="7" width="9.42578125" customWidth="1"/>
    <col min="8" max="8" width="24.7109375" customWidth="1"/>
    <col min="10" max="10" width="9.5703125" style="678" bestFit="1" customWidth="1"/>
    <col min="11" max="11" width="15.85546875" customWidth="1"/>
    <col min="13" max="13" width="11.28515625" customWidth="1"/>
  </cols>
  <sheetData>
    <row r="4" spans="2:15">
      <c r="B4" s="738" t="s">
        <v>858</v>
      </c>
      <c r="C4" s="695"/>
      <c r="E4" s="682" t="s">
        <v>837</v>
      </c>
      <c r="I4" s="678"/>
      <c r="N4" s="691" t="s">
        <v>893</v>
      </c>
      <c r="O4" s="695"/>
    </row>
    <row r="5" spans="2:15" ht="17.25">
      <c r="B5" s="563" t="s">
        <v>875</v>
      </c>
      <c r="C5" s="686"/>
      <c r="E5" s="691" t="s">
        <v>834</v>
      </c>
      <c r="F5" s="700"/>
      <c r="G5" s="700" t="s">
        <v>835</v>
      </c>
      <c r="H5" s="700"/>
      <c r="I5" s="695"/>
      <c r="M5" s="675"/>
      <c r="N5" s="574" t="s">
        <v>504</v>
      </c>
      <c r="O5" s="686">
        <v>26177</v>
      </c>
    </row>
    <row r="6" spans="2:15" ht="15">
      <c r="B6" s="684" t="s">
        <v>821</v>
      </c>
      <c r="C6" s="686"/>
      <c r="E6" s="684" t="s">
        <v>145</v>
      </c>
      <c r="F6" s="714" t="s">
        <v>146</v>
      </c>
      <c r="G6" s="714" t="s">
        <v>145</v>
      </c>
      <c r="H6" s="714" t="s">
        <v>146</v>
      </c>
      <c r="I6" s="564" t="s">
        <v>836</v>
      </c>
      <c r="K6" s="713"/>
      <c r="L6" s="685" t="s">
        <v>888</v>
      </c>
      <c r="M6" s="670"/>
      <c r="N6" s="574" t="s">
        <v>725</v>
      </c>
      <c r="O6" s="686">
        <v>58450</v>
      </c>
    </row>
    <row r="7" spans="2:15" ht="15">
      <c r="B7" s="684"/>
      <c r="C7" s="686">
        <v>2010</v>
      </c>
      <c r="E7" s="684"/>
      <c r="F7" s="714"/>
      <c r="G7" s="714"/>
      <c r="H7" s="714"/>
      <c r="I7" s="686"/>
      <c r="K7" s="738" t="s">
        <v>889</v>
      </c>
      <c r="L7" s="751">
        <f>C9*E9+C10*E10</f>
        <v>153.79000000000002</v>
      </c>
      <c r="M7" s="674"/>
      <c r="N7" s="575" t="s">
        <v>503</v>
      </c>
      <c r="O7" s="686">
        <v>203329</v>
      </c>
    </row>
    <row r="8" spans="2:15" ht="15">
      <c r="B8" s="563" t="s">
        <v>876</v>
      </c>
      <c r="C8" s="686">
        <v>327</v>
      </c>
      <c r="E8" s="684"/>
      <c r="F8" s="714"/>
      <c r="G8" s="714"/>
      <c r="H8" s="714"/>
      <c r="I8" s="686"/>
      <c r="K8" s="563" t="s">
        <v>890</v>
      </c>
      <c r="L8" s="551">
        <f>C9*F9+C10*F10</f>
        <v>173.21</v>
      </c>
      <c r="M8" s="676"/>
      <c r="N8" s="752"/>
      <c r="O8" s="686"/>
    </row>
    <row r="9" spans="2:15" ht="15">
      <c r="B9" s="563" t="s">
        <v>877</v>
      </c>
      <c r="C9" s="686">
        <v>202</v>
      </c>
      <c r="E9" s="671">
        <f>12%+40%</f>
        <v>0.52</v>
      </c>
      <c r="F9" s="698">
        <f>8%+40%</f>
        <v>0.48000000000000004</v>
      </c>
      <c r="G9" s="714"/>
      <c r="H9" s="714"/>
      <c r="I9" s="672">
        <f>SUM(E9:F9)</f>
        <v>1</v>
      </c>
      <c r="K9" s="452" t="s">
        <v>891</v>
      </c>
      <c r="L9" s="551">
        <f>C11*G11</f>
        <v>126.42</v>
      </c>
      <c r="M9" s="676"/>
      <c r="N9" s="752"/>
      <c r="O9" s="686" t="s">
        <v>115</v>
      </c>
    </row>
    <row r="10" spans="2:15" ht="15">
      <c r="B10" s="563" t="s">
        <v>878</v>
      </c>
      <c r="C10" s="686">
        <v>125</v>
      </c>
      <c r="E10" s="671">
        <f>38%+1%</f>
        <v>0.39</v>
      </c>
      <c r="F10" s="698">
        <f>57%+4%</f>
        <v>0.61</v>
      </c>
      <c r="G10" s="714"/>
      <c r="H10" s="714"/>
      <c r="I10" s="672">
        <f t="shared" ref="I10:I11" si="0">SUM(E10:F10)</f>
        <v>1</v>
      </c>
      <c r="K10" s="739" t="s">
        <v>892</v>
      </c>
      <c r="L10" s="455">
        <f>C11*H11</f>
        <v>2.58</v>
      </c>
      <c r="M10" s="676"/>
      <c r="N10" s="575" t="s">
        <v>504</v>
      </c>
      <c r="O10" s="672">
        <f>O5/SUM(O5:O7)</f>
        <v>9.09062495659059E-2</v>
      </c>
    </row>
    <row r="11" spans="2:15" ht="15">
      <c r="B11" s="739" t="s">
        <v>879</v>
      </c>
      <c r="C11" s="425">
        <v>129</v>
      </c>
      <c r="E11" s="696"/>
      <c r="F11" s="22"/>
      <c r="G11" s="697">
        <v>0.98</v>
      </c>
      <c r="H11" s="697">
        <v>0.02</v>
      </c>
      <c r="I11" s="673">
        <f t="shared" si="0"/>
        <v>0</v>
      </c>
      <c r="M11" s="676"/>
      <c r="N11" s="575" t="s">
        <v>725</v>
      </c>
      <c r="O11" s="672">
        <f>O6/SUM(O5:O7)</f>
        <v>0.20298240008890248</v>
      </c>
    </row>
    <row r="12" spans="2:15">
      <c r="N12" s="753" t="s">
        <v>503</v>
      </c>
      <c r="O12" s="673">
        <f>O7/SUM(O5:O7)</f>
        <v>0.70611135034519168</v>
      </c>
    </row>
    <row r="13" spans="2:15" s="713" customFormat="1">
      <c r="B13" s="691" t="s">
        <v>858</v>
      </c>
      <c r="C13" s="700"/>
      <c r="D13" s="700"/>
      <c r="E13" s="695"/>
    </row>
    <row r="14" spans="2:15" s="713" customFormat="1">
      <c r="B14" s="684"/>
      <c r="C14" s="714" t="s">
        <v>860</v>
      </c>
      <c r="D14" s="714" t="s">
        <v>880</v>
      </c>
      <c r="E14" s="686" t="s">
        <v>862</v>
      </c>
      <c r="G14" s="691"/>
      <c r="H14" s="750" t="s">
        <v>839</v>
      </c>
      <c r="I14" s="701" t="s">
        <v>885</v>
      </c>
    </row>
    <row r="15" spans="2:15" s="713" customFormat="1">
      <c r="B15" s="684" t="s">
        <v>791</v>
      </c>
      <c r="C15" s="714">
        <f>C8</f>
        <v>327</v>
      </c>
      <c r="D15" s="714">
        <v>809</v>
      </c>
      <c r="E15" s="551">
        <f>D15/C15</f>
        <v>2.474006116207951</v>
      </c>
      <c r="G15" s="563" t="s">
        <v>886</v>
      </c>
      <c r="H15" s="279">
        <f>F20*1000/(L7+L9)</f>
        <v>100670.56850219477</v>
      </c>
      <c r="I15" s="551">
        <f>H15/365</f>
        <v>275.80977671834182</v>
      </c>
    </row>
    <row r="16" spans="2:15" s="713" customFormat="1">
      <c r="B16" s="696" t="s">
        <v>881</v>
      </c>
      <c r="C16" s="22">
        <f>C11</f>
        <v>129</v>
      </c>
      <c r="D16" s="22">
        <v>431</v>
      </c>
      <c r="E16" s="455">
        <f>D16/C16</f>
        <v>3.3410852713178296</v>
      </c>
      <c r="G16" s="739" t="s">
        <v>887</v>
      </c>
      <c r="H16" s="454">
        <f>F21*1000/(L8+L10)</f>
        <v>180733.26127766081</v>
      </c>
      <c r="I16" s="455">
        <f>H16/365</f>
        <v>495.15961993879677</v>
      </c>
    </row>
    <row r="17" spans="2:14" s="713" customFormat="1"/>
    <row r="18" spans="2:14" s="713" customFormat="1" ht="15">
      <c r="B18" s="691" t="s">
        <v>872</v>
      </c>
      <c r="C18" s="740"/>
      <c r="E18" s="691" t="s">
        <v>882</v>
      </c>
      <c r="F18" s="695"/>
      <c r="H18" s="691" t="s">
        <v>874</v>
      </c>
      <c r="I18" s="695"/>
      <c r="K18" s="747" t="s">
        <v>884</v>
      </c>
      <c r="L18" s="748"/>
      <c r="N18" s="713" t="s">
        <v>867</v>
      </c>
    </row>
    <row r="19" spans="2:14" ht="15">
      <c r="B19" s="684" t="s">
        <v>882</v>
      </c>
      <c r="C19" s="686"/>
      <c r="E19" s="684"/>
      <c r="F19" s="742">
        <f>F20+F21</f>
        <v>59980</v>
      </c>
      <c r="H19" s="745" t="s">
        <v>883</v>
      </c>
      <c r="I19" s="742">
        <f>I20+I24+I25</f>
        <v>5230</v>
      </c>
      <c r="J19"/>
      <c r="K19" s="684"/>
      <c r="L19" s="742">
        <f>L20+L21</f>
        <v>5230</v>
      </c>
      <c r="N19" s="749"/>
    </row>
    <row r="20" spans="2:14" ht="15">
      <c r="B20" s="684"/>
      <c r="C20" s="741">
        <f>C21+C25+C26</f>
        <v>59980</v>
      </c>
      <c r="E20" s="684" t="s">
        <v>116</v>
      </c>
      <c r="F20" s="742">
        <f>C22+C24*0.5+C25*0.8+C26*0.5</f>
        <v>28208.9</v>
      </c>
      <c r="H20" s="745" t="s">
        <v>824</v>
      </c>
      <c r="I20" s="742">
        <v>4659</v>
      </c>
      <c r="J20"/>
      <c r="K20" s="745" t="s">
        <v>116</v>
      </c>
      <c r="L20" s="742">
        <f>I21+I23*0.5+I24*0.8+I25*0.5</f>
        <v>2842.4</v>
      </c>
      <c r="N20" s="749">
        <f>L20*10^3/F20</f>
        <v>100.7625253022982</v>
      </c>
    </row>
    <row r="21" spans="2:14" ht="15">
      <c r="B21" s="684" t="s">
        <v>824</v>
      </c>
      <c r="C21" s="686">
        <v>49008</v>
      </c>
      <c r="E21" s="696" t="s">
        <v>117</v>
      </c>
      <c r="F21" s="743">
        <f>C23+C24*0.5+C25*0.2+C26*0.5</f>
        <v>31771.1</v>
      </c>
      <c r="H21" s="745" t="s">
        <v>825</v>
      </c>
      <c r="I21" s="742">
        <v>1424</v>
      </c>
      <c r="J21"/>
      <c r="K21" s="746" t="s">
        <v>117</v>
      </c>
      <c r="L21" s="743">
        <f>I22+I23*0.5+I24*0.2+I25*0.5</f>
        <v>2387.6</v>
      </c>
      <c r="N21" s="749">
        <f>L21*10^3/F21</f>
        <v>75.150057756892267</v>
      </c>
    </row>
    <row r="22" spans="2:14" ht="15">
      <c r="B22" s="684" t="s">
        <v>825</v>
      </c>
      <c r="C22" s="686">
        <v>12686</v>
      </c>
      <c r="H22" s="745" t="s">
        <v>826</v>
      </c>
      <c r="I22" s="742">
        <v>1196</v>
      </c>
      <c r="J22"/>
    </row>
    <row r="23" spans="2:14" ht="15">
      <c r="B23" s="684" t="s">
        <v>826</v>
      </c>
      <c r="C23" s="686">
        <v>17045</v>
      </c>
      <c r="E23" s="714"/>
      <c r="F23" s="744"/>
      <c r="H23" s="745" t="s">
        <v>827</v>
      </c>
      <c r="I23" s="742">
        <v>2039</v>
      </c>
      <c r="J23"/>
    </row>
    <row r="24" spans="2:14" ht="15">
      <c r="B24" s="684" t="s">
        <v>827</v>
      </c>
      <c r="C24" s="686">
        <v>19277</v>
      </c>
      <c r="E24" s="714"/>
      <c r="F24" s="744"/>
      <c r="H24" s="745" t="s">
        <v>828</v>
      </c>
      <c r="I24" s="742">
        <v>378</v>
      </c>
      <c r="J24"/>
    </row>
    <row r="25" spans="2:14" ht="15">
      <c r="B25" s="684" t="s">
        <v>828</v>
      </c>
      <c r="C25" s="686">
        <v>1328</v>
      </c>
      <c r="E25" s="714"/>
      <c r="F25" s="744"/>
      <c r="H25" s="746" t="s">
        <v>830</v>
      </c>
      <c r="I25" s="743">
        <v>193</v>
      </c>
      <c r="J25"/>
    </row>
    <row r="26" spans="2:14" ht="15">
      <c r="B26" s="696" t="s">
        <v>830</v>
      </c>
      <c r="C26" s="425">
        <v>9644</v>
      </c>
      <c r="E26" s="714"/>
      <c r="F26" s="744"/>
      <c r="J26"/>
    </row>
    <row r="27" spans="2:14">
      <c r="J27"/>
    </row>
    <row r="28" spans="2:14">
      <c r="J28"/>
    </row>
    <row r="29" spans="2:14">
      <c r="J29"/>
    </row>
    <row r="37" spans="7:7">
      <c r="G37" s="718"/>
    </row>
  </sheetData>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P162"/>
  <sheetViews>
    <sheetView topLeftCell="A37" zoomScale="90" zoomScaleNormal="90" workbookViewId="0">
      <selection activeCell="D54" sqref="D54"/>
    </sheetView>
  </sheetViews>
  <sheetFormatPr defaultRowHeight="12.75"/>
  <cols>
    <col min="3" max="3" width="13.140625" bestFit="1" customWidth="1"/>
    <col min="4" max="4" width="64.7109375" bestFit="1" customWidth="1"/>
    <col min="5" max="5" width="11.7109375" bestFit="1" customWidth="1"/>
    <col min="7" max="7" width="13.85546875" bestFit="1" customWidth="1"/>
    <col min="31" max="31" width="12.140625" bestFit="1" customWidth="1"/>
  </cols>
  <sheetData>
    <row r="1" spans="1:25">
      <c r="A1" s="1161"/>
      <c r="B1" s="1161"/>
      <c r="C1" s="1161"/>
      <c r="D1" s="1161"/>
      <c r="E1" s="1161"/>
      <c r="F1" s="1161"/>
      <c r="G1" s="1161"/>
      <c r="H1" s="1161"/>
      <c r="I1" s="1161"/>
      <c r="J1" s="1161"/>
      <c r="K1" s="1161"/>
      <c r="L1" s="1161"/>
      <c r="M1" s="1161"/>
      <c r="N1" s="1161"/>
      <c r="O1" s="1161"/>
      <c r="P1" s="1161"/>
      <c r="Q1" s="1161"/>
      <c r="R1" s="1161"/>
    </row>
    <row r="2" spans="1:25">
      <c r="B2" s="245"/>
      <c r="C2" s="245"/>
      <c r="D2" s="245"/>
      <c r="E2" s="245"/>
      <c r="F2" s="1430" t="s">
        <v>8</v>
      </c>
      <c r="G2" s="245"/>
      <c r="H2" s="245"/>
      <c r="I2" s="245"/>
      <c r="J2" s="245"/>
      <c r="K2" s="245"/>
      <c r="L2" s="245"/>
      <c r="M2" s="245"/>
      <c r="N2" s="245"/>
      <c r="O2" s="245"/>
      <c r="P2" s="245"/>
      <c r="Q2" s="245"/>
      <c r="R2" s="245"/>
    </row>
    <row r="3" spans="1:25" ht="25.5">
      <c r="B3" s="1431" t="s">
        <v>1</v>
      </c>
      <c r="C3" s="1431" t="s">
        <v>2</v>
      </c>
      <c r="D3" s="1431" t="s">
        <v>26</v>
      </c>
      <c r="E3" s="1431" t="s">
        <v>14</v>
      </c>
      <c r="F3" s="1432" t="s">
        <v>15</v>
      </c>
      <c r="G3" s="1432" t="s">
        <v>608</v>
      </c>
      <c r="H3" s="1432" t="s">
        <v>908</v>
      </c>
      <c r="I3" s="1432" t="s">
        <v>909</v>
      </c>
      <c r="J3" s="1432" t="s">
        <v>910</v>
      </c>
      <c r="K3" s="1432" t="s">
        <v>911</v>
      </c>
      <c r="L3" s="1432" t="s">
        <v>912</v>
      </c>
      <c r="M3" s="1432" t="s">
        <v>913</v>
      </c>
      <c r="N3" s="1432" t="s">
        <v>157</v>
      </c>
      <c r="O3" s="1432" t="s">
        <v>16</v>
      </c>
      <c r="P3" s="1432" t="s">
        <v>601</v>
      </c>
      <c r="Q3" s="1432" t="s">
        <v>0</v>
      </c>
      <c r="R3" s="1432" t="s">
        <v>55</v>
      </c>
    </row>
    <row r="4" spans="1:25" ht="34.5" thickBot="1">
      <c r="B4" s="1433" t="s">
        <v>27</v>
      </c>
      <c r="C4" s="1434"/>
      <c r="D4" s="1433"/>
      <c r="E4" s="1433"/>
      <c r="F4" s="1433"/>
      <c r="G4" s="1433" t="s">
        <v>20</v>
      </c>
      <c r="H4" s="1433"/>
      <c r="I4" s="1433"/>
      <c r="J4" s="1433" t="s">
        <v>21</v>
      </c>
      <c r="K4" s="1433"/>
      <c r="L4" s="1433" t="s">
        <v>20</v>
      </c>
      <c r="M4" s="1433" t="s">
        <v>21</v>
      </c>
      <c r="N4" s="1433" t="s">
        <v>1652</v>
      </c>
      <c r="O4" s="1433" t="s">
        <v>499</v>
      </c>
      <c r="P4" s="1433" t="s">
        <v>77</v>
      </c>
      <c r="Q4" s="1433"/>
      <c r="R4" s="1433" t="s">
        <v>56</v>
      </c>
    </row>
    <row r="5" spans="1:25">
      <c r="B5" s="1435" t="s">
        <v>145</v>
      </c>
      <c r="C5" s="1435" t="str">
        <f>Processes!D40</f>
        <v>TFSSFOL1E</v>
      </c>
      <c r="D5" s="1435" t="str">
        <f>Processes!E40</f>
        <v>Transport Freight Sea Small Liquid bulk- Existing</v>
      </c>
      <c r="E5" s="1436" t="s">
        <v>1639</v>
      </c>
      <c r="F5" s="1436" t="s">
        <v>1631</v>
      </c>
      <c r="G5" s="1437">
        <v>5.0000000000000001E-3</v>
      </c>
      <c r="H5" s="1437">
        <v>5.3749999999999996E-3</v>
      </c>
      <c r="I5" s="1437">
        <v>4.3750000000000004E-3</v>
      </c>
      <c r="J5" s="1437">
        <v>3.8E-3</v>
      </c>
      <c r="K5" s="1437">
        <v>2.8500000000000001E-3</v>
      </c>
      <c r="L5" s="1437">
        <v>1.6000000000000001E-3</v>
      </c>
      <c r="M5" s="1437">
        <v>5.0000000000000001E-4</v>
      </c>
      <c r="N5" s="1438">
        <v>810</v>
      </c>
      <c r="O5" s="1439">
        <v>0.64</v>
      </c>
      <c r="P5" s="1440">
        <v>46488</v>
      </c>
      <c r="Q5" s="1441">
        <v>1E-3</v>
      </c>
      <c r="R5" s="1427">
        <v>35</v>
      </c>
      <c r="T5">
        <f>N5*O5</f>
        <v>518.4</v>
      </c>
    </row>
    <row r="6" spans="1:25">
      <c r="B6" s="245" t="s">
        <v>145</v>
      </c>
      <c r="C6" s="245" t="str">
        <f>Processes!D41</f>
        <v>TFSMFOL1E</v>
      </c>
      <c r="D6" s="245" t="str">
        <f>Processes!E41</f>
        <v>Transport Freight Sea Medium Liquid bulk- Existing</v>
      </c>
      <c r="E6" s="1442" t="s">
        <v>1639</v>
      </c>
      <c r="F6" s="1442" t="s">
        <v>1631</v>
      </c>
      <c r="G6" s="1443">
        <v>1E-3</v>
      </c>
      <c r="H6" s="1443">
        <v>1.075E-3</v>
      </c>
      <c r="I6" s="1443">
        <v>8.7500000000000002E-4</v>
      </c>
      <c r="J6" s="1443">
        <v>7.6000000000000004E-4</v>
      </c>
      <c r="K6" s="1443">
        <v>5.6999999999999998E-4</v>
      </c>
      <c r="L6" s="1443">
        <v>3.2000000000000003E-4</v>
      </c>
      <c r="M6" s="1443">
        <v>1E-4</v>
      </c>
      <c r="N6" s="1444">
        <v>3150</v>
      </c>
      <c r="O6" s="1445">
        <v>0.45</v>
      </c>
      <c r="P6" s="1440">
        <v>25616</v>
      </c>
      <c r="Q6" s="1446">
        <v>1E-3</v>
      </c>
      <c r="R6" s="694">
        <v>35</v>
      </c>
      <c r="T6" s="1161">
        <f t="shared" ref="T6:T34" si="0">N6*O6</f>
        <v>1417.5</v>
      </c>
      <c r="W6" s="714"/>
      <c r="X6" s="714"/>
      <c r="Y6" s="714"/>
    </row>
    <row r="7" spans="1:25">
      <c r="B7" s="245" t="s">
        <v>145</v>
      </c>
      <c r="C7" s="245" t="str">
        <f>Processes!D42</f>
        <v>TFSLFOL1E</v>
      </c>
      <c r="D7" s="245" t="str">
        <f>Processes!E42</f>
        <v>Transport Freight Sea Large Luquid bulk- Existing</v>
      </c>
      <c r="E7" s="1442" t="s">
        <v>1639</v>
      </c>
      <c r="F7" s="1442" t="s">
        <v>1631</v>
      </c>
      <c r="G7" s="1443">
        <v>1E-3</v>
      </c>
      <c r="H7" s="1443">
        <v>1.075E-3</v>
      </c>
      <c r="I7" s="1443">
        <v>8.7500000000000002E-4</v>
      </c>
      <c r="J7" s="1443">
        <v>7.6000000000000004E-4</v>
      </c>
      <c r="K7" s="1443">
        <v>5.6999999999999998E-4</v>
      </c>
      <c r="L7" s="1443">
        <v>3.2000000000000003E-4</v>
      </c>
      <c r="M7" s="1443">
        <v>1E-4</v>
      </c>
      <c r="N7" s="1444">
        <v>7500</v>
      </c>
      <c r="O7" s="1445">
        <v>0.37</v>
      </c>
      <c r="P7" s="1440">
        <v>3985</v>
      </c>
      <c r="Q7" s="1446">
        <v>1E-3</v>
      </c>
      <c r="R7" s="694">
        <v>35</v>
      </c>
      <c r="T7" s="1161">
        <f t="shared" si="0"/>
        <v>2775</v>
      </c>
      <c r="W7" s="1521"/>
      <c r="X7" s="714"/>
      <c r="Y7" s="714"/>
    </row>
    <row r="8" spans="1:25">
      <c r="B8" s="245" t="s">
        <v>145</v>
      </c>
      <c r="C8" s="245" t="str">
        <f>Processes!D43</f>
        <v>TFSSFOD1E</v>
      </c>
      <c r="D8" s="245" t="str">
        <f>Processes!E43</f>
        <v>Transport Freight Sea Small Dry Bulk- Existing</v>
      </c>
      <c r="E8" s="1442" t="s">
        <v>1639</v>
      </c>
      <c r="F8" s="1442" t="s">
        <v>1633</v>
      </c>
      <c r="G8" s="1443">
        <v>1.0200000000000001E-2</v>
      </c>
      <c r="H8" s="1443">
        <v>1.0965000000000001E-2</v>
      </c>
      <c r="I8" s="1443">
        <v>9.6249999999999999E-3</v>
      </c>
      <c r="J8" s="1443">
        <v>8.3599999999999994E-3</v>
      </c>
      <c r="K8" s="1443">
        <v>6.2700000000000004E-3</v>
      </c>
      <c r="L8" s="1443">
        <v>3.5200000000000001E-3</v>
      </c>
      <c r="M8" s="1443">
        <v>1.1000000000000001E-3</v>
      </c>
      <c r="N8" s="1444">
        <v>1527</v>
      </c>
      <c r="O8" s="1445">
        <v>0.54</v>
      </c>
      <c r="P8" s="1440">
        <v>17027</v>
      </c>
      <c r="Q8" s="1446">
        <v>1E-3</v>
      </c>
      <c r="R8" s="694">
        <v>35</v>
      </c>
      <c r="T8" s="1161">
        <f t="shared" si="0"/>
        <v>824.58</v>
      </c>
      <c r="W8" s="424"/>
      <c r="X8" s="424"/>
      <c r="Y8" s="714"/>
    </row>
    <row r="9" spans="1:25">
      <c r="B9" s="245" t="s">
        <v>145</v>
      </c>
      <c r="C9" s="245" t="str">
        <f>Processes!D44</f>
        <v>TFSMFOD1E</v>
      </c>
      <c r="D9" s="245" t="str">
        <f>Processes!E44</f>
        <v>Transport Freight Sea Medium Dry Bulk- Existing</v>
      </c>
      <c r="E9" s="1442" t="s">
        <v>1639</v>
      </c>
      <c r="F9" s="1442" t="s">
        <v>1633</v>
      </c>
      <c r="G9" s="1443">
        <v>1.7199159999999999E-3</v>
      </c>
      <c r="H9" s="1443">
        <v>1.84891E-3</v>
      </c>
      <c r="I9" s="1443">
        <v>1.75E-3</v>
      </c>
      <c r="J9" s="1443">
        <v>1.5200000000000001E-3</v>
      </c>
      <c r="K9" s="1443">
        <v>1.14E-3</v>
      </c>
      <c r="L9" s="1443">
        <v>6.4000000000000005E-4</v>
      </c>
      <c r="M9" s="1443">
        <v>2.0000000000000001E-4</v>
      </c>
      <c r="N9" s="1444">
        <v>4174</v>
      </c>
      <c r="O9" s="1445">
        <v>0.41</v>
      </c>
      <c r="P9" s="1440">
        <v>3330</v>
      </c>
      <c r="Q9" s="1446">
        <v>1E-3</v>
      </c>
      <c r="R9" s="694">
        <v>35</v>
      </c>
      <c r="T9" s="1161">
        <f t="shared" si="0"/>
        <v>1711.34</v>
      </c>
      <c r="W9" s="89"/>
      <c r="X9" s="1522"/>
      <c r="Y9" s="714"/>
    </row>
    <row r="10" spans="1:25">
      <c r="B10" s="245" t="s">
        <v>145</v>
      </c>
      <c r="C10" s="245" t="str">
        <f>Processes!D45</f>
        <v>TFSLFOD1E</v>
      </c>
      <c r="D10" s="245" t="str">
        <f>Processes!E45</f>
        <v>Transport Freight Sea Large Dry Bulk- Existing</v>
      </c>
      <c r="E10" s="1442" t="s">
        <v>1639</v>
      </c>
      <c r="F10" s="1442" t="s">
        <v>1633</v>
      </c>
      <c r="G10" s="1443">
        <v>2E-3</v>
      </c>
      <c r="H10" s="1443">
        <v>2.15E-3</v>
      </c>
      <c r="I10" s="1443">
        <v>1.75E-3</v>
      </c>
      <c r="J10" s="1443">
        <v>1.5200000000000001E-3</v>
      </c>
      <c r="K10" s="1443">
        <v>1.14E-3</v>
      </c>
      <c r="L10" s="1443">
        <v>6.4000000000000005E-4</v>
      </c>
      <c r="M10" s="1443">
        <v>2.0000000000000001E-4</v>
      </c>
      <c r="N10" s="1444">
        <v>9000</v>
      </c>
      <c r="O10" s="1445">
        <v>0.31</v>
      </c>
      <c r="P10" s="1440">
        <v>830</v>
      </c>
      <c r="Q10" s="1446">
        <v>1E-3</v>
      </c>
      <c r="R10" s="694">
        <v>35</v>
      </c>
      <c r="T10" s="1161">
        <f t="shared" si="0"/>
        <v>2790</v>
      </c>
      <c r="W10" s="714"/>
      <c r="X10" s="714"/>
      <c r="Y10" s="714"/>
    </row>
    <row r="11" spans="1:25">
      <c r="B11" s="245" t="s">
        <v>145</v>
      </c>
      <c r="C11" s="245" t="str">
        <f>Processes!D46</f>
        <v>TFSSFOC1E</v>
      </c>
      <c r="D11" s="245" t="str">
        <f>Processes!E46</f>
        <v>Transport Freight Sea Small Container Ship- Existing</v>
      </c>
      <c r="E11" s="1442" t="s">
        <v>1639</v>
      </c>
      <c r="F11" s="1442" t="s">
        <v>1635</v>
      </c>
      <c r="G11" s="1443">
        <v>0</v>
      </c>
      <c r="H11" s="1443">
        <v>0</v>
      </c>
      <c r="I11" s="1443">
        <v>0</v>
      </c>
      <c r="J11" s="1443">
        <v>0</v>
      </c>
      <c r="K11" s="1443">
        <v>0</v>
      </c>
      <c r="L11" s="1443">
        <v>0</v>
      </c>
      <c r="M11" s="1443">
        <v>0</v>
      </c>
      <c r="N11" s="1444">
        <v>2450</v>
      </c>
      <c r="O11" s="1445">
        <v>0.26</v>
      </c>
      <c r="P11" s="1440">
        <v>0</v>
      </c>
      <c r="Q11" s="1446">
        <v>1E-3</v>
      </c>
      <c r="R11" s="694">
        <v>35</v>
      </c>
      <c r="T11" s="1161">
        <f t="shared" si="0"/>
        <v>637</v>
      </c>
      <c r="W11" s="714"/>
      <c r="X11" s="714"/>
      <c r="Y11" s="714"/>
    </row>
    <row r="12" spans="1:25">
      <c r="B12" s="245" t="s">
        <v>145</v>
      </c>
      <c r="C12" s="245" t="str">
        <f>Processes!D47</f>
        <v>TFSMFOC1E</v>
      </c>
      <c r="D12" s="245" t="str">
        <f>Processes!E47</f>
        <v>Transport Freight Sea Medium Container Ship- Existing</v>
      </c>
      <c r="E12" s="1442" t="s">
        <v>1639</v>
      </c>
      <c r="F12" s="1442" t="s">
        <v>1635</v>
      </c>
      <c r="G12" s="1443">
        <v>4.0000000000000001E-3</v>
      </c>
      <c r="H12" s="1443">
        <v>4.3E-3</v>
      </c>
      <c r="I12" s="1443">
        <v>3.5000000000000001E-3</v>
      </c>
      <c r="J12" s="1443">
        <v>3.0400000000000002E-3</v>
      </c>
      <c r="K12" s="1443">
        <v>2.2799999999999999E-3</v>
      </c>
      <c r="L12" s="1443">
        <v>1.2800000000000001E-3</v>
      </c>
      <c r="M12" s="1443">
        <v>4.0000000000000002E-4</v>
      </c>
      <c r="N12" s="1444">
        <v>4900</v>
      </c>
      <c r="O12" s="1445">
        <v>0.2</v>
      </c>
      <c r="P12" s="1440">
        <v>362</v>
      </c>
      <c r="Q12" s="1446">
        <v>1E-3</v>
      </c>
      <c r="R12" s="694">
        <v>35</v>
      </c>
      <c r="T12" s="1161">
        <f t="shared" si="0"/>
        <v>980</v>
      </c>
      <c r="W12" s="714"/>
      <c r="X12" s="714"/>
      <c r="Y12" s="714"/>
    </row>
    <row r="13" spans="1:25">
      <c r="B13" s="245" t="s">
        <v>145</v>
      </c>
      <c r="C13" s="245" t="str">
        <f>Processes!D48</f>
        <v>TFSLFOC1E</v>
      </c>
      <c r="D13" s="245" t="str">
        <f>Processes!E48</f>
        <v>Transport Freight Sea Large Container Ship- Existing</v>
      </c>
      <c r="E13" s="1442" t="s">
        <v>1639</v>
      </c>
      <c r="F13" s="1442" t="s">
        <v>1635</v>
      </c>
      <c r="G13" s="1443">
        <v>1E-3</v>
      </c>
      <c r="H13" s="1443">
        <v>1.075E-3</v>
      </c>
      <c r="I13" s="1443">
        <v>8.7500000000000002E-4</v>
      </c>
      <c r="J13" s="1443">
        <v>7.6000000000000004E-4</v>
      </c>
      <c r="K13" s="1443">
        <v>5.6999999999999998E-4</v>
      </c>
      <c r="L13" s="1443">
        <v>3.2000000000000003E-4</v>
      </c>
      <c r="M13" s="1443">
        <v>1E-4</v>
      </c>
      <c r="N13" s="1444">
        <v>11760</v>
      </c>
      <c r="O13" s="1445">
        <v>0.17</v>
      </c>
      <c r="P13" s="1440">
        <v>579</v>
      </c>
      <c r="Q13" s="1446">
        <v>1E-3</v>
      </c>
      <c r="R13" s="694">
        <v>35</v>
      </c>
      <c r="T13" s="1161">
        <f t="shared" si="0"/>
        <v>1999.2</v>
      </c>
    </row>
    <row r="14" spans="1:25">
      <c r="B14" s="245" t="s">
        <v>145</v>
      </c>
      <c r="C14" s="245" t="str">
        <f>Processes!D49</f>
        <v>TFSSFOR1E</v>
      </c>
      <c r="D14" s="245" t="str">
        <f>Processes!E49</f>
        <v>Transport Freight Sea Small Ro-Ro Ship- Existing</v>
      </c>
      <c r="E14" s="1442" t="s">
        <v>1639</v>
      </c>
      <c r="F14" s="1442" t="s">
        <v>1637</v>
      </c>
      <c r="G14" s="1443">
        <v>2E-3</v>
      </c>
      <c r="H14" s="1443">
        <v>2.15E-3</v>
      </c>
      <c r="I14" s="1443">
        <v>1.75E-3</v>
      </c>
      <c r="J14" s="1443">
        <v>1.5200000000000001E-3</v>
      </c>
      <c r="K14" s="1443">
        <v>1.14E-3</v>
      </c>
      <c r="L14" s="1443">
        <v>6.4000000000000005E-4</v>
      </c>
      <c r="M14" s="1443">
        <v>2.0000000000000001E-4</v>
      </c>
      <c r="N14" s="1444">
        <v>1002</v>
      </c>
      <c r="O14" s="1445">
        <v>0.44</v>
      </c>
      <c r="P14" s="1440">
        <v>38287</v>
      </c>
      <c r="Q14" s="1446">
        <v>1E-3</v>
      </c>
      <c r="R14" s="694">
        <v>35</v>
      </c>
      <c r="T14" s="1161">
        <f t="shared" si="0"/>
        <v>440.88</v>
      </c>
    </row>
    <row r="15" spans="1:25" ht="13.5" thickBot="1">
      <c r="B15" s="245" t="s">
        <v>145</v>
      </c>
      <c r="C15" s="1447" t="str">
        <f>Processes!D50</f>
        <v>TFSMFOR1E</v>
      </c>
      <c r="D15" s="1447" t="str">
        <f>Processes!E50</f>
        <v>Transport Freight Sea Medium Ro-Ro Ship- Existing</v>
      </c>
      <c r="E15" s="1448" t="s">
        <v>1639</v>
      </c>
      <c r="F15" s="1448" t="s">
        <v>1637</v>
      </c>
      <c r="G15" s="1449">
        <v>2E-3</v>
      </c>
      <c r="H15" s="1449">
        <v>2.15E-3</v>
      </c>
      <c r="I15" s="1443">
        <v>1.75E-3</v>
      </c>
      <c r="J15" s="1443">
        <v>1.5200000000000001E-3</v>
      </c>
      <c r="K15" s="1443">
        <v>1.14E-3</v>
      </c>
      <c r="L15" s="1443">
        <v>6.4000000000000005E-4</v>
      </c>
      <c r="M15" s="1443">
        <v>2.0000000000000001E-4</v>
      </c>
      <c r="N15" s="1450">
        <v>3608</v>
      </c>
      <c r="O15" s="1451">
        <v>0.2</v>
      </c>
      <c r="P15" s="1452">
        <v>925</v>
      </c>
      <c r="Q15" s="1453">
        <v>1E-3</v>
      </c>
      <c r="R15" s="1428">
        <v>35</v>
      </c>
      <c r="T15" s="1161">
        <f t="shared" si="0"/>
        <v>721.6</v>
      </c>
    </row>
    <row r="16" spans="1:25">
      <c r="B16" s="1427" t="s">
        <v>146</v>
      </c>
      <c r="C16" s="245" t="str">
        <f>C5</f>
        <v>TFSSFOL1E</v>
      </c>
      <c r="D16" s="245" t="str">
        <f>D5</f>
        <v>Transport Freight Sea Small Liquid bulk- Existing</v>
      </c>
      <c r="E16" s="1442" t="s">
        <v>1639</v>
      </c>
      <c r="F16" s="1442" t="s">
        <v>1631</v>
      </c>
      <c r="G16" s="1437">
        <v>5.0000000000000001E-3</v>
      </c>
      <c r="H16" s="1437">
        <v>5.3749999999999996E-3</v>
      </c>
      <c r="I16" s="1437">
        <v>4.3750000000000004E-3</v>
      </c>
      <c r="J16" s="1437">
        <v>3.8E-3</v>
      </c>
      <c r="K16" s="1437">
        <v>2.8500000000000001E-3</v>
      </c>
      <c r="L16" s="1437">
        <v>1.6000000000000001E-3</v>
      </c>
      <c r="M16" s="1437">
        <v>5.0000000000000001E-4</v>
      </c>
      <c r="N16" s="1444">
        <v>810</v>
      </c>
      <c r="O16" s="1445">
        <v>0.64</v>
      </c>
      <c r="P16" s="1440">
        <v>83879</v>
      </c>
      <c r="Q16" s="1446">
        <v>1E-3</v>
      </c>
      <c r="R16" s="694">
        <v>35</v>
      </c>
      <c r="T16" s="1161">
        <f t="shared" si="0"/>
        <v>518.4</v>
      </c>
    </row>
    <row r="17" spans="2:20">
      <c r="B17" s="694" t="s">
        <v>146</v>
      </c>
      <c r="C17" s="245" t="str">
        <f t="shared" ref="C17:D26" si="1">C6</f>
        <v>TFSMFOL1E</v>
      </c>
      <c r="D17" s="245" t="str">
        <f t="shared" si="1"/>
        <v>Transport Freight Sea Medium Liquid bulk- Existing</v>
      </c>
      <c r="E17" s="1442" t="s">
        <v>1639</v>
      </c>
      <c r="F17" s="1442" t="s">
        <v>1631</v>
      </c>
      <c r="G17" s="1443">
        <v>1E-3</v>
      </c>
      <c r="H17" s="1443">
        <v>1.075E-3</v>
      </c>
      <c r="I17" s="1443">
        <v>8.7500000000000002E-4</v>
      </c>
      <c r="J17" s="1443">
        <v>7.6000000000000004E-4</v>
      </c>
      <c r="K17" s="1443">
        <v>5.6999999999999998E-4</v>
      </c>
      <c r="L17" s="1443">
        <v>3.2000000000000003E-4</v>
      </c>
      <c r="M17" s="1443">
        <v>1E-4</v>
      </c>
      <c r="N17" s="1444">
        <v>3150</v>
      </c>
      <c r="O17" s="1445">
        <v>0.45</v>
      </c>
      <c r="P17" s="1440">
        <v>46219</v>
      </c>
      <c r="Q17" s="1446">
        <v>1E-3</v>
      </c>
      <c r="R17" s="694">
        <v>35</v>
      </c>
      <c r="T17" s="1161">
        <f t="shared" si="0"/>
        <v>1417.5</v>
      </c>
    </row>
    <row r="18" spans="2:20">
      <c r="B18" s="694" t="s">
        <v>146</v>
      </c>
      <c r="C18" s="245" t="str">
        <f t="shared" si="1"/>
        <v>TFSLFOL1E</v>
      </c>
      <c r="D18" s="245" t="str">
        <f t="shared" si="1"/>
        <v>Transport Freight Sea Large Luquid bulk- Existing</v>
      </c>
      <c r="E18" s="1442" t="s">
        <v>1639</v>
      </c>
      <c r="F18" s="1442" t="s">
        <v>1631</v>
      </c>
      <c r="G18" s="1443">
        <v>1E-3</v>
      </c>
      <c r="H18" s="1443">
        <v>1.075E-3</v>
      </c>
      <c r="I18" s="1443">
        <v>8.7500000000000002E-4</v>
      </c>
      <c r="J18" s="1443">
        <v>7.6000000000000004E-4</v>
      </c>
      <c r="K18" s="1443">
        <v>5.6999999999999998E-4</v>
      </c>
      <c r="L18" s="1443">
        <v>3.2000000000000003E-4</v>
      </c>
      <c r="M18" s="1443">
        <v>1E-4</v>
      </c>
      <c r="N18" s="1444">
        <v>7500</v>
      </c>
      <c r="O18" s="1445">
        <v>0.37</v>
      </c>
      <c r="P18" s="1440">
        <v>7190</v>
      </c>
      <c r="Q18" s="1446">
        <v>1E-3</v>
      </c>
      <c r="R18" s="694">
        <v>35</v>
      </c>
      <c r="T18" s="1161">
        <f t="shared" si="0"/>
        <v>2775</v>
      </c>
    </row>
    <row r="19" spans="2:20">
      <c r="B19" s="694" t="s">
        <v>146</v>
      </c>
      <c r="C19" s="245" t="str">
        <f t="shared" si="1"/>
        <v>TFSSFOD1E</v>
      </c>
      <c r="D19" s="245" t="str">
        <f t="shared" si="1"/>
        <v>Transport Freight Sea Small Dry Bulk- Existing</v>
      </c>
      <c r="E19" s="1442" t="s">
        <v>1639</v>
      </c>
      <c r="F19" s="1442" t="s">
        <v>1633</v>
      </c>
      <c r="G19" s="1443">
        <v>0.01</v>
      </c>
      <c r="H19" s="1443">
        <v>1.0749999999999999E-2</v>
      </c>
      <c r="I19" s="1443">
        <v>9.6249999999999999E-3</v>
      </c>
      <c r="J19" s="1443">
        <v>8.3599999999999994E-3</v>
      </c>
      <c r="K19" s="1443">
        <v>6.2700000000000004E-3</v>
      </c>
      <c r="L19" s="1443">
        <v>3.5200000000000001E-3</v>
      </c>
      <c r="M19" s="1443">
        <v>1.1000000000000001E-3</v>
      </c>
      <c r="N19" s="1444">
        <v>1527</v>
      </c>
      <c r="O19" s="1445">
        <v>0.54</v>
      </c>
      <c r="P19" s="1440">
        <v>30722</v>
      </c>
      <c r="Q19" s="1446">
        <v>1E-3</v>
      </c>
      <c r="R19" s="694">
        <v>35</v>
      </c>
      <c r="T19" s="1161">
        <f t="shared" si="0"/>
        <v>824.58</v>
      </c>
    </row>
    <row r="20" spans="2:20">
      <c r="B20" s="694" t="s">
        <v>146</v>
      </c>
      <c r="C20" s="245" t="str">
        <f t="shared" si="1"/>
        <v>TFSMFOD1E</v>
      </c>
      <c r="D20" s="245" t="str">
        <f t="shared" si="1"/>
        <v>Transport Freight Sea Medium Dry Bulk- Existing</v>
      </c>
      <c r="E20" s="1442" t="s">
        <v>1639</v>
      </c>
      <c r="F20" s="1442" t="s">
        <v>1633</v>
      </c>
      <c r="G20" s="1443">
        <v>1.7199159999999999E-3</v>
      </c>
      <c r="H20" s="1443">
        <v>1.84891E-3</v>
      </c>
      <c r="I20" s="1443">
        <v>1.75E-3</v>
      </c>
      <c r="J20" s="1443">
        <v>1.5200000000000001E-3</v>
      </c>
      <c r="K20" s="1443">
        <v>1.14E-3</v>
      </c>
      <c r="L20" s="1443">
        <v>6.4000000000000005E-4</v>
      </c>
      <c r="M20" s="1443">
        <v>2.0000000000000001E-4</v>
      </c>
      <c r="N20" s="1444">
        <v>4174</v>
      </c>
      <c r="O20" s="1445">
        <v>0.41</v>
      </c>
      <c r="P20" s="1440">
        <v>6009</v>
      </c>
      <c r="Q20" s="1446">
        <v>1E-3</v>
      </c>
      <c r="R20" s="694">
        <v>35</v>
      </c>
      <c r="T20" s="1161">
        <f t="shared" si="0"/>
        <v>1711.34</v>
      </c>
    </row>
    <row r="21" spans="2:20">
      <c r="B21" s="694" t="s">
        <v>146</v>
      </c>
      <c r="C21" s="245" t="str">
        <f t="shared" si="1"/>
        <v>TFSLFOD1E</v>
      </c>
      <c r="D21" s="245" t="str">
        <f t="shared" si="1"/>
        <v>Transport Freight Sea Large Dry Bulk- Existing</v>
      </c>
      <c r="E21" s="1442" t="s">
        <v>1639</v>
      </c>
      <c r="F21" s="1442" t="s">
        <v>1633</v>
      </c>
      <c r="G21" s="1443">
        <v>2E-3</v>
      </c>
      <c r="H21" s="1443">
        <v>2.15E-3</v>
      </c>
      <c r="I21" s="1443">
        <v>1.75E-3</v>
      </c>
      <c r="J21" s="1443">
        <v>1.5200000000000001E-3</v>
      </c>
      <c r="K21" s="1443">
        <v>1.14E-3</v>
      </c>
      <c r="L21" s="1443">
        <v>6.4000000000000005E-4</v>
      </c>
      <c r="M21" s="1443">
        <v>2.0000000000000001E-4</v>
      </c>
      <c r="N21" s="1444">
        <v>9000</v>
      </c>
      <c r="O21" s="1445">
        <v>0.31</v>
      </c>
      <c r="P21" s="1440">
        <v>1498</v>
      </c>
      <c r="Q21" s="1446">
        <v>1E-3</v>
      </c>
      <c r="R21" s="694">
        <v>35</v>
      </c>
      <c r="T21" s="1161">
        <f t="shared" si="0"/>
        <v>2790</v>
      </c>
    </row>
    <row r="22" spans="2:20">
      <c r="B22" s="694" t="s">
        <v>146</v>
      </c>
      <c r="C22" s="245" t="str">
        <f t="shared" si="1"/>
        <v>TFSSFOC1E</v>
      </c>
      <c r="D22" s="245" t="str">
        <f t="shared" si="1"/>
        <v>Transport Freight Sea Small Container Ship- Existing</v>
      </c>
      <c r="E22" s="1442" t="s">
        <v>1639</v>
      </c>
      <c r="F22" s="1442" t="s">
        <v>1635</v>
      </c>
      <c r="G22" s="1443">
        <v>0</v>
      </c>
      <c r="H22" s="1443">
        <v>0</v>
      </c>
      <c r="I22" s="1443">
        <v>0</v>
      </c>
      <c r="J22" s="1443">
        <v>0</v>
      </c>
      <c r="K22" s="1443">
        <v>0</v>
      </c>
      <c r="L22" s="1443">
        <v>0</v>
      </c>
      <c r="M22" s="1443">
        <v>0</v>
      </c>
      <c r="N22" s="1444">
        <v>2450</v>
      </c>
      <c r="O22" s="1445">
        <v>0.26</v>
      </c>
      <c r="P22" s="1440">
        <v>0</v>
      </c>
      <c r="Q22" s="1446">
        <v>1E-3</v>
      </c>
      <c r="R22" s="694">
        <v>35</v>
      </c>
      <c r="T22" s="1161">
        <f t="shared" si="0"/>
        <v>637</v>
      </c>
    </row>
    <row r="23" spans="2:20">
      <c r="B23" s="694" t="s">
        <v>146</v>
      </c>
      <c r="C23" s="245" t="str">
        <f t="shared" si="1"/>
        <v>TFSMFOC1E</v>
      </c>
      <c r="D23" s="245" t="str">
        <f t="shared" si="1"/>
        <v>Transport Freight Sea Medium Container Ship- Existing</v>
      </c>
      <c r="E23" s="1442" t="s">
        <v>1639</v>
      </c>
      <c r="F23" s="1442" t="s">
        <v>1635</v>
      </c>
      <c r="G23" s="1443">
        <v>4.0000000000000001E-3</v>
      </c>
      <c r="H23" s="1443">
        <v>4.3E-3</v>
      </c>
      <c r="I23" s="1443">
        <v>3.5000000000000001E-3</v>
      </c>
      <c r="J23" s="1443">
        <v>3.0400000000000002E-3</v>
      </c>
      <c r="K23" s="1443">
        <v>2.2799999999999999E-3</v>
      </c>
      <c r="L23" s="1443">
        <v>1.2800000000000001E-3</v>
      </c>
      <c r="M23" s="1443">
        <v>4.0000000000000002E-4</v>
      </c>
      <c r="N23" s="1444">
        <v>4900</v>
      </c>
      <c r="O23" s="1445">
        <v>0.2</v>
      </c>
      <c r="P23" s="1440">
        <v>653</v>
      </c>
      <c r="Q23" s="1446">
        <v>1E-3</v>
      </c>
      <c r="R23" s="694">
        <v>35</v>
      </c>
      <c r="T23" s="1161">
        <f t="shared" si="0"/>
        <v>980</v>
      </c>
    </row>
    <row r="24" spans="2:20">
      <c r="B24" s="694" t="s">
        <v>146</v>
      </c>
      <c r="C24" s="245" t="str">
        <f t="shared" si="1"/>
        <v>TFSLFOC1E</v>
      </c>
      <c r="D24" s="245" t="str">
        <f t="shared" si="1"/>
        <v>Transport Freight Sea Large Container Ship- Existing</v>
      </c>
      <c r="E24" s="1442" t="s">
        <v>1639</v>
      </c>
      <c r="F24" s="1442" t="s">
        <v>1635</v>
      </c>
      <c r="G24" s="1443">
        <v>1E-3</v>
      </c>
      <c r="H24" s="1443">
        <v>1.075E-3</v>
      </c>
      <c r="I24" s="1443">
        <v>8.7500000000000002E-4</v>
      </c>
      <c r="J24" s="1443">
        <v>7.6000000000000004E-4</v>
      </c>
      <c r="K24" s="1443">
        <v>5.6999999999999998E-4</v>
      </c>
      <c r="L24" s="1443">
        <v>3.2000000000000003E-4</v>
      </c>
      <c r="M24" s="1443">
        <v>1E-4</v>
      </c>
      <c r="N24" s="1444">
        <v>11760</v>
      </c>
      <c r="O24" s="1445">
        <v>0.17</v>
      </c>
      <c r="P24" s="1440">
        <v>1045</v>
      </c>
      <c r="Q24" s="1446">
        <v>1E-3</v>
      </c>
      <c r="R24" s="694">
        <v>35</v>
      </c>
      <c r="T24" s="1161">
        <f t="shared" si="0"/>
        <v>1999.2</v>
      </c>
    </row>
    <row r="25" spans="2:20">
      <c r="B25" s="694" t="s">
        <v>146</v>
      </c>
      <c r="C25" s="245" t="str">
        <f t="shared" si="1"/>
        <v>TFSSFOR1E</v>
      </c>
      <c r="D25" s="245" t="str">
        <f t="shared" si="1"/>
        <v>Transport Freight Sea Small Ro-Ro Ship- Existing</v>
      </c>
      <c r="E25" s="1442" t="s">
        <v>1639</v>
      </c>
      <c r="F25" s="1442" t="s">
        <v>1637</v>
      </c>
      <c r="G25" s="1443">
        <v>2.3999999999999998E-3</v>
      </c>
      <c r="H25" s="1443">
        <v>2.5799999999999998E-3</v>
      </c>
      <c r="I25" s="1443">
        <v>2.6250000000000002E-3</v>
      </c>
      <c r="J25" s="1443">
        <v>2.2799999999999999E-3</v>
      </c>
      <c r="K25" s="1443">
        <v>1.7099999999999999E-3</v>
      </c>
      <c r="L25" s="1443">
        <v>9.6000000000000002E-4</v>
      </c>
      <c r="M25" s="1443">
        <v>2.9999999999999997E-4</v>
      </c>
      <c r="N25" s="1444">
        <v>1002</v>
      </c>
      <c r="O25" s="1445">
        <v>0.44</v>
      </c>
      <c r="P25" s="1440">
        <v>69083</v>
      </c>
      <c r="Q25" s="1446">
        <v>1E-3</v>
      </c>
      <c r="R25" s="694">
        <v>35</v>
      </c>
      <c r="T25" s="1161">
        <f t="shared" si="0"/>
        <v>440.88</v>
      </c>
    </row>
    <row r="26" spans="2:20" ht="13.5" thickBot="1">
      <c r="B26" s="1428" t="s">
        <v>146</v>
      </c>
      <c r="C26" s="1447" t="str">
        <f t="shared" si="1"/>
        <v>TFSMFOR1E</v>
      </c>
      <c r="D26" s="1447" t="str">
        <f t="shared" si="1"/>
        <v>Transport Freight Sea Medium Ro-Ro Ship- Existing</v>
      </c>
      <c r="E26" s="1442" t="s">
        <v>1639</v>
      </c>
      <c r="F26" s="1448" t="s">
        <v>1637</v>
      </c>
      <c r="G26" s="1449">
        <v>2E-3</v>
      </c>
      <c r="H26" s="1449">
        <v>2.15E-3</v>
      </c>
      <c r="I26" s="1449">
        <v>1.75E-3</v>
      </c>
      <c r="J26" s="1449">
        <v>1.5200000000000001E-3</v>
      </c>
      <c r="K26" s="1449">
        <v>1.14E-3</v>
      </c>
      <c r="L26" s="1449">
        <v>6.4000000000000005E-4</v>
      </c>
      <c r="M26" s="1449">
        <v>2.0000000000000001E-4</v>
      </c>
      <c r="N26" s="1450">
        <v>3608</v>
      </c>
      <c r="O26" s="1451">
        <v>0.2</v>
      </c>
      <c r="P26" s="1452">
        <v>1668</v>
      </c>
      <c r="Q26" s="1453">
        <v>1E-3</v>
      </c>
      <c r="R26" s="1428">
        <v>35</v>
      </c>
      <c r="T26" s="1161">
        <f t="shared" si="0"/>
        <v>721.6</v>
      </c>
    </row>
    <row r="27" spans="2:20">
      <c r="B27" s="245" t="s">
        <v>145</v>
      </c>
      <c r="C27" s="1454" t="str">
        <f>Processes!D19</f>
        <v>TPSSFO1E</v>
      </c>
      <c r="D27" s="1454" t="str">
        <f>Processes!E19</f>
        <v>Transport Passengers Sea Domestic Short Distance-Existing</v>
      </c>
      <c r="E27" s="1436" t="s">
        <v>1639</v>
      </c>
      <c r="F27" s="1442" t="s">
        <v>1623</v>
      </c>
      <c r="G27" s="1443">
        <v>2.1999999999999999E-2</v>
      </c>
      <c r="H27" s="1443">
        <v>2.2879999999999998E-2</v>
      </c>
      <c r="I27" s="1443">
        <v>2.0125000000000001E-2</v>
      </c>
      <c r="J27" s="1443">
        <v>1.7479999999999999E-2</v>
      </c>
      <c r="K27" s="1443">
        <v>1.311E-2</v>
      </c>
      <c r="L27" s="1443">
        <v>7.3600000000000002E-3</v>
      </c>
      <c r="M27" s="1443">
        <v>2.3E-3</v>
      </c>
      <c r="N27" s="1444">
        <v>10.68</v>
      </c>
      <c r="O27" s="1445">
        <v>5.4</v>
      </c>
      <c r="P27" s="1455">
        <v>43202.5</v>
      </c>
      <c r="Q27" s="1446">
        <v>1E-3</v>
      </c>
      <c r="R27" s="1456">
        <v>25</v>
      </c>
      <c r="T27" s="1161">
        <f t="shared" si="0"/>
        <v>57.672000000000004</v>
      </c>
    </row>
    <row r="28" spans="2:20">
      <c r="B28" s="245" t="s">
        <v>145</v>
      </c>
      <c r="C28" s="1454" t="str">
        <f>Processes!D20</f>
        <v>TPSMFO1E</v>
      </c>
      <c r="D28" s="1454" t="str">
        <f>Processes!E20</f>
        <v>Transport Passengers Sea Domestic Medium Distance-Existing</v>
      </c>
      <c r="E28" s="1442" t="s">
        <v>1639</v>
      </c>
      <c r="F28" s="1442" t="s">
        <v>1625</v>
      </c>
      <c r="G28" s="1443">
        <v>3.2000000000000002E-3</v>
      </c>
      <c r="H28" s="1443">
        <v>3.9000000000000003E-3</v>
      </c>
      <c r="I28" s="1443">
        <v>3.5000000000000001E-3</v>
      </c>
      <c r="J28" s="1443">
        <v>3.0400000000000002E-3</v>
      </c>
      <c r="K28" s="1443">
        <v>2.2799999999999999E-3</v>
      </c>
      <c r="L28" s="1443">
        <v>1.2800000000000001E-3</v>
      </c>
      <c r="M28" s="1443">
        <v>4.0000000000000002E-4</v>
      </c>
      <c r="N28" s="1444">
        <v>66.36</v>
      </c>
      <c r="O28" s="1445">
        <v>1.54</v>
      </c>
      <c r="P28" s="1444">
        <v>57461</v>
      </c>
      <c r="Q28" s="1446">
        <v>1E-3</v>
      </c>
      <c r="R28" s="1429">
        <v>25</v>
      </c>
      <c r="T28" s="1161">
        <f t="shared" si="0"/>
        <v>102.1944</v>
      </c>
    </row>
    <row r="29" spans="2:20">
      <c r="B29" s="245" t="s">
        <v>145</v>
      </c>
      <c r="C29" s="1454" t="str">
        <f>Processes!D21</f>
        <v>TPSLFO1E</v>
      </c>
      <c r="D29" s="1454" t="str">
        <f>Processes!E21</f>
        <v>Transport Passengers Sea Domestic Long Distance-Existing</v>
      </c>
      <c r="E29" s="1442" t="s">
        <v>1639</v>
      </c>
      <c r="F29" s="1442" t="s">
        <v>1627</v>
      </c>
      <c r="G29" s="1443">
        <v>4.0000000000000001E-3</v>
      </c>
      <c r="H29" s="1443">
        <v>4.3200000000000001E-3</v>
      </c>
      <c r="I29" s="1443">
        <v>3.5000000000000001E-3</v>
      </c>
      <c r="J29" s="1443">
        <v>3.0400000000000002E-3</v>
      </c>
      <c r="K29" s="1443">
        <v>2.2799999999999999E-3</v>
      </c>
      <c r="L29" s="1443">
        <v>1.2800000000000001E-3</v>
      </c>
      <c r="M29" s="1443">
        <v>4.0000000000000002E-4</v>
      </c>
      <c r="N29" s="1444">
        <v>41.87</v>
      </c>
      <c r="O29" s="1445">
        <v>0.99</v>
      </c>
      <c r="P29" s="1444">
        <v>83713</v>
      </c>
      <c r="Q29" s="1446">
        <v>1E-3</v>
      </c>
      <c r="R29" s="1429">
        <v>25</v>
      </c>
      <c r="T29" s="1161">
        <f t="shared" si="0"/>
        <v>41.451299999999996</v>
      </c>
    </row>
    <row r="30" spans="2:20" ht="13.5" thickBot="1">
      <c r="B30" s="1447" t="s">
        <v>145</v>
      </c>
      <c r="C30" s="1454" t="str">
        <f>Processes!D22</f>
        <v>TPSXLFO1E</v>
      </c>
      <c r="D30" s="1454" t="str">
        <f>Processes!E22</f>
        <v>Transport Passengers Sea Domestic Extra Long Distance-Existing</v>
      </c>
      <c r="E30" s="1448" t="s">
        <v>1639</v>
      </c>
      <c r="F30" s="1448" t="s">
        <v>1629</v>
      </c>
      <c r="G30" s="1449">
        <v>4.1999999999999997E-3</v>
      </c>
      <c r="H30" s="1449">
        <v>4.2819999999999993E-3</v>
      </c>
      <c r="I30" s="1449">
        <v>3.5000000000000001E-3</v>
      </c>
      <c r="J30" s="1449">
        <v>3.0400000000000002E-3</v>
      </c>
      <c r="K30" s="1449">
        <v>2.2799999999999999E-3</v>
      </c>
      <c r="L30" s="1449">
        <v>1.2800000000000001E-3</v>
      </c>
      <c r="M30" s="1449">
        <v>4.0000000000000002E-4</v>
      </c>
      <c r="N30" s="1450">
        <v>213.92</v>
      </c>
      <c r="O30" s="1451">
        <v>0.215</v>
      </c>
      <c r="P30" s="1450">
        <v>140122</v>
      </c>
      <c r="Q30" s="1453">
        <v>1E-3</v>
      </c>
      <c r="R30" s="1457">
        <v>25</v>
      </c>
      <c r="T30" s="1161">
        <f t="shared" si="0"/>
        <v>45.992799999999995</v>
      </c>
    </row>
    <row r="31" spans="2:20">
      <c r="B31" s="694" t="s">
        <v>146</v>
      </c>
      <c r="C31" s="1454" t="str">
        <f>Processes!D19</f>
        <v>TPSSFO1E</v>
      </c>
      <c r="D31" s="1454" t="str">
        <f>Processes!E19</f>
        <v>Transport Passengers Sea Domestic Short Distance-Existing</v>
      </c>
      <c r="E31" s="1436" t="s">
        <v>1639</v>
      </c>
      <c r="F31" s="1442" t="s">
        <v>1623</v>
      </c>
      <c r="G31" s="1443">
        <v>1.0200000000000001E-2</v>
      </c>
      <c r="H31" s="1443">
        <v>1.059E-2</v>
      </c>
      <c r="I31" s="1443">
        <v>9.6249999999999999E-3</v>
      </c>
      <c r="J31" s="1443">
        <v>8.3599999999999994E-3</v>
      </c>
      <c r="K31" s="1443">
        <v>6.2700000000000004E-3</v>
      </c>
      <c r="L31" s="1443">
        <v>3.5200000000000001E-3</v>
      </c>
      <c r="M31" s="1443">
        <v>1.1000000000000001E-3</v>
      </c>
      <c r="N31" s="1444">
        <v>42.83</v>
      </c>
      <c r="O31" s="1445">
        <v>8.3000000000000007</v>
      </c>
      <c r="P31" s="1455">
        <v>21526</v>
      </c>
      <c r="Q31" s="1446">
        <v>1E-3</v>
      </c>
      <c r="R31" s="1456">
        <v>25</v>
      </c>
      <c r="T31" s="1161">
        <f t="shared" si="0"/>
        <v>355.48900000000003</v>
      </c>
    </row>
    <row r="32" spans="2:20">
      <c r="B32" s="694" t="s">
        <v>146</v>
      </c>
      <c r="C32" s="1454" t="str">
        <f>Processes!D20</f>
        <v>TPSMFO1E</v>
      </c>
      <c r="D32" s="1454" t="str">
        <f>Processes!E20</f>
        <v>Transport Passengers Sea Domestic Medium Distance-Existing</v>
      </c>
      <c r="E32" s="1442" t="s">
        <v>1639</v>
      </c>
      <c r="F32" s="1442" t="s">
        <v>1625</v>
      </c>
      <c r="G32" s="1443">
        <v>2.0200000000000001E-3</v>
      </c>
      <c r="H32" s="1443">
        <v>2.7200000000000002E-3</v>
      </c>
      <c r="I32" s="1443">
        <v>2.6250000000000002E-3</v>
      </c>
      <c r="J32" s="1443">
        <v>2.2799999999999999E-3</v>
      </c>
      <c r="K32" s="1443">
        <v>1.7099999999999999E-3</v>
      </c>
      <c r="L32" s="1443">
        <v>9.6000000000000002E-4</v>
      </c>
      <c r="M32" s="1443">
        <v>2.9999999999999997E-4</v>
      </c>
      <c r="N32" s="1444">
        <v>34.69</v>
      </c>
      <c r="O32" s="1445">
        <v>1.62</v>
      </c>
      <c r="P32" s="1444">
        <v>50445</v>
      </c>
      <c r="Q32" s="1446">
        <v>1E-3</v>
      </c>
      <c r="R32" s="1429">
        <v>25</v>
      </c>
      <c r="T32" s="1161">
        <f t="shared" si="0"/>
        <v>56.197800000000001</v>
      </c>
    </row>
    <row r="33" spans="2:27">
      <c r="B33" s="694" t="s">
        <v>146</v>
      </c>
      <c r="C33" s="1454" t="str">
        <f>Processes!D21</f>
        <v>TPSLFO1E</v>
      </c>
      <c r="D33" s="1454" t="str">
        <f>Processes!E21</f>
        <v>Transport Passengers Sea Domestic Long Distance-Existing</v>
      </c>
      <c r="E33" s="1442" t="s">
        <v>1639</v>
      </c>
      <c r="F33" s="1442" t="s">
        <v>1627</v>
      </c>
      <c r="G33" s="1443">
        <v>8.0199999999999994E-3</v>
      </c>
      <c r="H33" s="1443">
        <v>8.7199999999999986E-3</v>
      </c>
      <c r="I33" s="1443">
        <v>7.8750000000000001E-3</v>
      </c>
      <c r="J33" s="1443">
        <v>6.8399999999999997E-3</v>
      </c>
      <c r="K33" s="1443">
        <v>5.13E-3</v>
      </c>
      <c r="L33" s="1443">
        <v>2.8800000000000002E-3</v>
      </c>
      <c r="M33" s="1443">
        <v>8.9999999999999998E-4</v>
      </c>
      <c r="N33" s="1444">
        <v>38.56</v>
      </c>
      <c r="O33" s="1445">
        <v>0.81</v>
      </c>
      <c r="P33" s="1444">
        <v>52608</v>
      </c>
      <c r="Q33" s="1446">
        <v>1E-3</v>
      </c>
      <c r="R33" s="1429">
        <v>25</v>
      </c>
      <c r="T33" s="1161">
        <f t="shared" si="0"/>
        <v>31.233600000000003</v>
      </c>
    </row>
    <row r="34" spans="2:27" ht="13.5" thickBot="1">
      <c r="B34" s="1428" t="s">
        <v>146</v>
      </c>
      <c r="C34" s="1454" t="str">
        <f>Processes!D22</f>
        <v>TPSXLFO1E</v>
      </c>
      <c r="D34" s="1454" t="str">
        <f>Processes!E22</f>
        <v>Transport Passengers Sea Domestic Extra Long Distance-Existing</v>
      </c>
      <c r="E34" s="1448" t="s">
        <v>1639</v>
      </c>
      <c r="F34" s="1448" t="s">
        <v>1629</v>
      </c>
      <c r="G34" s="1449">
        <v>0</v>
      </c>
      <c r="H34" s="1449">
        <v>0</v>
      </c>
      <c r="I34" s="1449">
        <v>0</v>
      </c>
      <c r="J34" s="1449">
        <v>0</v>
      </c>
      <c r="K34" s="1449">
        <v>0</v>
      </c>
      <c r="L34" s="1449">
        <v>0</v>
      </c>
      <c r="M34" s="1449">
        <v>0</v>
      </c>
      <c r="N34" s="1450">
        <v>213.92</v>
      </c>
      <c r="O34" s="1451">
        <v>0.215</v>
      </c>
      <c r="P34" s="1450">
        <v>140122</v>
      </c>
      <c r="Q34" s="1453">
        <v>1E-3</v>
      </c>
      <c r="R34" s="1457">
        <v>25</v>
      </c>
      <c r="T34" s="1161">
        <f t="shared" si="0"/>
        <v>45.992799999999995</v>
      </c>
    </row>
    <row r="40" spans="2:27">
      <c r="C40" t="s">
        <v>1670</v>
      </c>
    </row>
    <row r="41" spans="2:27">
      <c r="C41" s="919" t="s">
        <v>1671</v>
      </c>
    </row>
    <row r="44" spans="2:27" ht="30">
      <c r="B44" t="s">
        <v>1677</v>
      </c>
      <c r="D44" s="1486" t="s">
        <v>1690</v>
      </c>
    </row>
    <row r="46" spans="2:27">
      <c r="B46" s="245"/>
      <c r="C46" s="245"/>
      <c r="D46" s="245"/>
      <c r="F46" s="1430" t="s">
        <v>8</v>
      </c>
      <c r="G46" s="245"/>
      <c r="H46" s="245"/>
      <c r="I46" s="245"/>
      <c r="J46" s="245"/>
      <c r="K46" s="245"/>
      <c r="L46" s="245"/>
      <c r="M46" s="245"/>
      <c r="N46" s="245"/>
      <c r="O46" s="245"/>
      <c r="P46" s="245"/>
      <c r="Q46" s="245"/>
    </row>
    <row r="47" spans="2:27" ht="25.5">
      <c r="B47" s="1431" t="s">
        <v>1</v>
      </c>
      <c r="C47" s="1431" t="s">
        <v>2</v>
      </c>
      <c r="D47" s="1431" t="s">
        <v>26</v>
      </c>
      <c r="E47" s="1431" t="s">
        <v>14</v>
      </c>
      <c r="F47" s="1432" t="s">
        <v>15</v>
      </c>
      <c r="G47" s="1432" t="s">
        <v>608</v>
      </c>
      <c r="H47" s="1432" t="s">
        <v>908</v>
      </c>
      <c r="I47" s="1432" t="s">
        <v>909</v>
      </c>
      <c r="J47" s="1432" t="s">
        <v>910</v>
      </c>
      <c r="K47" s="1432" t="s">
        <v>911</v>
      </c>
      <c r="L47" s="1432" t="s">
        <v>912</v>
      </c>
      <c r="M47" s="1432" t="s">
        <v>913</v>
      </c>
      <c r="N47" s="1432" t="s">
        <v>157</v>
      </c>
      <c r="O47" s="1432" t="s">
        <v>16</v>
      </c>
      <c r="P47" s="1432" t="s">
        <v>601</v>
      </c>
      <c r="Q47" s="1432" t="s">
        <v>0</v>
      </c>
      <c r="R47" s="1432" t="s">
        <v>55</v>
      </c>
    </row>
    <row r="48" spans="2:27" ht="34.5" thickBot="1">
      <c r="B48" s="1433" t="s">
        <v>27</v>
      </c>
      <c r="C48" s="1433"/>
      <c r="D48" s="1433"/>
      <c r="E48" s="1433"/>
      <c r="F48" s="1433"/>
      <c r="G48" s="1433" t="s">
        <v>20</v>
      </c>
      <c r="H48" s="1433"/>
      <c r="I48" s="1433"/>
      <c r="J48" s="1433" t="s">
        <v>21</v>
      </c>
      <c r="K48" s="1433"/>
      <c r="L48" s="1433" t="s">
        <v>20</v>
      </c>
      <c r="M48" s="1433" t="s">
        <v>21</v>
      </c>
      <c r="N48" s="1433" t="s">
        <v>1652</v>
      </c>
      <c r="O48" s="1433" t="s">
        <v>499</v>
      </c>
      <c r="P48" s="1433" t="s">
        <v>77</v>
      </c>
      <c r="Q48" s="1433"/>
      <c r="R48" s="1433" t="s">
        <v>56</v>
      </c>
      <c r="X48" s="1161" t="s">
        <v>1804</v>
      </c>
      <c r="Z48" t="s">
        <v>146</v>
      </c>
      <c r="AA48" t="s">
        <v>145</v>
      </c>
    </row>
    <row r="49" spans="2:32">
      <c r="B49" s="1435" t="s">
        <v>145</v>
      </c>
      <c r="C49" s="245" t="str">
        <f>Processes!D51</f>
        <v>TFSIFOL1E</v>
      </c>
      <c r="D49" s="245" t="str">
        <f>Processes!E51</f>
        <v>Transport Freight Sea Liquid bulk International - Existing</v>
      </c>
      <c r="E49" s="1442" t="s">
        <v>1639</v>
      </c>
      <c r="F49" s="1442" t="s">
        <v>1673</v>
      </c>
      <c r="G49" s="1443">
        <f>Z49*1000/(P49*N49)</f>
        <v>7.7537105311938142E-3</v>
      </c>
      <c r="H49" s="1443">
        <f t="shared" ref="H49:H56" si="2">$G49/6*5</f>
        <v>6.4614254426615114E-3</v>
      </c>
      <c r="I49" s="1443">
        <f t="shared" ref="I49:I56" si="3">$G49/6*4</f>
        <v>5.1691403541292095E-3</v>
      </c>
      <c r="J49" s="1443">
        <f t="shared" ref="J49:J56" si="4">$G49/6*3</f>
        <v>3.8768552655969071E-3</v>
      </c>
      <c r="K49" s="1443">
        <f t="shared" ref="K49:K56" si="5">$G49/6*2</f>
        <v>2.5845701770646047E-3</v>
      </c>
      <c r="L49" s="1443">
        <f t="shared" ref="L49:L56" si="6">$G49/6*1</f>
        <v>1.2922850885323024E-3</v>
      </c>
      <c r="M49" s="1443">
        <f t="shared" ref="M49:M56" si="7">$G49/6*0</f>
        <v>0</v>
      </c>
      <c r="N49" s="658">
        <v>24851.199999999997</v>
      </c>
      <c r="O49" s="1445">
        <f>1/J150*1.852</f>
        <v>0.40440986117839922</v>
      </c>
      <c r="P49" s="1440">
        <f>$D$91*1.852*8650*$M$150</f>
        <v>192237.60000000003</v>
      </c>
      <c r="Q49" s="1446">
        <v>1E-3</v>
      </c>
      <c r="R49" s="694">
        <v>35</v>
      </c>
      <c r="T49" s="1445"/>
      <c r="X49" t="s">
        <v>1672</v>
      </c>
      <c r="Y49">
        <v>2010</v>
      </c>
      <c r="Z49" s="1520">
        <v>37042.073050388215</v>
      </c>
      <c r="AA49" s="1520">
        <v>11332.80206961178</v>
      </c>
      <c r="AB49" t="s">
        <v>17</v>
      </c>
      <c r="AC49" t="s">
        <v>1673</v>
      </c>
      <c r="AF49" s="1161"/>
    </row>
    <row r="50" spans="2:32">
      <c r="B50" s="245" t="s">
        <v>145</v>
      </c>
      <c r="C50" s="245" t="str">
        <f>Processes!D52</f>
        <v>TFSIFOD1E</v>
      </c>
      <c r="D50" s="245" t="str">
        <f>Processes!E52</f>
        <v>Transport Freight Sea Dry bulk International - Existing</v>
      </c>
      <c r="E50" s="1442" t="s">
        <v>1639</v>
      </c>
      <c r="F50" s="1442" t="s">
        <v>1674</v>
      </c>
      <c r="G50" s="1443">
        <f>Z50*1000/(P50*N50)</f>
        <v>4.3140395270857288E-3</v>
      </c>
      <c r="H50" s="1443">
        <f t="shared" si="2"/>
        <v>3.5950329392381076E-3</v>
      </c>
      <c r="I50" s="1443">
        <f t="shared" si="3"/>
        <v>2.876026351390486E-3</v>
      </c>
      <c r="J50" s="1443">
        <f t="shared" si="4"/>
        <v>2.1570197635428644E-3</v>
      </c>
      <c r="K50" s="1443">
        <f t="shared" si="5"/>
        <v>1.438013175695243E-3</v>
      </c>
      <c r="L50" s="1443">
        <f t="shared" si="6"/>
        <v>7.190065878476215E-4</v>
      </c>
      <c r="M50" s="1443">
        <f t="shared" si="7"/>
        <v>0</v>
      </c>
      <c r="N50" s="658">
        <v>31739.303030303032</v>
      </c>
      <c r="O50" s="1445">
        <f>1/J149*1.852</f>
        <v>0.49242394053296357</v>
      </c>
      <c r="P50" s="1440">
        <f>$D$91*1.852*8650*$M$149</f>
        <v>183400.30258595597</v>
      </c>
      <c r="Q50" s="1446">
        <v>1E-3</v>
      </c>
      <c r="R50" s="694">
        <v>35</v>
      </c>
      <c r="T50" s="1445"/>
      <c r="X50" t="s">
        <v>1672</v>
      </c>
      <c r="Y50">
        <v>2010</v>
      </c>
      <c r="Z50" s="1520">
        <v>25112.014508380191</v>
      </c>
      <c r="AA50" s="1520">
        <v>7682.871571619813</v>
      </c>
      <c r="AB50" t="s">
        <v>17</v>
      </c>
      <c r="AC50" t="s">
        <v>1674</v>
      </c>
    </row>
    <row r="51" spans="2:32">
      <c r="B51" s="245" t="s">
        <v>145</v>
      </c>
      <c r="C51" s="245" t="str">
        <f>Processes!D53</f>
        <v>TFSIFOC1E</v>
      </c>
      <c r="D51" s="245" t="str">
        <f>Processes!E53</f>
        <v>Transport Freight Sea Container International - Existing</v>
      </c>
      <c r="E51" s="1442" t="s">
        <v>1639</v>
      </c>
      <c r="F51" s="1442" t="s">
        <v>1675</v>
      </c>
      <c r="G51" s="1443">
        <f>Z51*1000/(P51*N51)</f>
        <v>1.6322748143655916E-3</v>
      </c>
      <c r="H51" s="1443">
        <f t="shared" si="2"/>
        <v>1.3602290119713264E-3</v>
      </c>
      <c r="I51" s="1443">
        <f t="shared" si="3"/>
        <v>1.0881832095770612E-3</v>
      </c>
      <c r="J51" s="1443">
        <f t="shared" si="4"/>
        <v>8.1613740718279593E-4</v>
      </c>
      <c r="K51" s="1443">
        <f t="shared" si="5"/>
        <v>5.4409160478853058E-4</v>
      </c>
      <c r="L51" s="1443">
        <f t="shared" si="6"/>
        <v>2.7204580239426529E-4</v>
      </c>
      <c r="M51" s="1443">
        <f t="shared" si="7"/>
        <v>0</v>
      </c>
      <c r="N51" s="1444">
        <v>18571.699999999997</v>
      </c>
      <c r="O51" s="1445">
        <f>1/J151*1.852</f>
        <v>0.26216904939249813</v>
      </c>
      <c r="P51" s="1440">
        <f>$D$91*1.852*8650*$M$151</f>
        <v>278647.76514685346</v>
      </c>
      <c r="Q51" s="1446">
        <v>1E-3</v>
      </c>
      <c r="R51" s="694">
        <v>35</v>
      </c>
      <c r="T51" s="1445"/>
      <c r="X51" t="s">
        <v>1672</v>
      </c>
      <c r="Y51">
        <v>2010</v>
      </c>
      <c r="Z51">
        <v>8446.9612804551525</v>
      </c>
      <c r="AA51">
        <v>2584.2975945448461</v>
      </c>
      <c r="AB51" t="s">
        <v>17</v>
      </c>
      <c r="AC51" t="s">
        <v>1675</v>
      </c>
    </row>
    <row r="52" spans="2:32">
      <c r="B52" s="1465" t="s">
        <v>145</v>
      </c>
      <c r="C52" s="1465" t="str">
        <f>Processes!D54</f>
        <v>TFSIFOR1E</v>
      </c>
      <c r="D52" s="1465" t="str">
        <f>Processes!E54</f>
        <v>Transport Freight Sea RORO International - Existing</v>
      </c>
      <c r="E52" s="1466" t="s">
        <v>1639</v>
      </c>
      <c r="F52" s="1466" t="s">
        <v>1676</v>
      </c>
      <c r="G52" s="1467">
        <f>Z52*1000/(P52*N52)</f>
        <v>3.7549915929224759E-3</v>
      </c>
      <c r="H52" s="1467">
        <f t="shared" si="2"/>
        <v>3.1291596607687299E-3</v>
      </c>
      <c r="I52" s="1467">
        <f t="shared" si="3"/>
        <v>2.503327728614984E-3</v>
      </c>
      <c r="J52" s="1467">
        <f t="shared" si="4"/>
        <v>1.877495796461238E-3</v>
      </c>
      <c r="K52" s="1467">
        <f t="shared" si="5"/>
        <v>1.251663864307492E-3</v>
      </c>
      <c r="L52" s="1467">
        <f t="shared" si="6"/>
        <v>6.2583193215374599E-4</v>
      </c>
      <c r="M52" s="1467">
        <f t="shared" si="7"/>
        <v>0</v>
      </c>
      <c r="N52" s="1468">
        <v>8457.6944444444453</v>
      </c>
      <c r="O52" s="1519">
        <f>1/J152*1.852</f>
        <v>0.26216904939249813</v>
      </c>
      <c r="P52" s="1487">
        <f>$D$91*1.852*8650*$M$152</f>
        <v>278647.76514685346</v>
      </c>
      <c r="Q52" s="1469">
        <v>1E-3</v>
      </c>
      <c r="R52" s="1470">
        <v>35</v>
      </c>
      <c r="T52" s="1445"/>
      <c r="X52" t="s">
        <v>1672</v>
      </c>
      <c r="Y52">
        <v>2010</v>
      </c>
      <c r="Z52">
        <v>8849.4549823159305</v>
      </c>
      <c r="AA52">
        <v>2707.4381501840694</v>
      </c>
      <c r="AB52" t="s">
        <v>17</v>
      </c>
      <c r="AC52" t="s">
        <v>1676</v>
      </c>
    </row>
    <row r="53" spans="2:32">
      <c r="B53" s="245" t="s">
        <v>146</v>
      </c>
      <c r="C53" s="245" t="str">
        <f t="shared" ref="C53:D56" si="8">C49</f>
        <v>TFSIFOL1E</v>
      </c>
      <c r="D53" s="245" t="str">
        <f t="shared" si="8"/>
        <v>Transport Freight Sea Liquid bulk International - Existing</v>
      </c>
      <c r="E53" s="1442" t="s">
        <v>1639</v>
      </c>
      <c r="F53" s="1442" t="str">
        <f>F49</f>
        <v>TFSLI</v>
      </c>
      <c r="G53" s="1443">
        <f>AA49*1000/(P53*N53)</f>
        <v>2.372201648529576E-3</v>
      </c>
      <c r="H53" s="1443">
        <f t="shared" si="2"/>
        <v>1.97683470710798E-3</v>
      </c>
      <c r="I53" s="1443">
        <f t="shared" si="3"/>
        <v>1.5814677656863839E-3</v>
      </c>
      <c r="J53" s="1443">
        <f t="shared" si="4"/>
        <v>1.186100824264788E-3</v>
      </c>
      <c r="K53" s="1443">
        <f t="shared" si="5"/>
        <v>7.9073388284319195E-4</v>
      </c>
      <c r="L53" s="1443">
        <f t="shared" si="6"/>
        <v>3.9536694142159598E-4</v>
      </c>
      <c r="M53" s="1443">
        <f t="shared" si="7"/>
        <v>0</v>
      </c>
      <c r="N53" s="1442">
        <f t="shared" ref="N53:R56" si="9">N49</f>
        <v>24851.199999999997</v>
      </c>
      <c r="O53" s="1442">
        <f t="shared" si="9"/>
        <v>0.40440986117839922</v>
      </c>
      <c r="P53" s="1485">
        <f t="shared" si="9"/>
        <v>192237.60000000003</v>
      </c>
      <c r="Q53" s="1442">
        <f t="shared" si="9"/>
        <v>1E-3</v>
      </c>
      <c r="R53" s="1442">
        <f t="shared" si="9"/>
        <v>35</v>
      </c>
      <c r="T53" s="1442"/>
    </row>
    <row r="54" spans="2:32">
      <c r="B54" s="245" t="s">
        <v>146</v>
      </c>
      <c r="C54" s="245" t="str">
        <f t="shared" si="8"/>
        <v>TFSIFOD1E</v>
      </c>
      <c r="D54" s="245" t="str">
        <f t="shared" si="8"/>
        <v>Transport Freight Sea Dry bulk International - Existing</v>
      </c>
      <c r="E54" s="1442" t="s">
        <v>1639</v>
      </c>
      <c r="F54" s="1442" t="str">
        <f>F50</f>
        <v>TFSDI</v>
      </c>
      <c r="G54" s="1443">
        <f>AA50*1000/(P54*N54)</f>
        <v>1.3198547504195848E-3</v>
      </c>
      <c r="H54" s="1443">
        <f t="shared" si="2"/>
        <v>1.0998789586829875E-3</v>
      </c>
      <c r="I54" s="1443">
        <f t="shared" si="3"/>
        <v>8.7990316694638989E-4</v>
      </c>
      <c r="J54" s="1443">
        <f t="shared" si="4"/>
        <v>6.5992737520979242E-4</v>
      </c>
      <c r="K54" s="1443">
        <f t="shared" si="5"/>
        <v>4.3995158347319495E-4</v>
      </c>
      <c r="L54" s="1443">
        <f t="shared" si="6"/>
        <v>2.1997579173659747E-4</v>
      </c>
      <c r="M54" s="1443">
        <f t="shared" si="7"/>
        <v>0</v>
      </c>
      <c r="N54" s="1442">
        <f t="shared" si="9"/>
        <v>31739.303030303032</v>
      </c>
      <c r="O54" s="1442">
        <f t="shared" si="9"/>
        <v>0.49242394053296357</v>
      </c>
      <c r="P54" s="1442">
        <f t="shared" si="9"/>
        <v>183400.30258595597</v>
      </c>
      <c r="Q54" s="1442">
        <f t="shared" si="9"/>
        <v>1E-3</v>
      </c>
      <c r="R54" s="1442">
        <f t="shared" si="9"/>
        <v>35</v>
      </c>
      <c r="T54" s="1442"/>
      <c r="Y54" s="658"/>
      <c r="Z54" s="1471"/>
      <c r="AA54" s="1471"/>
      <c r="AB54" s="1472"/>
      <c r="AC54" s="1472"/>
    </row>
    <row r="55" spans="2:32">
      <c r="B55" s="245" t="s">
        <v>146</v>
      </c>
      <c r="C55" s="245" t="str">
        <f t="shared" si="8"/>
        <v>TFSIFOC1E</v>
      </c>
      <c r="D55" s="245" t="str">
        <f t="shared" si="8"/>
        <v>Transport Freight Sea Container International - Existing</v>
      </c>
      <c r="E55" s="1442" t="s">
        <v>1639</v>
      </c>
      <c r="F55" s="1442" t="str">
        <f>F51</f>
        <v>TFSCI</v>
      </c>
      <c r="G55" s="1443">
        <f>AA51*1000/(P55*N55)</f>
        <v>4.9938477712234018E-4</v>
      </c>
      <c r="H55" s="1443">
        <f t="shared" si="2"/>
        <v>4.1615398093528352E-4</v>
      </c>
      <c r="I55" s="1443">
        <f t="shared" si="3"/>
        <v>3.3292318474822681E-4</v>
      </c>
      <c r="J55" s="1443">
        <f t="shared" si="4"/>
        <v>2.4969238856117009E-4</v>
      </c>
      <c r="K55" s="1443">
        <f t="shared" si="5"/>
        <v>1.664615923741134E-4</v>
      </c>
      <c r="L55" s="1443">
        <f t="shared" si="6"/>
        <v>8.3230796187056701E-5</v>
      </c>
      <c r="M55" s="1443">
        <f t="shared" si="7"/>
        <v>0</v>
      </c>
      <c r="N55" s="1442">
        <f t="shared" si="9"/>
        <v>18571.699999999997</v>
      </c>
      <c r="O55" s="1442">
        <f t="shared" ref="O55" si="10">O51</f>
        <v>0.26216904939249813</v>
      </c>
      <c r="P55" s="1442">
        <f t="shared" si="9"/>
        <v>278647.76514685346</v>
      </c>
      <c r="Q55" s="1442">
        <f t="shared" si="9"/>
        <v>1E-3</v>
      </c>
      <c r="R55" s="1442">
        <f t="shared" si="9"/>
        <v>35</v>
      </c>
      <c r="T55" s="1442"/>
      <c r="Y55" s="658"/>
      <c r="Z55" s="1471" t="s">
        <v>1678</v>
      </c>
      <c r="AA55" s="1471"/>
      <c r="AB55" s="1472"/>
      <c r="AC55" s="1472"/>
    </row>
    <row r="56" spans="2:32">
      <c r="B56" s="1465" t="s">
        <v>146</v>
      </c>
      <c r="C56" s="1465" t="str">
        <f t="shared" si="8"/>
        <v>TFSIFOR1E</v>
      </c>
      <c r="D56" s="1465" t="str">
        <f t="shared" si="8"/>
        <v>Transport Freight Sea RORO International - Existing</v>
      </c>
      <c r="E56" s="1466" t="s">
        <v>1639</v>
      </c>
      <c r="F56" s="1466" t="str">
        <f>F52</f>
        <v>TFSRI</v>
      </c>
      <c r="G56" s="1467">
        <f>AA52*1000/(P56*N56)</f>
        <v>1.1488173579745338E-3</v>
      </c>
      <c r="H56" s="1467">
        <f t="shared" si="2"/>
        <v>9.5734779831211151E-4</v>
      </c>
      <c r="I56" s="1467">
        <f t="shared" si="3"/>
        <v>7.658782386496892E-4</v>
      </c>
      <c r="J56" s="1467">
        <f t="shared" si="4"/>
        <v>5.744086789872669E-4</v>
      </c>
      <c r="K56" s="1467">
        <f t="shared" si="5"/>
        <v>3.829391193248446E-4</v>
      </c>
      <c r="L56" s="1467">
        <f t="shared" si="6"/>
        <v>1.914695596624223E-4</v>
      </c>
      <c r="M56" s="1467">
        <f t="shared" si="7"/>
        <v>0</v>
      </c>
      <c r="N56" s="1466">
        <f t="shared" si="9"/>
        <v>8457.6944444444453</v>
      </c>
      <c r="O56" s="1466">
        <f t="shared" ref="O56" si="11">O52</f>
        <v>0.26216904939249813</v>
      </c>
      <c r="P56" s="1466">
        <f t="shared" si="9"/>
        <v>278647.76514685346</v>
      </c>
      <c r="Q56" s="1466">
        <f t="shared" si="9"/>
        <v>1E-3</v>
      </c>
      <c r="R56" s="1466">
        <f t="shared" si="9"/>
        <v>35</v>
      </c>
      <c r="T56" s="1466"/>
      <c r="Y56" s="719"/>
      <c r="Z56" s="715"/>
      <c r="AA56" s="1473"/>
      <c r="AB56" s="1161"/>
      <c r="AC56" s="1161"/>
    </row>
    <row r="57" spans="2:32" s="1161" customFormat="1">
      <c r="B57" s="245"/>
      <c r="C57" s="245"/>
      <c r="D57" s="1442"/>
      <c r="E57" s="1442"/>
      <c r="F57" s="1442"/>
      <c r="G57" s="1442"/>
      <c r="H57" s="1442"/>
      <c r="I57" s="1442"/>
      <c r="J57" s="1442"/>
      <c r="K57" s="1442"/>
      <c r="L57" s="1442"/>
      <c r="M57" s="1442"/>
      <c r="N57" s="1442"/>
      <c r="O57" s="1442"/>
      <c r="P57" s="1442"/>
      <c r="Q57" s="1442"/>
      <c r="T57" s="1442"/>
      <c r="Y57" s="1473" t="s">
        <v>1679</v>
      </c>
      <c r="AA57" s="1161">
        <v>25</v>
      </c>
      <c r="AB57" s="714" t="s">
        <v>1682</v>
      </c>
      <c r="AC57" s="919" t="s">
        <v>1680</v>
      </c>
    </row>
    <row r="58" spans="2:32">
      <c r="B58" s="245"/>
      <c r="C58" s="1161"/>
      <c r="D58" s="1161"/>
      <c r="F58" s="1442"/>
      <c r="G58" s="720"/>
      <c r="I58" s="1161"/>
      <c r="J58" s="1161"/>
      <c r="T58" s="1161"/>
      <c r="Y58" s="1473" t="s">
        <v>1681</v>
      </c>
      <c r="Z58" s="1161"/>
      <c r="AA58" s="106">
        <v>0.8</v>
      </c>
      <c r="AB58" s="714"/>
      <c r="AC58" s="919" t="s">
        <v>1671</v>
      </c>
    </row>
    <row r="59" spans="2:32">
      <c r="Y59" s="1473"/>
      <c r="Z59" s="1161"/>
      <c r="AA59" s="1161"/>
      <c r="AB59" s="714"/>
      <c r="AC59" s="1161"/>
    </row>
    <row r="60" spans="2:32">
      <c r="B60" t="s">
        <v>1689</v>
      </c>
    </row>
    <row r="62" spans="2:32">
      <c r="B62" s="681"/>
      <c r="C62" s="1161"/>
      <c r="D62" s="1161"/>
      <c r="E62" s="677"/>
      <c r="F62" s="1161"/>
      <c r="G62" s="680" t="s">
        <v>8</v>
      </c>
      <c r="H62" s="680"/>
      <c r="I62" s="680"/>
      <c r="J62" s="680"/>
      <c r="K62" s="680"/>
      <c r="L62" s="1464"/>
      <c r="M62" s="1464"/>
      <c r="N62" s="658"/>
      <c r="O62" s="1161"/>
      <c r="P62" s="1161"/>
      <c r="Q62" s="1161"/>
      <c r="R62" s="1161"/>
      <c r="S62" s="1161"/>
    </row>
    <row r="63" spans="2:32" ht="25.5">
      <c r="B63" s="1474" t="s">
        <v>1</v>
      </c>
      <c r="C63" s="1474" t="s">
        <v>2</v>
      </c>
      <c r="D63" s="1474" t="s">
        <v>26</v>
      </c>
      <c r="E63" s="1474" t="s">
        <v>14</v>
      </c>
      <c r="F63" s="1474" t="s">
        <v>15</v>
      </c>
      <c r="G63" s="1474" t="s">
        <v>1683</v>
      </c>
      <c r="H63" s="1475" t="s">
        <v>608</v>
      </c>
      <c r="I63" s="1476" t="s">
        <v>16</v>
      </c>
      <c r="J63" s="1474" t="s">
        <v>601</v>
      </c>
      <c r="K63" s="1477" t="s">
        <v>1684</v>
      </c>
      <c r="L63" s="1477" t="s">
        <v>920</v>
      </c>
      <c r="M63" s="1477" t="s">
        <v>1476</v>
      </c>
      <c r="N63" s="1478" t="s">
        <v>0</v>
      </c>
      <c r="O63" s="1478" t="s">
        <v>55</v>
      </c>
      <c r="P63" s="1478" t="s">
        <v>847</v>
      </c>
      <c r="Q63" s="1161"/>
      <c r="R63" s="1161"/>
      <c r="S63" s="1161"/>
    </row>
    <row r="64" spans="2:32" ht="68.25" thickBot="1">
      <c r="B64" s="716" t="s">
        <v>27</v>
      </c>
      <c r="C64" s="716"/>
      <c r="D64" s="716"/>
      <c r="E64" s="716"/>
      <c r="F64" s="716"/>
      <c r="G64" s="1351" t="s">
        <v>1685</v>
      </c>
      <c r="H64" s="1351" t="s">
        <v>148</v>
      </c>
      <c r="I64" s="1351" t="s">
        <v>1686</v>
      </c>
      <c r="J64" s="1351" t="s">
        <v>1687</v>
      </c>
      <c r="K64" s="1351" t="s">
        <v>78</v>
      </c>
      <c r="L64" s="1351" t="s">
        <v>1688</v>
      </c>
      <c r="M64" s="1351" t="s">
        <v>505</v>
      </c>
      <c r="N64" s="1351"/>
      <c r="O64" s="1351" t="s">
        <v>56</v>
      </c>
      <c r="P64" s="716" t="s">
        <v>848</v>
      </c>
      <c r="Q64" s="1161"/>
      <c r="R64" s="1161"/>
      <c r="S64" s="1161"/>
      <c r="T64" t="s">
        <v>1805</v>
      </c>
      <c r="V64" t="s">
        <v>146</v>
      </c>
      <c r="W64" t="s">
        <v>145</v>
      </c>
    </row>
    <row r="65" spans="2:25">
      <c r="B65" s="694" t="s">
        <v>145</v>
      </c>
      <c r="C65" s="714" t="s">
        <v>1806</v>
      </c>
      <c r="D65" s="714" t="str">
        <f>Processes!E23</f>
        <v>Transport Passengers Sea International - Existing</v>
      </c>
      <c r="E65" s="440" t="s">
        <v>1508</v>
      </c>
      <c r="F65" s="714" t="s">
        <v>1189</v>
      </c>
      <c r="G65" s="714"/>
      <c r="H65" s="1479">
        <f>SEA_Data!Q18/1000*B78*1.01</f>
        <v>4.5116560831943596E-3</v>
      </c>
      <c r="I65" s="451">
        <f>SEA_Data!D9/SEA_Data!C73</f>
        <v>401.44550513977305</v>
      </c>
      <c r="J65" s="534">
        <f>SEA_Data!$D$9*B78/H65</f>
        <v>56412.833206397569</v>
      </c>
      <c r="K65" s="1480">
        <v>0.86710648165864301</v>
      </c>
      <c r="L65" s="578"/>
      <c r="M65" s="714">
        <v>5</v>
      </c>
      <c r="N65" s="723">
        <v>1</v>
      </c>
      <c r="O65" s="536">
        <v>28</v>
      </c>
      <c r="P65" s="711">
        <v>3.7164522307877547E-3</v>
      </c>
      <c r="Q65" s="1161"/>
      <c r="R65" s="1161">
        <f>H65*J65</f>
        <v>254.51530210587237</v>
      </c>
      <c r="S65" s="1161"/>
      <c r="T65" s="1523" t="s">
        <v>1672</v>
      </c>
      <c r="U65" s="8">
        <v>2010</v>
      </c>
      <c r="V65" s="8">
        <v>254.51513029871001</v>
      </c>
      <c r="W65" s="8">
        <v>1226.88486970129</v>
      </c>
      <c r="X65" s="1520" t="s">
        <v>17</v>
      </c>
      <c r="Y65" s="1524" t="s">
        <v>1189</v>
      </c>
    </row>
    <row r="66" spans="2:25">
      <c r="B66" s="694" t="s">
        <v>145</v>
      </c>
      <c r="C66" s="714"/>
      <c r="D66" s="714"/>
      <c r="E66" s="440" t="s">
        <v>1499</v>
      </c>
      <c r="F66" s="679"/>
      <c r="G66" s="1466" t="s">
        <v>1676</v>
      </c>
      <c r="H66" s="644"/>
      <c r="I66" s="451"/>
      <c r="J66" s="714"/>
      <c r="K66" s="1480"/>
      <c r="L66" s="715">
        <f>SEA_Data!D12/SEA_Data!D9</f>
        <v>0.61107357157177566</v>
      </c>
      <c r="M66" s="714">
        <v>5</v>
      </c>
      <c r="N66" s="714"/>
      <c r="O66" s="714"/>
      <c r="P66" s="711"/>
      <c r="Q66" s="1161"/>
      <c r="R66" s="1161"/>
      <c r="S66" s="1161"/>
    </row>
    <row r="67" spans="2:25">
      <c r="B67" s="694" t="s">
        <v>146</v>
      </c>
      <c r="C67" s="714" t="str">
        <f>C65</f>
        <v>TPSIFOICI1E</v>
      </c>
      <c r="D67" s="714" t="str">
        <f>D65</f>
        <v>Transport Passengers Sea International - Existing</v>
      </c>
      <c r="E67" s="440" t="s">
        <v>1508</v>
      </c>
      <c r="F67" s="679" t="s">
        <v>1189</v>
      </c>
      <c r="G67" s="679"/>
      <c r="H67" s="1479">
        <f>SEA_Data!Q18/1000*C78*1.01</f>
        <v>2.1748343916805635E-2</v>
      </c>
      <c r="I67" s="451">
        <f>I65</f>
        <v>401.44550513977305</v>
      </c>
      <c r="J67" s="534">
        <f>SEA_Data!$D$9*C78/H67</f>
        <v>56412.833206397576</v>
      </c>
      <c r="K67" s="1480">
        <v>0.86710648165864335</v>
      </c>
      <c r="L67" s="578"/>
      <c r="M67" s="679">
        <v>5</v>
      </c>
      <c r="N67" s="723">
        <v>1</v>
      </c>
      <c r="O67" s="536">
        <v>28</v>
      </c>
      <c r="P67" s="711">
        <v>3.7164522307877547E-3</v>
      </c>
      <c r="Q67" s="1161"/>
      <c r="R67" s="1161">
        <f>H67*J67</f>
        <v>1226.8856978941276</v>
      </c>
      <c r="S67" s="1161"/>
    </row>
    <row r="68" spans="2:25">
      <c r="B68" s="694" t="s">
        <v>146</v>
      </c>
      <c r="C68" s="714"/>
      <c r="D68" s="714"/>
      <c r="E68" s="714" t="s">
        <v>1499</v>
      </c>
      <c r="F68" s="679"/>
      <c r="G68" s="1466" t="s">
        <v>1676</v>
      </c>
      <c r="H68" s="644"/>
      <c r="I68" s="451"/>
      <c r="J68" s="714"/>
      <c r="K68" s="1480"/>
      <c r="L68" s="578">
        <f>L66</f>
        <v>0.61107357157177566</v>
      </c>
      <c r="M68" s="714">
        <v>5</v>
      </c>
      <c r="N68" s="714"/>
      <c r="O68" s="714"/>
      <c r="P68" s="711"/>
      <c r="Q68" s="1161"/>
      <c r="R68" s="1161"/>
      <c r="S68" s="1161"/>
    </row>
    <row r="69" spans="2:25">
      <c r="B69" s="694"/>
      <c r="C69" s="714"/>
      <c r="D69" s="714"/>
      <c r="E69" s="440"/>
      <c r="F69" s="679"/>
      <c r="G69" s="679"/>
      <c r="H69" s="1481"/>
      <c r="I69" s="718"/>
      <c r="J69" s="718"/>
      <c r="K69" s="578"/>
      <c r="L69" s="1161"/>
      <c r="M69" s="1161"/>
      <c r="N69" s="723"/>
      <c r="O69" s="536"/>
      <c r="P69" s="711"/>
      <c r="Q69" s="1161"/>
      <c r="R69" s="1161"/>
      <c r="S69" s="1161"/>
    </row>
    <row r="70" spans="2:25">
      <c r="B70" s="694"/>
      <c r="C70" s="714"/>
      <c r="D70" s="714"/>
      <c r="E70" s="714"/>
      <c r="F70" s="679"/>
      <c r="G70" s="1466"/>
      <c r="H70" s="644"/>
      <c r="I70" s="451"/>
      <c r="J70" s="714"/>
      <c r="K70" s="578"/>
      <c r="L70" s="578"/>
      <c r="M70" s="714"/>
      <c r="N70" s="714"/>
      <c r="O70" s="714"/>
      <c r="P70" s="711"/>
      <c r="Q70" s="1161"/>
      <c r="R70" s="1161"/>
      <c r="S70" s="1161"/>
    </row>
    <row r="71" spans="2:25">
      <c r="B71" s="694"/>
      <c r="C71" s="714"/>
      <c r="D71" s="714"/>
      <c r="E71" s="440"/>
      <c r="F71" s="679"/>
      <c r="G71" s="679"/>
      <c r="H71" s="1481"/>
      <c r="I71" s="451"/>
      <c r="J71" s="718"/>
      <c r="K71" s="578"/>
      <c r="L71" s="578"/>
      <c r="M71" s="679"/>
      <c r="N71" s="723"/>
      <c r="O71" s="536"/>
      <c r="P71" s="711"/>
      <c r="Q71" s="1161"/>
      <c r="R71" s="1161"/>
      <c r="S71" s="1161"/>
    </row>
    <row r="72" spans="2:25">
      <c r="B72" s="694"/>
      <c r="C72" s="714"/>
      <c r="D72" s="714"/>
      <c r="E72" s="714"/>
      <c r="F72" s="679"/>
      <c r="G72" s="1466"/>
      <c r="H72" s="679"/>
      <c r="I72" s="679"/>
      <c r="J72" s="714"/>
      <c r="K72" s="578"/>
      <c r="L72" s="578"/>
      <c r="M72" s="679"/>
      <c r="N72" s="714"/>
      <c r="O72" s="714"/>
      <c r="P72" s="714"/>
      <c r="Q72" s="1161"/>
      <c r="R72" s="1161"/>
      <c r="S72" s="1161"/>
    </row>
    <row r="73" spans="2:25">
      <c r="B73" s="1161"/>
      <c r="C73" s="1161"/>
      <c r="D73" s="1161"/>
      <c r="E73" s="1161"/>
      <c r="F73" s="1161"/>
      <c r="G73" s="1161"/>
      <c r="H73" s="1161"/>
      <c r="I73" s="1161"/>
      <c r="J73" s="1161"/>
      <c r="K73" s="1161"/>
      <c r="L73" s="1161"/>
      <c r="M73" s="1161"/>
      <c r="N73" s="1161"/>
      <c r="O73" s="1161"/>
      <c r="P73" s="1161"/>
      <c r="Q73" s="1161"/>
      <c r="R73" s="1161"/>
      <c r="S73" s="1161"/>
    </row>
    <row r="74" spans="2:25">
      <c r="B74" s="1161"/>
      <c r="C74" s="1161"/>
      <c r="D74" s="1161"/>
      <c r="E74" s="1161"/>
      <c r="F74" s="1161"/>
      <c r="G74" s="1161"/>
      <c r="H74" s="1161"/>
      <c r="I74" s="1161"/>
      <c r="J74" s="1161"/>
      <c r="K74" s="1161"/>
      <c r="L74" s="1161"/>
      <c r="M74" s="1161"/>
      <c r="N74" s="1161"/>
      <c r="O74" s="1161"/>
      <c r="P74" s="1161"/>
      <c r="Q74" s="1161"/>
      <c r="R74" s="1161"/>
      <c r="S74" s="1161"/>
    </row>
    <row r="75" spans="2:25">
      <c r="B75" s="1161"/>
      <c r="C75" s="1161"/>
      <c r="D75" s="1161"/>
      <c r="E75" s="1161"/>
      <c r="F75" s="1161"/>
      <c r="G75" s="1161"/>
      <c r="H75" s="1161"/>
      <c r="I75" s="1161"/>
      <c r="J75" s="1161"/>
      <c r="K75" s="1161"/>
      <c r="L75" s="1161"/>
      <c r="M75" s="1161"/>
      <c r="N75" s="1161"/>
      <c r="O75" s="1161"/>
      <c r="P75" s="1161"/>
      <c r="Q75" s="1161"/>
      <c r="R75" s="1161"/>
      <c r="S75" s="1161"/>
    </row>
    <row r="76" spans="2:25" ht="13.5" thickBot="1">
      <c r="B76" s="30" t="s">
        <v>1452</v>
      </c>
      <c r="C76" s="1161"/>
      <c r="D76" s="1161"/>
      <c r="E76" s="1161"/>
      <c r="F76" s="1161"/>
      <c r="G76" s="1161"/>
      <c r="H76" s="1161"/>
      <c r="I76" s="1161"/>
      <c r="J76" s="1161"/>
      <c r="K76" s="1161"/>
      <c r="L76" s="1161"/>
      <c r="M76" s="1161"/>
      <c r="N76" s="1161"/>
      <c r="O76" s="1161"/>
      <c r="P76" s="1161"/>
      <c r="Q76" s="1161"/>
      <c r="R76" s="1161"/>
      <c r="S76" s="1161"/>
    </row>
    <row r="77" spans="2:25" ht="14.25" thickTop="1" thickBot="1">
      <c r="B77" s="1482" t="s">
        <v>145</v>
      </c>
      <c r="C77" s="1483" t="s">
        <v>146</v>
      </c>
      <c r="D77" s="1161"/>
      <c r="E77" s="1161"/>
      <c r="F77" s="1161"/>
      <c r="G77" s="1161"/>
      <c r="H77" s="1161"/>
      <c r="I77" s="1161"/>
      <c r="J77" s="1161"/>
      <c r="K77" s="1161"/>
      <c r="L77" s="1161"/>
      <c r="M77" s="1161"/>
      <c r="N77" s="1161"/>
      <c r="O77" s="1161"/>
      <c r="P77" s="1161"/>
      <c r="Q77" s="1161"/>
      <c r="R77" s="1161"/>
      <c r="S77" s="1161"/>
    </row>
    <row r="78" spans="2:25" ht="13.5" thickBot="1">
      <c r="B78" s="530">
        <f>Dem!E9/SUM(Dem!E9:F9)</f>
        <v>0.17180716234555826</v>
      </c>
      <c r="C78" s="1484">
        <f>Dem!F9/SUM(Dem!E9:F9)</f>
        <v>0.82819283765444163</v>
      </c>
      <c r="D78" s="1161"/>
      <c r="E78" s="1161"/>
      <c r="F78" s="1161"/>
      <c r="G78" s="1161"/>
      <c r="H78" s="1161"/>
      <c r="I78" s="1161"/>
      <c r="J78" s="682"/>
      <c r="K78" s="1161"/>
      <c r="L78" s="1161"/>
      <c r="M78" s="1161"/>
      <c r="N78" s="1161"/>
      <c r="O78" s="1161"/>
      <c r="P78" s="1161"/>
      <c r="Q78" s="1161"/>
      <c r="R78" s="1161"/>
      <c r="S78" s="1161"/>
    </row>
    <row r="79" spans="2:25">
      <c r="B79" s="1161"/>
      <c r="C79" s="1161"/>
      <c r="D79" s="1161"/>
      <c r="E79" s="1161"/>
      <c r="F79" s="1161"/>
      <c r="G79" s="1161"/>
      <c r="H79" s="1161"/>
      <c r="I79" s="1161"/>
      <c r="J79" s="682"/>
      <c r="K79" s="682"/>
      <c r="L79" s="1161"/>
      <c r="M79" s="1161"/>
      <c r="N79" s="1161"/>
      <c r="O79" s="1161"/>
      <c r="P79" s="1161"/>
      <c r="Q79" s="1161"/>
      <c r="R79" s="1161"/>
      <c r="S79" s="1161"/>
    </row>
    <row r="80" spans="2:25">
      <c r="B80" s="1161"/>
      <c r="C80" s="1161"/>
      <c r="D80" s="1161"/>
      <c r="E80" s="1161"/>
      <c r="F80" s="1161"/>
      <c r="G80" s="1161"/>
      <c r="H80" s="1161"/>
      <c r="I80" s="1161"/>
      <c r="J80" s="1161"/>
      <c r="K80" s="1161"/>
      <c r="L80" s="1161"/>
      <c r="M80" s="1161"/>
      <c r="N80" s="1161"/>
      <c r="O80" s="1161"/>
      <c r="P80" s="1161"/>
      <c r="Q80" s="1161"/>
      <c r="R80" s="1161"/>
      <c r="S80" s="1161"/>
    </row>
    <row r="84" spans="2:68">
      <c r="B84" s="681"/>
      <c r="C84" s="681"/>
      <c r="D84" s="681"/>
      <c r="E84" s="1161"/>
      <c r="F84" s="1161"/>
      <c r="G84" s="1161"/>
      <c r="H84" s="1161"/>
      <c r="I84" s="1161"/>
      <c r="J84" s="1161"/>
      <c r="K84" s="1161"/>
      <c r="L84" s="1161"/>
      <c r="M84" s="1161"/>
      <c r="N84" s="1161"/>
      <c r="O84" s="1161"/>
      <c r="P84" s="1161"/>
      <c r="Q84" s="1161"/>
      <c r="R84" s="1161"/>
      <c r="S84" s="1161"/>
      <c r="T84" s="1161"/>
      <c r="U84" s="1161"/>
      <c r="V84" s="1161"/>
      <c r="W84" s="1161"/>
      <c r="X84" s="1161"/>
      <c r="Y84" s="1161"/>
      <c r="Z84" s="1161"/>
      <c r="AA84" s="1161"/>
      <c r="AB84" s="1161"/>
      <c r="AC84" s="1161"/>
      <c r="AD84" s="1161"/>
      <c r="AE84" s="1161"/>
      <c r="AF84" s="1161"/>
      <c r="AG84" s="1161"/>
      <c r="AH84" s="1161"/>
      <c r="AI84" s="1161"/>
      <c r="AJ84" s="1161"/>
      <c r="AK84" s="1161"/>
      <c r="AL84" s="1161"/>
      <c r="AM84" s="1161"/>
      <c r="AN84" s="1161"/>
      <c r="AO84" s="1161"/>
      <c r="AP84" s="1161"/>
      <c r="AQ84" s="1161"/>
      <c r="AR84" s="1161"/>
      <c r="AS84" s="1161"/>
      <c r="AT84" s="1161"/>
      <c r="AU84" s="1161"/>
      <c r="AV84" s="1161"/>
      <c r="AW84" s="1161"/>
      <c r="AX84" s="1161"/>
      <c r="AY84" s="1161"/>
      <c r="AZ84" s="1161"/>
      <c r="BA84" s="1161"/>
      <c r="BB84" s="1161"/>
      <c r="BC84" s="1161"/>
      <c r="BD84" s="1161"/>
      <c r="BE84" s="1161"/>
      <c r="BF84" s="1161"/>
      <c r="BG84" s="1161"/>
      <c r="BH84" s="1161"/>
      <c r="BI84" s="1161"/>
      <c r="BJ84" s="1161"/>
      <c r="BK84" s="1161"/>
      <c r="BL84" s="1161"/>
      <c r="BM84" s="1161"/>
      <c r="BN84" s="1161"/>
      <c r="BO84" s="1161"/>
      <c r="BP84" s="1161"/>
    </row>
    <row r="85" spans="2:68">
      <c r="B85" s="681"/>
      <c r="C85" s="681"/>
      <c r="D85" s="681"/>
      <c r="E85" s="1161"/>
      <c r="F85" s="1161"/>
      <c r="G85" s="1161"/>
      <c r="H85" s="1161"/>
      <c r="I85" s="1161"/>
      <c r="J85" s="1161"/>
      <c r="K85" s="1161"/>
      <c r="L85" s="1161"/>
      <c r="M85" s="1161"/>
      <c r="N85" s="1161"/>
      <c r="O85" s="1161"/>
      <c r="P85" s="1161"/>
      <c r="Q85" s="1161"/>
      <c r="R85" s="1161"/>
      <c r="S85" s="1161"/>
      <c r="T85" s="1161"/>
      <c r="U85" s="1161"/>
      <c r="V85" s="1161"/>
      <c r="W85" s="1161"/>
      <c r="X85" s="1161"/>
      <c r="Y85" s="1161"/>
      <c r="Z85" s="1161"/>
      <c r="AA85" s="1161"/>
      <c r="AB85" s="1161"/>
      <c r="AC85" s="1161"/>
      <c r="AD85" s="1161"/>
      <c r="AE85" s="1161"/>
      <c r="AF85" s="1161"/>
      <c r="AG85" s="1161"/>
      <c r="AH85" s="1161"/>
      <c r="AI85" s="1161"/>
      <c r="AJ85" s="1161"/>
      <c r="AK85" s="1161"/>
      <c r="AL85" s="1161"/>
      <c r="AM85" s="1161"/>
      <c r="AN85" s="1161"/>
      <c r="AO85" s="1161"/>
      <c r="AP85" s="1161"/>
      <c r="AQ85" s="1161"/>
      <c r="AR85" s="1161"/>
      <c r="AS85" s="1161"/>
      <c r="AT85" s="1161"/>
      <c r="AU85" s="1161"/>
      <c r="AV85" s="1161"/>
      <c r="AW85" s="1161"/>
      <c r="AX85" s="1161"/>
      <c r="AY85" s="1161"/>
      <c r="AZ85" s="1161"/>
      <c r="BA85" s="1161"/>
      <c r="BB85" s="1161"/>
      <c r="BC85" s="1161"/>
      <c r="BD85" s="1161"/>
      <c r="BE85" s="1161"/>
      <c r="BF85" s="1161"/>
      <c r="BG85" s="1161"/>
      <c r="BH85" s="1161"/>
      <c r="BI85" s="1161"/>
      <c r="BJ85" s="1161"/>
      <c r="BK85" s="1161"/>
      <c r="BL85" s="1161"/>
      <c r="BM85" s="1161"/>
      <c r="BN85" s="1161"/>
      <c r="BO85" s="1161"/>
      <c r="BP85" s="1161"/>
    </row>
    <row r="86" spans="2:68">
      <c r="B86" s="1488"/>
      <c r="C86" s="1161"/>
      <c r="D86" s="1161"/>
      <c r="E86" s="1161"/>
      <c r="F86" s="1161"/>
      <c r="G86" s="1161"/>
      <c r="H86" s="1161"/>
      <c r="I86" s="1161"/>
      <c r="J86" s="1161"/>
      <c r="K86" s="1161"/>
      <c r="L86" s="1161"/>
      <c r="M86" s="1161"/>
      <c r="N86" s="1161"/>
      <c r="O86" s="1161"/>
      <c r="P86" s="1161"/>
      <c r="Q86" s="1161"/>
      <c r="R86" s="1161"/>
      <c r="S86" s="1161"/>
      <c r="T86" s="1161"/>
      <c r="U86" s="1161"/>
      <c r="V86" s="1161"/>
      <c r="W86" s="1161"/>
      <c r="X86" s="1161"/>
      <c r="Y86" s="1161"/>
      <c r="Z86" s="1161"/>
      <c r="AA86" s="1161"/>
      <c r="AB86" s="1161"/>
      <c r="AC86" s="1161"/>
      <c r="AD86" s="1161"/>
      <c r="AE86" s="1161"/>
      <c r="AF86" s="1161"/>
      <c r="AG86" s="1161"/>
      <c r="AH86" s="1161"/>
      <c r="AI86" s="1161"/>
      <c r="AJ86" s="1161"/>
      <c r="AK86" s="1161"/>
      <c r="AL86" s="1161"/>
      <c r="AM86" s="1161"/>
      <c r="AN86" s="1161"/>
      <c r="AO86" s="1161"/>
      <c r="AP86" s="1161"/>
      <c r="AQ86" s="1161"/>
      <c r="AR86" s="1161"/>
      <c r="AS86" s="1161"/>
      <c r="AT86" s="1161"/>
      <c r="AU86" s="1161"/>
      <c r="AV86" s="1161"/>
      <c r="AW86" s="1161"/>
      <c r="AX86" s="1161"/>
      <c r="AY86" s="1161"/>
      <c r="AZ86" s="1161"/>
      <c r="BA86" s="1161"/>
      <c r="BB86" s="1161"/>
      <c r="BC86" s="1161"/>
      <c r="BD86" s="1161"/>
      <c r="BE86" s="1161"/>
      <c r="BF86" s="1161"/>
      <c r="BG86" s="1161"/>
      <c r="BH86" s="1161"/>
      <c r="BI86" s="1161"/>
      <c r="BJ86" s="1161"/>
      <c r="BK86" s="1161"/>
      <c r="BL86" s="1161"/>
      <c r="BM86" s="1161"/>
      <c r="BN86" s="1161"/>
      <c r="BO86" s="1161"/>
      <c r="BP86" s="1161"/>
    </row>
    <row r="87" spans="2:68">
      <c r="B87" s="1161"/>
      <c r="C87" s="1161"/>
      <c r="D87" s="1161"/>
      <c r="E87" s="1161"/>
      <c r="F87" s="1161"/>
      <c r="G87" s="1161"/>
      <c r="H87" s="1161"/>
      <c r="I87" s="1161"/>
      <c r="J87" s="1161"/>
      <c r="K87" s="1161"/>
      <c r="L87" s="1161"/>
      <c r="M87" s="1161"/>
      <c r="N87" s="1161"/>
      <c r="O87" s="1161"/>
      <c r="P87" s="1161"/>
      <c r="Q87" s="1161"/>
      <c r="R87" s="1161"/>
      <c r="S87" s="1161"/>
      <c r="T87" s="1161"/>
      <c r="U87" s="1161"/>
      <c r="V87" s="1161"/>
      <c r="W87" s="1161"/>
      <c r="X87" s="1161"/>
      <c r="Y87" s="1161"/>
      <c r="Z87" s="1161"/>
      <c r="AA87" s="1161"/>
      <c r="AB87" s="1161"/>
      <c r="AC87" s="1161"/>
      <c r="AD87" s="1161"/>
      <c r="AE87" s="1161"/>
      <c r="AF87" s="1161"/>
      <c r="AG87" s="1161"/>
      <c r="AH87" s="1161"/>
      <c r="AI87" s="1161"/>
      <c r="AJ87" s="1161"/>
      <c r="AK87" s="1161"/>
      <c r="AL87" s="1161"/>
      <c r="AM87" s="1161"/>
      <c r="AN87" s="1161"/>
      <c r="AO87" s="1161"/>
      <c r="AP87" s="1161"/>
      <c r="AQ87" s="1161"/>
      <c r="AR87" s="1161"/>
      <c r="AS87" s="1161"/>
      <c r="AT87" s="1161"/>
      <c r="AU87" s="1161"/>
      <c r="AV87" s="1161"/>
      <c r="AW87" s="1161"/>
      <c r="AX87" s="1161"/>
      <c r="AY87" s="1161"/>
      <c r="AZ87" s="1161"/>
      <c r="BA87" s="1161"/>
      <c r="BB87" s="1161"/>
      <c r="BC87" s="1161"/>
      <c r="BD87" s="1161"/>
      <c r="BE87" s="1161"/>
      <c r="BF87" s="1161"/>
      <c r="BG87" s="1161"/>
      <c r="BH87" s="1161"/>
      <c r="BI87" s="1161"/>
      <c r="BJ87" s="1161"/>
      <c r="BK87" s="1161"/>
      <c r="BL87" s="1161"/>
      <c r="BM87" s="1161"/>
      <c r="BN87" s="1161"/>
      <c r="BO87" s="1161"/>
      <c r="BP87" s="1161"/>
    </row>
    <row r="88" spans="2:68">
      <c r="B88" s="1489" t="s">
        <v>1678</v>
      </c>
      <c r="C88" s="1161"/>
      <c r="D88" s="1471"/>
      <c r="E88" s="1472"/>
      <c r="F88" s="1472"/>
      <c r="G88" s="658"/>
      <c r="H88" s="658"/>
      <c r="I88" s="658"/>
      <c r="J88" s="1490"/>
      <c r="K88" s="1161"/>
      <c r="L88" s="1161"/>
      <c r="M88" s="1161"/>
      <c r="N88" s="685" t="s">
        <v>1725</v>
      </c>
      <c r="O88" s="1161"/>
      <c r="P88" s="1161"/>
      <c r="Q88" s="1161"/>
      <c r="R88" s="1161"/>
      <c r="S88" s="1161"/>
      <c r="T88" s="1161"/>
      <c r="U88" s="685" t="s">
        <v>1726</v>
      </c>
      <c r="V88" s="1161"/>
      <c r="W88" s="1161"/>
      <c r="X88" s="1161"/>
      <c r="Y88" s="1161"/>
      <c r="Z88" s="1161"/>
      <c r="AA88" s="1161"/>
      <c r="AB88" s="1161"/>
      <c r="AC88" s="1161"/>
      <c r="AD88" s="1161"/>
      <c r="AE88" s="1161"/>
      <c r="AF88" s="1161"/>
      <c r="AG88" s="1161"/>
      <c r="AH88" s="1161"/>
      <c r="AI88" s="1161"/>
      <c r="AJ88" s="1161"/>
      <c r="AK88" s="1161"/>
      <c r="AL88" s="1161"/>
      <c r="AM88" s="1161"/>
      <c r="AN88" s="1161"/>
      <c r="AO88" s="1161"/>
      <c r="AP88" s="1161"/>
      <c r="AQ88" s="1161"/>
      <c r="AR88" s="1161"/>
      <c r="AS88" s="1161"/>
      <c r="AT88" s="1161"/>
      <c r="AU88" s="1161"/>
      <c r="AV88" s="1161"/>
      <c r="AW88" s="1161"/>
      <c r="AX88" s="1161"/>
      <c r="AY88" s="1161"/>
      <c r="AZ88" s="1161"/>
      <c r="BA88" s="1161"/>
      <c r="BB88" s="1161"/>
      <c r="BC88" s="1161"/>
      <c r="BD88" s="1161"/>
      <c r="BE88" s="1161"/>
      <c r="BF88" s="1161"/>
      <c r="BG88" s="1161"/>
      <c r="BH88" s="1161"/>
      <c r="BI88" s="1161"/>
      <c r="BJ88" s="1161"/>
      <c r="BK88" s="1161"/>
      <c r="BL88" s="1161"/>
      <c r="BM88" s="1161"/>
      <c r="BN88" s="1161"/>
      <c r="BO88" s="1161"/>
      <c r="BP88" s="1161"/>
    </row>
    <row r="89" spans="2:68">
      <c r="B89" s="1491"/>
      <c r="C89" s="715"/>
      <c r="D89" s="1473"/>
      <c r="E89" s="1161"/>
      <c r="F89" s="1161"/>
      <c r="G89" s="1492"/>
      <c r="H89" s="1492"/>
      <c r="I89" s="1492"/>
      <c r="J89" s="1161"/>
      <c r="K89" s="1161"/>
      <c r="L89" s="1161"/>
      <c r="M89" s="1161"/>
      <c r="N89" s="1161"/>
      <c r="O89" s="1161" t="s">
        <v>1727</v>
      </c>
      <c r="P89" s="1161" t="s">
        <v>1728</v>
      </c>
      <c r="Q89" s="1161" t="s">
        <v>1729</v>
      </c>
      <c r="R89" s="1161"/>
      <c r="S89" s="1161"/>
      <c r="T89" s="1161"/>
      <c r="U89" s="1161"/>
      <c r="V89" s="1161">
        <v>2020</v>
      </c>
      <c r="W89" s="1161">
        <v>2030</v>
      </c>
      <c r="X89" s="1161"/>
      <c r="Y89" s="1161"/>
      <c r="Z89" s="1161"/>
      <c r="AA89" s="1161"/>
      <c r="AB89" s="1161"/>
      <c r="AC89" s="1161"/>
      <c r="AD89" s="1161"/>
      <c r="AE89" s="1161"/>
      <c r="AF89" s="1161"/>
      <c r="AG89" s="1161"/>
      <c r="AH89" s="1161"/>
      <c r="AI89" s="1161"/>
      <c r="AJ89" s="1161"/>
      <c r="AK89" s="1161"/>
      <c r="AL89" s="1161"/>
      <c r="AM89" s="1161"/>
      <c r="AN89" s="1161"/>
      <c r="AO89" s="1161"/>
      <c r="AP89" s="1161"/>
      <c r="AQ89" s="1161"/>
      <c r="AR89" s="1161"/>
      <c r="AS89" s="1161"/>
      <c r="AT89" s="1161"/>
      <c r="AU89" s="1161"/>
      <c r="AV89" s="1161"/>
      <c r="AW89" s="1161"/>
      <c r="AX89" s="1161"/>
      <c r="AY89" s="1161"/>
      <c r="AZ89" s="1161"/>
      <c r="BA89" s="1161"/>
      <c r="BB89" s="1161"/>
      <c r="BC89" s="1161"/>
      <c r="BD89" s="1161"/>
      <c r="BE89" s="1161"/>
      <c r="BF89" s="1161"/>
      <c r="BG89" s="1161"/>
      <c r="BH89" s="1161"/>
      <c r="BI89" s="1161"/>
      <c r="BJ89" s="1161"/>
      <c r="BK89" s="1161"/>
      <c r="BL89" s="1161"/>
      <c r="BM89" s="1161"/>
      <c r="BN89" s="1161"/>
      <c r="BO89" s="1161"/>
      <c r="BP89" s="1161"/>
    </row>
    <row r="90" spans="2:68">
      <c r="B90" s="1493" t="s">
        <v>1679</v>
      </c>
      <c r="C90" s="1161"/>
      <c r="D90" s="1161">
        <v>17.8</v>
      </c>
      <c r="E90" s="714"/>
      <c r="F90" s="919" t="s">
        <v>1680</v>
      </c>
      <c r="G90" s="1161"/>
      <c r="H90" s="1161"/>
      <c r="I90" s="1161"/>
      <c r="J90" s="919"/>
      <c r="K90" s="1161"/>
      <c r="L90" s="1161"/>
      <c r="M90" s="1161"/>
      <c r="N90" s="1161" t="s">
        <v>1730</v>
      </c>
      <c r="O90" s="1161">
        <v>7300</v>
      </c>
      <c r="P90" s="1161">
        <v>7000</v>
      </c>
      <c r="Q90" s="1161">
        <v>5500</v>
      </c>
      <c r="R90" s="1161"/>
      <c r="S90" s="1161"/>
      <c r="T90" s="1161"/>
      <c r="U90" s="1161" t="s">
        <v>1730</v>
      </c>
      <c r="V90" s="106">
        <v>0.4</v>
      </c>
      <c r="W90" s="1161">
        <f>V90/0.993^10</f>
        <v>0.42910888438440442</v>
      </c>
      <c r="X90" s="1161"/>
      <c r="Y90" s="1161"/>
      <c r="Z90" s="1161"/>
      <c r="AA90" s="1161"/>
      <c r="AB90" s="1161"/>
      <c r="AC90" s="1161"/>
      <c r="AD90" s="1161"/>
      <c r="AE90" s="1161"/>
      <c r="AF90" s="1161"/>
      <c r="AG90" s="1161"/>
      <c r="AH90" s="1161"/>
      <c r="AI90" s="1161"/>
      <c r="AJ90" s="1161"/>
      <c r="AK90" s="1161"/>
      <c r="AL90" s="1161"/>
      <c r="AM90" s="1161"/>
      <c r="AN90" s="1161"/>
      <c r="AO90" s="1161"/>
      <c r="AP90" s="1161"/>
      <c r="AQ90" s="1161"/>
      <c r="AR90" s="1161"/>
      <c r="AS90" s="1161"/>
      <c r="AT90" s="1161"/>
      <c r="AU90" s="1161"/>
      <c r="AV90" s="1161"/>
      <c r="AW90" s="1161"/>
      <c r="AX90" s="1161"/>
      <c r="AY90" s="1161"/>
      <c r="AZ90" s="1161"/>
      <c r="BA90" s="1161"/>
      <c r="BB90" s="1161"/>
      <c r="BC90" s="1161"/>
      <c r="BD90" s="1161"/>
      <c r="BE90" s="1161"/>
      <c r="BF90" s="1161"/>
      <c r="BG90" s="1161"/>
      <c r="BH90" s="1161"/>
      <c r="BI90" s="1161"/>
      <c r="BJ90" s="1161"/>
      <c r="BK90" s="1161"/>
      <c r="BL90" s="1161"/>
      <c r="BM90" s="1161"/>
      <c r="BN90" s="1161"/>
      <c r="BO90" s="1161"/>
      <c r="BP90" s="1161"/>
    </row>
    <row r="91" spans="2:68">
      <c r="B91" s="1493" t="s">
        <v>1731</v>
      </c>
      <c r="C91" s="1161"/>
      <c r="D91" s="106">
        <v>0.8</v>
      </c>
      <c r="E91" s="714"/>
      <c r="F91" s="919" t="s">
        <v>1671</v>
      </c>
      <c r="G91" s="1161"/>
      <c r="H91" s="1161"/>
      <c r="I91" s="1161"/>
      <c r="J91" s="1161"/>
      <c r="K91" s="1161"/>
      <c r="L91" s="1161"/>
      <c r="M91" s="1161"/>
      <c r="N91" s="1161" t="s">
        <v>1732</v>
      </c>
      <c r="O91" s="1161">
        <v>7350</v>
      </c>
      <c r="P91" s="1161">
        <v>7150</v>
      </c>
      <c r="Q91" s="1161">
        <v>5600</v>
      </c>
      <c r="R91" s="1161"/>
      <c r="S91" s="1161"/>
      <c r="T91" s="1161"/>
      <c r="U91" s="1161" t="s">
        <v>1732</v>
      </c>
      <c r="V91" s="106">
        <v>0.4</v>
      </c>
      <c r="W91" s="1161">
        <f>V91/0.993^10</f>
        <v>0.42910888438440442</v>
      </c>
      <c r="X91" s="1161"/>
      <c r="Y91" s="1161"/>
      <c r="Z91" s="1161"/>
      <c r="AA91" s="1161"/>
      <c r="AB91" s="1161"/>
      <c r="AC91" s="1161"/>
      <c r="AD91" s="1161"/>
      <c r="AE91" s="1161"/>
      <c r="AF91" s="1161"/>
      <c r="AG91" s="1161"/>
      <c r="AH91" s="1161"/>
      <c r="AI91" s="1161"/>
      <c r="AJ91" s="1161"/>
      <c r="AK91" s="1161"/>
      <c r="AL91" s="1161"/>
      <c r="AM91" s="1161"/>
      <c r="AN91" s="1161"/>
      <c r="AO91" s="1161"/>
      <c r="AP91" s="1161"/>
      <c r="AQ91" s="1161"/>
      <c r="AR91" s="1161"/>
      <c r="AS91" s="1161"/>
      <c r="AT91" s="1161"/>
      <c r="AU91" s="1161"/>
      <c r="AV91" s="1161"/>
      <c r="AW91" s="1161"/>
      <c r="AX91" s="1161"/>
      <c r="AY91" s="1161"/>
      <c r="AZ91" s="1161"/>
      <c r="BA91" s="1161"/>
      <c r="BB91" s="1161"/>
      <c r="BC91" s="1161"/>
      <c r="BD91" s="1161"/>
      <c r="BE91" s="1161"/>
      <c r="BF91" s="1161"/>
      <c r="BG91" s="1161"/>
      <c r="BH91" s="1161"/>
      <c r="BI91" s="1161"/>
      <c r="BJ91" s="1161"/>
      <c r="BK91" s="1161"/>
      <c r="BL91" s="1161"/>
      <c r="BM91" s="1161"/>
      <c r="BN91" s="1161"/>
      <c r="BO91" s="1161"/>
      <c r="BP91" s="1161"/>
    </row>
    <row r="92" spans="2:68">
      <c r="B92" s="1493"/>
      <c r="C92" s="1161"/>
      <c r="D92" s="1161"/>
      <c r="E92" s="714"/>
      <c r="F92" s="1161"/>
      <c r="G92" s="1161"/>
      <c r="H92" s="1161"/>
      <c r="I92" s="1161"/>
      <c r="J92" s="1161"/>
      <c r="K92" s="1161"/>
      <c r="L92" s="1161"/>
      <c r="M92" s="1161"/>
      <c r="N92" s="1161" t="s">
        <v>1733</v>
      </c>
      <c r="O92" s="1161">
        <v>7750</v>
      </c>
      <c r="P92" s="1161">
        <v>7750</v>
      </c>
      <c r="Q92" s="1161">
        <v>5950</v>
      </c>
      <c r="R92" s="1161"/>
      <c r="S92" s="1161"/>
      <c r="T92" s="1161"/>
      <c r="U92" s="1161" t="s">
        <v>1733</v>
      </c>
      <c r="V92" s="106">
        <v>0.4</v>
      </c>
      <c r="W92" s="1161">
        <f t="shared" ref="W92:W97" si="12">V92/0.993^10</f>
        <v>0.42910888438440442</v>
      </c>
      <c r="X92" s="1161"/>
      <c r="Y92" s="1161"/>
      <c r="Z92" s="1161"/>
      <c r="AA92" s="1161"/>
      <c r="AB92" s="1161"/>
      <c r="AC92" s="1161"/>
      <c r="AD92" s="1161"/>
      <c r="AE92" s="1161"/>
      <c r="AF92" s="1161"/>
      <c r="AG92" s="1161"/>
      <c r="AH92" s="1161"/>
      <c r="AI92" s="1161"/>
      <c r="AJ92" s="1161"/>
      <c r="AK92" s="1161"/>
      <c r="AL92" s="1161"/>
      <c r="AM92" s="1161"/>
      <c r="AN92" s="1161"/>
      <c r="AO92" s="1161"/>
      <c r="AP92" s="1161"/>
      <c r="AQ92" s="1161"/>
      <c r="AR92" s="1161"/>
      <c r="AS92" s="1161"/>
      <c r="AT92" s="1161"/>
      <c r="AU92" s="1161"/>
      <c r="AV92" s="1161"/>
      <c r="AW92" s="1161"/>
      <c r="AX92" s="1161"/>
      <c r="AY92" s="1161"/>
      <c r="AZ92" s="1161"/>
      <c r="BA92" s="1161"/>
      <c r="BB92" s="1161"/>
      <c r="BC92" s="1161"/>
      <c r="BD92" s="1161"/>
      <c r="BE92" s="1161"/>
      <c r="BF92" s="1161"/>
      <c r="BG92" s="1161"/>
      <c r="BH92" s="1161"/>
      <c r="BI92" s="1161"/>
      <c r="BJ92" s="1161"/>
      <c r="BK92" s="1161"/>
      <c r="BL92" s="1161"/>
      <c r="BM92" s="1161"/>
      <c r="BN92" s="1161"/>
      <c r="BO92" s="1161"/>
      <c r="BP92" s="1161"/>
    </row>
    <row r="93" spans="2:68">
      <c r="B93" s="1488" t="s">
        <v>1734</v>
      </c>
      <c r="C93" s="1161"/>
      <c r="D93" s="106">
        <v>0.5</v>
      </c>
      <c r="E93" s="1161"/>
      <c r="F93" s="919" t="s">
        <v>1735</v>
      </c>
      <c r="G93" s="1161"/>
      <c r="H93" s="1161"/>
      <c r="I93" s="1161"/>
      <c r="J93" s="1161"/>
      <c r="K93" s="1161"/>
      <c r="L93" s="1161"/>
      <c r="M93" s="1161"/>
      <c r="N93" s="1161" t="s">
        <v>1736</v>
      </c>
      <c r="O93" s="1161">
        <v>8100</v>
      </c>
      <c r="P93" s="1161">
        <v>8900</v>
      </c>
      <c r="Q93" s="1161">
        <v>6500</v>
      </c>
      <c r="R93" s="1161"/>
      <c r="S93" s="1161"/>
      <c r="T93" s="1161"/>
      <c r="U93" s="1161" t="s">
        <v>1736</v>
      </c>
      <c r="V93" s="106">
        <v>0.4</v>
      </c>
      <c r="W93" s="1161">
        <f t="shared" si="12"/>
        <v>0.42910888438440442</v>
      </c>
      <c r="X93" s="1161"/>
      <c r="Y93" s="1161"/>
      <c r="Z93" s="1161"/>
      <c r="AA93" s="1161"/>
      <c r="AB93" s="1161"/>
      <c r="AC93" s="1161"/>
      <c r="AD93" s="1161"/>
      <c r="AE93" s="1161"/>
      <c r="AF93" s="1161"/>
      <c r="AG93" s="1161"/>
      <c r="AH93" s="1161"/>
      <c r="AI93" s="1161"/>
      <c r="AJ93" s="1161"/>
      <c r="AK93" s="1161"/>
      <c r="AL93" s="1161"/>
      <c r="AM93" s="1161"/>
      <c r="AN93" s="1161"/>
      <c r="AO93" s="1161"/>
      <c r="AP93" s="1161"/>
      <c r="AQ93" s="1161"/>
      <c r="AR93" s="1161"/>
      <c r="AS93" s="1161"/>
      <c r="AT93" s="1161"/>
      <c r="AU93" s="1161"/>
      <c r="AV93" s="1161"/>
      <c r="AW93" s="1161"/>
      <c r="AX93" s="1161"/>
      <c r="AY93" s="1161"/>
      <c r="AZ93" s="1161"/>
      <c r="BA93" s="1161"/>
      <c r="BB93" s="1161"/>
      <c r="BC93" s="1161"/>
      <c r="BD93" s="1161"/>
      <c r="BE93" s="1161"/>
      <c r="BF93" s="1161"/>
      <c r="BG93" s="1161"/>
      <c r="BH93" s="1161"/>
      <c r="BI93" s="1161"/>
      <c r="BJ93" s="1161"/>
      <c r="BK93" s="1161"/>
      <c r="BL93" s="1161"/>
      <c r="BM93" s="1161"/>
      <c r="BN93" s="1161"/>
      <c r="BO93" s="1161"/>
      <c r="BP93" s="1161"/>
    </row>
    <row r="94" spans="2:68">
      <c r="B94" s="719"/>
      <c r="C94" s="1161"/>
      <c r="D94" s="1161"/>
      <c r="E94" s="1161"/>
      <c r="F94" s="1161"/>
      <c r="G94" s="1161"/>
      <c r="H94" s="1161"/>
      <c r="I94" s="1161"/>
      <c r="J94" s="1161"/>
      <c r="K94" s="1161"/>
      <c r="L94" s="1161"/>
      <c r="M94" s="1161"/>
      <c r="N94" s="1161" t="s">
        <v>1737</v>
      </c>
      <c r="O94" s="1161">
        <v>10600</v>
      </c>
      <c r="P94" s="1161">
        <v>10400</v>
      </c>
      <c r="Q94" s="1161">
        <v>9000</v>
      </c>
      <c r="R94" s="1161"/>
      <c r="S94" s="1161"/>
      <c r="T94" s="1161"/>
      <c r="U94" s="1161" t="s">
        <v>1737</v>
      </c>
      <c r="V94" s="106">
        <v>0.45</v>
      </c>
      <c r="W94" s="1161">
        <f t="shared" si="12"/>
        <v>0.48274749493245495</v>
      </c>
      <c r="X94" s="1161"/>
      <c r="Y94" s="1161"/>
      <c r="Z94" s="1161"/>
      <c r="AA94" s="1161"/>
      <c r="AB94" s="1161"/>
      <c r="AC94" s="1161"/>
      <c r="AD94" s="1161"/>
      <c r="AE94" s="1161"/>
      <c r="AF94" s="1161"/>
      <c r="AG94" s="1161"/>
      <c r="AH94" s="1161"/>
      <c r="AI94" s="1161"/>
      <c r="AJ94" s="1161"/>
      <c r="AK94" s="1161"/>
      <c r="AL94" s="1161"/>
      <c r="AM94" s="1161"/>
      <c r="AN94" s="1161"/>
      <c r="AO94" s="1161"/>
      <c r="AP94" s="1161"/>
      <c r="AQ94" s="1161"/>
      <c r="AR94" s="1161"/>
      <c r="AS94" s="1161"/>
      <c r="AT94" s="1161"/>
      <c r="AU94" s="1161"/>
      <c r="AV94" s="1161"/>
      <c r="AW94" s="1161"/>
      <c r="AX94" s="1161"/>
      <c r="AY94" s="1161"/>
      <c r="AZ94" s="1161"/>
      <c r="BA94" s="1161"/>
      <c r="BB94" s="1161"/>
      <c r="BC94" s="1161"/>
      <c r="BD94" s="1161"/>
      <c r="BE94" s="1161"/>
      <c r="BF94" s="1161"/>
      <c r="BG94" s="1161"/>
      <c r="BH94" s="1161"/>
      <c r="BI94" s="1161"/>
      <c r="BJ94" s="1161"/>
      <c r="BK94" s="1161"/>
      <c r="BL94" s="1161"/>
      <c r="BM94" s="1161"/>
      <c r="BN94" s="1161"/>
      <c r="BO94" s="1161"/>
      <c r="BP94" s="1161"/>
    </row>
    <row r="95" spans="2:68">
      <c r="B95" s="719" t="s">
        <v>1738</v>
      </c>
      <c r="C95" s="1161"/>
      <c r="D95" s="106">
        <v>0.8</v>
      </c>
      <c r="E95" s="1161" t="s">
        <v>1739</v>
      </c>
      <c r="F95" s="919" t="s">
        <v>1740</v>
      </c>
      <c r="G95" s="1161"/>
      <c r="H95" s="1161"/>
      <c r="I95" s="1161"/>
      <c r="J95" s="1161"/>
      <c r="K95" s="1161"/>
      <c r="L95" s="1161"/>
      <c r="M95" s="1161"/>
      <c r="N95" s="1161" t="s">
        <v>1741</v>
      </c>
      <c r="O95" s="1161">
        <v>10650</v>
      </c>
      <c r="P95" s="1161">
        <v>10500</v>
      </c>
      <c r="Q95" s="1161">
        <v>9050</v>
      </c>
      <c r="R95" s="1161"/>
      <c r="S95" s="1161"/>
      <c r="T95" s="1161"/>
      <c r="U95" s="1161" t="s">
        <v>1741</v>
      </c>
      <c r="V95" s="106">
        <v>0.45</v>
      </c>
      <c r="W95" s="1161">
        <f t="shared" si="12"/>
        <v>0.48274749493245495</v>
      </c>
      <c r="X95" s="1161"/>
      <c r="Y95" s="1161"/>
      <c r="Z95" s="1161"/>
      <c r="AA95" s="1161"/>
      <c r="AB95" s="1161"/>
      <c r="AC95" s="1161"/>
      <c r="AD95" s="1161"/>
      <c r="AE95" s="1161"/>
      <c r="AF95" s="1161"/>
      <c r="AG95" s="1161"/>
      <c r="AH95" s="1161"/>
      <c r="AI95" s="1161"/>
      <c r="AJ95" s="1161"/>
      <c r="AK95" s="1161"/>
      <c r="AL95" s="1161"/>
      <c r="AM95" s="1161"/>
      <c r="AN95" s="1161"/>
      <c r="AO95" s="1161"/>
      <c r="AP95" s="1161"/>
      <c r="AQ95" s="1161"/>
      <c r="AR95" s="1161"/>
      <c r="AS95" s="1161"/>
      <c r="AT95" s="1161"/>
      <c r="AU95" s="1161"/>
      <c r="AV95" s="1161"/>
      <c r="AW95" s="1161"/>
      <c r="AX95" s="1161"/>
      <c r="AY95" s="1161"/>
      <c r="AZ95" s="1161"/>
      <c r="BA95" s="1161"/>
      <c r="BB95" s="1161"/>
      <c r="BC95" s="1161"/>
      <c r="BD95" s="1161"/>
      <c r="BE95" s="1161"/>
      <c r="BF95" s="1161"/>
      <c r="BG95" s="1161"/>
      <c r="BH95" s="1161"/>
      <c r="BI95" s="1161"/>
      <c r="BJ95" s="1161"/>
      <c r="BK95" s="1161"/>
      <c r="BL95" s="1161"/>
      <c r="BM95" s="1161"/>
      <c r="BN95" s="1161"/>
      <c r="BO95" s="1161"/>
      <c r="BP95" s="1161"/>
    </row>
    <row r="96" spans="2:68">
      <c r="B96" s="1161"/>
      <c r="C96" s="1161"/>
      <c r="D96" s="106">
        <v>0.6</v>
      </c>
      <c r="E96" s="1161" t="s">
        <v>1742</v>
      </c>
      <c r="F96" s="1161"/>
      <c r="G96" s="1161"/>
      <c r="H96" s="1161"/>
      <c r="I96" s="1161"/>
      <c r="J96" s="1161"/>
      <c r="K96" s="1161"/>
      <c r="L96" s="1161"/>
      <c r="M96" s="1161"/>
      <c r="N96" s="1161" t="s">
        <v>1743</v>
      </c>
      <c r="O96" s="1161">
        <v>10750</v>
      </c>
      <c r="P96" s="1161">
        <v>10750</v>
      </c>
      <c r="Q96" s="1161">
        <v>9200</v>
      </c>
      <c r="R96" s="1161"/>
      <c r="S96" s="1161"/>
      <c r="T96" s="1161"/>
      <c r="U96" s="1161" t="s">
        <v>1743</v>
      </c>
      <c r="V96" s="106">
        <v>0.45</v>
      </c>
      <c r="W96" s="1161">
        <f t="shared" si="12"/>
        <v>0.48274749493245495</v>
      </c>
      <c r="X96" s="1161"/>
      <c r="Y96" s="1161"/>
      <c r="Z96" s="1161"/>
      <c r="AA96" s="1161"/>
      <c r="AB96" s="1161"/>
      <c r="AC96" s="1161"/>
      <c r="AD96" s="1161"/>
      <c r="AE96" s="1161"/>
      <c r="AF96" s="1161"/>
      <c r="AG96" s="1161"/>
      <c r="AH96" s="1161"/>
      <c r="AI96" s="1161"/>
      <c r="AJ96" s="1161"/>
      <c r="AK96" s="1161"/>
      <c r="AL96" s="1161"/>
      <c r="AM96" s="1161"/>
      <c r="AN96" s="1161"/>
      <c r="AO96" s="1161"/>
      <c r="AP96" s="1161"/>
      <c r="AQ96" s="1161"/>
      <c r="AR96" s="1161"/>
      <c r="AS96" s="1161"/>
      <c r="AT96" s="1161"/>
      <c r="AU96" s="1161"/>
      <c r="AV96" s="1161"/>
      <c r="AW96" s="1161"/>
      <c r="AX96" s="1161"/>
      <c r="AY96" s="1161"/>
      <c r="AZ96" s="1161"/>
      <c r="BA96" s="1161"/>
      <c r="BB96" s="1161"/>
      <c r="BC96" s="1161"/>
      <c r="BD96" s="1161"/>
      <c r="BE96" s="1161"/>
      <c r="BF96" s="1161"/>
      <c r="BG96" s="1161"/>
      <c r="BH96" s="1161"/>
      <c r="BI96" s="1161"/>
      <c r="BJ96" s="1161"/>
      <c r="BK96" s="1161"/>
      <c r="BL96" s="1161"/>
      <c r="BM96" s="1161"/>
      <c r="BN96" s="1161"/>
      <c r="BO96" s="1161"/>
      <c r="BP96" s="1161"/>
    </row>
    <row r="97" spans="2:68">
      <c r="B97" s="1161" t="s">
        <v>1744</v>
      </c>
      <c r="C97" s="1161"/>
      <c r="D97" s="1161"/>
      <c r="E97" s="1161"/>
      <c r="F97" s="919" t="s">
        <v>1740</v>
      </c>
      <c r="G97" s="1161"/>
      <c r="H97" s="1161"/>
      <c r="I97" s="1161"/>
      <c r="J97" s="1161"/>
      <c r="K97" s="1161"/>
      <c r="L97" s="1161"/>
      <c r="M97" s="1161"/>
      <c r="N97" s="1161" t="s">
        <v>1745</v>
      </c>
      <c r="O97" s="1161">
        <v>11100</v>
      </c>
      <c r="P97" s="1161">
        <v>12000</v>
      </c>
      <c r="Q97" s="1161">
        <v>9700</v>
      </c>
      <c r="R97" s="1161"/>
      <c r="S97" s="1161"/>
      <c r="T97" s="1161"/>
      <c r="U97" s="1161" t="s">
        <v>1745</v>
      </c>
      <c r="V97" s="106">
        <v>0.45</v>
      </c>
      <c r="W97" s="1161">
        <f t="shared" si="12"/>
        <v>0.48274749493245495</v>
      </c>
      <c r="X97" s="1161"/>
      <c r="Y97" s="1161"/>
      <c r="Z97" s="1161"/>
      <c r="AA97" s="1161"/>
      <c r="AB97" s="1161"/>
      <c r="AC97" s="1161"/>
      <c r="AD97" s="1161"/>
      <c r="AE97" s="1161"/>
      <c r="AF97" s="1161"/>
      <c r="AG97" s="1161"/>
      <c r="AH97" s="1161"/>
      <c r="AI97" s="1161"/>
      <c r="AJ97" s="1161"/>
      <c r="AK97" s="1161"/>
      <c r="AL97" s="1161"/>
      <c r="AM97" s="1161"/>
      <c r="AN97" s="1161"/>
      <c r="AO97" s="1161"/>
      <c r="AP97" s="1161"/>
      <c r="AQ97" s="1161"/>
      <c r="AR97" s="1161"/>
      <c r="AS97" s="1161"/>
      <c r="AT97" s="1161"/>
      <c r="AU97" s="1161"/>
      <c r="AV97" s="1161"/>
      <c r="AW97" s="1161"/>
      <c r="AX97" s="1161"/>
      <c r="AY97" s="1161"/>
      <c r="AZ97" s="1161"/>
      <c r="BA97" s="1161"/>
      <c r="BB97" s="1161"/>
      <c r="BC97" s="1161"/>
      <c r="BD97" s="1161"/>
      <c r="BE97" s="1161"/>
      <c r="BF97" s="1161"/>
      <c r="BG97" s="1161"/>
      <c r="BH97" s="1161"/>
      <c r="BI97" s="1161"/>
      <c r="BJ97" s="1161"/>
      <c r="BK97" s="1161"/>
      <c r="BL97" s="1161"/>
      <c r="BM97" s="1161"/>
      <c r="BN97" s="1161"/>
      <c r="BO97" s="1161"/>
      <c r="BP97" s="1161"/>
    </row>
    <row r="98" spans="2:68">
      <c r="B98" s="1161"/>
      <c r="C98" s="1161"/>
      <c r="D98" s="1161"/>
      <c r="E98" s="1161"/>
      <c r="F98" s="1161"/>
      <c r="G98" s="1161"/>
      <c r="H98" s="1161"/>
      <c r="I98" s="1161"/>
      <c r="J98" s="1161"/>
      <c r="K98" s="1161"/>
      <c r="L98" s="1161"/>
      <c r="M98" s="1161"/>
      <c r="N98" s="1161"/>
      <c r="O98" s="1161"/>
      <c r="P98" s="1161"/>
      <c r="Q98" s="1161"/>
      <c r="R98" s="1161"/>
      <c r="S98" s="1161"/>
      <c r="T98" s="1161"/>
      <c r="U98" s="1161"/>
      <c r="V98" s="1161"/>
      <c r="W98" s="1161"/>
      <c r="X98" s="1161"/>
      <c r="Y98" s="1161"/>
      <c r="Z98" s="1161"/>
      <c r="AA98" s="1161"/>
      <c r="AB98" s="1161"/>
      <c r="AC98" s="1161"/>
      <c r="AD98" s="1161"/>
      <c r="AE98" s="1161"/>
      <c r="AF98" s="1161"/>
      <c r="AG98" s="1161"/>
      <c r="AH98" s="1161"/>
      <c r="AI98" s="1161"/>
      <c r="AJ98" s="1161"/>
      <c r="AK98" s="1161"/>
      <c r="AL98" s="1161"/>
      <c r="AM98" s="1161"/>
      <c r="AN98" s="1161"/>
      <c r="AO98" s="1161"/>
      <c r="AP98" s="1161"/>
      <c r="AQ98" s="1161"/>
      <c r="AR98" s="1161"/>
      <c r="AS98" s="1161"/>
      <c r="AT98" s="1161"/>
      <c r="AU98" s="1161"/>
      <c r="AV98" s="1161"/>
      <c r="AW98" s="1161"/>
      <c r="AX98" s="1161"/>
      <c r="AY98" s="1161"/>
      <c r="AZ98" s="1161"/>
      <c r="BA98" s="1161"/>
      <c r="BB98" s="1161"/>
      <c r="BC98" s="1161"/>
      <c r="BD98" s="1161"/>
      <c r="BE98" s="1161"/>
      <c r="BF98" s="1161"/>
      <c r="BG98" s="1161"/>
      <c r="BH98" s="1161"/>
      <c r="BI98" s="1161"/>
      <c r="BJ98" s="1161"/>
      <c r="BK98" s="1161"/>
      <c r="BL98" s="1161"/>
      <c r="BM98" s="1161"/>
      <c r="BN98" s="1161"/>
      <c r="BO98" s="1161"/>
      <c r="BP98" s="1161"/>
    </row>
    <row r="99" spans="2:68">
      <c r="B99" s="1161"/>
      <c r="C99" s="1161"/>
      <c r="D99" s="1161"/>
      <c r="E99" s="1161"/>
      <c r="F99" s="1161"/>
      <c r="G99" s="1161"/>
      <c r="H99" s="1161"/>
      <c r="I99" s="1161"/>
      <c r="J99" s="1161"/>
      <c r="K99" s="1161"/>
      <c r="L99" s="1161"/>
      <c r="M99" s="1161"/>
      <c r="N99" s="685" t="s">
        <v>1746</v>
      </c>
      <c r="O99" s="1161"/>
      <c r="P99" s="1161"/>
      <c r="Q99" s="1161"/>
      <c r="R99" s="1161"/>
      <c r="S99" s="1161"/>
      <c r="T99" s="1161"/>
      <c r="U99" s="1161"/>
      <c r="V99" s="1161"/>
      <c r="W99" s="1161"/>
      <c r="X99" s="1161"/>
      <c r="Y99" s="1161"/>
      <c r="Z99" s="1161"/>
      <c r="AA99" s="1161"/>
      <c r="AB99" s="1161"/>
      <c r="AC99" s="1161"/>
      <c r="AD99" s="1161"/>
      <c r="AE99" s="1161"/>
      <c r="AF99" s="1161"/>
      <c r="AG99" s="1161"/>
      <c r="AH99" s="1161"/>
      <c r="AI99" s="1161"/>
      <c r="AJ99" s="1161"/>
      <c r="AK99" s="1161"/>
      <c r="AL99" s="1161"/>
      <c r="AM99" s="1161"/>
      <c r="AN99" s="1161"/>
      <c r="AO99" s="1161"/>
      <c r="AP99" s="1161"/>
      <c r="AQ99" s="1161"/>
      <c r="AR99" s="1161"/>
      <c r="AS99" s="1161"/>
      <c r="AT99" s="1161"/>
      <c r="AU99" s="1161"/>
      <c r="AV99" s="1161"/>
      <c r="AW99" s="1161"/>
      <c r="AX99" s="1161"/>
      <c r="AY99" s="1161"/>
      <c r="AZ99" s="1161"/>
      <c r="BA99" s="1161"/>
      <c r="BB99" s="1161"/>
      <c r="BC99" s="1161"/>
      <c r="BD99" s="1161"/>
      <c r="BE99" s="1161"/>
      <c r="BF99" s="1161"/>
      <c r="BG99" s="1161"/>
      <c r="BH99" s="1161"/>
      <c r="BI99" s="1161"/>
      <c r="BJ99" s="1161"/>
      <c r="BK99" s="1161"/>
      <c r="BL99" s="1161"/>
      <c r="BM99" s="1161"/>
      <c r="BN99" s="1161"/>
      <c r="BO99" s="1161"/>
      <c r="BP99" s="1161"/>
    </row>
    <row r="100" spans="2:68">
      <c r="B100" s="1161"/>
      <c r="C100" s="1161"/>
      <c r="D100" s="1161"/>
      <c r="E100" s="1161"/>
      <c r="F100" s="1161"/>
      <c r="G100" s="1161"/>
      <c r="H100" s="1161"/>
      <c r="I100" s="1161"/>
      <c r="J100" s="1161"/>
      <c r="K100" s="1161"/>
      <c r="L100" s="1161"/>
      <c r="M100" s="1161"/>
      <c r="N100" s="1161"/>
      <c r="O100" s="1161" t="s">
        <v>1727</v>
      </c>
      <c r="P100" s="1161" t="s">
        <v>1728</v>
      </c>
      <c r="Q100" s="1161" t="s">
        <v>1729</v>
      </c>
      <c r="R100" s="1161"/>
      <c r="S100" s="1161"/>
      <c r="T100" s="1161"/>
      <c r="U100" s="1161"/>
      <c r="V100" s="1161"/>
      <c r="W100" s="1161"/>
      <c r="X100" s="1161"/>
      <c r="Y100" s="1161"/>
      <c r="Z100" s="1161"/>
      <c r="AA100" s="1161"/>
      <c r="AB100" s="1161"/>
      <c r="AC100" s="1161"/>
      <c r="AD100" s="1161"/>
      <c r="AE100" s="1161"/>
      <c r="AF100" s="1161"/>
      <c r="AG100" s="1161"/>
      <c r="AH100" s="1161"/>
      <c r="AI100" s="1161"/>
      <c r="AJ100" s="1161"/>
      <c r="AK100" s="1161"/>
      <c r="AL100" s="1161"/>
      <c r="AM100" s="1161"/>
      <c r="AN100" s="1161"/>
      <c r="AO100" s="1161"/>
      <c r="AP100" s="1161"/>
      <c r="AQ100" s="1161"/>
      <c r="AR100" s="1161"/>
      <c r="AS100" s="1161"/>
      <c r="AT100" s="1161"/>
      <c r="AU100" s="1161"/>
      <c r="AV100" s="1161"/>
      <c r="AW100" s="1161"/>
      <c r="AX100" s="1161"/>
      <c r="AY100" s="1161"/>
      <c r="AZ100" s="1161"/>
      <c r="BA100" s="1161"/>
      <c r="BB100" s="1161"/>
      <c r="BC100" s="1161"/>
      <c r="BD100" s="1161"/>
      <c r="BE100" s="1161"/>
      <c r="BF100" s="1161"/>
      <c r="BG100" s="1161"/>
      <c r="BH100" s="1161"/>
      <c r="BI100" s="1161"/>
      <c r="BJ100" s="1161"/>
      <c r="BK100" s="1161"/>
      <c r="BL100" s="1161"/>
      <c r="BM100" s="1161"/>
      <c r="BN100" s="1161"/>
      <c r="BO100" s="1161"/>
      <c r="BP100" s="1161"/>
    </row>
    <row r="101" spans="2:68">
      <c r="B101" s="1161" t="s">
        <v>1747</v>
      </c>
      <c r="C101" s="1161"/>
      <c r="D101" s="1161"/>
      <c r="E101" s="1161"/>
      <c r="F101" s="1161"/>
      <c r="G101" s="1161"/>
      <c r="H101" s="1161"/>
      <c r="I101" s="1161"/>
      <c r="J101" s="1161"/>
      <c r="K101" s="1161"/>
      <c r="L101" s="1161"/>
      <c r="M101" s="1161"/>
      <c r="N101" s="1161" t="s">
        <v>1730</v>
      </c>
      <c r="O101" s="1161">
        <v>700</v>
      </c>
      <c r="P101" s="1161">
        <v>600</v>
      </c>
      <c r="Q101" s="1161">
        <v>500</v>
      </c>
      <c r="R101" s="1161"/>
      <c r="S101" s="1161"/>
      <c r="T101" s="1161"/>
      <c r="U101" s="1161"/>
      <c r="V101" s="1161"/>
      <c r="W101" s="1161"/>
      <c r="X101" s="1161"/>
      <c r="Y101" s="1161"/>
      <c r="Z101" s="1161"/>
      <c r="AA101" s="1161"/>
      <c r="AB101" s="1161"/>
      <c r="AC101" s="1161"/>
      <c r="AD101" s="1161"/>
      <c r="AE101" s="1161"/>
      <c r="AF101" s="1161"/>
      <c r="AG101" s="1161"/>
      <c r="AH101" s="1161"/>
      <c r="AI101" s="1161"/>
      <c r="AJ101" s="1161"/>
      <c r="AK101" s="1161"/>
      <c r="AL101" s="1161"/>
      <c r="AM101" s="1161"/>
      <c r="AN101" s="1161"/>
      <c r="AO101" s="1161"/>
      <c r="AP101" s="1161"/>
      <c r="AQ101" s="1161"/>
      <c r="AR101" s="1161"/>
      <c r="AS101" s="1161"/>
      <c r="AT101" s="1161"/>
      <c r="AU101" s="1161"/>
      <c r="AV101" s="1161"/>
      <c r="AW101" s="1161"/>
      <c r="AX101" s="1161"/>
      <c r="AY101" s="1161"/>
      <c r="AZ101" s="1161"/>
      <c r="BA101" s="1161"/>
      <c r="BB101" s="1161"/>
      <c r="BC101" s="1161"/>
      <c r="BD101" s="1161"/>
      <c r="BE101" s="1161"/>
      <c r="BF101" s="1161"/>
      <c r="BG101" s="1161"/>
      <c r="BH101" s="1161"/>
      <c r="BI101" s="1161"/>
      <c r="BJ101" s="1161"/>
      <c r="BK101" s="1161"/>
      <c r="BL101" s="1161"/>
      <c r="BM101" s="1161"/>
      <c r="BN101" s="1161"/>
      <c r="BO101" s="1161"/>
      <c r="BP101" s="1161"/>
    </row>
    <row r="102" spans="2:68">
      <c r="B102" s="1161"/>
      <c r="C102" s="1161"/>
      <c r="D102" s="1161"/>
      <c r="E102" s="1161"/>
      <c r="F102" s="1161"/>
      <c r="G102" s="1161"/>
      <c r="H102" s="1161"/>
      <c r="I102" s="1161"/>
      <c r="J102" s="1161"/>
      <c r="K102" s="1161"/>
      <c r="L102" s="1161"/>
      <c r="M102" s="1161"/>
      <c r="N102" s="1161" t="s">
        <v>1732</v>
      </c>
      <c r="O102" s="1161">
        <v>720</v>
      </c>
      <c r="P102" s="1161">
        <v>620</v>
      </c>
      <c r="Q102" s="1161">
        <v>520</v>
      </c>
      <c r="R102" s="1161"/>
      <c r="S102" s="1161"/>
      <c r="T102" s="1161"/>
      <c r="U102" s="1161"/>
      <c r="V102" s="1161"/>
      <c r="W102" s="1161"/>
      <c r="X102" s="1161"/>
      <c r="Y102" s="1161"/>
      <c r="Z102" s="1161"/>
      <c r="AA102" s="1161"/>
      <c r="AB102" s="1161"/>
      <c r="AC102" s="1161"/>
      <c r="AD102" s="1161"/>
      <c r="AE102" s="1161"/>
      <c r="AF102" s="1161"/>
      <c r="AG102" s="1161"/>
      <c r="AH102" s="1161"/>
      <c r="AI102" s="1161"/>
      <c r="AJ102" s="1161"/>
      <c r="AK102" s="1161"/>
      <c r="AL102" s="1161"/>
      <c r="AM102" s="1161"/>
      <c r="AN102" s="1161"/>
      <c r="AO102" s="1161"/>
      <c r="AP102" s="1161"/>
      <c r="AQ102" s="1161"/>
      <c r="AR102" s="1161"/>
      <c r="AS102" s="1161"/>
      <c r="AT102" s="1161"/>
      <c r="AU102" s="1161"/>
      <c r="AV102" s="1161"/>
      <c r="AW102" s="1161"/>
      <c r="AX102" s="1161"/>
      <c r="AY102" s="1161"/>
      <c r="AZ102" s="1161"/>
      <c r="BA102" s="1161"/>
      <c r="BB102" s="1161"/>
      <c r="BC102" s="1161"/>
      <c r="BD102" s="1161"/>
      <c r="BE102" s="1161"/>
      <c r="BF102" s="1161"/>
      <c r="BG102" s="1161"/>
      <c r="BH102" s="1161"/>
      <c r="BI102" s="1161"/>
      <c r="BJ102" s="1161"/>
      <c r="BK102" s="1161"/>
      <c r="BL102" s="1161"/>
      <c r="BM102" s="1161"/>
      <c r="BN102" s="1161"/>
      <c r="BO102" s="1161"/>
      <c r="BP102" s="1161"/>
    </row>
    <row r="103" spans="2:68">
      <c r="B103" s="1161"/>
      <c r="C103" s="1161"/>
      <c r="D103" s="1161"/>
      <c r="E103" s="1161"/>
      <c r="F103" s="1161"/>
      <c r="G103" s="1161"/>
      <c r="H103" s="1161"/>
      <c r="I103" s="1161"/>
      <c r="J103" s="1161"/>
      <c r="K103" s="1161"/>
      <c r="L103" s="1161"/>
      <c r="M103" s="1161"/>
      <c r="N103" s="1161" t="s">
        <v>1733</v>
      </c>
      <c r="O103" s="1161">
        <v>1015</v>
      </c>
      <c r="P103" s="1161">
        <v>870</v>
      </c>
      <c r="Q103" s="1161">
        <v>725</v>
      </c>
      <c r="R103" s="1161"/>
      <c r="S103" s="1161"/>
      <c r="T103" s="1161"/>
      <c r="U103" s="685" t="s">
        <v>1748</v>
      </c>
      <c r="V103" s="1161"/>
      <c r="W103" s="1161"/>
      <c r="X103" s="1161"/>
      <c r="Y103" s="1161"/>
      <c r="Z103" s="1161"/>
      <c r="AA103" s="1161"/>
      <c r="AB103" s="1161"/>
      <c r="AC103" s="1161"/>
      <c r="AD103" s="1161"/>
      <c r="AE103" s="1161"/>
      <c r="AF103" s="1161"/>
      <c r="AG103" s="1161"/>
      <c r="AH103" s="1161"/>
      <c r="AI103" s="1161"/>
      <c r="AJ103" s="1161"/>
      <c r="AK103" s="1161"/>
      <c r="AL103" s="1161"/>
      <c r="AM103" s="1161"/>
      <c r="AN103" s="1161"/>
      <c r="AO103" s="1161"/>
      <c r="AP103" s="1161"/>
      <c r="AQ103" s="1161"/>
      <c r="AR103" s="1161"/>
      <c r="AS103" s="1161"/>
      <c r="AT103" s="1161"/>
      <c r="AU103" s="1161"/>
      <c r="AV103" s="1161"/>
      <c r="AW103" s="1161"/>
      <c r="AX103" s="1161"/>
      <c r="AY103" s="1161"/>
      <c r="AZ103" s="1161"/>
      <c r="BA103" s="1161"/>
      <c r="BB103" s="1161"/>
      <c r="BC103" s="1161"/>
      <c r="BD103" s="1161"/>
      <c r="BE103" s="1161"/>
      <c r="BF103" s="1161"/>
      <c r="BG103" s="1161"/>
      <c r="BH103" s="1161"/>
      <c r="BI103" s="1161"/>
      <c r="BJ103" s="1161"/>
      <c r="BK103" s="1161"/>
      <c r="BL103" s="1161"/>
      <c r="BM103" s="1161"/>
      <c r="BN103" s="1161"/>
      <c r="BO103" s="1161"/>
      <c r="BP103" s="1161"/>
    </row>
    <row r="104" spans="2:68">
      <c r="B104" s="1161"/>
      <c r="C104" s="1161"/>
      <c r="D104" s="1161"/>
      <c r="E104" s="1161"/>
      <c r="F104" s="1161"/>
      <c r="G104" s="1161"/>
      <c r="H104" s="1161"/>
      <c r="I104" s="1161"/>
      <c r="J104" s="1161"/>
      <c r="K104" s="1161"/>
      <c r="L104" s="1161"/>
      <c r="M104" s="1161"/>
      <c r="N104" s="1161" t="s">
        <v>1736</v>
      </c>
      <c r="O104" s="1161">
        <v>1015</v>
      </c>
      <c r="P104" s="1161">
        <v>870</v>
      </c>
      <c r="Q104" s="1161">
        <v>725</v>
      </c>
      <c r="R104" s="1161"/>
      <c r="S104" s="1161"/>
      <c r="T104" s="1161"/>
      <c r="U104" s="1161" t="s">
        <v>1749</v>
      </c>
      <c r="V104" s="1161"/>
      <c r="W104" s="1161"/>
      <c r="X104" s="1161"/>
      <c r="Y104" s="1161"/>
      <c r="Z104" s="1161"/>
      <c r="AA104" s="1161"/>
      <c r="AB104" s="1161"/>
      <c r="AC104" s="1161"/>
      <c r="AD104" s="1161"/>
      <c r="AE104" s="1161"/>
      <c r="AF104" s="1161"/>
      <c r="AG104" s="1161"/>
      <c r="AH104" s="1161"/>
      <c r="AI104" s="1161"/>
      <c r="AJ104" s="1161"/>
      <c r="AK104" s="1161"/>
      <c r="AL104" s="1161"/>
      <c r="AM104" s="1161"/>
      <c r="AN104" s="1161"/>
      <c r="AO104" s="1161"/>
      <c r="AP104" s="1161"/>
      <c r="AQ104" s="1161"/>
      <c r="AR104" s="1161"/>
      <c r="AS104" s="1161"/>
      <c r="AT104" s="1161"/>
      <c r="AU104" s="1161"/>
      <c r="AV104" s="1161"/>
      <c r="AW104" s="1161"/>
      <c r="AX104" s="1161"/>
      <c r="AY104" s="1161"/>
      <c r="AZ104" s="1161"/>
      <c r="BA104" s="1161"/>
      <c r="BB104" s="1161"/>
      <c r="BC104" s="1161"/>
      <c r="BD104" s="1161"/>
      <c r="BE104" s="1161"/>
      <c r="BF104" s="1161"/>
      <c r="BG104" s="1161"/>
      <c r="BH104" s="1161"/>
      <c r="BI104" s="1161"/>
      <c r="BJ104" s="1161"/>
      <c r="BK104" s="1161"/>
      <c r="BL104" s="1161"/>
      <c r="BM104" s="1161"/>
      <c r="BN104" s="1161"/>
      <c r="BO104" s="1161"/>
      <c r="BP104" s="1161"/>
    </row>
    <row r="105" spans="2:68">
      <c r="B105" s="1161"/>
      <c r="C105" s="1161"/>
      <c r="D105" s="1161"/>
      <c r="E105" s="1161"/>
      <c r="F105" s="1161"/>
      <c r="G105" s="1161"/>
      <c r="H105" s="1161"/>
      <c r="I105" s="1161"/>
      <c r="J105" s="1161"/>
      <c r="K105" s="1161"/>
      <c r="L105" s="1161"/>
      <c r="M105" s="1161"/>
      <c r="N105" s="1161" t="s">
        <v>1737</v>
      </c>
      <c r="O105" s="1161">
        <v>4000</v>
      </c>
      <c r="P105" s="1161">
        <v>4000</v>
      </c>
      <c r="Q105" s="1161">
        <v>4000</v>
      </c>
      <c r="R105" s="1161"/>
      <c r="S105" s="1161"/>
      <c r="T105" s="1161"/>
      <c r="U105" s="1161" t="s">
        <v>1750</v>
      </c>
      <c r="V105" s="1161"/>
      <c r="W105" s="1161"/>
      <c r="X105" s="1161"/>
      <c r="Y105" s="1161"/>
      <c r="Z105" s="1161"/>
      <c r="AA105" s="1161"/>
      <c r="AB105" s="1161"/>
      <c r="AC105" s="1161"/>
      <c r="AD105" s="1161"/>
      <c r="AE105" s="1161"/>
      <c r="AF105" s="1161"/>
      <c r="AG105" s="1161"/>
      <c r="AH105" s="1161"/>
      <c r="AI105" s="1161"/>
      <c r="AJ105" s="1161"/>
      <c r="AK105" s="1161"/>
      <c r="AL105" s="1161"/>
      <c r="AM105" s="1161"/>
      <c r="AN105" s="1161"/>
      <c r="AO105" s="1161"/>
      <c r="AP105" s="1161"/>
      <c r="AQ105" s="1161"/>
      <c r="AR105" s="1161"/>
      <c r="AS105" s="1161"/>
      <c r="AT105" s="1161"/>
      <c r="AU105" s="1161"/>
      <c r="AV105" s="1161"/>
      <c r="AW105" s="1161"/>
      <c r="AX105" s="1161"/>
      <c r="AY105" s="1161"/>
      <c r="AZ105" s="1161"/>
      <c r="BA105" s="1161"/>
      <c r="BB105" s="1161"/>
      <c r="BC105" s="1161"/>
      <c r="BD105" s="1161"/>
      <c r="BE105" s="1161"/>
      <c r="BF105" s="1161"/>
      <c r="BG105" s="1161"/>
      <c r="BH105" s="1161"/>
      <c r="BI105" s="1161"/>
      <c r="BJ105" s="1161"/>
      <c r="BK105" s="1161"/>
      <c r="BL105" s="1161"/>
      <c r="BM105" s="1161"/>
      <c r="BN105" s="1161"/>
      <c r="BO105" s="1161"/>
      <c r="BP105" s="1161"/>
    </row>
    <row r="106" spans="2:68">
      <c r="B106" s="1161"/>
      <c r="C106" s="1161"/>
      <c r="D106" s="1161"/>
      <c r="E106" s="1161"/>
      <c r="F106" s="1161"/>
      <c r="G106" s="1161"/>
      <c r="H106" s="1161"/>
      <c r="I106" s="1161"/>
      <c r="J106" s="1161"/>
      <c r="K106" s="1161"/>
      <c r="L106" s="1161"/>
      <c r="M106" s="1161"/>
      <c r="N106" s="1161" t="s">
        <v>1741</v>
      </c>
      <c r="O106" s="1161">
        <v>4000</v>
      </c>
      <c r="P106" s="1161">
        <v>4000</v>
      </c>
      <c r="Q106" s="1161">
        <v>4000</v>
      </c>
      <c r="R106" s="1161"/>
      <c r="S106" s="1161"/>
      <c r="T106" s="1161"/>
      <c r="U106" s="1161" t="s">
        <v>1751</v>
      </c>
      <c r="V106" s="1161"/>
      <c r="W106" s="1161"/>
      <c r="X106" s="1161"/>
      <c r="Y106" s="1161"/>
      <c r="Z106" s="1161"/>
      <c r="AA106" s="1161"/>
      <c r="AB106" s="1161"/>
      <c r="AC106" s="1161"/>
      <c r="AD106" s="1161"/>
      <c r="AE106" s="1161"/>
      <c r="AF106" s="1161"/>
      <c r="AG106" s="1161"/>
      <c r="AH106" s="1161"/>
      <c r="AI106" s="1161"/>
      <c r="AJ106" s="1161"/>
      <c r="AK106" s="1161"/>
      <c r="AL106" s="1161"/>
      <c r="AM106" s="1161"/>
      <c r="AN106" s="1161"/>
      <c r="AO106" s="1161"/>
      <c r="AP106" s="1161"/>
      <c r="AQ106" s="1161"/>
      <c r="AR106" s="1161"/>
      <c r="AS106" s="1161"/>
      <c r="AT106" s="1161"/>
      <c r="AU106" s="1161"/>
      <c r="AV106" s="1161"/>
      <c r="AW106" s="1161"/>
      <c r="AX106" s="1161"/>
      <c r="AY106" s="1161"/>
      <c r="AZ106" s="1161"/>
      <c r="BA106" s="1161"/>
      <c r="BB106" s="1161"/>
      <c r="BC106" s="1161"/>
      <c r="BD106" s="1161"/>
      <c r="BE106" s="1161"/>
      <c r="BF106" s="1161"/>
      <c r="BG106" s="1161"/>
      <c r="BH106" s="1161"/>
      <c r="BI106" s="1161"/>
      <c r="BJ106" s="1161"/>
      <c r="BK106" s="1161"/>
      <c r="BL106" s="1161"/>
      <c r="BM106" s="1161"/>
      <c r="BN106" s="1161"/>
      <c r="BO106" s="1161"/>
      <c r="BP106" s="1161"/>
    </row>
    <row r="107" spans="2:68">
      <c r="B107" s="1161"/>
      <c r="C107" s="1161"/>
      <c r="D107" s="1161"/>
      <c r="E107" s="1161"/>
      <c r="F107" s="1161"/>
      <c r="G107" s="1161"/>
      <c r="H107" s="1161"/>
      <c r="I107" s="1161"/>
      <c r="J107" s="1161"/>
      <c r="K107" s="1161"/>
      <c r="L107" s="1161"/>
      <c r="M107" s="1161"/>
      <c r="N107" s="1161" t="s">
        <v>1743</v>
      </c>
      <c r="O107" s="1161">
        <v>4000</v>
      </c>
      <c r="P107" s="1161">
        <v>4000</v>
      </c>
      <c r="Q107" s="1161">
        <v>4000</v>
      </c>
      <c r="R107" s="1161"/>
      <c r="S107" s="1161"/>
      <c r="T107" s="1161"/>
      <c r="U107" s="1161" t="s">
        <v>1752</v>
      </c>
      <c r="V107" s="1161"/>
      <c r="W107" s="1161"/>
      <c r="X107" s="1161"/>
      <c r="Y107" s="1161"/>
      <c r="Z107" s="1161"/>
      <c r="AA107" s="1161"/>
      <c r="AB107" s="1161"/>
      <c r="AC107" s="1161"/>
      <c r="AD107" s="1161"/>
      <c r="AE107" s="1161"/>
      <c r="AF107" s="1161"/>
      <c r="AG107" s="1161"/>
      <c r="AH107" s="1161"/>
      <c r="AI107" s="1161"/>
      <c r="AJ107" s="1161"/>
      <c r="AK107" s="1161"/>
      <c r="AL107" s="1161"/>
      <c r="AM107" s="1161"/>
      <c r="AN107" s="1161"/>
      <c r="AO107" s="1161"/>
      <c r="AP107" s="1161"/>
      <c r="AQ107" s="1161"/>
      <c r="AR107" s="1161"/>
      <c r="AS107" s="1161"/>
      <c r="AT107" s="1161"/>
      <c r="AU107" s="1161"/>
      <c r="AV107" s="1161"/>
      <c r="AW107" s="1161"/>
      <c r="AX107" s="1161"/>
      <c r="AY107" s="1161"/>
      <c r="AZ107" s="1161"/>
      <c r="BA107" s="1161"/>
      <c r="BB107" s="1161"/>
      <c r="BC107" s="1161"/>
      <c r="BD107" s="1161"/>
      <c r="BE107" s="1161"/>
      <c r="BF107" s="1161"/>
      <c r="BG107" s="1161"/>
      <c r="BH107" s="1161"/>
      <c r="BI107" s="1161"/>
      <c r="BJ107" s="1161"/>
      <c r="BK107" s="1161"/>
      <c r="BL107" s="1161"/>
      <c r="BM107" s="1161"/>
      <c r="BN107" s="1161"/>
      <c r="BO107" s="1161"/>
      <c r="BP107" s="1161"/>
    </row>
    <row r="108" spans="2:68">
      <c r="B108" s="1161"/>
      <c r="C108" s="1161"/>
      <c r="D108" s="1161"/>
      <c r="E108" s="1161"/>
      <c r="F108" s="1161"/>
      <c r="G108" s="1161"/>
      <c r="H108" s="1161"/>
      <c r="I108" s="1161"/>
      <c r="J108" s="1161"/>
      <c r="K108" s="1161"/>
      <c r="L108" s="1161"/>
      <c r="M108" s="1161"/>
      <c r="N108" s="1161" t="s">
        <v>1745</v>
      </c>
      <c r="O108" s="1161">
        <v>4000</v>
      </c>
      <c r="P108" s="1161">
        <v>4000</v>
      </c>
      <c r="Q108" s="1161">
        <v>4000</v>
      </c>
      <c r="R108" s="1161"/>
      <c r="S108" s="1161"/>
      <c r="T108" s="1161"/>
      <c r="U108" s="1161" t="s">
        <v>1753</v>
      </c>
      <c r="V108" s="1161" t="s">
        <v>1754</v>
      </c>
      <c r="W108" s="1161" t="s">
        <v>1755</v>
      </c>
      <c r="X108" s="1161"/>
      <c r="Y108" s="1161"/>
      <c r="Z108" s="1161"/>
      <c r="AA108" s="1161"/>
      <c r="AB108" s="1161"/>
      <c r="AC108" s="1161"/>
      <c r="AD108" s="1161"/>
      <c r="AE108" s="1161"/>
      <c r="AF108" s="1161"/>
      <c r="AG108" s="1161"/>
      <c r="AH108" s="1161"/>
      <c r="AI108" s="1161"/>
      <c r="AJ108" s="1161"/>
      <c r="AK108" s="1161"/>
      <c r="AL108" s="1161"/>
      <c r="AM108" s="1161"/>
      <c r="AN108" s="1161"/>
      <c r="AO108" s="1161"/>
      <c r="AP108" s="1161"/>
      <c r="AQ108" s="1161"/>
      <c r="AR108" s="1161"/>
      <c r="AS108" s="1161"/>
      <c r="AT108" s="1161"/>
      <c r="AU108" s="1161"/>
      <c r="AV108" s="1161"/>
      <c r="AW108" s="1161"/>
      <c r="AX108" s="1161"/>
      <c r="AY108" s="1161"/>
      <c r="AZ108" s="1161"/>
      <c r="BA108" s="1161"/>
      <c r="BB108" s="1161"/>
      <c r="BC108" s="1161"/>
      <c r="BD108" s="1161"/>
      <c r="BE108" s="1161"/>
      <c r="BF108" s="1161"/>
      <c r="BG108" s="1161"/>
      <c r="BH108" s="1161"/>
      <c r="BI108" s="1161"/>
      <c r="BJ108" s="1161"/>
      <c r="BK108" s="1161"/>
      <c r="BL108" s="1161"/>
      <c r="BM108" s="1161"/>
      <c r="BN108" s="1161"/>
      <c r="BO108" s="1161"/>
      <c r="BP108" s="1161"/>
    </row>
    <row r="109" spans="2:68">
      <c r="B109" s="1161"/>
      <c r="C109" s="1161"/>
      <c r="D109" s="1161"/>
      <c r="E109" s="1161"/>
      <c r="F109" s="1161"/>
      <c r="G109" s="1161"/>
      <c r="H109" s="1161"/>
      <c r="I109" s="1161"/>
      <c r="J109" s="1161"/>
      <c r="K109" s="1161"/>
      <c r="L109" s="1161"/>
      <c r="M109" s="1161"/>
      <c r="N109" s="1161"/>
      <c r="O109" s="1161"/>
      <c r="P109" s="1161"/>
      <c r="Q109" s="1161"/>
      <c r="R109" s="1161"/>
      <c r="S109" s="1161"/>
      <c r="T109" s="1161"/>
      <c r="U109" s="1161" t="s">
        <v>1756</v>
      </c>
      <c r="V109" s="1161">
        <v>759</v>
      </c>
      <c r="W109" s="1161">
        <v>1.1599999999999999</v>
      </c>
      <c r="X109" s="1161"/>
      <c r="Y109" s="1161"/>
      <c r="Z109" s="1161"/>
      <c r="AA109" s="1161"/>
      <c r="AB109" s="1161"/>
      <c r="AC109" s="1161"/>
      <c r="AD109" s="1161"/>
      <c r="AE109" s="1161"/>
      <c r="AF109" s="1161"/>
      <c r="AG109" s="1161"/>
      <c r="AH109" s="1161"/>
      <c r="AI109" s="1161"/>
      <c r="AJ109" s="1161"/>
      <c r="AK109" s="1161"/>
      <c r="AL109" s="1161"/>
      <c r="AM109" s="1161"/>
      <c r="AN109" s="1161"/>
      <c r="AO109" s="1161"/>
      <c r="AP109" s="1161"/>
      <c r="AQ109" s="1161"/>
      <c r="AR109" s="1161"/>
      <c r="AS109" s="1161"/>
      <c r="AT109" s="1161"/>
      <c r="AU109" s="1161"/>
      <c r="AV109" s="1161"/>
      <c r="AW109" s="1161"/>
      <c r="AX109" s="1161"/>
      <c r="AY109" s="1161"/>
      <c r="AZ109" s="1161"/>
      <c r="BA109" s="1161"/>
      <c r="BB109" s="1161"/>
      <c r="BC109" s="1161"/>
      <c r="BD109" s="1161"/>
      <c r="BE109" s="1161"/>
      <c r="BF109" s="1161"/>
      <c r="BG109" s="1161"/>
      <c r="BH109" s="1161"/>
      <c r="BI109" s="1161"/>
      <c r="BJ109" s="1161"/>
      <c r="BK109" s="1161"/>
      <c r="BL109" s="1161"/>
      <c r="BM109" s="1161"/>
      <c r="BN109" s="1161"/>
      <c r="BO109" s="1161"/>
      <c r="BP109" s="1161"/>
    </row>
    <row r="110" spans="2:68">
      <c r="B110" s="1161"/>
      <c r="C110" s="1161"/>
      <c r="D110" s="1161"/>
      <c r="E110" s="1161"/>
      <c r="F110" s="1161"/>
      <c r="G110" s="1161"/>
      <c r="H110" s="1161"/>
      <c r="I110" s="1161"/>
      <c r="J110" s="1161"/>
      <c r="K110" s="1161"/>
      <c r="L110" s="1161"/>
      <c r="M110" s="1161"/>
      <c r="N110" s="685" t="s">
        <v>1757</v>
      </c>
      <c r="O110" s="1161"/>
      <c r="P110" s="1161"/>
      <c r="Q110" s="1161"/>
      <c r="R110" s="1161"/>
      <c r="S110" s="1161"/>
      <c r="T110" s="1161"/>
      <c r="U110" s="1161" t="s">
        <v>1758</v>
      </c>
      <c r="V110" s="1161">
        <v>1640</v>
      </c>
      <c r="W110" s="1161">
        <v>0.90500000000000003</v>
      </c>
      <c r="X110" s="1161"/>
      <c r="Y110" s="1161"/>
      <c r="Z110" s="1161"/>
      <c r="AA110" s="1161"/>
      <c r="AB110" s="1161"/>
      <c r="AC110" s="1161"/>
      <c r="AD110" s="1161"/>
      <c r="AE110" s="1161"/>
      <c r="AF110" s="1161"/>
      <c r="AG110" s="1161"/>
      <c r="AH110" s="1161"/>
      <c r="AI110" s="1161"/>
      <c r="AJ110" s="1161"/>
      <c r="AK110" s="1161"/>
      <c r="AL110" s="1161"/>
      <c r="AM110" s="1161"/>
      <c r="AN110" s="1161"/>
      <c r="AO110" s="1161"/>
      <c r="AP110" s="1161"/>
      <c r="AQ110" s="1161"/>
      <c r="AR110" s="1161"/>
      <c r="AS110" s="1161"/>
      <c r="AT110" s="1161"/>
      <c r="AU110" s="1161"/>
      <c r="AV110" s="1161"/>
      <c r="AW110" s="1161"/>
      <c r="AX110" s="1161"/>
      <c r="AY110" s="1161"/>
      <c r="AZ110" s="1161"/>
      <c r="BA110" s="1161"/>
      <c r="BB110" s="1161"/>
      <c r="BC110" s="1161"/>
      <c r="BD110" s="1161"/>
      <c r="BE110" s="1161"/>
      <c r="BF110" s="1161"/>
      <c r="BG110" s="1161"/>
      <c r="BH110" s="1161"/>
      <c r="BI110" s="1161"/>
      <c r="BJ110" s="1161"/>
      <c r="BK110" s="1161"/>
      <c r="BL110" s="1161"/>
      <c r="BM110" s="1161"/>
      <c r="BN110" s="1161"/>
      <c r="BO110" s="1161"/>
      <c r="BP110" s="1161"/>
    </row>
    <row r="111" spans="2:68">
      <c r="B111" s="1494" t="s">
        <v>1493</v>
      </c>
      <c r="C111" s="1356"/>
      <c r="D111" s="1356"/>
      <c r="E111" s="1356"/>
      <c r="F111" s="1356"/>
      <c r="G111" s="1356"/>
      <c r="H111" s="1161"/>
      <c r="I111" s="1161"/>
      <c r="J111" s="1161"/>
      <c r="K111" s="1161"/>
      <c r="L111" s="1161"/>
      <c r="M111" s="1161"/>
      <c r="N111" s="1161"/>
      <c r="O111" s="1161" t="s">
        <v>1727</v>
      </c>
      <c r="P111" s="1161" t="s">
        <v>1728</v>
      </c>
      <c r="Q111" s="1161" t="s">
        <v>1729</v>
      </c>
      <c r="R111" s="1161"/>
      <c r="S111" s="1161"/>
      <c r="T111" s="1161"/>
      <c r="U111" s="1161" t="s">
        <v>1759</v>
      </c>
      <c r="V111" s="1161">
        <v>1480</v>
      </c>
      <c r="W111" s="1161">
        <v>0.57899999999999996</v>
      </c>
      <c r="X111" s="1161"/>
      <c r="Y111" s="1161"/>
      <c r="Z111" s="1161"/>
      <c r="AA111" s="1161"/>
      <c r="AB111" s="1161"/>
      <c r="AC111" s="1161"/>
      <c r="AD111" s="1161"/>
      <c r="AE111" s="1161"/>
      <c r="AF111" s="1161"/>
      <c r="AG111" s="1161"/>
      <c r="AH111" s="1161"/>
      <c r="AI111" s="1161"/>
      <c r="AJ111" s="1161"/>
      <c r="AK111" s="1161"/>
      <c r="AL111" s="1161"/>
      <c r="AM111" s="1161"/>
      <c r="AN111" s="1161"/>
      <c r="AO111" s="1161"/>
      <c r="AP111" s="1161"/>
      <c r="AQ111" s="1161"/>
      <c r="AR111" s="1161"/>
      <c r="AS111" s="1161"/>
      <c r="AT111" s="1161"/>
      <c r="AU111" s="1161"/>
      <c r="AV111" s="1161"/>
      <c r="AW111" s="1161"/>
      <c r="AX111" s="1161"/>
      <c r="AY111" s="1161"/>
      <c r="AZ111" s="1161"/>
      <c r="BA111" s="1161"/>
      <c r="BB111" s="1161"/>
      <c r="BC111" s="1161"/>
      <c r="BD111" s="1161"/>
      <c r="BE111" s="1161"/>
      <c r="BF111" s="1161"/>
      <c r="BG111" s="1161"/>
      <c r="BH111" s="1161"/>
      <c r="BI111" s="1161"/>
      <c r="BJ111" s="1161"/>
      <c r="BK111" s="1161"/>
      <c r="BL111" s="1161"/>
      <c r="BM111" s="1161"/>
      <c r="BN111" s="1161"/>
      <c r="BO111" s="1161"/>
      <c r="BP111" s="1161"/>
    </row>
    <row r="112" spans="2:68">
      <c r="B112" s="1356" t="s">
        <v>1486</v>
      </c>
      <c r="C112" s="1356" t="s">
        <v>1494</v>
      </c>
      <c r="D112" s="1356" t="s">
        <v>1495</v>
      </c>
      <c r="E112" s="1371" t="s">
        <v>1760</v>
      </c>
      <c r="F112" s="1356" t="s">
        <v>1496</v>
      </c>
      <c r="G112" s="1356" t="s">
        <v>1497</v>
      </c>
      <c r="H112" s="1161"/>
      <c r="I112" s="1161"/>
      <c r="J112" s="1161"/>
      <c r="K112" s="1161"/>
      <c r="L112" s="1161"/>
      <c r="M112" s="1161"/>
      <c r="N112" s="1161" t="s">
        <v>1730</v>
      </c>
      <c r="O112" s="1161">
        <v>30</v>
      </c>
      <c r="P112" s="1161">
        <v>25</v>
      </c>
      <c r="Q112" s="1161">
        <v>25</v>
      </c>
      <c r="R112" s="1161"/>
      <c r="S112" s="1161"/>
      <c r="T112" s="1161"/>
      <c r="U112" s="1161" t="s">
        <v>1761</v>
      </c>
      <c r="V112" s="1161">
        <v>1640</v>
      </c>
      <c r="W112" s="1161">
        <v>0.56100000000000005</v>
      </c>
      <c r="X112" s="1161"/>
      <c r="Y112" s="1161"/>
      <c r="Z112" s="1161"/>
      <c r="AA112" s="1161"/>
      <c r="AB112" s="1161"/>
      <c r="AC112" s="1161"/>
      <c r="AD112" s="1161"/>
      <c r="AE112" s="1161"/>
      <c r="AF112" s="1161"/>
      <c r="AG112" s="1161"/>
      <c r="AH112" s="1161"/>
      <c r="AI112" s="1161"/>
      <c r="AJ112" s="1161"/>
      <c r="AK112" s="1161"/>
      <c r="AL112" s="1161"/>
      <c r="AM112" s="1161"/>
      <c r="AN112" s="1161"/>
      <c r="AO112" s="1161"/>
      <c r="AP112" s="1161"/>
      <c r="AQ112" s="1161"/>
      <c r="AR112" s="1161"/>
      <c r="AS112" s="1161"/>
      <c r="AT112" s="1161"/>
      <c r="AU112" s="1161"/>
      <c r="AV112" s="1161"/>
      <c r="AW112" s="1161"/>
      <c r="AX112" s="1161"/>
      <c r="AY112" s="1161"/>
      <c r="AZ112" s="1161"/>
      <c r="BA112" s="1161"/>
      <c r="BB112" s="1161"/>
      <c r="BC112" s="1161"/>
      <c r="BD112" s="1161"/>
      <c r="BE112" s="1161"/>
      <c r="BF112" s="1161"/>
      <c r="BG112" s="1161"/>
      <c r="BH112" s="1161"/>
      <c r="BI112" s="1161"/>
      <c r="BJ112" s="1161"/>
      <c r="BK112" s="1161"/>
      <c r="BL112" s="1161"/>
      <c r="BM112" s="1161"/>
      <c r="BN112" s="1161"/>
      <c r="BO112" s="1161"/>
      <c r="BP112" s="1161"/>
    </row>
    <row r="113" spans="2:68">
      <c r="B113" s="1356" t="s">
        <v>1487</v>
      </c>
      <c r="C113" s="1356">
        <v>2903.23</v>
      </c>
      <c r="D113" s="1356">
        <v>22592</v>
      </c>
      <c r="E113" s="718">
        <f>D113/D133</f>
        <v>45184</v>
      </c>
      <c r="F113" s="1495">
        <v>50131758.829999998</v>
      </c>
      <c r="G113" s="1496">
        <v>0.25997998</v>
      </c>
      <c r="H113" s="1161"/>
      <c r="I113" s="1161"/>
      <c r="J113" s="1161"/>
      <c r="K113" s="1161"/>
      <c r="L113" s="1161"/>
      <c r="M113" s="1161"/>
      <c r="N113" s="1161" t="s">
        <v>1732</v>
      </c>
      <c r="O113" s="1161">
        <v>50</v>
      </c>
      <c r="P113" s="1161">
        <v>40</v>
      </c>
      <c r="Q113" s="1161">
        <v>40</v>
      </c>
      <c r="R113" s="1161"/>
      <c r="S113" s="1161"/>
      <c r="T113" s="1161"/>
      <c r="U113" s="1161"/>
      <c r="V113" s="1161"/>
      <c r="W113" s="1161"/>
      <c r="X113" s="1161"/>
      <c r="Y113" s="1161"/>
      <c r="Z113" s="1161"/>
      <c r="AA113" s="1161"/>
      <c r="AB113" s="1161"/>
      <c r="AC113" s="1161"/>
      <c r="AD113" s="1161"/>
      <c r="AE113" s="1161"/>
      <c r="AF113" s="1161"/>
      <c r="AG113" s="1161"/>
      <c r="AH113" s="1161"/>
      <c r="AI113" s="1161"/>
      <c r="AJ113" s="1161"/>
      <c r="AK113" s="1161"/>
      <c r="AL113" s="1161"/>
      <c r="AM113" s="1161"/>
      <c r="AN113" s="1161"/>
      <c r="AO113" s="1161"/>
      <c r="AP113" s="1161"/>
      <c r="AQ113" s="1161"/>
      <c r="AR113" s="1161"/>
      <c r="AS113" s="1161"/>
      <c r="AT113" s="1161"/>
      <c r="AU113" s="1161"/>
      <c r="AV113" s="1161"/>
      <c r="AW113" s="1161"/>
      <c r="AX113" s="1161"/>
      <c r="AY113" s="1161"/>
      <c r="AZ113" s="1161"/>
      <c r="BA113" s="1161"/>
      <c r="BB113" s="1161"/>
      <c r="BC113" s="1161"/>
      <c r="BD113" s="1161"/>
      <c r="BE113" s="1161"/>
      <c r="BF113" s="1161"/>
      <c r="BG113" s="1161"/>
      <c r="BH113" s="1161"/>
      <c r="BI113" s="1161"/>
      <c r="BJ113" s="1161"/>
      <c r="BK113" s="1161"/>
      <c r="BL113" s="1161"/>
      <c r="BM113" s="1161"/>
      <c r="BN113" s="1161"/>
      <c r="BO113" s="1161"/>
      <c r="BP113" s="1161"/>
    </row>
    <row r="114" spans="2:68">
      <c r="B114" s="1356" t="s">
        <v>1488</v>
      </c>
      <c r="C114" s="1356">
        <v>2863.52</v>
      </c>
      <c r="D114" s="1356">
        <v>33787</v>
      </c>
      <c r="E114" s="718">
        <f>D114/D128</f>
        <v>61430.909090909088</v>
      </c>
      <c r="F114" s="1495">
        <v>68611997.780000001</v>
      </c>
      <c r="G114" s="1496">
        <v>0.38880769999999998</v>
      </c>
      <c r="H114" s="1161"/>
      <c r="I114" s="1161"/>
      <c r="J114" s="1161"/>
      <c r="K114" s="1161"/>
      <c r="L114" s="1161"/>
      <c r="M114" s="1161"/>
      <c r="N114" s="1161" t="s">
        <v>1733</v>
      </c>
      <c r="O114" s="1161">
        <v>110</v>
      </c>
      <c r="P114" s="1161">
        <v>80</v>
      </c>
      <c r="Q114" s="1161">
        <v>80</v>
      </c>
      <c r="R114" s="1161"/>
      <c r="S114" s="1161"/>
      <c r="T114" s="1161"/>
      <c r="U114" s="1161"/>
      <c r="V114" s="1161"/>
      <c r="W114" s="1161"/>
      <c r="X114" s="1161"/>
      <c r="Y114" s="1161"/>
      <c r="Z114" s="1161"/>
      <c r="AA114" s="1161"/>
      <c r="AB114" s="1161"/>
      <c r="AC114" s="1161"/>
      <c r="AD114" s="1161"/>
      <c r="AE114" s="1161"/>
      <c r="AF114" s="1161"/>
      <c r="AG114" s="1161"/>
      <c r="AH114" s="1161"/>
      <c r="AI114" s="1161"/>
      <c r="AJ114" s="1161"/>
      <c r="AK114" s="1161"/>
      <c r="AL114" s="1161"/>
      <c r="AM114" s="1161"/>
      <c r="AN114" s="1161"/>
      <c r="AO114" s="1161"/>
      <c r="AP114" s="1161"/>
      <c r="AQ114" s="1161"/>
      <c r="AR114" s="1161"/>
      <c r="AS114" s="1161"/>
      <c r="AT114" s="1161"/>
      <c r="AU114" s="1161"/>
      <c r="AV114" s="1161"/>
      <c r="AW114" s="1161"/>
      <c r="AX114" s="1161"/>
      <c r="AY114" s="1161"/>
      <c r="AZ114" s="1161"/>
      <c r="BA114" s="1161"/>
      <c r="BB114" s="1161"/>
      <c r="BC114" s="1161"/>
      <c r="BD114" s="1161"/>
      <c r="BE114" s="1161"/>
      <c r="BF114" s="1161"/>
      <c r="BG114" s="1161"/>
      <c r="BH114" s="1161"/>
      <c r="BI114" s="1161"/>
      <c r="BJ114" s="1161"/>
      <c r="BK114" s="1161"/>
      <c r="BL114" s="1161"/>
      <c r="BM114" s="1161"/>
      <c r="BN114" s="1161"/>
      <c r="BO114" s="1161"/>
      <c r="BP114" s="1161"/>
    </row>
    <row r="115" spans="2:68">
      <c r="B115" s="1356" t="s">
        <v>1489</v>
      </c>
      <c r="C115" s="1356">
        <v>3893.5</v>
      </c>
      <c r="D115" s="1356">
        <v>5666.5</v>
      </c>
      <c r="E115" s="1343">
        <v>26531</v>
      </c>
      <c r="F115" s="1495">
        <v>20996695.34</v>
      </c>
      <c r="G115" s="1496">
        <v>6.5207890000000004E-2</v>
      </c>
      <c r="H115" s="1161"/>
      <c r="I115" s="1161"/>
      <c r="J115" s="1161"/>
      <c r="K115" s="1161"/>
      <c r="L115" s="1161"/>
      <c r="M115" s="1161"/>
      <c r="N115" s="1161" t="s">
        <v>1736</v>
      </c>
      <c r="O115" s="1161">
        <v>300</v>
      </c>
      <c r="P115" s="1161">
        <v>225</v>
      </c>
      <c r="Q115" s="1161">
        <v>225</v>
      </c>
      <c r="R115" s="1161"/>
      <c r="S115" s="1161"/>
      <c r="T115" s="1161"/>
      <c r="U115" s="1161"/>
      <c r="V115" s="1161"/>
      <c r="W115" s="1161"/>
      <c r="X115" s="1161"/>
      <c r="Y115" s="1161"/>
      <c r="Z115" s="1161"/>
      <c r="AA115" s="1161"/>
      <c r="AB115" s="1161"/>
      <c r="AC115" s="1161"/>
      <c r="AD115" s="1161"/>
      <c r="AE115" s="1161"/>
      <c r="AF115" s="1161"/>
      <c r="AG115" s="1161"/>
      <c r="AH115" s="1161"/>
      <c r="AI115" s="1161"/>
      <c r="AJ115" s="1161"/>
      <c r="AK115" s="1161"/>
      <c r="AL115" s="1161"/>
      <c r="AM115" s="1161"/>
      <c r="AN115" s="1161"/>
      <c r="AO115" s="1161"/>
      <c r="AP115" s="1161"/>
      <c r="AQ115" s="1161"/>
      <c r="AR115" s="1161"/>
      <c r="AS115" s="1161"/>
      <c r="AT115" s="1161"/>
      <c r="AU115" s="1161"/>
      <c r="AV115" s="1161"/>
      <c r="AW115" s="1161"/>
      <c r="AX115" s="1161"/>
      <c r="AY115" s="1161"/>
      <c r="AZ115" s="1161"/>
      <c r="BA115" s="1161"/>
      <c r="BB115" s="1161"/>
      <c r="BC115" s="1161"/>
      <c r="BD115" s="1161"/>
      <c r="BE115" s="1161"/>
      <c r="BF115" s="1161"/>
      <c r="BG115" s="1161"/>
      <c r="BH115" s="1161"/>
      <c r="BI115" s="1161"/>
      <c r="BJ115" s="1161"/>
      <c r="BK115" s="1161"/>
      <c r="BL115" s="1161"/>
      <c r="BM115" s="1161"/>
      <c r="BN115" s="1161"/>
      <c r="BO115" s="1161"/>
      <c r="BP115" s="1161"/>
    </row>
    <row r="116" spans="2:68">
      <c r="B116" s="1356" t="s">
        <v>1490</v>
      </c>
      <c r="C116" s="1356">
        <v>3158.95</v>
      </c>
      <c r="D116" s="1356">
        <v>3117.5</v>
      </c>
      <c r="E116" s="718">
        <f>D116/D136</f>
        <v>5195.8333333333339</v>
      </c>
      <c r="F116" s="1495">
        <v>5339308.59</v>
      </c>
      <c r="G116" s="1496">
        <v>3.5874980000000001E-2</v>
      </c>
      <c r="H116" s="1161"/>
      <c r="I116" s="1161"/>
      <c r="J116" s="1161"/>
      <c r="K116" s="1161"/>
      <c r="L116" s="1161"/>
      <c r="M116" s="1161"/>
      <c r="N116" s="1161" t="s">
        <v>1737</v>
      </c>
      <c r="O116" s="1161">
        <v>30</v>
      </c>
      <c r="P116" s="1161">
        <v>25</v>
      </c>
      <c r="Q116" s="1161">
        <v>25</v>
      </c>
      <c r="R116" s="1161"/>
      <c r="S116" s="1161"/>
      <c r="T116" s="1161"/>
      <c r="U116" s="1161" t="s">
        <v>1762</v>
      </c>
      <c r="V116" s="1161">
        <v>6260</v>
      </c>
      <c r="W116" s="1161">
        <v>0.63800000000000001</v>
      </c>
      <c r="X116" s="1161"/>
      <c r="Y116" s="1161"/>
      <c r="Z116" s="1161"/>
      <c r="AA116" s="1161"/>
      <c r="AB116" s="1161"/>
      <c r="AC116" s="1161"/>
      <c r="AD116" s="1161"/>
      <c r="AE116" s="1161"/>
      <c r="AF116" s="1161"/>
      <c r="AG116" s="1161"/>
      <c r="AH116" s="1161"/>
      <c r="AI116" s="1161"/>
      <c r="AJ116" s="1161"/>
      <c r="AK116" s="1161"/>
      <c r="AL116" s="1161"/>
      <c r="AM116" s="1161"/>
      <c r="AN116" s="1161"/>
      <c r="AO116" s="1161"/>
      <c r="AP116" s="1161"/>
      <c r="AQ116" s="1161"/>
      <c r="AR116" s="1161"/>
      <c r="AS116" s="1161"/>
      <c r="AT116" s="1161"/>
      <c r="AU116" s="1161"/>
      <c r="AV116" s="1161"/>
      <c r="AW116" s="1161"/>
      <c r="AX116" s="1161"/>
      <c r="AY116" s="1161"/>
      <c r="AZ116" s="1161"/>
      <c r="BA116" s="1161"/>
      <c r="BB116" s="1161"/>
      <c r="BC116" s="1161"/>
      <c r="BD116" s="1161"/>
      <c r="BE116" s="1161"/>
      <c r="BF116" s="1161"/>
      <c r="BG116" s="1161"/>
      <c r="BH116" s="1161"/>
      <c r="BI116" s="1161"/>
      <c r="BJ116" s="1161"/>
      <c r="BK116" s="1161"/>
      <c r="BL116" s="1161"/>
      <c r="BM116" s="1161"/>
      <c r="BN116" s="1161"/>
      <c r="BO116" s="1161"/>
      <c r="BP116" s="1161"/>
    </row>
    <row r="117" spans="2:68">
      <c r="B117" s="1356" t="s">
        <v>1491</v>
      </c>
      <c r="C117" s="1356">
        <v>661.94</v>
      </c>
      <c r="D117" s="1356">
        <v>3741</v>
      </c>
      <c r="E117" s="718">
        <f>D117/D139</f>
        <v>5344.2857142857147</v>
      </c>
      <c r="F117" s="1495">
        <v>2342681.84</v>
      </c>
      <c r="G117" s="1496">
        <v>4.3049980000000002E-2</v>
      </c>
      <c r="H117" s="1161"/>
      <c r="I117" s="1161"/>
      <c r="J117" s="1161"/>
      <c r="K117" s="1161"/>
      <c r="L117" s="1161"/>
      <c r="M117" s="1161"/>
      <c r="N117" s="1161" t="s">
        <v>1741</v>
      </c>
      <c r="O117" s="1161">
        <v>50</v>
      </c>
      <c r="P117" s="1161">
        <v>40</v>
      </c>
      <c r="Q117" s="1161">
        <v>40</v>
      </c>
      <c r="R117" s="1161"/>
      <c r="S117" s="1161"/>
      <c r="T117" s="1161"/>
      <c r="U117" s="1161"/>
      <c r="V117" s="1161"/>
      <c r="W117" s="1161"/>
      <c r="X117" s="1161"/>
      <c r="Y117" s="1161"/>
      <c r="Z117" s="1161"/>
      <c r="AA117" s="1161"/>
      <c r="AB117" s="1161"/>
      <c r="AC117" s="1161"/>
      <c r="AD117" s="1161"/>
      <c r="AE117" s="1161"/>
      <c r="AF117" s="1161"/>
      <c r="AG117" s="1161"/>
      <c r="AH117" s="1161"/>
      <c r="AI117" s="1161"/>
      <c r="AJ117" s="1161"/>
      <c r="AK117" s="1161"/>
      <c r="AL117" s="1161"/>
      <c r="AM117" s="1161"/>
      <c r="AN117" s="1161"/>
      <c r="AO117" s="1161"/>
      <c r="AP117" s="1161"/>
      <c r="AQ117" s="1161"/>
      <c r="AR117" s="1161"/>
      <c r="AS117" s="1161"/>
      <c r="AT117" s="1161"/>
      <c r="AU117" s="1161"/>
      <c r="AV117" s="1161"/>
      <c r="AW117" s="1161"/>
      <c r="AX117" s="1161"/>
      <c r="AY117" s="1161"/>
      <c r="AZ117" s="1161"/>
      <c r="BA117" s="1161"/>
      <c r="BB117" s="1161"/>
      <c r="BC117" s="1161"/>
      <c r="BD117" s="1161"/>
      <c r="BE117" s="1161"/>
      <c r="BF117" s="1161"/>
      <c r="BG117" s="1161"/>
      <c r="BH117" s="1161"/>
      <c r="BI117" s="1161"/>
      <c r="BJ117" s="1161"/>
      <c r="BK117" s="1161"/>
      <c r="BL117" s="1161"/>
      <c r="BM117" s="1161"/>
      <c r="BN117" s="1161"/>
      <c r="BO117" s="1161"/>
      <c r="BP117" s="1161"/>
    </row>
    <row r="118" spans="2:68">
      <c r="B118" s="1356" t="s">
        <v>1492</v>
      </c>
      <c r="C118" s="1356">
        <v>599.58000000000004</v>
      </c>
      <c r="D118" s="1356">
        <v>17995</v>
      </c>
      <c r="E118" s="718">
        <f>D118/D140</f>
        <v>25707.142857142859</v>
      </c>
      <c r="F118" s="1495">
        <v>5084521.54</v>
      </c>
      <c r="G118" s="1496">
        <v>0.20787948000000001</v>
      </c>
      <c r="H118" s="1161"/>
      <c r="I118" s="1161"/>
      <c r="J118" s="1161"/>
      <c r="K118" s="1161"/>
      <c r="L118" s="1161"/>
      <c r="M118" s="1161"/>
      <c r="N118" s="1161" t="s">
        <v>1743</v>
      </c>
      <c r="O118" s="1161">
        <v>110</v>
      </c>
      <c r="P118" s="1161">
        <v>80</v>
      </c>
      <c r="Q118" s="1161">
        <v>80</v>
      </c>
      <c r="R118" s="1161"/>
      <c r="S118" s="1161"/>
      <c r="T118" s="1161"/>
      <c r="U118" s="1161"/>
      <c r="V118" s="1161"/>
      <c r="W118" s="1161"/>
      <c r="X118" s="1161"/>
      <c r="Y118" s="1161"/>
      <c r="Z118" s="1161"/>
      <c r="AA118" s="1161"/>
      <c r="AB118" s="1161"/>
      <c r="AC118" s="1161"/>
      <c r="AD118" s="1161"/>
      <c r="AE118" s="1161"/>
      <c r="AF118" s="1161"/>
      <c r="AG118" s="1161"/>
      <c r="AH118" s="1161"/>
      <c r="AI118" s="1161"/>
      <c r="AJ118" s="1161"/>
      <c r="AK118" s="1161"/>
      <c r="AL118" s="1161"/>
      <c r="AM118" s="1161"/>
      <c r="AN118" s="1161"/>
      <c r="AO118" s="1161"/>
      <c r="AP118" s="1161"/>
      <c r="AQ118" s="1161"/>
      <c r="AR118" s="1161"/>
      <c r="AS118" s="1161"/>
      <c r="AT118" s="1161"/>
      <c r="AU118" s="1161"/>
      <c r="AV118" s="1161"/>
      <c r="AW118" s="1161"/>
      <c r="AX118" s="1161"/>
      <c r="AY118" s="1161"/>
      <c r="AZ118" s="1161"/>
      <c r="BA118" s="1161"/>
      <c r="BB118" s="1161"/>
      <c r="BC118" s="1161"/>
      <c r="BD118" s="1161"/>
      <c r="BE118" s="1161"/>
      <c r="BF118" s="1161"/>
      <c r="BG118" s="1161"/>
      <c r="BH118" s="1161"/>
      <c r="BI118" s="1161"/>
      <c r="BJ118" s="1161"/>
      <c r="BK118" s="1161"/>
      <c r="BL118" s="1161"/>
      <c r="BM118" s="1161"/>
      <c r="BN118" s="1161"/>
      <c r="BO118" s="1161"/>
      <c r="BP118" s="1161"/>
    </row>
    <row r="119" spans="2:68">
      <c r="B119" s="1356"/>
      <c r="C119" s="1356"/>
      <c r="D119" s="1356"/>
      <c r="E119" s="1356"/>
      <c r="F119" s="1356"/>
      <c r="G119" s="1356"/>
      <c r="H119" s="1161"/>
      <c r="I119" s="1161"/>
      <c r="J119" s="1161"/>
      <c r="K119" s="1161"/>
      <c r="L119" s="1161"/>
      <c r="M119" s="1161"/>
      <c r="N119" s="1161" t="s">
        <v>1745</v>
      </c>
      <c r="O119" s="1161">
        <v>300</v>
      </c>
      <c r="P119" s="1161">
        <v>225</v>
      </c>
      <c r="Q119" s="1161">
        <v>225</v>
      </c>
      <c r="R119" s="1161"/>
      <c r="S119" s="1161"/>
      <c r="T119" s="1161"/>
      <c r="U119" s="1161"/>
      <c r="V119" s="1161"/>
      <c r="W119" s="1161"/>
      <c r="X119" s="1161"/>
      <c r="Y119" s="1161"/>
      <c r="Z119" s="1161"/>
      <c r="AA119" s="1161"/>
      <c r="AB119" s="1161"/>
      <c r="AC119" s="1161"/>
      <c r="AD119" s="1161"/>
      <c r="AE119" s="1161"/>
      <c r="AF119" s="1161"/>
      <c r="AG119" s="1161"/>
      <c r="AH119" s="1161"/>
      <c r="AI119" s="1161"/>
      <c r="AJ119" s="1161"/>
      <c r="AK119" s="1161"/>
      <c r="AL119" s="1161"/>
      <c r="AM119" s="1161"/>
      <c r="AN119" s="1161"/>
      <c r="AO119" s="1161"/>
      <c r="AP119" s="1161"/>
      <c r="AQ119" s="1161"/>
      <c r="AR119" s="1161"/>
      <c r="AS119" s="1161"/>
      <c r="AT119" s="1161"/>
      <c r="AU119" s="1161"/>
      <c r="AV119" s="1161"/>
      <c r="AW119" s="1161"/>
      <c r="AX119" s="1161"/>
      <c r="AY119" s="1161"/>
      <c r="AZ119" s="1161"/>
      <c r="BA119" s="1161"/>
      <c r="BB119" s="1161"/>
      <c r="BC119" s="1161"/>
      <c r="BD119" s="1161"/>
      <c r="BE119" s="1161"/>
      <c r="BF119" s="1161"/>
      <c r="BG119" s="1161"/>
      <c r="BH119" s="1161"/>
      <c r="BI119" s="1161"/>
      <c r="BJ119" s="1161"/>
      <c r="BK119" s="1161"/>
      <c r="BL119" s="1161"/>
      <c r="BM119" s="1161"/>
      <c r="BN119" s="1161"/>
      <c r="BO119" s="1161"/>
      <c r="BP119" s="1161"/>
    </row>
    <row r="120" spans="2:68">
      <c r="B120" s="1356"/>
      <c r="C120" s="1356"/>
      <c r="D120" s="1356"/>
      <c r="E120" s="1356"/>
      <c r="F120" s="1356"/>
      <c r="G120" s="1356"/>
      <c r="H120" s="1161"/>
      <c r="I120" s="1161"/>
      <c r="J120" s="1161"/>
      <c r="K120" s="1161"/>
      <c r="L120" s="1161"/>
      <c r="M120" s="1161"/>
      <c r="N120" s="1161"/>
      <c r="O120" s="1161"/>
      <c r="P120" s="1161"/>
      <c r="Q120" s="1161"/>
      <c r="R120" s="1161"/>
      <c r="S120" s="1161"/>
      <c r="T120" s="1161"/>
      <c r="U120" s="1161"/>
      <c r="V120" s="1161"/>
      <c r="W120" s="1161"/>
      <c r="X120" s="1161"/>
      <c r="Y120" s="1161"/>
      <c r="Z120" s="1161"/>
      <c r="AA120" s="1161"/>
      <c r="AB120" s="1161"/>
      <c r="AC120" s="1161"/>
      <c r="AD120" s="1161"/>
      <c r="AE120" s="1161"/>
      <c r="AF120" s="1161"/>
      <c r="AG120" s="1161"/>
      <c r="AH120" s="1161"/>
      <c r="AI120" s="1161"/>
      <c r="AJ120" s="1161"/>
      <c r="AK120" s="1161"/>
      <c r="AL120" s="1161"/>
      <c r="AM120" s="1161"/>
      <c r="AN120" s="1161"/>
      <c r="AO120" s="1161"/>
      <c r="AP120" s="1161"/>
      <c r="AQ120" s="1161"/>
      <c r="AR120" s="1161"/>
      <c r="AS120" s="1161"/>
      <c r="AT120" s="1161"/>
      <c r="AU120" s="1161"/>
      <c r="AV120" s="1161"/>
      <c r="AW120" s="1161"/>
      <c r="AX120" s="1161"/>
      <c r="AY120" s="1161"/>
      <c r="AZ120" s="1161"/>
      <c r="BA120" s="1161"/>
      <c r="BB120" s="1161"/>
      <c r="BC120" s="1161"/>
      <c r="BD120" s="1161"/>
      <c r="BE120" s="1161"/>
      <c r="BF120" s="1161"/>
      <c r="BG120" s="1161"/>
      <c r="BH120" s="1161"/>
      <c r="BI120" s="1161"/>
      <c r="BJ120" s="1161"/>
      <c r="BK120" s="1161"/>
      <c r="BL120" s="1161"/>
      <c r="BM120" s="1161"/>
      <c r="BN120" s="1161"/>
      <c r="BO120" s="1161"/>
      <c r="BP120" s="1161"/>
    </row>
    <row r="121" spans="2:68">
      <c r="B121" s="1356"/>
      <c r="C121" s="1356"/>
      <c r="D121" s="1356"/>
      <c r="E121" s="1356"/>
      <c r="F121" s="1356"/>
      <c r="G121" s="1356"/>
      <c r="H121" s="1161"/>
      <c r="I121" s="1161"/>
      <c r="J121" s="1161"/>
      <c r="K121" s="1161"/>
      <c r="L121" s="1161"/>
      <c r="M121" s="1161"/>
      <c r="N121" s="1161"/>
      <c r="O121" s="1161"/>
      <c r="P121" s="1161"/>
      <c r="Q121" s="1161"/>
      <c r="R121" s="1161"/>
      <c r="S121" s="1161"/>
      <c r="T121" s="1161"/>
      <c r="U121" s="1161"/>
      <c r="V121" s="1161"/>
      <c r="W121" s="1161"/>
      <c r="X121" s="1161"/>
      <c r="Y121" s="1161"/>
      <c r="Z121" s="1161"/>
      <c r="AA121" s="1161"/>
      <c r="AB121" s="1161"/>
      <c r="AC121" s="1161"/>
      <c r="AD121" s="1161"/>
      <c r="AE121" s="1161"/>
      <c r="AF121" s="1161"/>
      <c r="AG121" s="1161"/>
      <c r="AH121" s="1161"/>
      <c r="AI121" s="1161"/>
      <c r="AJ121" s="1161"/>
      <c r="AK121" s="1161"/>
      <c r="AL121" s="1161"/>
      <c r="AM121" s="1161"/>
      <c r="AN121" s="1161"/>
      <c r="AO121" s="1161"/>
      <c r="AP121" s="1161"/>
      <c r="AQ121" s="1161"/>
      <c r="AR121" s="1161"/>
      <c r="AS121" s="1161"/>
      <c r="AT121" s="1161"/>
      <c r="AU121" s="1161"/>
      <c r="AV121" s="1161"/>
      <c r="AW121" s="1161"/>
      <c r="AX121" s="1161"/>
      <c r="AY121" s="1161"/>
      <c r="AZ121" s="1161"/>
      <c r="BA121" s="1161"/>
      <c r="BB121" s="1161"/>
      <c r="BC121" s="1161"/>
      <c r="BD121" s="1161"/>
      <c r="BE121" s="1161"/>
      <c r="BF121" s="1161"/>
      <c r="BG121" s="1161"/>
      <c r="BH121" s="1161"/>
      <c r="BI121" s="1161"/>
      <c r="BJ121" s="1161"/>
      <c r="BK121" s="1161"/>
      <c r="BL121" s="1161"/>
      <c r="BM121" s="1161"/>
      <c r="BN121" s="1161"/>
      <c r="BO121" s="1161"/>
      <c r="BP121" s="1161"/>
    </row>
    <row r="122" spans="2:68">
      <c r="B122" s="1161"/>
      <c r="C122" s="1161"/>
      <c r="D122" s="1161"/>
      <c r="E122" s="1161"/>
      <c r="F122" s="1161"/>
      <c r="G122" s="1161"/>
      <c r="H122" s="1161"/>
      <c r="I122" s="1161"/>
      <c r="J122" s="1161"/>
      <c r="K122" s="1161"/>
      <c r="L122" s="1161"/>
      <c r="M122" s="1161"/>
      <c r="N122" s="1161"/>
      <c r="O122" s="1161"/>
      <c r="P122" s="1161"/>
      <c r="Q122" s="1161"/>
      <c r="R122" s="1161"/>
      <c r="S122" s="1161"/>
      <c r="T122" s="1161"/>
      <c r="U122" s="1161"/>
      <c r="V122" s="1161"/>
      <c r="W122" s="1161"/>
      <c r="X122" s="1161"/>
      <c r="Y122" s="1161"/>
      <c r="Z122" s="1161"/>
      <c r="AA122" s="1161"/>
      <c r="AB122" s="1161"/>
      <c r="AC122" s="1161"/>
      <c r="AD122" s="1161"/>
      <c r="AE122" s="1161"/>
      <c r="AF122" s="1161"/>
      <c r="AG122" s="1161"/>
      <c r="AH122" s="1161"/>
      <c r="AI122" s="1161"/>
      <c r="AJ122" s="1161"/>
      <c r="AK122" s="1161"/>
      <c r="AL122" s="1161"/>
      <c r="AM122" s="1161"/>
      <c r="AN122" s="1161"/>
      <c r="AO122" s="1161"/>
      <c r="AP122" s="1161"/>
      <c r="AQ122" s="1161"/>
      <c r="AR122" s="1161"/>
      <c r="AS122" s="1161"/>
      <c r="AT122" s="1161"/>
      <c r="AU122" s="1161"/>
      <c r="AV122" s="1161"/>
      <c r="AW122" s="1161"/>
      <c r="AX122" s="1161"/>
      <c r="AY122" s="1161"/>
      <c r="AZ122" s="1161"/>
      <c r="BA122" s="1161"/>
      <c r="BB122" s="1161"/>
      <c r="BC122" s="1161"/>
      <c r="BD122" s="1161"/>
      <c r="BE122" s="1161"/>
      <c r="BF122" s="1161"/>
      <c r="BG122" s="1161"/>
      <c r="BH122" s="1161"/>
      <c r="BI122" s="1161"/>
      <c r="BJ122" s="1161"/>
      <c r="BK122" s="1161"/>
      <c r="BL122" s="1161"/>
      <c r="BM122" s="1161"/>
      <c r="BN122" s="1161"/>
      <c r="BO122" s="1161"/>
      <c r="BP122" s="1161"/>
    </row>
    <row r="123" spans="2:68">
      <c r="B123" s="1161"/>
      <c r="C123" s="1161"/>
      <c r="D123" s="1161"/>
      <c r="E123" s="1161"/>
      <c r="F123" s="1161"/>
      <c r="G123" s="1161"/>
      <c r="H123" s="1161"/>
      <c r="I123" s="1161"/>
      <c r="J123" s="1161"/>
      <c r="K123" s="1161"/>
      <c r="L123" s="1161"/>
      <c r="M123" s="1161"/>
      <c r="N123" s="1161"/>
      <c r="O123" s="1161"/>
      <c r="P123" s="1161"/>
      <c r="Q123" s="1161"/>
      <c r="R123" s="1161"/>
      <c r="S123" s="1161"/>
      <c r="T123" s="1161"/>
      <c r="U123" s="1161"/>
      <c r="V123" s="1161"/>
      <c r="W123" s="1161"/>
      <c r="X123" s="1161"/>
      <c r="Y123" s="1161"/>
      <c r="Z123" s="1161"/>
      <c r="AA123" s="1161"/>
      <c r="AB123" s="1161"/>
      <c r="AC123" s="1161"/>
      <c r="AD123" s="1161"/>
      <c r="AE123" s="1161"/>
      <c r="AF123" s="1161"/>
      <c r="AG123" s="1161"/>
      <c r="AH123" s="1161"/>
      <c r="AI123" s="1161"/>
      <c r="AJ123" s="1161"/>
      <c r="AK123" s="1161"/>
      <c r="AL123" s="1161"/>
      <c r="AM123" s="1161"/>
      <c r="AN123" s="1161"/>
      <c r="AO123" s="1161"/>
      <c r="AP123" s="1161"/>
      <c r="AQ123" s="1161"/>
      <c r="AR123" s="1161"/>
      <c r="AS123" s="1161"/>
      <c r="AT123" s="1161"/>
      <c r="AU123" s="1161"/>
      <c r="AV123" s="1161"/>
      <c r="AW123" s="1161"/>
      <c r="AX123" s="1161"/>
      <c r="AY123" s="1161"/>
      <c r="AZ123" s="1161"/>
      <c r="BA123" s="1161"/>
      <c r="BB123" s="1161"/>
      <c r="BC123" s="1161"/>
      <c r="BD123" s="1161"/>
      <c r="BE123" s="1161"/>
      <c r="BF123" s="1161"/>
      <c r="BG123" s="1161"/>
      <c r="BH123" s="1161"/>
      <c r="BI123" s="1161"/>
      <c r="BJ123" s="1161"/>
      <c r="BK123" s="1161"/>
      <c r="BL123" s="1161"/>
      <c r="BM123" s="1161"/>
      <c r="BN123" s="1161"/>
      <c r="BO123" s="1161"/>
      <c r="BP123" s="1161"/>
    </row>
    <row r="124" spans="2:68">
      <c r="B124" s="685" t="s">
        <v>1763</v>
      </c>
      <c r="C124" s="1161"/>
      <c r="D124" s="1161"/>
      <c r="E124" s="919" t="s">
        <v>1764</v>
      </c>
      <c r="F124" s="1161"/>
      <c r="G124" s="1161"/>
      <c r="H124" s="1161"/>
      <c r="I124" s="1161"/>
      <c r="J124" s="1161"/>
      <c r="K124" s="1161"/>
      <c r="L124" s="1161"/>
      <c r="M124" s="1161"/>
      <c r="N124" s="685" t="s">
        <v>1765</v>
      </c>
      <c r="O124" s="1161"/>
      <c r="P124" s="1161"/>
      <c r="Q124" s="1161"/>
      <c r="R124" s="1161"/>
      <c r="S124" s="1161"/>
      <c r="T124" s="1161"/>
      <c r="U124" s="1161"/>
      <c r="V124" s="1161"/>
      <c r="W124" s="1161"/>
      <c r="X124" s="1161"/>
      <c r="Y124" s="1161"/>
      <c r="Z124" s="1161"/>
      <c r="AA124" s="1161"/>
      <c r="AB124" s="1161"/>
      <c r="AC124" s="1161"/>
      <c r="AD124" s="1161"/>
      <c r="AE124" s="1161"/>
      <c r="AF124" s="1161"/>
      <c r="AG124" s="1161"/>
      <c r="AH124" s="1161"/>
      <c r="AI124" s="1161"/>
      <c r="AJ124" s="1161"/>
      <c r="AK124" s="1161"/>
      <c r="AL124" s="1161"/>
      <c r="AM124" s="1161"/>
      <c r="AN124" s="1161"/>
      <c r="AO124" s="1161"/>
      <c r="AP124" s="1161"/>
      <c r="AQ124" s="1161"/>
      <c r="AR124" s="1161"/>
      <c r="AS124" s="1161"/>
      <c r="AT124" s="1161"/>
      <c r="AU124" s="1161"/>
      <c r="AV124" s="1161"/>
      <c r="AW124" s="1161"/>
      <c r="AX124" s="1161"/>
      <c r="AY124" s="1161"/>
      <c r="AZ124" s="1161"/>
      <c r="BA124" s="1161"/>
      <c r="BB124" s="1161"/>
      <c r="BC124" s="1161"/>
      <c r="BD124" s="1161"/>
      <c r="BE124" s="1161"/>
      <c r="BF124" s="1161"/>
      <c r="BG124" s="1161"/>
      <c r="BH124" s="1161"/>
      <c r="BI124" s="1161"/>
      <c r="BJ124" s="1161"/>
      <c r="BK124" s="1161"/>
      <c r="BL124" s="1161"/>
      <c r="BM124" s="1161"/>
      <c r="BN124" s="1161"/>
      <c r="BO124" s="1161"/>
      <c r="BP124" s="1161"/>
    </row>
    <row r="125" spans="2:68">
      <c r="B125" s="1161"/>
      <c r="C125" s="1161"/>
      <c r="D125" s="1161"/>
      <c r="E125" s="1161"/>
      <c r="F125" s="1161"/>
      <c r="G125" s="1161"/>
      <c r="H125" s="1161"/>
      <c r="I125" s="1161"/>
      <c r="J125" s="1161"/>
      <c r="K125" s="1161"/>
      <c r="L125" s="1161"/>
      <c r="M125" s="1161"/>
      <c r="N125" s="1161"/>
      <c r="O125" s="1161"/>
      <c r="P125" s="1161"/>
      <c r="Q125" s="1161"/>
      <c r="R125" s="1161"/>
      <c r="S125" s="1161"/>
      <c r="T125" s="1161"/>
      <c r="U125" s="1161"/>
      <c r="V125" s="1161"/>
      <c r="W125" s="1161"/>
      <c r="X125" s="1161"/>
      <c r="Y125" s="1161"/>
      <c r="Z125" s="1161"/>
      <c r="AA125" s="1161"/>
      <c r="AB125" s="1161"/>
      <c r="AC125" s="1161"/>
      <c r="AD125" s="1161"/>
      <c r="AE125" s="1161"/>
      <c r="AF125" s="1161"/>
      <c r="AG125" s="1161"/>
      <c r="AH125" s="1161"/>
      <c r="AI125" s="1161"/>
      <c r="AJ125" s="1161"/>
      <c r="AK125" s="1161"/>
      <c r="AL125" s="1161"/>
      <c r="AM125" s="1161"/>
      <c r="AN125" s="1161"/>
      <c r="AO125" s="1161"/>
      <c r="AP125" s="1161"/>
      <c r="AQ125" s="1161"/>
      <c r="AR125" s="1161"/>
      <c r="AS125" s="1161"/>
      <c r="AT125" s="1161"/>
      <c r="AU125" s="1161"/>
      <c r="AV125" s="1161"/>
      <c r="AW125" s="1161"/>
      <c r="AX125" s="1161"/>
      <c r="AY125" s="1161"/>
      <c r="AZ125" s="1161"/>
      <c r="BA125" s="1161"/>
      <c r="BB125" s="1161"/>
      <c r="BC125" s="1161"/>
      <c r="BD125" s="1161"/>
      <c r="BE125" s="1161"/>
      <c r="BF125" s="1161"/>
      <c r="BG125" s="1161"/>
      <c r="BH125" s="1161"/>
      <c r="BI125" s="1161"/>
      <c r="BJ125" s="1161"/>
      <c r="BK125" s="1161"/>
      <c r="BL125" s="1161"/>
      <c r="BM125" s="1161"/>
      <c r="BN125" s="1161"/>
      <c r="BO125" s="1161"/>
      <c r="BP125" s="1161"/>
    </row>
    <row r="126" spans="2:68">
      <c r="B126" s="1161" t="s">
        <v>1766</v>
      </c>
      <c r="C126" s="1161" t="s">
        <v>1767</v>
      </c>
      <c r="D126" s="1161" t="s">
        <v>1768</v>
      </c>
      <c r="E126" s="1161"/>
      <c r="F126" s="1161"/>
      <c r="G126" s="1161"/>
      <c r="H126" s="1161"/>
      <c r="I126" s="1161"/>
      <c r="J126" s="1161"/>
      <c r="K126" s="1161"/>
      <c r="L126" s="1161"/>
      <c r="M126" s="1161"/>
      <c r="N126" s="682" t="s">
        <v>1769</v>
      </c>
      <c r="O126" s="1161">
        <v>2010</v>
      </c>
      <c r="P126" s="1161">
        <v>2020</v>
      </c>
      <c r="Q126" s="1161">
        <v>2030</v>
      </c>
      <c r="R126" s="1161"/>
      <c r="S126" s="1161"/>
      <c r="T126" s="1161"/>
      <c r="U126" s="1161"/>
      <c r="V126" s="1161"/>
      <c r="W126" s="1161"/>
      <c r="X126" s="1161"/>
      <c r="Y126" s="1161"/>
      <c r="Z126" s="1161"/>
      <c r="AA126" s="1161"/>
      <c r="AB126" s="1161"/>
      <c r="AC126" s="1161"/>
      <c r="AD126" s="1161"/>
      <c r="AE126" s="1161"/>
      <c r="AF126" s="1161"/>
      <c r="AG126" s="1161"/>
      <c r="AH126" s="1161"/>
      <c r="AI126" s="1161"/>
      <c r="AJ126" s="1161"/>
      <c r="AK126" s="1161"/>
      <c r="AL126" s="1161"/>
      <c r="AM126" s="1161"/>
      <c r="AN126" s="1161"/>
      <c r="AO126" s="1161"/>
      <c r="AP126" s="1161"/>
      <c r="AQ126" s="1161"/>
      <c r="AR126" s="1161"/>
      <c r="AS126" s="1161"/>
      <c r="AT126" s="1161"/>
      <c r="AU126" s="1161"/>
      <c r="AV126" s="1161"/>
      <c r="AW126" s="1161"/>
      <c r="AX126" s="1161"/>
      <c r="AY126" s="1161"/>
      <c r="AZ126" s="1161"/>
      <c r="BA126" s="1161"/>
      <c r="BB126" s="1161"/>
      <c r="BC126" s="1161"/>
      <c r="BD126" s="1161"/>
      <c r="BE126" s="1161"/>
      <c r="BF126" s="1161"/>
      <c r="BG126" s="1161"/>
      <c r="BH126" s="1161"/>
      <c r="BI126" s="1161"/>
      <c r="BJ126" s="1161"/>
      <c r="BK126" s="1161"/>
      <c r="BL126" s="1161"/>
      <c r="BM126" s="1161"/>
      <c r="BN126" s="1161"/>
      <c r="BO126" s="1161"/>
      <c r="BP126" s="1161"/>
    </row>
    <row r="127" spans="2:68">
      <c r="B127" s="1161" t="s">
        <v>1770</v>
      </c>
      <c r="C127" s="1161" t="s">
        <v>1771</v>
      </c>
      <c r="D127" s="1161">
        <v>0.48</v>
      </c>
      <c r="E127" s="1161"/>
      <c r="F127" s="1161"/>
      <c r="G127" s="1161"/>
      <c r="H127" s="1161"/>
      <c r="I127" s="1161"/>
      <c r="J127" s="1161"/>
      <c r="K127" s="1161"/>
      <c r="L127" s="1161"/>
      <c r="M127" s="1161" t="s">
        <v>1772</v>
      </c>
      <c r="N127" s="682" t="s">
        <v>1773</v>
      </c>
      <c r="O127" s="1497">
        <v>3.7609869211385849</v>
      </c>
      <c r="P127" s="1497">
        <v>3.035893517863149</v>
      </c>
      <c r="Q127" s="1498">
        <v>2.7389870385735291</v>
      </c>
      <c r="R127" s="1161"/>
      <c r="S127" s="1161"/>
      <c r="T127" s="1161"/>
      <c r="U127" s="1161"/>
      <c r="V127" s="1161"/>
      <c r="W127" s="1161"/>
      <c r="X127" s="1161"/>
      <c r="Y127" s="1161"/>
      <c r="Z127" s="1161"/>
      <c r="AA127" s="1161"/>
      <c r="AB127" s="1161"/>
      <c r="AC127" s="1161"/>
      <c r="AD127" s="1161"/>
      <c r="AE127" s="1161"/>
      <c r="AF127" s="1161"/>
      <c r="AG127" s="1161"/>
      <c r="AH127" s="1161"/>
      <c r="AI127" s="1161"/>
      <c r="AJ127" s="1161"/>
      <c r="AK127" s="1161"/>
      <c r="AL127" s="1161"/>
      <c r="AM127" s="1161"/>
      <c r="AN127" s="1161"/>
      <c r="AO127" s="1161"/>
      <c r="AP127" s="1161"/>
      <c r="AQ127" s="1161"/>
      <c r="AR127" s="1161"/>
      <c r="AS127" s="1161"/>
      <c r="AT127" s="1161"/>
      <c r="AU127" s="1161"/>
      <c r="AV127" s="1161"/>
      <c r="AW127" s="1161"/>
      <c r="AX127" s="1161"/>
      <c r="AY127" s="1161"/>
      <c r="AZ127" s="1161"/>
      <c r="BA127" s="1161"/>
      <c r="BB127" s="1161"/>
      <c r="BC127" s="1161"/>
      <c r="BD127" s="1161"/>
      <c r="BE127" s="1161"/>
      <c r="BF127" s="1161"/>
      <c r="BG127" s="1161"/>
      <c r="BH127" s="1161"/>
      <c r="BI127" s="1161"/>
      <c r="BJ127" s="1161"/>
      <c r="BK127" s="1161"/>
      <c r="BL127" s="1161"/>
      <c r="BM127" s="1161"/>
      <c r="BN127" s="1161"/>
      <c r="BO127" s="1161"/>
      <c r="BP127" s="1161"/>
    </row>
    <row r="128" spans="2:68">
      <c r="B128" s="1161" t="s">
        <v>1774</v>
      </c>
      <c r="C128" s="1161" t="s">
        <v>1775</v>
      </c>
      <c r="D128" s="1161">
        <v>0.55000000000000004</v>
      </c>
      <c r="E128" s="1161"/>
      <c r="F128" s="1161"/>
      <c r="G128" s="1161"/>
      <c r="H128" s="1161"/>
      <c r="I128" s="1161"/>
      <c r="J128" s="1161"/>
      <c r="K128" s="1161"/>
      <c r="L128" s="1161"/>
      <c r="M128" s="1161" t="s">
        <v>1776</v>
      </c>
      <c r="N128" s="682" t="s">
        <v>1777</v>
      </c>
      <c r="O128" s="1497">
        <v>4.5795124644179204</v>
      </c>
      <c r="P128" s="1497">
        <v>3.521487151522388</v>
      </c>
      <c r="Q128" s="1498">
        <v>2.760266599896962</v>
      </c>
      <c r="R128" s="1161"/>
      <c r="S128" s="1161"/>
      <c r="T128" s="1161"/>
      <c r="U128" s="1161"/>
      <c r="V128" s="1161"/>
      <c r="W128" s="1161"/>
      <c r="X128" s="1161"/>
      <c r="Y128" s="1161"/>
      <c r="Z128" s="1161"/>
      <c r="AA128" s="1161"/>
      <c r="AB128" s="1161"/>
      <c r="AC128" s="1161"/>
      <c r="AD128" s="1161"/>
      <c r="AE128" s="1161"/>
      <c r="AF128" s="1161"/>
      <c r="AG128" s="1161"/>
      <c r="AH128" s="1161"/>
      <c r="AI128" s="1161"/>
      <c r="AJ128" s="1161"/>
      <c r="AK128" s="1161"/>
      <c r="AL128" s="1161"/>
      <c r="AM128" s="1161"/>
      <c r="AN128" s="1161"/>
      <c r="AO128" s="1161"/>
      <c r="AP128" s="1161"/>
      <c r="AQ128" s="1161"/>
      <c r="AR128" s="1161"/>
      <c r="AS128" s="1161"/>
      <c r="AT128" s="1161"/>
      <c r="AU128" s="1161"/>
      <c r="AV128" s="1161"/>
      <c r="AW128" s="1161"/>
      <c r="AX128" s="1161"/>
      <c r="AY128" s="1161"/>
      <c r="AZ128" s="1161"/>
      <c r="BA128" s="1161"/>
      <c r="BB128" s="1161"/>
      <c r="BC128" s="1161"/>
      <c r="BD128" s="1161"/>
      <c r="BE128" s="1161"/>
      <c r="BF128" s="1161"/>
      <c r="BG128" s="1161"/>
      <c r="BH128" s="1161"/>
      <c r="BI128" s="1161"/>
      <c r="BJ128" s="1161"/>
      <c r="BK128" s="1161"/>
      <c r="BL128" s="1161"/>
      <c r="BM128" s="1161"/>
      <c r="BN128" s="1161"/>
      <c r="BO128" s="1161"/>
      <c r="BP128" s="1161"/>
    </row>
    <row r="129" spans="2:68">
      <c r="B129" s="1161" t="s">
        <v>1774</v>
      </c>
      <c r="C129" s="1161" t="s">
        <v>1778</v>
      </c>
      <c r="D129" s="1161">
        <v>0.5</v>
      </c>
      <c r="E129" s="1161"/>
      <c r="F129" s="1161"/>
      <c r="G129" s="1161"/>
      <c r="H129" s="1161"/>
      <c r="I129" s="1161"/>
      <c r="J129" s="1161"/>
      <c r="K129" s="1161"/>
      <c r="L129" s="1161"/>
      <c r="M129" s="1161" t="s">
        <v>1489</v>
      </c>
      <c r="N129" s="682" t="s">
        <v>1756</v>
      </c>
      <c r="O129" s="1499">
        <v>7.0641443156294805</v>
      </c>
      <c r="P129" s="1499">
        <v>5.1651091741160853</v>
      </c>
      <c r="Q129" s="1499">
        <v>5.1651091741160853</v>
      </c>
      <c r="R129" s="682" t="s">
        <v>1779</v>
      </c>
      <c r="S129" s="1161"/>
      <c r="T129" s="1161"/>
      <c r="U129" s="1161"/>
      <c r="V129" s="1161"/>
      <c r="W129" s="1161"/>
      <c r="X129" s="1161"/>
      <c r="Y129" s="1161"/>
      <c r="Z129" s="1161"/>
      <c r="AA129" s="1161"/>
      <c r="AB129" s="1161"/>
      <c r="AC129" s="1161"/>
      <c r="AD129" s="1161"/>
      <c r="AE129" s="1161"/>
      <c r="AF129" s="1161"/>
      <c r="AG129" s="1161"/>
      <c r="AH129" s="1161"/>
      <c r="AI129" s="1161"/>
      <c r="AJ129" s="1161"/>
      <c r="AK129" s="1161"/>
      <c r="AL129" s="1161"/>
      <c r="AM129" s="1161"/>
      <c r="AN129" s="1161"/>
      <c r="AO129" s="1161"/>
      <c r="AP129" s="1161"/>
      <c r="AQ129" s="1161"/>
      <c r="AR129" s="1161"/>
      <c r="AS129" s="1161"/>
      <c r="AT129" s="1161"/>
      <c r="AU129" s="1161"/>
      <c r="AV129" s="1161"/>
      <c r="AW129" s="1161"/>
      <c r="AX129" s="1161"/>
      <c r="AY129" s="1161"/>
      <c r="AZ129" s="1161"/>
      <c r="BA129" s="1161"/>
      <c r="BB129" s="1161"/>
      <c r="BC129" s="1161"/>
      <c r="BD129" s="1161"/>
      <c r="BE129" s="1161"/>
      <c r="BF129" s="1161"/>
      <c r="BG129" s="1161"/>
      <c r="BH129" s="1161"/>
      <c r="BI129" s="1161"/>
      <c r="BJ129" s="1161"/>
      <c r="BK129" s="1161"/>
      <c r="BL129" s="1161"/>
      <c r="BM129" s="1161"/>
      <c r="BN129" s="1161"/>
      <c r="BO129" s="1161"/>
      <c r="BP129" s="1161"/>
    </row>
    <row r="130" spans="2:68">
      <c r="B130" s="1161" t="s">
        <v>1774</v>
      </c>
      <c r="C130" s="1161" t="s">
        <v>1780</v>
      </c>
      <c r="D130" s="1161">
        <v>0.45</v>
      </c>
      <c r="E130" s="1161"/>
      <c r="F130" s="1161"/>
      <c r="G130" s="1161"/>
      <c r="H130" s="1161"/>
      <c r="I130" s="1161"/>
      <c r="J130" s="1161"/>
      <c r="K130" s="1161"/>
      <c r="L130" s="1161"/>
      <c r="M130" s="1161" t="s">
        <v>1781</v>
      </c>
      <c r="N130" s="31" t="s">
        <v>1782</v>
      </c>
      <c r="O130" s="1500">
        <f>O129</f>
        <v>7.0641443156294805</v>
      </c>
      <c r="P130" s="1500">
        <f>P129</f>
        <v>5.1651091741160853</v>
      </c>
      <c r="Q130" s="1500">
        <f>Q129</f>
        <v>5.1651091741160853</v>
      </c>
      <c r="R130" s="1161"/>
      <c r="S130" s="1161"/>
      <c r="T130" s="1161"/>
      <c r="U130" s="1161"/>
      <c r="V130" s="1161"/>
      <c r="W130" s="1161"/>
      <c r="X130" s="1161"/>
      <c r="Y130" s="1161"/>
      <c r="Z130" s="1161"/>
      <c r="AA130" s="1161"/>
      <c r="AB130" s="1161"/>
      <c r="AC130" s="1161"/>
      <c r="AD130" s="1161"/>
      <c r="AE130" s="1161"/>
      <c r="AF130" s="1161"/>
      <c r="AG130" s="1161"/>
      <c r="AH130" s="1161"/>
      <c r="AI130" s="1161"/>
      <c r="AJ130" s="1161"/>
      <c r="AK130" s="1161"/>
      <c r="AL130" s="1161"/>
      <c r="AM130" s="1161"/>
      <c r="AN130" s="1161"/>
      <c r="AO130" s="1161"/>
      <c r="AP130" s="1161"/>
      <c r="AQ130" s="1161"/>
      <c r="AR130" s="1161"/>
      <c r="AS130" s="1161"/>
      <c r="AT130" s="1161"/>
      <c r="AU130" s="1161"/>
      <c r="AV130" s="1161"/>
      <c r="AW130" s="1161"/>
      <c r="AX130" s="1161"/>
      <c r="AY130" s="1161"/>
      <c r="AZ130" s="1161"/>
      <c r="BA130" s="1161"/>
      <c r="BB130" s="1161"/>
      <c r="BC130" s="1161"/>
      <c r="BD130" s="1161"/>
      <c r="BE130" s="1161"/>
      <c r="BF130" s="1161"/>
      <c r="BG130" s="1161"/>
      <c r="BH130" s="1161"/>
      <c r="BI130" s="1161"/>
      <c r="BJ130" s="1161"/>
      <c r="BK130" s="1161"/>
      <c r="BL130" s="1161"/>
      <c r="BM130" s="1161"/>
      <c r="BN130" s="1161"/>
      <c r="BO130" s="1161"/>
      <c r="BP130" s="1161"/>
    </row>
    <row r="131" spans="2:68">
      <c r="B131" s="1161" t="s">
        <v>1783</v>
      </c>
      <c r="C131" s="1161" t="s">
        <v>1784</v>
      </c>
      <c r="D131" s="1161">
        <v>0.64</v>
      </c>
      <c r="E131" s="1161"/>
      <c r="F131" s="1161"/>
      <c r="G131" s="1161"/>
      <c r="H131" s="1161"/>
      <c r="I131" s="1161"/>
      <c r="J131" s="1161"/>
      <c r="K131" s="1161"/>
      <c r="L131" s="1161"/>
      <c r="M131" s="1161"/>
      <c r="N131" s="1161"/>
      <c r="O131" s="1161"/>
      <c r="P131" s="1161"/>
      <c r="Q131" s="1161"/>
      <c r="R131" s="1161"/>
      <c r="S131" s="1161"/>
      <c r="T131" s="1161"/>
      <c r="U131" s="1161"/>
      <c r="V131" s="1161"/>
      <c r="W131" s="1161"/>
      <c r="X131" s="1161"/>
      <c r="Y131" s="1161"/>
      <c r="Z131" s="1161"/>
      <c r="AA131" s="1161"/>
      <c r="AB131" s="1161"/>
      <c r="AC131" s="1161"/>
      <c r="AD131" s="1161"/>
      <c r="AE131" s="1161"/>
      <c r="AF131" s="1161"/>
      <c r="AG131" s="1161"/>
      <c r="AH131" s="1161"/>
      <c r="AI131" s="1161"/>
      <c r="AJ131" s="1161"/>
      <c r="AK131" s="1161"/>
      <c r="AL131" s="1161"/>
      <c r="AM131" s="1161"/>
      <c r="AN131" s="1161"/>
      <c r="AO131" s="1161"/>
      <c r="AP131" s="1161"/>
      <c r="AQ131" s="1161"/>
      <c r="AR131" s="1161"/>
      <c r="AS131" s="1161"/>
      <c r="AT131" s="1161"/>
      <c r="AU131" s="1161"/>
      <c r="AV131" s="1161"/>
      <c r="AW131" s="1161"/>
      <c r="AX131" s="1161"/>
      <c r="AY131" s="1161"/>
      <c r="AZ131" s="1161"/>
      <c r="BA131" s="1161"/>
      <c r="BB131" s="1161"/>
      <c r="BC131" s="1161"/>
      <c r="BD131" s="1161"/>
      <c r="BE131" s="1161"/>
      <c r="BF131" s="1161"/>
      <c r="BG131" s="1161"/>
      <c r="BH131" s="1161"/>
      <c r="BI131" s="1161"/>
      <c r="BJ131" s="1161"/>
      <c r="BK131" s="1161"/>
      <c r="BL131" s="1161"/>
      <c r="BM131" s="1161"/>
      <c r="BN131" s="1161"/>
      <c r="BO131" s="1161"/>
      <c r="BP131" s="1161"/>
    </row>
    <row r="132" spans="2:68">
      <c r="B132" s="1161" t="s">
        <v>1785</v>
      </c>
      <c r="C132" s="1161" t="s">
        <v>1784</v>
      </c>
      <c r="D132" s="1161">
        <v>0.48</v>
      </c>
      <c r="E132" s="1161"/>
      <c r="F132" s="1161"/>
      <c r="G132" s="1161"/>
      <c r="H132" s="1161"/>
      <c r="I132" s="1161"/>
      <c r="J132" s="1161"/>
      <c r="K132" s="1161"/>
      <c r="L132" s="1161"/>
      <c r="M132" s="1161"/>
      <c r="N132" s="685" t="s">
        <v>1786</v>
      </c>
      <c r="O132" s="1161"/>
      <c r="P132" s="1161"/>
      <c r="Q132" s="1161"/>
      <c r="R132" s="1161"/>
      <c r="S132" s="1161"/>
      <c r="T132" s="1161"/>
      <c r="U132" s="1161"/>
      <c r="V132" s="1161"/>
      <c r="W132" s="1161"/>
      <c r="X132" s="1161"/>
      <c r="Y132" s="1161"/>
      <c r="Z132" s="1161"/>
      <c r="AA132" s="1161"/>
      <c r="AB132" s="1161"/>
      <c r="AC132" s="1161"/>
      <c r="AD132" s="1161"/>
      <c r="AE132" s="1161"/>
      <c r="AF132" s="1161"/>
      <c r="AG132" s="1161"/>
      <c r="AH132" s="1161"/>
      <c r="AI132" s="1161"/>
      <c r="AJ132" s="1161"/>
      <c r="AK132" s="1161"/>
      <c r="AL132" s="1161"/>
      <c r="AM132" s="1161"/>
      <c r="AN132" s="1161"/>
      <c r="AO132" s="1161"/>
      <c r="AP132" s="1161"/>
      <c r="AQ132" s="1161"/>
      <c r="AR132" s="1161"/>
      <c r="AS132" s="1161"/>
      <c r="AT132" s="1161"/>
      <c r="AU132" s="1161"/>
      <c r="AV132" s="1161"/>
      <c r="AW132" s="1161"/>
      <c r="AX132" s="1161"/>
      <c r="AY132" s="1161"/>
      <c r="AZ132" s="1161"/>
      <c r="BA132" s="1161"/>
      <c r="BB132" s="1161"/>
      <c r="BC132" s="1161"/>
      <c r="BD132" s="1161"/>
      <c r="BE132" s="1161"/>
      <c r="BF132" s="1161"/>
      <c r="BG132" s="1161"/>
      <c r="BH132" s="1161"/>
      <c r="BI132" s="1161"/>
      <c r="BJ132" s="1161"/>
      <c r="BK132" s="1161"/>
      <c r="BL132" s="1161"/>
      <c r="BM132" s="1161"/>
      <c r="BN132" s="1161"/>
      <c r="BO132" s="1161"/>
      <c r="BP132" s="1161"/>
    </row>
    <row r="133" spans="2:68">
      <c r="B133" s="1161" t="s">
        <v>1759</v>
      </c>
      <c r="C133" s="1161" t="s">
        <v>1775</v>
      </c>
      <c r="D133" s="1161">
        <v>0.5</v>
      </c>
      <c r="E133" s="1161"/>
      <c r="F133" s="1161"/>
      <c r="G133" s="1161"/>
      <c r="H133" s="1161"/>
      <c r="I133" s="1161"/>
      <c r="J133" s="1161"/>
      <c r="K133" s="1161"/>
      <c r="L133" s="1161"/>
      <c r="M133" s="1161"/>
      <c r="N133" s="1161"/>
      <c r="O133" s="1161"/>
      <c r="P133" s="1161"/>
      <c r="Q133" s="1161"/>
      <c r="R133" s="1161"/>
      <c r="S133" s="1161"/>
      <c r="T133" s="1161"/>
      <c r="U133" s="1161"/>
      <c r="V133" s="1161"/>
      <c r="W133" s="1161"/>
      <c r="X133" s="1161"/>
      <c r="Y133" s="1161"/>
      <c r="Z133" s="1161"/>
      <c r="AA133" s="1161"/>
      <c r="AB133" s="1161"/>
      <c r="AC133" s="1161"/>
      <c r="AD133" s="1161"/>
      <c r="AE133" s="1161"/>
      <c r="AF133" s="1161"/>
      <c r="AG133" s="1161"/>
      <c r="AH133" s="1161"/>
      <c r="AI133" s="1161"/>
      <c r="AJ133" s="1161"/>
      <c r="AK133" s="1161"/>
      <c r="AL133" s="1161"/>
      <c r="AM133" s="1161"/>
      <c r="AN133" s="1161"/>
      <c r="AO133" s="1161"/>
      <c r="AP133" s="1161"/>
      <c r="AQ133" s="1161"/>
      <c r="AR133" s="1161"/>
      <c r="AS133" s="1161"/>
      <c r="AT133" s="1161"/>
      <c r="AU133" s="1161"/>
      <c r="AV133" s="1161"/>
      <c r="AW133" s="1161"/>
      <c r="AX133" s="1161"/>
      <c r="AY133" s="1161"/>
      <c r="AZ133" s="1161"/>
      <c r="BA133" s="1161"/>
      <c r="BB133" s="1161"/>
      <c r="BC133" s="1161"/>
      <c r="BD133" s="1161"/>
      <c r="BE133" s="1161"/>
      <c r="BF133" s="1161"/>
      <c r="BG133" s="1161"/>
      <c r="BH133" s="1161"/>
      <c r="BI133" s="1161"/>
      <c r="BJ133" s="1161"/>
      <c r="BK133" s="1161"/>
      <c r="BL133" s="1161"/>
      <c r="BM133" s="1161"/>
      <c r="BN133" s="1161"/>
      <c r="BO133" s="1161"/>
      <c r="BP133" s="1161"/>
    </row>
    <row r="134" spans="2:68">
      <c r="B134" s="1161" t="s">
        <v>1759</v>
      </c>
      <c r="C134" s="1161" t="s">
        <v>1778</v>
      </c>
      <c r="D134" s="1161">
        <v>0.55000000000000004</v>
      </c>
      <c r="E134" s="1161"/>
      <c r="F134" s="1161"/>
      <c r="G134" s="1161"/>
      <c r="H134" s="1161"/>
      <c r="I134" s="1161"/>
      <c r="J134" s="1161"/>
      <c r="K134" s="1161"/>
      <c r="L134" s="1161"/>
      <c r="M134" s="1161"/>
      <c r="N134" s="682" t="s">
        <v>1769</v>
      </c>
      <c r="O134" s="1161">
        <v>2010</v>
      </c>
      <c r="P134" s="1161">
        <v>2020</v>
      </c>
      <c r="Q134" s="1161">
        <v>2030</v>
      </c>
      <c r="R134" s="1161"/>
      <c r="S134" s="1161"/>
      <c r="T134" s="1161"/>
      <c r="U134" s="1161"/>
      <c r="V134" s="1161"/>
      <c r="W134" s="1161"/>
      <c r="X134" s="1161"/>
      <c r="Y134" s="1161"/>
      <c r="Z134" s="1161"/>
      <c r="AA134" s="1161"/>
      <c r="AB134" s="1161"/>
      <c r="AC134" s="1161"/>
      <c r="AD134" s="1161"/>
      <c r="AE134" s="1161"/>
      <c r="AF134" s="1161"/>
      <c r="AG134" s="1161"/>
      <c r="AH134" s="1161"/>
      <c r="AI134" s="1161"/>
      <c r="AJ134" s="1161"/>
      <c r="AK134" s="1161"/>
      <c r="AL134" s="1161"/>
      <c r="AM134" s="1161"/>
      <c r="AN134" s="1161"/>
      <c r="AO134" s="1161"/>
      <c r="AP134" s="1161"/>
      <c r="AQ134" s="1161"/>
      <c r="AR134" s="1161"/>
      <c r="AS134" s="1161"/>
      <c r="AT134" s="1161"/>
      <c r="AU134" s="1161"/>
      <c r="AV134" s="1161"/>
      <c r="AW134" s="1161"/>
      <c r="AX134" s="1161"/>
      <c r="AY134" s="1161"/>
      <c r="AZ134" s="1161"/>
      <c r="BA134" s="1161"/>
      <c r="BB134" s="1161"/>
      <c r="BC134" s="1161"/>
      <c r="BD134" s="1161"/>
      <c r="BE134" s="1161"/>
      <c r="BF134" s="1161"/>
      <c r="BG134" s="1161"/>
      <c r="BH134" s="1161"/>
      <c r="BI134" s="1161"/>
      <c r="BJ134" s="1161"/>
      <c r="BK134" s="1161"/>
      <c r="BL134" s="1161"/>
      <c r="BM134" s="1161"/>
      <c r="BN134" s="1161"/>
      <c r="BO134" s="1161"/>
      <c r="BP134" s="1161"/>
    </row>
    <row r="135" spans="2:68">
      <c r="B135" s="1161" t="s">
        <v>1759</v>
      </c>
      <c r="C135" s="1161" t="s">
        <v>1780</v>
      </c>
      <c r="D135" s="1161">
        <v>0.6</v>
      </c>
      <c r="E135" s="1161"/>
      <c r="F135" s="1161"/>
      <c r="G135" s="1161"/>
      <c r="H135" s="1161"/>
      <c r="I135" s="1161"/>
      <c r="J135" s="1161"/>
      <c r="K135" s="1161"/>
      <c r="L135" s="1161"/>
      <c r="M135" s="1161" t="s">
        <v>1772</v>
      </c>
      <c r="N135" s="682" t="s">
        <v>1773</v>
      </c>
      <c r="O135" s="1497">
        <v>14.310439470682837</v>
      </c>
      <c r="P135" s="1497">
        <v>13.594917497148694</v>
      </c>
      <c r="Q135" s="1498">
        <v>12.879395523614553</v>
      </c>
      <c r="R135" s="1161"/>
      <c r="S135" s="1161"/>
      <c r="T135" s="1161"/>
      <c r="U135" s="1161"/>
      <c r="V135" s="1161"/>
      <c r="W135" s="1161"/>
      <c r="X135" s="1161"/>
      <c r="Y135" s="1161"/>
      <c r="Z135" s="1161"/>
      <c r="AA135" s="1161"/>
      <c r="AB135" s="1161"/>
      <c r="AC135" s="1161"/>
      <c r="AD135" s="1161"/>
      <c r="AE135" s="1161"/>
      <c r="AF135" s="1161"/>
      <c r="AG135" s="1161"/>
      <c r="AH135" s="1161"/>
      <c r="AI135" s="1161"/>
      <c r="AJ135" s="1161"/>
      <c r="AK135" s="1161"/>
      <c r="AL135" s="1161"/>
      <c r="AM135" s="1161"/>
      <c r="AN135" s="1161"/>
      <c r="AO135" s="1161"/>
      <c r="AP135" s="1161"/>
      <c r="AQ135" s="1161"/>
      <c r="AR135" s="1161"/>
      <c r="AS135" s="1161"/>
      <c r="AT135" s="1161"/>
      <c r="AU135" s="1161"/>
      <c r="AV135" s="1161"/>
      <c r="AW135" s="1161"/>
      <c r="AX135" s="1161"/>
      <c r="AY135" s="1161"/>
      <c r="AZ135" s="1161"/>
      <c r="BA135" s="1161"/>
      <c r="BB135" s="1161"/>
      <c r="BC135" s="1161"/>
      <c r="BD135" s="1161"/>
      <c r="BE135" s="1161"/>
      <c r="BF135" s="1161"/>
      <c r="BG135" s="1161"/>
      <c r="BH135" s="1161"/>
      <c r="BI135" s="1161"/>
      <c r="BJ135" s="1161"/>
      <c r="BK135" s="1161"/>
      <c r="BL135" s="1161"/>
      <c r="BM135" s="1161"/>
      <c r="BN135" s="1161"/>
      <c r="BO135" s="1161"/>
      <c r="BP135" s="1161"/>
    </row>
    <row r="136" spans="2:68" ht="13.5" thickBot="1">
      <c r="B136" s="1161" t="s">
        <v>1787</v>
      </c>
      <c r="C136" s="1161" t="s">
        <v>1784</v>
      </c>
      <c r="D136" s="1161">
        <v>0.6</v>
      </c>
      <c r="E136" s="1161"/>
      <c r="F136" s="1161"/>
      <c r="G136" s="1161"/>
      <c r="H136" s="1161"/>
      <c r="I136" s="1161"/>
      <c r="J136" s="1161"/>
      <c r="K136" s="1161"/>
      <c r="L136" s="1161"/>
      <c r="M136" s="1161" t="s">
        <v>1776</v>
      </c>
      <c r="N136" s="682" t="s">
        <v>1777</v>
      </c>
      <c r="O136" s="1501">
        <v>15</v>
      </c>
      <c r="P136" s="1501">
        <v>14.25</v>
      </c>
      <c r="Q136" s="1502">
        <v>12.825000000000001</v>
      </c>
      <c r="R136" s="1161"/>
      <c r="S136" s="1161"/>
      <c r="T136" s="1161"/>
      <c r="U136" s="1161"/>
      <c r="V136" s="1161"/>
      <c r="W136" s="1161"/>
      <c r="X136" s="1161"/>
      <c r="Y136" s="1161"/>
      <c r="Z136" s="1161"/>
      <c r="AA136" s="1161"/>
      <c r="AB136" s="1161"/>
      <c r="AC136" s="1161"/>
      <c r="AD136" s="1161"/>
      <c r="AE136" s="1161"/>
      <c r="AF136" s="1161"/>
      <c r="AG136" s="1161"/>
      <c r="AH136" s="1161"/>
      <c r="AI136" s="1161"/>
      <c r="AJ136" s="1161"/>
      <c r="AK136" s="1161"/>
      <c r="AL136" s="1161"/>
      <c r="AM136" s="1161"/>
      <c r="AN136" s="1161"/>
      <c r="AO136" s="1161"/>
      <c r="AP136" s="1161"/>
      <c r="AQ136" s="1161"/>
      <c r="AR136" s="1161"/>
      <c r="AS136" s="1161"/>
      <c r="AT136" s="1161"/>
      <c r="AU136" s="1161"/>
      <c r="AV136" s="1161"/>
      <c r="AW136" s="1161"/>
      <c r="AX136" s="1161"/>
      <c r="AY136" s="1161"/>
      <c r="AZ136" s="1161"/>
      <c r="BA136" s="1161"/>
      <c r="BB136" s="1161"/>
      <c r="BC136" s="1161"/>
      <c r="BD136" s="1161"/>
      <c r="BE136" s="1161"/>
      <c r="BF136" s="1161"/>
      <c r="BG136" s="1161"/>
      <c r="BH136" s="1161"/>
      <c r="BI136" s="1161"/>
      <c r="BJ136" s="1161"/>
      <c r="BK136" s="1161"/>
      <c r="BL136" s="1161"/>
      <c r="BM136" s="1161"/>
      <c r="BN136" s="1161"/>
      <c r="BO136" s="1161"/>
      <c r="BP136" s="1161"/>
    </row>
    <row r="137" spans="2:68" ht="13.5" thickBot="1">
      <c r="B137" s="1161" t="s">
        <v>1788</v>
      </c>
      <c r="C137" s="1161" t="s">
        <v>1784</v>
      </c>
      <c r="D137" s="1161">
        <v>0.5</v>
      </c>
      <c r="E137" s="1161"/>
      <c r="F137" s="1161"/>
      <c r="G137" s="1161"/>
      <c r="H137" s="1161"/>
      <c r="I137" s="1161"/>
      <c r="J137" s="1161"/>
      <c r="K137" s="1161"/>
      <c r="L137" s="1161"/>
      <c r="M137" s="1161" t="s">
        <v>1489</v>
      </c>
      <c r="N137" s="682" t="s">
        <v>1756</v>
      </c>
      <c r="O137" s="1503">
        <v>21.74245036976534</v>
      </c>
      <c r="P137" s="1503">
        <v>18.5</v>
      </c>
      <c r="Q137" s="1503">
        <v>18.5</v>
      </c>
      <c r="R137" s="682" t="s">
        <v>1779</v>
      </c>
      <c r="S137" s="1161"/>
      <c r="T137" s="1161"/>
      <c r="U137" s="1161"/>
      <c r="V137" s="1161"/>
      <c r="W137" s="1161"/>
      <c r="X137" s="1161"/>
      <c r="Y137" s="1161"/>
      <c r="Z137" s="1161"/>
      <c r="AA137" s="1161"/>
      <c r="AB137" s="1161"/>
      <c r="AC137" s="1161"/>
      <c r="AD137" s="1161"/>
      <c r="AE137" s="1161"/>
      <c r="AF137" s="1161"/>
      <c r="AG137" s="1161"/>
      <c r="AH137" s="1161"/>
      <c r="AI137" s="1161"/>
      <c r="AJ137" s="1161"/>
      <c r="AK137" s="1161"/>
      <c r="AL137" s="1161"/>
      <c r="AM137" s="1161"/>
      <c r="AN137" s="1161"/>
      <c r="AO137" s="1161"/>
      <c r="AP137" s="1161"/>
      <c r="AQ137" s="1161"/>
      <c r="AR137" s="1161"/>
      <c r="AS137" s="1161"/>
      <c r="AT137" s="1161"/>
      <c r="AU137" s="1161"/>
      <c r="AV137" s="1161"/>
      <c r="AW137" s="1161"/>
      <c r="AX137" s="1161"/>
      <c r="AY137" s="1161"/>
      <c r="AZ137" s="1161"/>
      <c r="BA137" s="1161"/>
      <c r="BB137" s="1161"/>
      <c r="BC137" s="1161"/>
      <c r="BD137" s="1161"/>
      <c r="BE137" s="1161"/>
      <c r="BF137" s="1161"/>
      <c r="BG137" s="1161"/>
      <c r="BH137" s="1161"/>
      <c r="BI137" s="1161"/>
      <c r="BJ137" s="1161"/>
      <c r="BK137" s="1161"/>
      <c r="BL137" s="1161"/>
      <c r="BM137" s="1161"/>
      <c r="BN137" s="1161"/>
      <c r="BO137" s="1161"/>
      <c r="BP137" s="1161"/>
    </row>
    <row r="138" spans="2:68">
      <c r="B138" s="1161" t="s">
        <v>1729</v>
      </c>
      <c r="C138" s="1161" t="s">
        <v>1784</v>
      </c>
      <c r="D138" s="1161">
        <v>0.7</v>
      </c>
      <c r="E138" s="1161"/>
      <c r="F138" s="1161"/>
      <c r="G138" s="1161"/>
      <c r="H138" s="1161"/>
      <c r="I138" s="1161"/>
      <c r="J138" s="1161"/>
      <c r="K138" s="1161"/>
      <c r="L138" s="1161"/>
      <c r="M138" s="1161" t="s">
        <v>1781</v>
      </c>
      <c r="N138" s="31" t="s">
        <v>1782</v>
      </c>
      <c r="O138" s="1500">
        <f>O137</f>
        <v>21.74245036976534</v>
      </c>
      <c r="P138" s="1500">
        <f>P137</f>
        <v>18.5</v>
      </c>
      <c r="Q138" s="1500">
        <f>Q137</f>
        <v>18.5</v>
      </c>
      <c r="R138" s="31" t="s">
        <v>1779</v>
      </c>
      <c r="S138" s="1161"/>
      <c r="T138" s="682"/>
      <c r="U138" s="1161"/>
      <c r="V138" s="1161"/>
      <c r="W138" s="1161"/>
      <c r="X138" s="1161"/>
      <c r="Y138" s="1161"/>
      <c r="Z138" s="1161"/>
      <c r="AA138" s="1161"/>
      <c r="AB138" s="1161"/>
      <c r="AC138" s="1161"/>
      <c r="AD138" s="1161"/>
      <c r="AE138" s="1161"/>
      <c r="AF138" s="1161"/>
      <c r="AG138" s="1161"/>
      <c r="AH138" s="1161"/>
      <c r="AI138" s="1161"/>
      <c r="AJ138" s="1161"/>
      <c r="AK138" s="1161"/>
      <c r="AL138" s="1161"/>
      <c r="AM138" s="1161"/>
      <c r="AN138" s="1161"/>
      <c r="AO138" s="1161"/>
      <c r="AP138" s="1161"/>
      <c r="AQ138" s="1161"/>
      <c r="AR138" s="1161"/>
      <c r="AS138" s="1161"/>
      <c r="AT138" s="1161"/>
      <c r="AU138" s="1161"/>
      <c r="AV138" s="1161"/>
      <c r="AW138" s="1161"/>
      <c r="AX138" s="1161"/>
      <c r="AY138" s="1161"/>
      <c r="AZ138" s="1161"/>
      <c r="BA138" s="1161"/>
      <c r="BB138" s="1161"/>
      <c r="BC138" s="1161"/>
      <c r="BD138" s="1161"/>
      <c r="BE138" s="1161"/>
      <c r="BF138" s="1161"/>
      <c r="BG138" s="1161"/>
      <c r="BH138" s="1161"/>
      <c r="BI138" s="1161"/>
      <c r="BJ138" s="1161"/>
      <c r="BK138" s="1161"/>
      <c r="BL138" s="1161"/>
      <c r="BM138" s="1161"/>
      <c r="BN138" s="1161"/>
      <c r="BO138" s="1161"/>
      <c r="BP138" s="1161"/>
    </row>
    <row r="139" spans="2:68">
      <c r="B139" s="1161" t="s">
        <v>1789</v>
      </c>
      <c r="C139" s="1161" t="s">
        <v>1784</v>
      </c>
      <c r="D139" s="1161">
        <v>0.7</v>
      </c>
      <c r="E139" s="1161"/>
      <c r="F139" s="1161"/>
      <c r="G139" s="1161"/>
      <c r="H139" s="1161"/>
      <c r="I139" s="1161"/>
      <c r="J139" s="1161"/>
      <c r="K139" s="1161"/>
      <c r="L139" s="1161"/>
      <c r="M139" s="1161"/>
      <c r="N139" s="1161"/>
      <c r="O139" s="1161"/>
      <c r="P139" s="1161"/>
      <c r="Q139" s="1161"/>
      <c r="R139" s="1161"/>
      <c r="S139" s="1161"/>
      <c r="T139" s="1161"/>
      <c r="U139" s="1161"/>
      <c r="V139" s="1161"/>
      <c r="W139" s="1161"/>
      <c r="X139" s="1161"/>
      <c r="Y139" s="1161"/>
      <c r="Z139" s="1161"/>
      <c r="AA139" s="1161"/>
      <c r="AB139" s="1161"/>
      <c r="AC139" s="1161"/>
      <c r="AD139" s="1161"/>
      <c r="AE139" s="1161"/>
      <c r="AF139" s="1161"/>
      <c r="AG139" s="1161"/>
      <c r="AH139" s="1161"/>
      <c r="AI139" s="1161"/>
      <c r="AJ139" s="1161"/>
      <c r="AK139" s="1161"/>
      <c r="AL139" s="1161"/>
      <c r="AM139" s="1161"/>
      <c r="AN139" s="1161"/>
      <c r="AO139" s="1161"/>
      <c r="AP139" s="1161"/>
      <c r="AQ139" s="1161"/>
      <c r="AR139" s="1161"/>
      <c r="AS139" s="1161"/>
      <c r="AT139" s="1161"/>
      <c r="AU139" s="1161"/>
      <c r="AV139" s="1161"/>
      <c r="AW139" s="1161"/>
      <c r="AX139" s="1161"/>
      <c r="AY139" s="1161"/>
      <c r="AZ139" s="1161"/>
      <c r="BA139" s="1161"/>
      <c r="BB139" s="1161"/>
      <c r="BC139" s="1161"/>
      <c r="BD139" s="1161"/>
      <c r="BE139" s="1161"/>
      <c r="BF139" s="1161"/>
      <c r="BG139" s="1161"/>
      <c r="BH139" s="1161"/>
      <c r="BI139" s="1161"/>
      <c r="BJ139" s="1161"/>
      <c r="BK139" s="1161"/>
      <c r="BL139" s="1161"/>
      <c r="BM139" s="1161"/>
      <c r="BN139" s="1161"/>
      <c r="BO139" s="1161"/>
      <c r="BP139" s="1161"/>
    </row>
    <row r="140" spans="2:68">
      <c r="B140" s="1161" t="s">
        <v>1790</v>
      </c>
      <c r="C140" s="1161" t="s">
        <v>1784</v>
      </c>
      <c r="D140" s="1161">
        <v>0.7</v>
      </c>
      <c r="E140" s="1161"/>
      <c r="F140" s="1161"/>
      <c r="G140" s="1161"/>
      <c r="H140" s="1161"/>
      <c r="I140" s="1161"/>
      <c r="J140" s="1161"/>
      <c r="K140" s="1161"/>
      <c r="L140" s="1161"/>
      <c r="M140" s="1161"/>
      <c r="N140" s="1161"/>
      <c r="O140" s="1161"/>
      <c r="P140" s="1161"/>
      <c r="Q140" s="1161"/>
      <c r="R140" s="1161"/>
      <c r="S140" s="1161"/>
      <c r="T140" s="1161"/>
      <c r="U140" s="1161"/>
      <c r="V140" s="1161"/>
      <c r="W140" s="1161"/>
      <c r="X140" s="1161"/>
      <c r="Y140" s="1161"/>
      <c r="Z140" s="1161"/>
      <c r="AA140" s="1161"/>
      <c r="AB140" s="1161"/>
      <c r="AC140" s="1161"/>
      <c r="AD140" s="1161"/>
      <c r="AE140" s="1161"/>
      <c r="AF140" s="1161"/>
      <c r="AG140" s="1161"/>
      <c r="AH140" s="1161"/>
      <c r="AI140" s="1161"/>
      <c r="AJ140" s="1161"/>
      <c r="AK140" s="1161"/>
      <c r="AL140" s="1161"/>
      <c r="AM140" s="1161"/>
      <c r="AN140" s="1161"/>
      <c r="AO140" s="1161"/>
      <c r="AP140" s="1161"/>
      <c r="AQ140" s="1161"/>
      <c r="AR140" s="1161"/>
      <c r="AS140" s="1161"/>
      <c r="AT140" s="1161"/>
      <c r="AU140" s="1161"/>
      <c r="AV140" s="1161"/>
      <c r="AW140" s="1161"/>
      <c r="AX140" s="1161"/>
      <c r="AY140" s="1161"/>
      <c r="AZ140" s="1161"/>
      <c r="BA140" s="1161"/>
      <c r="BB140" s="1161"/>
      <c r="BC140" s="1161"/>
      <c r="BD140" s="1161"/>
      <c r="BE140" s="1161"/>
      <c r="BF140" s="1161"/>
      <c r="BG140" s="1161"/>
      <c r="BH140" s="1161"/>
      <c r="BI140" s="1161"/>
      <c r="BJ140" s="1161"/>
      <c r="BK140" s="1161"/>
      <c r="BL140" s="1161"/>
      <c r="BM140" s="1161"/>
      <c r="BN140" s="1161"/>
      <c r="BO140" s="1161"/>
      <c r="BP140" s="1161"/>
    </row>
    <row r="141" spans="2:68">
      <c r="B141" s="1161"/>
      <c r="C141" s="1161"/>
      <c r="D141" s="1161"/>
      <c r="E141" s="1161"/>
      <c r="F141" s="1161"/>
      <c r="G141" s="1161"/>
      <c r="H141" s="1161"/>
      <c r="I141" s="1161"/>
      <c r="J141" s="1161"/>
      <c r="K141" s="1161"/>
      <c r="L141" s="1161"/>
      <c r="M141" s="1161"/>
      <c r="N141" s="1161"/>
      <c r="O141" s="1161"/>
      <c r="P141" s="1161"/>
      <c r="Q141" s="1161"/>
      <c r="R141" s="1161"/>
      <c r="S141" s="1161"/>
      <c r="T141" s="1161"/>
      <c r="U141" s="1161"/>
      <c r="V141" s="1161"/>
      <c r="W141" s="1161"/>
      <c r="X141" s="1161"/>
      <c r="Y141" s="1161"/>
      <c r="Z141" s="1161"/>
      <c r="AA141" s="1161"/>
      <c r="AB141" s="1161"/>
      <c r="AC141" s="1161"/>
      <c r="AD141" s="1161"/>
      <c r="AE141" s="1161"/>
      <c r="AF141" s="1161"/>
      <c r="AG141" s="1161"/>
      <c r="AH141" s="1161"/>
      <c r="AI141" s="1161"/>
      <c r="AJ141" s="1161"/>
      <c r="AK141" s="1161"/>
      <c r="AL141" s="1161"/>
      <c r="AM141" s="1161"/>
      <c r="AN141" s="1161"/>
      <c r="AO141" s="1161"/>
      <c r="AP141" s="1161"/>
      <c r="AQ141" s="1161"/>
      <c r="AR141" s="1161"/>
      <c r="AS141" s="1161"/>
      <c r="AT141" s="1161"/>
      <c r="AU141" s="1161"/>
      <c r="AV141" s="1161"/>
      <c r="AW141" s="1161"/>
      <c r="AX141" s="1161"/>
      <c r="AY141" s="1161"/>
      <c r="AZ141" s="1161"/>
      <c r="BA141" s="1161"/>
      <c r="BB141" s="1161"/>
      <c r="BC141" s="1161"/>
      <c r="BD141" s="1161"/>
      <c r="BE141" s="1161"/>
      <c r="BF141" s="1161"/>
      <c r="BG141" s="1161"/>
      <c r="BH141" s="1161"/>
      <c r="BI141" s="1161"/>
      <c r="BJ141" s="1161"/>
      <c r="BK141" s="1161"/>
      <c r="BL141" s="1161"/>
      <c r="BM141" s="1161"/>
      <c r="BN141" s="1161"/>
      <c r="BO141" s="1161"/>
      <c r="BP141" s="1161"/>
    </row>
    <row r="142" spans="2:68">
      <c r="B142" s="1161"/>
      <c r="C142" s="1161"/>
      <c r="D142" s="1161"/>
      <c r="E142" s="1161"/>
      <c r="F142" s="1161"/>
      <c r="G142" s="1161"/>
      <c r="H142" s="1161"/>
      <c r="I142" s="1161"/>
      <c r="J142" s="1161"/>
      <c r="K142" s="1161"/>
      <c r="L142" s="1161"/>
      <c r="M142" s="1161"/>
      <c r="N142" s="1161"/>
      <c r="O142" s="1161"/>
      <c r="P142" s="1161"/>
      <c r="Q142" s="1161"/>
      <c r="R142" s="1161"/>
      <c r="S142" s="1161"/>
      <c r="T142" s="1161"/>
      <c r="U142" s="1161"/>
      <c r="V142" s="1161"/>
      <c r="W142" s="1161"/>
      <c r="X142" s="1161"/>
      <c r="Y142" s="1161"/>
      <c r="Z142" s="1161"/>
      <c r="AA142" s="1161"/>
      <c r="AB142" s="1161"/>
      <c r="AC142" s="1161"/>
      <c r="AD142" s="1161"/>
      <c r="AE142" s="1161"/>
      <c r="AF142" s="1161"/>
      <c r="AG142" s="1161"/>
      <c r="AH142" s="1161"/>
      <c r="AI142" s="1161"/>
      <c r="AJ142" s="1161"/>
      <c r="AK142" s="1161"/>
      <c r="AL142" s="1161"/>
      <c r="AM142" s="1161"/>
      <c r="AN142" s="1161"/>
      <c r="AO142" s="1161"/>
      <c r="AP142" s="1161"/>
      <c r="AQ142" s="1161"/>
      <c r="AR142" s="1161"/>
      <c r="AS142" s="1161"/>
      <c r="AT142" s="1161"/>
      <c r="AU142" s="1161"/>
      <c r="AV142" s="1161"/>
      <c r="AW142" s="1161"/>
      <c r="AX142" s="1161"/>
      <c r="AY142" s="1161"/>
      <c r="AZ142" s="1161"/>
      <c r="BA142" s="1161"/>
      <c r="BB142" s="1161"/>
      <c r="BC142" s="1161"/>
      <c r="BD142" s="1161"/>
      <c r="BE142" s="1161"/>
      <c r="BF142" s="1161"/>
      <c r="BG142" s="1161"/>
      <c r="BH142" s="1161"/>
      <c r="BI142" s="1161"/>
      <c r="BJ142" s="1161"/>
      <c r="BK142" s="1161"/>
      <c r="BL142" s="1161"/>
      <c r="BM142" s="1161"/>
      <c r="BN142" s="1161"/>
      <c r="BO142" s="1161"/>
      <c r="BP142" s="1161"/>
    </row>
    <row r="143" spans="2:68">
      <c r="B143" s="1161"/>
      <c r="C143" s="1161"/>
      <c r="D143" s="1161"/>
      <c r="E143" s="1161"/>
      <c r="F143" s="1161"/>
      <c r="G143" s="1161"/>
      <c r="H143" s="1161"/>
      <c r="I143" s="1161"/>
      <c r="J143" s="1161"/>
      <c r="K143" s="1161"/>
      <c r="L143" s="1161"/>
      <c r="M143" s="1161"/>
      <c r="N143" s="1161"/>
      <c r="O143" s="1161"/>
      <c r="P143" s="1161"/>
      <c r="Q143" s="1161"/>
      <c r="R143" s="1161"/>
      <c r="S143" s="1161"/>
      <c r="T143" s="1161"/>
      <c r="U143" s="1161"/>
      <c r="V143" s="1161"/>
      <c r="W143" s="1161"/>
      <c r="X143" s="1161"/>
      <c r="Y143" s="1161"/>
      <c r="Z143" s="1161"/>
      <c r="AA143" s="1161"/>
      <c r="AB143" s="1161"/>
      <c r="AC143" s="1161"/>
      <c r="AD143" s="1161"/>
      <c r="AE143" s="1161"/>
      <c r="AF143" s="1161"/>
      <c r="AG143" s="1161"/>
      <c r="AH143" s="1161"/>
      <c r="AI143" s="1161"/>
      <c r="AJ143" s="1161"/>
      <c r="AK143" s="1161"/>
      <c r="AL143" s="1161"/>
      <c r="AM143" s="1161"/>
      <c r="AN143" s="1161"/>
      <c r="AO143" s="1161"/>
      <c r="AP143" s="1161"/>
      <c r="AQ143" s="1161"/>
      <c r="AR143" s="1161"/>
      <c r="AS143" s="1161"/>
      <c r="AT143" s="1161"/>
      <c r="AU143" s="1161"/>
      <c r="AV143" s="1161"/>
      <c r="AW143" s="1161"/>
      <c r="AX143" s="1161"/>
      <c r="AY143" s="1161"/>
      <c r="AZ143" s="1161"/>
      <c r="BA143" s="1161"/>
      <c r="BB143" s="1161"/>
      <c r="BC143" s="1161"/>
      <c r="BD143" s="1161"/>
      <c r="BE143" s="1161"/>
      <c r="BF143" s="1161"/>
      <c r="BG143" s="1161"/>
      <c r="BH143" s="1161"/>
      <c r="BI143" s="1161"/>
      <c r="BJ143" s="1161"/>
      <c r="BK143" s="1161"/>
      <c r="BL143" s="1161"/>
      <c r="BM143" s="1161"/>
      <c r="BN143" s="1161"/>
      <c r="BO143" s="1161"/>
      <c r="BP143" s="1161"/>
    </row>
    <row r="144" spans="2:68">
      <c r="B144" s="1161"/>
      <c r="C144" s="1161"/>
      <c r="D144" s="1161"/>
      <c r="E144" s="1161"/>
      <c r="F144" s="1161"/>
      <c r="G144" s="1161"/>
      <c r="H144" s="1161"/>
      <c r="I144" s="1161"/>
      <c r="J144" s="1161"/>
      <c r="K144" s="1161"/>
      <c r="L144" s="1161"/>
      <c r="M144" s="1161"/>
      <c r="N144" s="1161"/>
      <c r="O144" s="1161"/>
      <c r="P144" s="1161"/>
      <c r="Q144" s="1161"/>
      <c r="R144" s="1161"/>
      <c r="S144" s="1161"/>
      <c r="T144" s="1161"/>
      <c r="U144" s="1161"/>
      <c r="V144" s="1161"/>
      <c r="W144" s="1161"/>
      <c r="X144" s="1161"/>
      <c r="Y144" s="1161"/>
      <c r="Z144" s="1161"/>
      <c r="AA144" s="1161"/>
      <c r="AB144" s="1161"/>
      <c r="AC144" s="1161"/>
      <c r="AD144" s="1161"/>
      <c r="AE144" s="1161"/>
      <c r="AF144" s="1161"/>
      <c r="AG144" s="1161"/>
      <c r="AH144" s="1161"/>
      <c r="AI144" s="1161"/>
      <c r="AJ144" s="1161"/>
      <c r="AK144" s="1161"/>
      <c r="AL144" s="1161"/>
      <c r="AM144" s="1161"/>
      <c r="AN144" s="1161"/>
      <c r="AO144" s="1161"/>
      <c r="AP144" s="1161"/>
      <c r="AQ144" s="1161"/>
      <c r="AR144" s="1161"/>
      <c r="AS144" s="1161"/>
      <c r="AT144" s="1161"/>
      <c r="AU144" s="1161"/>
      <c r="AV144" s="1161"/>
      <c r="AW144" s="1161"/>
      <c r="AX144" s="1161"/>
      <c r="AY144" s="1161"/>
      <c r="AZ144" s="1161"/>
      <c r="BA144" s="1161"/>
      <c r="BB144" s="1161"/>
      <c r="BC144" s="1161"/>
      <c r="BD144" s="1161"/>
      <c r="BE144" s="1161"/>
      <c r="BF144" s="1161"/>
      <c r="BG144" s="1161"/>
      <c r="BH144" s="1161"/>
      <c r="BI144" s="1161"/>
      <c r="BJ144" s="1161"/>
      <c r="BK144" s="1161"/>
      <c r="BL144" s="1161"/>
      <c r="BM144" s="1161"/>
      <c r="BN144" s="1161"/>
      <c r="BO144" s="1161"/>
      <c r="BP144" s="1161"/>
    </row>
    <row r="145" spans="2:68">
      <c r="B145" s="1161"/>
      <c r="C145" s="1161"/>
      <c r="D145" s="685" t="s">
        <v>1791</v>
      </c>
      <c r="E145" s="1161"/>
      <c r="F145" s="1161"/>
      <c r="G145" s="1161"/>
      <c r="H145" s="1161"/>
      <c r="I145" s="1161"/>
      <c r="J145" s="1161"/>
      <c r="K145" s="1161"/>
      <c r="L145" s="1161"/>
      <c r="M145" s="1161"/>
      <c r="N145" s="1161"/>
      <c r="O145" s="1161"/>
      <c r="P145" s="1161"/>
      <c r="Q145" s="1161"/>
      <c r="R145" s="1161"/>
      <c r="S145" s="1161"/>
      <c r="T145" s="1161"/>
      <c r="U145" s="1161"/>
      <c r="V145" s="1161"/>
      <c r="W145" s="1161"/>
      <c r="X145" s="1161"/>
      <c r="Y145" s="1161"/>
      <c r="Z145" s="1161"/>
      <c r="AA145" s="1161"/>
      <c r="AB145" s="1161"/>
      <c r="AC145" s="1161"/>
      <c r="AD145" s="1161"/>
      <c r="AE145" s="1161"/>
      <c r="AF145" s="1161"/>
      <c r="AG145" s="1161"/>
      <c r="AH145" s="1161"/>
      <c r="AI145" s="1161"/>
      <c r="AJ145" s="1161"/>
      <c r="AK145" s="1161"/>
      <c r="AL145" s="1161"/>
      <c r="AM145" s="1161"/>
      <c r="AN145" s="1161"/>
      <c r="AO145" s="1161"/>
      <c r="AP145" s="1161"/>
      <c r="AQ145" s="1161"/>
      <c r="AR145" s="1161"/>
      <c r="AS145" s="1161"/>
      <c r="AT145" s="1161"/>
      <c r="AU145" s="1161"/>
      <c r="AV145" s="1161"/>
      <c r="AW145" s="1161"/>
      <c r="AX145" s="1161"/>
      <c r="AY145" s="1161"/>
      <c r="AZ145" s="1161"/>
      <c r="BA145" s="1161"/>
      <c r="BB145" s="1161"/>
      <c r="BC145" s="1161"/>
      <c r="BD145" s="1161"/>
      <c r="BE145" s="1161"/>
      <c r="BF145" s="1161"/>
      <c r="BG145" s="1161"/>
      <c r="BH145" s="1161"/>
      <c r="BI145" s="1161"/>
      <c r="BJ145" s="1161"/>
      <c r="BK145" s="1161"/>
      <c r="BL145" s="1161"/>
      <c r="BM145" s="1161"/>
      <c r="BN145" s="1161"/>
      <c r="BO145" s="1161"/>
      <c r="BP145" s="1161"/>
    </row>
    <row r="146" spans="2:68" ht="13.5" thickBot="1">
      <c r="B146" s="1161"/>
      <c r="C146" s="1161"/>
      <c r="D146" s="1161"/>
      <c r="E146" s="1161"/>
      <c r="F146" s="1161"/>
      <c r="G146" s="1161"/>
      <c r="H146" s="1161"/>
      <c r="I146" s="1161"/>
      <c r="J146" s="1161"/>
      <c r="K146" s="1161"/>
      <c r="L146" s="1161"/>
      <c r="M146" s="1161"/>
      <c r="N146" s="1161"/>
      <c r="O146" s="1161"/>
      <c r="P146" s="1161"/>
      <c r="Q146" s="1161"/>
      <c r="R146" s="1161"/>
      <c r="S146" s="1161"/>
      <c r="T146" s="1161"/>
      <c r="U146" s="1161"/>
      <c r="V146" s="1161"/>
      <c r="W146" s="1161"/>
      <c r="X146" s="1161"/>
      <c r="Y146" s="1161"/>
      <c r="Z146" s="1161"/>
      <c r="AA146" s="1161"/>
      <c r="AB146" s="1161"/>
      <c r="AC146" s="1161"/>
      <c r="AD146" s="1161"/>
      <c r="AE146" s="1161"/>
      <c r="AF146" s="1161"/>
      <c r="AG146" s="1161"/>
      <c r="AH146" s="1161"/>
      <c r="AI146" s="1161"/>
      <c r="AJ146" s="1161"/>
      <c r="AK146" s="1161"/>
      <c r="AL146" s="1161"/>
      <c r="AM146" s="1161"/>
      <c r="AN146" s="1161"/>
      <c r="AO146" s="1161"/>
      <c r="AP146" s="1161"/>
      <c r="AQ146" s="1161"/>
      <c r="AR146" s="1161"/>
      <c r="AS146" s="1161"/>
      <c r="AT146" s="1161"/>
      <c r="AU146" s="1161"/>
      <c r="AV146" s="1161"/>
      <c r="AW146" s="1161"/>
      <c r="AX146" s="1161"/>
      <c r="AY146" s="1161"/>
      <c r="AZ146" s="1161"/>
      <c r="BA146" s="1161"/>
      <c r="BB146" s="1161"/>
      <c r="BC146" s="1161"/>
      <c r="BD146" s="1161"/>
      <c r="BE146" s="1161"/>
      <c r="BF146" s="1161"/>
      <c r="BG146" s="1161"/>
      <c r="BH146" s="1161"/>
      <c r="BI146" s="1161"/>
      <c r="BJ146" s="1161"/>
      <c r="BK146" s="1161"/>
      <c r="BL146" s="1161"/>
      <c r="BM146" s="1161"/>
      <c r="BN146" s="1161"/>
      <c r="BO146" s="1161"/>
      <c r="BP146" s="1161"/>
    </row>
    <row r="147" spans="2:68">
      <c r="B147" s="1161"/>
      <c r="C147" s="1161"/>
      <c r="D147" s="1504"/>
      <c r="E147" s="1505"/>
      <c r="F147" s="1085" t="s">
        <v>1792</v>
      </c>
      <c r="G147" s="1085" t="s">
        <v>1793</v>
      </c>
      <c r="H147" s="1085" t="s">
        <v>1794</v>
      </c>
      <c r="I147" s="1085" t="s">
        <v>25</v>
      </c>
      <c r="J147" s="1085" t="s">
        <v>1795</v>
      </c>
      <c r="K147" s="1085" t="s">
        <v>1796</v>
      </c>
      <c r="L147" s="1085" t="s">
        <v>1797</v>
      </c>
      <c r="M147" s="1085" t="s">
        <v>1798</v>
      </c>
      <c r="N147" s="1085" t="s">
        <v>1799</v>
      </c>
      <c r="O147" s="1221" t="s">
        <v>1800</v>
      </c>
      <c r="P147" s="1161"/>
      <c r="Q147" s="1161"/>
      <c r="R147" s="1161"/>
      <c r="S147" s="1161"/>
      <c r="T147" s="1161"/>
      <c r="U147" s="1161"/>
      <c r="V147" s="1161"/>
      <c r="W147" s="1161"/>
      <c r="X147" s="1161"/>
      <c r="Y147" s="1161"/>
      <c r="Z147" s="1161"/>
      <c r="AA147" s="1161"/>
      <c r="AB147" s="1161"/>
      <c r="AC147" s="1161"/>
      <c r="AD147" s="1161"/>
      <c r="AE147" s="1161"/>
      <c r="AF147" s="1161"/>
      <c r="AG147" s="1161"/>
      <c r="AH147" s="1161"/>
      <c r="AI147" s="1161"/>
      <c r="AJ147" s="1161"/>
      <c r="AK147" s="1161"/>
      <c r="AL147" s="1161"/>
      <c r="AM147" s="1161"/>
      <c r="AN147" s="1161"/>
      <c r="AO147" s="1161"/>
      <c r="AP147" s="1161"/>
      <c r="AQ147" s="1161"/>
      <c r="AR147" s="1161"/>
      <c r="AS147" s="1161"/>
      <c r="AT147" s="1161"/>
      <c r="AU147" s="1161"/>
      <c r="AV147" s="1161"/>
      <c r="AW147" s="1161"/>
      <c r="AX147" s="1161"/>
      <c r="AY147" s="1161"/>
      <c r="AZ147" s="1161"/>
      <c r="BA147" s="1161"/>
      <c r="BB147" s="1161"/>
      <c r="BC147" s="1161"/>
      <c r="BD147" s="1161"/>
      <c r="BE147" s="1161"/>
      <c r="BF147" s="1161"/>
      <c r="BG147" s="1161"/>
      <c r="BH147" s="1161"/>
      <c r="BI147" s="1161"/>
      <c r="BJ147" s="1161"/>
      <c r="BK147" s="1161"/>
      <c r="BL147" s="1161"/>
      <c r="BM147" s="1161"/>
      <c r="BN147" s="1161"/>
      <c r="BO147" s="1161"/>
      <c r="BP147" s="1161"/>
    </row>
    <row r="148" spans="2:68">
      <c r="B148" s="1161"/>
      <c r="C148" s="1161"/>
      <c r="D148" s="1506"/>
      <c r="E148" s="1507"/>
      <c r="F148" s="1508" t="s">
        <v>1801</v>
      </c>
      <c r="G148" s="1508" t="s">
        <v>1801</v>
      </c>
      <c r="H148" s="1508" t="s">
        <v>90</v>
      </c>
      <c r="I148" s="1508" t="s">
        <v>1802</v>
      </c>
      <c r="J148" s="1508" t="s">
        <v>1803</v>
      </c>
      <c r="K148" s="1508" t="s">
        <v>1803</v>
      </c>
      <c r="L148" s="1508" t="s">
        <v>1803</v>
      </c>
      <c r="M148" s="1508" t="s">
        <v>674</v>
      </c>
      <c r="N148" s="1508" t="s">
        <v>674</v>
      </c>
      <c r="O148" s="1509" t="s">
        <v>674</v>
      </c>
      <c r="P148" s="1161"/>
      <c r="Q148" s="1161"/>
      <c r="R148" s="1161"/>
      <c r="S148" s="1161"/>
      <c r="T148" s="1161"/>
      <c r="U148" s="1161"/>
      <c r="V148" s="1161"/>
      <c r="W148" s="1161"/>
      <c r="X148" s="1161"/>
      <c r="Y148" s="1161"/>
      <c r="Z148" s="1161"/>
      <c r="AA148" s="1161"/>
      <c r="AB148" s="1161"/>
      <c r="AC148" s="1161"/>
      <c r="AD148" s="1161"/>
      <c r="AE148" s="1161"/>
      <c r="AF148" s="1161"/>
      <c r="AG148" s="1161"/>
      <c r="AH148" s="1161"/>
      <c r="AI148" s="1161"/>
      <c r="AJ148" s="1161"/>
      <c r="AK148" s="1161"/>
      <c r="AL148" s="1161"/>
      <c r="AM148" s="1161"/>
      <c r="AN148" s="1161"/>
      <c r="AO148" s="1161"/>
      <c r="AP148" s="1161"/>
      <c r="AQ148" s="1161"/>
      <c r="AR148" s="1161"/>
      <c r="AS148" s="1161"/>
      <c r="AT148" s="1161"/>
      <c r="AU148" s="1161"/>
      <c r="AV148" s="1161"/>
      <c r="AW148" s="1161"/>
      <c r="AX148" s="1161"/>
      <c r="AY148" s="1161"/>
      <c r="AZ148" s="1161"/>
      <c r="BA148" s="1161"/>
      <c r="BB148" s="1161"/>
      <c r="BC148" s="1161"/>
      <c r="BD148" s="1161"/>
      <c r="BE148" s="1161"/>
      <c r="BF148" s="1161"/>
      <c r="BG148" s="1161"/>
      <c r="BH148" s="1161"/>
      <c r="BI148" s="1161"/>
      <c r="BJ148" s="1161"/>
      <c r="BK148" s="1161"/>
      <c r="BL148" s="1161"/>
      <c r="BM148" s="1161"/>
      <c r="BN148" s="1161"/>
      <c r="BO148" s="1161"/>
      <c r="BP148" s="1161"/>
    </row>
    <row r="149" spans="2:68">
      <c r="B149" s="1161"/>
      <c r="C149" s="1161"/>
      <c r="D149" s="1510" t="s">
        <v>1772</v>
      </c>
      <c r="E149" s="1511" t="s">
        <v>1673</v>
      </c>
      <c r="F149" s="279">
        <f>E113</f>
        <v>45184</v>
      </c>
      <c r="G149" s="279">
        <f>F149*H149</f>
        <v>24851.199999999997</v>
      </c>
      <c r="H149" s="714">
        <f>AVERAGE(D133:D135)</f>
        <v>0.54999999999999993</v>
      </c>
      <c r="I149" s="279">
        <f>F113/1000</f>
        <v>50131.758829999999</v>
      </c>
      <c r="J149" s="717">
        <f>O127</f>
        <v>3.7609869211385849</v>
      </c>
      <c r="K149" s="717">
        <f t="shared" ref="K149:L152" si="13">P127</f>
        <v>3.035893517863149</v>
      </c>
      <c r="L149" s="717">
        <f t="shared" si="13"/>
        <v>2.7389870385735291</v>
      </c>
      <c r="M149" s="717">
        <f>O135</f>
        <v>14.310439470682837</v>
      </c>
      <c r="N149" s="717">
        <f t="shared" ref="N149:O149" si="14">P135</f>
        <v>13.594917497148694</v>
      </c>
      <c r="O149" s="60">
        <f t="shared" si="14"/>
        <v>12.879395523614553</v>
      </c>
      <c r="P149" s="1161"/>
      <c r="Q149" s="1161"/>
      <c r="R149" s="1161"/>
      <c r="S149" s="1161"/>
      <c r="T149" s="1161"/>
      <c r="U149" s="1161"/>
      <c r="V149" s="1161"/>
      <c r="W149" s="1161"/>
      <c r="X149" s="1161"/>
      <c r="Y149" s="1161"/>
      <c r="Z149" s="1161"/>
      <c r="AA149" s="1161"/>
      <c r="AB149" s="1161"/>
      <c r="AC149" s="1161"/>
      <c r="AD149" s="1161"/>
      <c r="AE149" s="1161"/>
      <c r="AF149" s="1161"/>
      <c r="AG149" s="1161"/>
      <c r="AH149" s="1161"/>
      <c r="AI149" s="1161"/>
      <c r="AJ149" s="1161"/>
      <c r="AK149" s="1161"/>
      <c r="AL149" s="1161"/>
      <c r="AM149" s="1161"/>
      <c r="AN149" s="1161"/>
      <c r="AO149" s="1161"/>
      <c r="AP149" s="1161"/>
      <c r="AQ149" s="1161"/>
      <c r="AR149" s="1161"/>
      <c r="AS149" s="1161"/>
      <c r="AT149" s="1161"/>
      <c r="AU149" s="1161"/>
      <c r="AV149" s="1161"/>
      <c r="AW149" s="1161"/>
      <c r="AX149" s="1161"/>
      <c r="AY149" s="1161"/>
      <c r="AZ149" s="1161"/>
      <c r="BA149" s="1161"/>
      <c r="BB149" s="1161"/>
      <c r="BC149" s="1161"/>
      <c r="BD149" s="1161"/>
      <c r="BE149" s="1161"/>
      <c r="BF149" s="1161"/>
      <c r="BG149" s="1161"/>
      <c r="BH149" s="1161"/>
      <c r="BI149" s="1161"/>
      <c r="BJ149" s="1161"/>
      <c r="BK149" s="1161"/>
      <c r="BL149" s="1161"/>
      <c r="BM149" s="1161"/>
      <c r="BN149" s="1161"/>
      <c r="BO149" s="1161"/>
      <c r="BP149" s="1161"/>
    </row>
    <row r="150" spans="2:68">
      <c r="B150" s="1161"/>
      <c r="C150" s="1161"/>
      <c r="D150" s="1510" t="s">
        <v>1776</v>
      </c>
      <c r="E150" s="1512" t="s">
        <v>1674</v>
      </c>
      <c r="F150" s="279">
        <f>E114</f>
        <v>61430.909090909088</v>
      </c>
      <c r="G150" s="279">
        <f>F150*H150</f>
        <v>31739.303030303032</v>
      </c>
      <c r="H150" s="714">
        <f>AVERAGE(D127:D132)</f>
        <v>0.51666666666666672</v>
      </c>
      <c r="I150" s="279">
        <f>F114/1000</f>
        <v>68611.997780000005</v>
      </c>
      <c r="J150" s="717">
        <f t="shared" ref="J150:J152" si="15">O128</f>
        <v>4.5795124644179204</v>
      </c>
      <c r="K150" s="717">
        <f t="shared" si="13"/>
        <v>3.521487151522388</v>
      </c>
      <c r="L150" s="717">
        <f t="shared" si="13"/>
        <v>2.760266599896962</v>
      </c>
      <c r="M150" s="717">
        <f t="shared" ref="M150:O152" si="16">O136</f>
        <v>15</v>
      </c>
      <c r="N150" s="717">
        <f t="shared" si="16"/>
        <v>14.25</v>
      </c>
      <c r="O150" s="60">
        <f t="shared" si="16"/>
        <v>12.825000000000001</v>
      </c>
      <c r="P150" s="1161"/>
      <c r="Q150" s="1161"/>
      <c r="R150" s="1161"/>
      <c r="S150" s="1161"/>
      <c r="T150" s="1161"/>
      <c r="U150" s="1161"/>
      <c r="V150" s="1161"/>
      <c r="W150" s="1161"/>
      <c r="X150" s="1161"/>
      <c r="Y150" s="1161"/>
      <c r="Z150" s="1161"/>
      <c r="AA150" s="1161"/>
      <c r="AB150" s="1161"/>
      <c r="AC150" s="1161"/>
      <c r="AD150" s="1161"/>
      <c r="AE150" s="1161"/>
      <c r="AF150" s="1161"/>
      <c r="AG150" s="1161"/>
      <c r="AH150" s="1161"/>
      <c r="AI150" s="1161"/>
      <c r="AJ150" s="1161"/>
      <c r="AK150" s="1161"/>
      <c r="AL150" s="1161"/>
      <c r="AM150" s="1161"/>
      <c r="AN150" s="1161"/>
      <c r="AO150" s="1161"/>
      <c r="AP150" s="1161"/>
      <c r="AQ150" s="1161"/>
      <c r="AR150" s="1161"/>
      <c r="AS150" s="1161"/>
      <c r="AT150" s="1161"/>
      <c r="AU150" s="1161"/>
      <c r="AV150" s="1161"/>
      <c r="AW150" s="1161"/>
      <c r="AX150" s="1161"/>
      <c r="AY150" s="1161"/>
      <c r="AZ150" s="1161"/>
      <c r="BA150" s="1161"/>
      <c r="BB150" s="1161"/>
      <c r="BC150" s="1161"/>
      <c r="BD150" s="1161"/>
      <c r="BE150" s="1161"/>
      <c r="BF150" s="1161"/>
      <c r="BG150" s="1161"/>
      <c r="BH150" s="1161"/>
      <c r="BI150" s="1161"/>
      <c r="BJ150" s="1161"/>
      <c r="BK150" s="1161"/>
      <c r="BL150" s="1161"/>
      <c r="BM150" s="1161"/>
      <c r="BN150" s="1161"/>
      <c r="BO150" s="1161"/>
      <c r="BP150" s="1161"/>
    </row>
    <row r="151" spans="2:68">
      <c r="B151" s="1161"/>
      <c r="C151" s="1161"/>
      <c r="D151" s="1510" t="s">
        <v>1489</v>
      </c>
      <c r="E151" s="1512" t="s">
        <v>1675</v>
      </c>
      <c r="F151" s="279">
        <f>E115</f>
        <v>26531</v>
      </c>
      <c r="G151" s="279">
        <f>F151*H151</f>
        <v>18571.699999999997</v>
      </c>
      <c r="H151" s="714">
        <f>D138</f>
        <v>0.7</v>
      </c>
      <c r="I151" s="279">
        <f>F115/1000</f>
        <v>20996.695339999998</v>
      </c>
      <c r="J151" s="717">
        <f t="shared" si="15"/>
        <v>7.0641443156294805</v>
      </c>
      <c r="K151" s="717">
        <f t="shared" si="13"/>
        <v>5.1651091741160853</v>
      </c>
      <c r="L151" s="717">
        <f t="shared" si="13"/>
        <v>5.1651091741160853</v>
      </c>
      <c r="M151" s="717">
        <f t="shared" si="16"/>
        <v>21.74245036976534</v>
      </c>
      <c r="N151" s="717">
        <f t="shared" si="16"/>
        <v>18.5</v>
      </c>
      <c r="O151" s="60">
        <f t="shared" si="16"/>
        <v>18.5</v>
      </c>
      <c r="P151" s="1161"/>
      <c r="Q151" s="1161"/>
      <c r="R151" s="1161"/>
      <c r="S151" s="1161"/>
      <c r="T151" s="1161"/>
      <c r="U151" s="1161"/>
      <c r="V151" s="1161"/>
      <c r="W151" s="1161"/>
      <c r="X151" s="1161"/>
      <c r="Y151" s="1161"/>
      <c r="Z151" s="1161"/>
      <c r="AA151" s="1161"/>
      <c r="AB151" s="1161"/>
      <c r="AC151" s="1161"/>
      <c r="AD151" s="1161"/>
      <c r="AE151" s="1161"/>
      <c r="AF151" s="1161"/>
      <c r="AG151" s="1161"/>
      <c r="AH151" s="1161"/>
      <c r="AI151" s="1161"/>
      <c r="AJ151" s="1161"/>
      <c r="AK151" s="1161"/>
      <c r="AL151" s="1161"/>
      <c r="AM151" s="1161"/>
      <c r="AN151" s="1161"/>
      <c r="AO151" s="1161"/>
      <c r="AP151" s="1161"/>
      <c r="AQ151" s="1161"/>
      <c r="AR151" s="1161"/>
      <c r="AS151" s="1161"/>
      <c r="AT151" s="1161"/>
      <c r="AU151" s="1161"/>
      <c r="AV151" s="1161"/>
      <c r="AW151" s="1161"/>
      <c r="AX151" s="1161"/>
      <c r="AY151" s="1161"/>
      <c r="AZ151" s="1161"/>
      <c r="BA151" s="1161"/>
      <c r="BB151" s="1161"/>
      <c r="BC151" s="1161"/>
      <c r="BD151" s="1161"/>
      <c r="BE151" s="1161"/>
      <c r="BF151" s="1161"/>
      <c r="BG151" s="1161"/>
      <c r="BH151" s="1161"/>
      <c r="BI151" s="1161"/>
      <c r="BJ151" s="1161"/>
      <c r="BK151" s="1161"/>
      <c r="BL151" s="1161"/>
      <c r="BM151" s="1161"/>
      <c r="BN151" s="1161"/>
      <c r="BO151" s="1161"/>
      <c r="BP151" s="1161"/>
    </row>
    <row r="152" spans="2:68" ht="13.5" thickBot="1">
      <c r="B152" s="1161"/>
      <c r="C152" s="1161"/>
      <c r="D152" s="1513" t="s">
        <v>1781</v>
      </c>
      <c r="E152" s="1514" t="s">
        <v>1676</v>
      </c>
      <c r="F152" s="1515">
        <f>AVERAGE(E116:E118)</f>
        <v>12082.420634920636</v>
      </c>
      <c r="G152" s="1515">
        <f>F152*H152</f>
        <v>8457.6944444444453</v>
      </c>
      <c r="H152" s="1516">
        <f>D140</f>
        <v>0.7</v>
      </c>
      <c r="I152" s="1515">
        <f>SUM(F116:F118)/1000</f>
        <v>12766.51197</v>
      </c>
      <c r="J152" s="1517">
        <f t="shared" si="15"/>
        <v>7.0641443156294805</v>
      </c>
      <c r="K152" s="1517">
        <f t="shared" si="13"/>
        <v>5.1651091741160853</v>
      </c>
      <c r="L152" s="1517">
        <f t="shared" si="13"/>
        <v>5.1651091741160853</v>
      </c>
      <c r="M152" s="1517">
        <f t="shared" si="16"/>
        <v>21.74245036976534</v>
      </c>
      <c r="N152" s="1517">
        <f t="shared" si="16"/>
        <v>18.5</v>
      </c>
      <c r="O152" s="1518">
        <f t="shared" si="16"/>
        <v>18.5</v>
      </c>
      <c r="P152" s="1161"/>
      <c r="Q152" s="1161"/>
      <c r="R152" s="1161"/>
      <c r="S152" s="1161"/>
      <c r="T152" s="1161"/>
      <c r="U152" s="1161"/>
      <c r="V152" s="1161"/>
      <c r="W152" s="1161"/>
      <c r="X152" s="1161"/>
      <c r="Y152" s="1161"/>
      <c r="Z152" s="1161"/>
      <c r="AA152" s="1161"/>
      <c r="AB152" s="1161"/>
      <c r="AC152" s="1161"/>
      <c r="AD152" s="1161"/>
      <c r="AE152" s="1161"/>
      <c r="AF152" s="1161"/>
      <c r="AG152" s="1161"/>
      <c r="AH152" s="1161"/>
      <c r="AI152" s="1161"/>
      <c r="AJ152" s="1161"/>
      <c r="AK152" s="1161"/>
      <c r="AL152" s="1161"/>
      <c r="AM152" s="1161"/>
      <c r="AN152" s="1161"/>
      <c r="AO152" s="1161"/>
      <c r="AP152" s="1161"/>
      <c r="AQ152" s="1161"/>
      <c r="AR152" s="1161"/>
      <c r="AS152" s="1161"/>
      <c r="AT152" s="1161"/>
      <c r="AU152" s="1161"/>
      <c r="AV152" s="1161"/>
      <c r="AW152" s="1161"/>
      <c r="AX152" s="1161"/>
      <c r="AY152" s="1161"/>
      <c r="AZ152" s="1161"/>
      <c r="BA152" s="1161"/>
      <c r="BB152" s="1161"/>
      <c r="BC152" s="1161"/>
      <c r="BD152" s="1161"/>
      <c r="BE152" s="1161"/>
      <c r="BF152" s="1161"/>
      <c r="BG152" s="1161"/>
      <c r="BH152" s="1161"/>
      <c r="BI152" s="1161"/>
      <c r="BJ152" s="1161"/>
      <c r="BK152" s="1161"/>
      <c r="BL152" s="1161"/>
      <c r="BM152" s="1161"/>
      <c r="BN152" s="1161"/>
      <c r="BO152" s="1161"/>
      <c r="BP152" s="1161"/>
    </row>
    <row r="153" spans="2:68">
      <c r="B153" s="1161"/>
      <c r="C153" s="1161"/>
      <c r="D153" s="1161"/>
      <c r="E153" s="1161"/>
      <c r="F153" s="1161"/>
      <c r="G153" s="1161"/>
      <c r="H153" s="1161"/>
      <c r="I153" s="1161"/>
      <c r="J153" s="1161"/>
      <c r="K153" s="1161"/>
      <c r="L153" s="1161"/>
      <c r="M153" s="1161"/>
      <c r="N153" s="1161"/>
      <c r="O153" s="1161"/>
      <c r="P153" s="1161"/>
      <c r="Q153" s="1161"/>
      <c r="R153" s="1161"/>
      <c r="S153" s="1161"/>
      <c r="T153" s="1161"/>
      <c r="U153" s="1161"/>
      <c r="V153" s="1161"/>
      <c r="W153" s="1161"/>
      <c r="X153" s="1161"/>
      <c r="Y153" s="1161"/>
      <c r="Z153" s="1161"/>
      <c r="AA153" s="1161"/>
      <c r="AB153" s="1161"/>
      <c r="AC153" s="1161"/>
      <c r="AD153" s="1161"/>
      <c r="AE153" s="1161"/>
      <c r="AF153" s="1161"/>
      <c r="AG153" s="1161"/>
      <c r="AH153" s="1161"/>
      <c r="AI153" s="1161"/>
      <c r="AJ153" s="1161"/>
      <c r="AK153" s="1161"/>
      <c r="AL153" s="1161"/>
      <c r="AM153" s="1161"/>
      <c r="AN153" s="1161"/>
      <c r="AO153" s="1161"/>
      <c r="AP153" s="1161"/>
      <c r="AQ153" s="1161"/>
      <c r="AR153" s="1161"/>
      <c r="AS153" s="1161"/>
      <c r="AT153" s="1161"/>
      <c r="AU153" s="1161"/>
      <c r="AV153" s="1161"/>
      <c r="AW153" s="1161"/>
      <c r="AX153" s="1161"/>
      <c r="AY153" s="1161"/>
      <c r="AZ153" s="1161"/>
      <c r="BA153" s="1161"/>
      <c r="BB153" s="1161"/>
      <c r="BC153" s="1161"/>
      <c r="BD153" s="1161"/>
      <c r="BE153" s="1161"/>
      <c r="BF153" s="1161"/>
      <c r="BG153" s="1161"/>
      <c r="BH153" s="1161"/>
      <c r="BI153" s="1161"/>
      <c r="BJ153" s="1161"/>
      <c r="BK153" s="1161"/>
      <c r="BL153" s="1161"/>
      <c r="BM153" s="1161"/>
      <c r="BN153" s="1161"/>
      <c r="BO153" s="1161"/>
      <c r="BP153" s="1161"/>
    </row>
    <row r="154" spans="2:68">
      <c r="B154" s="1161"/>
      <c r="C154" s="1161"/>
      <c r="D154" s="1161"/>
      <c r="E154" s="1161"/>
      <c r="F154" s="1161"/>
      <c r="G154" s="1161"/>
      <c r="H154" s="1161"/>
      <c r="I154" s="1161"/>
      <c r="J154" s="1161"/>
      <c r="K154" s="1161"/>
      <c r="L154" s="1161"/>
      <c r="M154" s="1161"/>
      <c r="N154" s="1161"/>
      <c r="O154" s="1161"/>
      <c r="P154" s="1161"/>
      <c r="Q154" s="1161"/>
      <c r="R154" s="1161"/>
      <c r="S154" s="1161"/>
      <c r="T154" s="1161"/>
      <c r="U154" s="1161"/>
      <c r="V154" s="1161"/>
      <c r="W154" s="1161"/>
      <c r="X154" s="1161"/>
      <c r="Y154" s="1161"/>
      <c r="Z154" s="1161"/>
      <c r="AA154" s="1161"/>
      <c r="AB154" s="1161"/>
      <c r="AC154" s="1161"/>
      <c r="AD154" s="1161"/>
      <c r="AE154" s="1161"/>
      <c r="AF154" s="1161"/>
      <c r="AG154" s="1161"/>
      <c r="AH154" s="1161"/>
      <c r="AI154" s="1161"/>
      <c r="AJ154" s="1161"/>
      <c r="AK154" s="1161"/>
      <c r="AL154" s="1161"/>
      <c r="AM154" s="1161"/>
      <c r="AN154" s="1161"/>
      <c r="AO154" s="1161"/>
      <c r="AP154" s="1161"/>
      <c r="AQ154" s="1161"/>
      <c r="AR154" s="1161"/>
      <c r="AS154" s="1161"/>
      <c r="AT154" s="1161"/>
      <c r="AU154" s="1161"/>
      <c r="AV154" s="1161"/>
      <c r="AW154" s="1161"/>
      <c r="AX154" s="1161"/>
      <c r="AY154" s="1161"/>
      <c r="AZ154" s="1161"/>
      <c r="BA154" s="1161"/>
      <c r="BB154" s="1161"/>
      <c r="BC154" s="1161"/>
      <c r="BD154" s="1161"/>
      <c r="BE154" s="1161"/>
      <c r="BF154" s="1161"/>
      <c r="BG154" s="1161"/>
      <c r="BH154" s="1161"/>
      <c r="BI154" s="1161"/>
      <c r="BJ154" s="1161"/>
      <c r="BK154" s="1161"/>
      <c r="BL154" s="1161"/>
      <c r="BM154" s="1161"/>
      <c r="BN154" s="1161"/>
      <c r="BO154" s="1161"/>
      <c r="BP154" s="1161"/>
    </row>
    <row r="155" spans="2:68">
      <c r="B155" s="1161"/>
      <c r="C155" s="1161"/>
      <c r="D155" s="1161"/>
      <c r="E155" s="1161"/>
      <c r="F155" s="1161"/>
      <c r="G155" s="1161"/>
      <c r="H155" s="1161"/>
      <c r="I155" s="1161"/>
      <c r="J155" s="1161"/>
      <c r="K155" s="1161"/>
      <c r="L155" s="1161"/>
      <c r="M155" s="1161"/>
      <c r="N155" s="1161"/>
      <c r="O155" s="1161"/>
      <c r="P155" s="1161"/>
      <c r="Q155" s="1161"/>
      <c r="R155" s="1161"/>
      <c r="S155" s="1161"/>
      <c r="T155" s="1161"/>
      <c r="U155" s="1161"/>
      <c r="V155" s="1161"/>
      <c r="W155" s="1161"/>
      <c r="X155" s="1161"/>
      <c r="Y155" s="1161"/>
      <c r="Z155" s="1161"/>
      <c r="AA155" s="1161"/>
      <c r="AB155" s="1161"/>
      <c r="AC155" s="1161"/>
      <c r="AD155" s="1161"/>
      <c r="AE155" s="1161"/>
      <c r="AF155" s="1161"/>
      <c r="AG155" s="1161"/>
      <c r="AH155" s="1161"/>
      <c r="AI155" s="1161"/>
      <c r="AJ155" s="1161"/>
      <c r="AK155" s="1161"/>
      <c r="AL155" s="1161"/>
      <c r="AM155" s="1161"/>
      <c r="AN155" s="1161"/>
      <c r="AO155" s="1161"/>
      <c r="AP155" s="1161"/>
      <c r="AQ155" s="1161"/>
      <c r="AR155" s="1161"/>
      <c r="AS155" s="1161"/>
      <c r="AT155" s="1161"/>
      <c r="AU155" s="1161"/>
      <c r="AV155" s="1161"/>
      <c r="AW155" s="1161"/>
      <c r="AX155" s="1161"/>
      <c r="AY155" s="1161"/>
      <c r="AZ155" s="1161"/>
      <c r="BA155" s="1161"/>
      <c r="BB155" s="1161"/>
      <c r="BC155" s="1161"/>
      <c r="BD155" s="1161"/>
      <c r="BE155" s="1161"/>
      <c r="BF155" s="1161"/>
      <c r="BG155" s="1161"/>
      <c r="BH155" s="1161"/>
      <c r="BI155" s="1161"/>
      <c r="BJ155" s="1161"/>
      <c r="BK155" s="1161"/>
      <c r="BL155" s="1161"/>
      <c r="BM155" s="1161"/>
      <c r="BN155" s="1161"/>
      <c r="BO155" s="1161"/>
      <c r="BP155" s="1161"/>
    </row>
    <row r="156" spans="2:68">
      <c r="B156" s="1161"/>
      <c r="C156" s="1161"/>
      <c r="D156" s="1161"/>
      <c r="E156" s="440"/>
      <c r="F156" s="1161"/>
      <c r="G156" s="1161"/>
      <c r="H156" s="1161"/>
      <c r="I156" s="1161"/>
      <c r="J156" s="1161"/>
      <c r="K156" s="1161"/>
      <c r="L156" s="1161"/>
      <c r="M156" s="1161"/>
      <c r="N156" s="1161"/>
      <c r="O156" s="1161"/>
      <c r="P156" s="1161"/>
      <c r="Q156" s="1161"/>
      <c r="R156" s="1161"/>
      <c r="S156" s="1161"/>
      <c r="T156" s="1161"/>
      <c r="U156" s="1161"/>
      <c r="V156" s="1161"/>
      <c r="W156" s="1161"/>
      <c r="X156" s="1161"/>
      <c r="Y156" s="1161"/>
      <c r="Z156" s="1161"/>
      <c r="AA156" s="1161"/>
      <c r="AB156" s="1161"/>
      <c r="AC156" s="1161"/>
      <c r="AD156" s="1161"/>
      <c r="AE156" s="1161"/>
      <c r="AF156" s="1161"/>
      <c r="AG156" s="1161"/>
      <c r="AH156" s="1161"/>
      <c r="AI156" s="1161"/>
      <c r="AJ156" s="1161"/>
      <c r="AK156" s="1161"/>
      <c r="AL156" s="1161"/>
      <c r="AM156" s="1161"/>
      <c r="AN156" s="1161"/>
      <c r="AO156" s="1161"/>
      <c r="AP156" s="1161"/>
      <c r="AQ156" s="1161"/>
      <c r="AR156" s="1161"/>
      <c r="AS156" s="1161"/>
      <c r="AT156" s="1161"/>
      <c r="AU156" s="1161"/>
      <c r="AV156" s="1161"/>
      <c r="AW156" s="1161"/>
      <c r="AX156" s="1161"/>
      <c r="AY156" s="1161"/>
      <c r="AZ156" s="1161"/>
      <c r="BA156" s="1161"/>
      <c r="BB156" s="1161"/>
      <c r="BC156" s="1161"/>
      <c r="BD156" s="1161"/>
      <c r="BE156" s="1161"/>
      <c r="BF156" s="1161"/>
      <c r="BG156" s="1161"/>
      <c r="BH156" s="1161"/>
      <c r="BI156" s="1161"/>
      <c r="BJ156" s="1161"/>
      <c r="BK156" s="1161"/>
      <c r="BL156" s="1161"/>
      <c r="BM156" s="1161"/>
      <c r="BN156" s="1161"/>
      <c r="BO156" s="1161"/>
      <c r="BP156" s="1161"/>
    </row>
    <row r="157" spans="2:68">
      <c r="B157" s="1161"/>
      <c r="C157" s="1161"/>
      <c r="D157" s="1161"/>
      <c r="E157" s="440"/>
      <c r="F157" s="1161"/>
      <c r="G157" s="1161"/>
      <c r="H157" s="1161"/>
      <c r="I157" s="1161"/>
      <c r="J157" s="1161"/>
      <c r="K157" s="1161"/>
      <c r="L157" s="1161"/>
      <c r="M157" s="1161"/>
      <c r="N157" s="1161"/>
      <c r="O157" s="1161"/>
      <c r="P157" s="1161"/>
      <c r="Q157" s="1161"/>
      <c r="R157" s="1161"/>
      <c r="S157" s="1161"/>
      <c r="T157" s="1161"/>
      <c r="U157" s="1161"/>
      <c r="V157" s="1161"/>
      <c r="W157" s="1161"/>
      <c r="X157" s="1161"/>
      <c r="Y157" s="1161"/>
      <c r="Z157" s="1161"/>
      <c r="AA157" s="1161"/>
      <c r="AB157" s="1161"/>
      <c r="AC157" s="1161"/>
      <c r="AD157" s="1161"/>
      <c r="AE157" s="1161"/>
      <c r="AF157" s="1161"/>
      <c r="AG157" s="1161"/>
      <c r="AH157" s="1161"/>
      <c r="AI157" s="1161"/>
      <c r="AJ157" s="1161"/>
      <c r="AK157" s="1161"/>
      <c r="AL157" s="1161"/>
      <c r="AM157" s="1161"/>
      <c r="AN157" s="1161"/>
      <c r="AO157" s="1161"/>
      <c r="AP157" s="1161"/>
      <c r="AQ157" s="1161"/>
      <c r="AR157" s="1161"/>
      <c r="AS157" s="1161"/>
      <c r="AT157" s="1161"/>
      <c r="AU157" s="1161"/>
      <c r="AV157" s="1161"/>
      <c r="AW157" s="1161"/>
      <c r="AX157" s="1161"/>
      <c r="AY157" s="1161"/>
      <c r="AZ157" s="1161"/>
      <c r="BA157" s="1161"/>
      <c r="BB157" s="1161"/>
      <c r="BC157" s="1161"/>
      <c r="BD157" s="1161"/>
      <c r="BE157" s="1161"/>
      <c r="BF157" s="1161"/>
      <c r="BG157" s="1161"/>
      <c r="BH157" s="1161"/>
      <c r="BI157" s="1161"/>
      <c r="BJ157" s="1161"/>
      <c r="BK157" s="1161"/>
      <c r="BL157" s="1161"/>
      <c r="BM157" s="1161"/>
      <c r="BN157" s="1161"/>
      <c r="BO157" s="1161"/>
      <c r="BP157" s="1161"/>
    </row>
    <row r="158" spans="2:68">
      <c r="B158" s="1161"/>
      <c r="C158" s="1161"/>
      <c r="D158" s="1161"/>
      <c r="E158" s="440"/>
      <c r="F158" s="1161"/>
      <c r="G158" s="1161"/>
      <c r="H158" s="1161"/>
      <c r="I158" s="1161"/>
      <c r="J158" s="1161"/>
      <c r="K158" s="1161"/>
      <c r="L158" s="1161"/>
      <c r="M158" s="1161"/>
      <c r="N158" s="1161"/>
      <c r="O158" s="1161"/>
      <c r="P158" s="1161"/>
      <c r="Q158" s="1161"/>
      <c r="R158" s="1161"/>
      <c r="S158" s="1161"/>
      <c r="T158" s="1161"/>
      <c r="U158" s="1161"/>
      <c r="V158" s="1161"/>
      <c r="W158" s="1161"/>
      <c r="X158" s="1161"/>
      <c r="Y158" s="1161"/>
      <c r="Z158" s="1161"/>
      <c r="AA158" s="1161"/>
      <c r="AB158" s="1161"/>
      <c r="AC158" s="1161"/>
      <c r="AD158" s="1161"/>
      <c r="AE158" s="1161"/>
      <c r="AF158" s="1161"/>
      <c r="AG158" s="1161"/>
      <c r="AH158" s="1161"/>
      <c r="AI158" s="1161"/>
      <c r="AJ158" s="1161"/>
      <c r="AK158" s="1161"/>
      <c r="AL158" s="1161"/>
      <c r="AM158" s="1161"/>
      <c r="AN158" s="1161"/>
      <c r="AO158" s="1161"/>
      <c r="AP158" s="1161"/>
      <c r="AQ158" s="1161"/>
      <c r="AR158" s="1161"/>
      <c r="AS158" s="1161"/>
      <c r="AT158" s="1161"/>
      <c r="AU158" s="1161"/>
      <c r="AV158" s="1161"/>
      <c r="AW158" s="1161"/>
      <c r="AX158" s="1161"/>
      <c r="AY158" s="1161"/>
      <c r="AZ158" s="1161"/>
      <c r="BA158" s="1161"/>
      <c r="BB158" s="1161"/>
      <c r="BC158" s="1161"/>
      <c r="BD158" s="1161"/>
      <c r="BE158" s="1161"/>
      <c r="BF158" s="1161"/>
      <c r="BG158" s="1161"/>
      <c r="BH158" s="1161"/>
      <c r="BI158" s="1161"/>
      <c r="BJ158" s="1161"/>
      <c r="BK158" s="1161"/>
      <c r="BL158" s="1161"/>
      <c r="BM158" s="1161"/>
      <c r="BN158" s="1161"/>
      <c r="BO158" s="1161"/>
      <c r="BP158" s="1161"/>
    </row>
    <row r="159" spans="2:68">
      <c r="B159" s="1161"/>
      <c r="C159" s="1161"/>
      <c r="D159" s="1161"/>
      <c r="E159" s="440"/>
      <c r="F159" s="1161"/>
      <c r="G159" s="1161"/>
      <c r="H159" s="1161"/>
      <c r="I159" s="1161"/>
      <c r="J159" s="1161"/>
      <c r="K159" s="1161"/>
      <c r="L159" s="1161"/>
      <c r="M159" s="1161"/>
      <c r="N159" s="1161"/>
      <c r="O159" s="1161"/>
      <c r="P159" s="1161"/>
      <c r="Q159" s="1161"/>
      <c r="R159" s="1161"/>
      <c r="S159" s="1161"/>
      <c r="T159" s="1161"/>
      <c r="U159" s="1161"/>
      <c r="V159" s="1161"/>
      <c r="W159" s="1161"/>
      <c r="X159" s="1161"/>
      <c r="Y159" s="1161"/>
      <c r="Z159" s="1161"/>
      <c r="AA159" s="1161"/>
      <c r="AB159" s="1161"/>
      <c r="AC159" s="1161"/>
      <c r="AD159" s="1161"/>
      <c r="AE159" s="1161"/>
      <c r="AF159" s="1161"/>
      <c r="AG159" s="1161"/>
      <c r="AH159" s="1161"/>
      <c r="AI159" s="1161"/>
      <c r="AJ159" s="1161"/>
      <c r="AK159" s="1161"/>
      <c r="AL159" s="1161"/>
      <c r="AM159" s="1161"/>
      <c r="AN159" s="1161"/>
      <c r="AO159" s="1161"/>
      <c r="AP159" s="1161"/>
      <c r="AQ159" s="1161"/>
      <c r="AR159" s="1161"/>
      <c r="AS159" s="1161"/>
      <c r="AT159" s="1161"/>
      <c r="AU159" s="1161"/>
      <c r="AV159" s="1161"/>
      <c r="AW159" s="1161"/>
      <c r="AX159" s="1161"/>
      <c r="AY159" s="1161"/>
      <c r="AZ159" s="1161"/>
      <c r="BA159" s="1161"/>
      <c r="BB159" s="1161"/>
      <c r="BC159" s="1161"/>
      <c r="BD159" s="1161"/>
      <c r="BE159" s="1161"/>
      <c r="BF159" s="1161"/>
      <c r="BG159" s="1161"/>
      <c r="BH159" s="1161"/>
      <c r="BI159" s="1161"/>
      <c r="BJ159" s="1161"/>
      <c r="BK159" s="1161"/>
      <c r="BL159" s="1161"/>
      <c r="BM159" s="1161"/>
      <c r="BN159" s="1161"/>
      <c r="BO159" s="1161"/>
      <c r="BP159" s="1161"/>
    </row>
    <row r="160" spans="2:68">
      <c r="B160" s="1161"/>
      <c r="C160" s="1161"/>
      <c r="D160" s="1161"/>
      <c r="E160" s="440"/>
      <c r="F160" s="1161"/>
      <c r="G160" s="1161"/>
      <c r="H160" s="1161"/>
      <c r="I160" s="1161"/>
      <c r="J160" s="1161"/>
      <c r="K160" s="1161"/>
      <c r="L160" s="1161"/>
      <c r="M160" s="1161"/>
      <c r="N160" s="1161"/>
      <c r="O160" s="1161"/>
      <c r="P160" s="1161"/>
      <c r="Q160" s="1161"/>
      <c r="R160" s="1161"/>
      <c r="S160" s="1161"/>
      <c r="T160" s="1161"/>
      <c r="U160" s="1161"/>
      <c r="V160" s="1161"/>
      <c r="W160" s="1161"/>
      <c r="X160" s="1161"/>
      <c r="Y160" s="1161"/>
      <c r="Z160" s="1161"/>
      <c r="AA160" s="1161"/>
      <c r="AB160" s="1161"/>
      <c r="AC160" s="1161"/>
      <c r="AD160" s="1161"/>
      <c r="AE160" s="1161"/>
      <c r="AF160" s="1161"/>
      <c r="AG160" s="1161"/>
      <c r="AH160" s="1161"/>
      <c r="AI160" s="1161"/>
      <c r="AJ160" s="1161"/>
      <c r="AK160" s="1161"/>
      <c r="AL160" s="1161"/>
      <c r="AM160" s="1161"/>
      <c r="AN160" s="1161"/>
      <c r="AO160" s="1161"/>
      <c r="AP160" s="1161"/>
      <c r="AQ160" s="1161"/>
      <c r="AR160" s="1161"/>
      <c r="AS160" s="1161"/>
      <c r="AT160" s="1161"/>
      <c r="AU160" s="1161"/>
      <c r="AV160" s="1161"/>
      <c r="AW160" s="1161"/>
      <c r="AX160" s="1161"/>
      <c r="AY160" s="1161"/>
      <c r="AZ160" s="1161"/>
      <c r="BA160" s="1161"/>
      <c r="BB160" s="1161"/>
      <c r="BC160" s="1161"/>
      <c r="BD160" s="1161"/>
      <c r="BE160" s="1161"/>
      <c r="BF160" s="1161"/>
      <c r="BG160" s="1161"/>
      <c r="BH160" s="1161"/>
      <c r="BI160" s="1161"/>
      <c r="BJ160" s="1161"/>
      <c r="BK160" s="1161"/>
      <c r="BL160" s="1161"/>
      <c r="BM160" s="1161"/>
      <c r="BN160" s="1161"/>
      <c r="BO160" s="1161"/>
      <c r="BP160" s="1161"/>
    </row>
    <row r="161" spans="2:68">
      <c r="B161" s="1161"/>
      <c r="C161" s="1161"/>
      <c r="D161" s="1161"/>
      <c r="E161" s="440"/>
      <c r="F161" s="1161"/>
      <c r="G161" s="1161"/>
      <c r="H161" s="1161"/>
      <c r="I161" s="1161"/>
      <c r="J161" s="1161"/>
      <c r="K161" s="1161"/>
      <c r="L161" s="1161"/>
      <c r="M161" s="1161"/>
      <c r="N161" s="1161"/>
      <c r="O161" s="1161"/>
      <c r="P161" s="1161"/>
      <c r="Q161" s="1161"/>
      <c r="R161" s="1161"/>
      <c r="S161" s="1161"/>
      <c r="T161" s="1161"/>
      <c r="U161" s="1161"/>
      <c r="V161" s="1161"/>
      <c r="W161" s="1161"/>
      <c r="X161" s="1161"/>
      <c r="Y161" s="1161"/>
      <c r="Z161" s="1161"/>
      <c r="AA161" s="1161"/>
      <c r="AB161" s="1161"/>
      <c r="AC161" s="1161"/>
      <c r="AD161" s="1161"/>
      <c r="AE161" s="1161"/>
      <c r="AF161" s="1161"/>
      <c r="AG161" s="1161"/>
      <c r="AH161" s="1161"/>
      <c r="AI161" s="1161"/>
      <c r="AJ161" s="1161"/>
      <c r="AK161" s="1161"/>
      <c r="AL161" s="1161"/>
      <c r="AM161" s="1161"/>
      <c r="AN161" s="1161"/>
      <c r="AO161" s="1161"/>
      <c r="AP161" s="1161"/>
      <c r="AQ161" s="1161"/>
      <c r="AR161" s="1161"/>
      <c r="AS161" s="1161"/>
      <c r="AT161" s="1161"/>
      <c r="AU161" s="1161"/>
      <c r="AV161" s="1161"/>
      <c r="AW161" s="1161"/>
      <c r="AX161" s="1161"/>
      <c r="AY161" s="1161"/>
      <c r="AZ161" s="1161"/>
      <c r="BA161" s="1161"/>
      <c r="BB161" s="1161"/>
      <c r="BC161" s="1161"/>
      <c r="BD161" s="1161"/>
      <c r="BE161" s="1161"/>
      <c r="BF161" s="1161"/>
      <c r="BG161" s="1161"/>
      <c r="BH161" s="1161"/>
      <c r="BI161" s="1161"/>
      <c r="BJ161" s="1161"/>
      <c r="BK161" s="1161"/>
      <c r="BL161" s="1161"/>
      <c r="BM161" s="1161"/>
      <c r="BN161" s="1161"/>
      <c r="BO161" s="1161"/>
      <c r="BP161" s="1161"/>
    </row>
    <row r="162" spans="2:68">
      <c r="B162" s="1161"/>
      <c r="C162" s="1161"/>
      <c r="D162" s="1161"/>
      <c r="E162" s="440"/>
      <c r="F162" s="1161"/>
      <c r="G162" s="1161"/>
      <c r="H162" s="1161"/>
      <c r="I162" s="1161"/>
      <c r="J162" s="1161"/>
      <c r="K162" s="1161"/>
      <c r="L162" s="1161"/>
      <c r="M162" s="1161"/>
      <c r="N162" s="1161"/>
      <c r="O162" s="1161"/>
      <c r="P162" s="1161"/>
      <c r="Q162" s="1161"/>
      <c r="R162" s="1161"/>
      <c r="S162" s="1161"/>
      <c r="T162" s="1161"/>
      <c r="U162" s="1161"/>
      <c r="V162" s="1161"/>
      <c r="W162" s="1161"/>
      <c r="X162" s="1161"/>
      <c r="Y162" s="1161"/>
      <c r="Z162" s="1161"/>
      <c r="AA162" s="1161"/>
      <c r="AB162" s="1161"/>
      <c r="AC162" s="1161"/>
      <c r="AD162" s="1161"/>
      <c r="AE162" s="1161"/>
      <c r="AF162" s="1161"/>
      <c r="AG162" s="1161"/>
      <c r="AH162" s="1161"/>
      <c r="AI162" s="1161"/>
      <c r="AJ162" s="1161"/>
      <c r="AK162" s="1161"/>
      <c r="AL162" s="1161"/>
      <c r="AM162" s="1161"/>
      <c r="AN162" s="1161"/>
      <c r="AO162" s="1161"/>
      <c r="AP162" s="1161"/>
      <c r="AQ162" s="1161"/>
      <c r="AR162" s="1161"/>
      <c r="AS162" s="1161"/>
      <c r="AT162" s="1161"/>
      <c r="AU162" s="1161"/>
      <c r="AV162" s="1161"/>
      <c r="AW162" s="1161"/>
      <c r="AX162" s="1161"/>
      <c r="AY162" s="1161"/>
      <c r="AZ162" s="1161"/>
      <c r="BA162" s="1161"/>
      <c r="BB162" s="1161"/>
      <c r="BC162" s="1161"/>
      <c r="BD162" s="1161"/>
      <c r="BE162" s="1161"/>
      <c r="BF162" s="1161"/>
      <c r="BG162" s="1161"/>
      <c r="BH162" s="1161"/>
      <c r="BI162" s="1161"/>
      <c r="BJ162" s="1161"/>
      <c r="BK162" s="1161"/>
      <c r="BL162" s="1161"/>
      <c r="BM162" s="1161"/>
      <c r="BN162" s="1161"/>
      <c r="BO162" s="1161"/>
      <c r="BP162" s="1161"/>
    </row>
  </sheetData>
  <hyperlinks>
    <hyperlink ref="C41" r:id="rId1" xr:uid="{00000000-0004-0000-1200-000000000000}"/>
    <hyperlink ref="F90" r:id="rId2" xr:uid="{00000000-0004-0000-1200-000001000000}"/>
    <hyperlink ref="F91" r:id="rId3" xr:uid="{00000000-0004-0000-1200-000002000000}"/>
    <hyperlink ref="F93" r:id="rId4" xr:uid="{00000000-0004-0000-1200-000003000000}"/>
    <hyperlink ref="F97" r:id="rId5" xr:uid="{00000000-0004-0000-1200-000004000000}"/>
    <hyperlink ref="F95" r:id="rId6" xr:uid="{00000000-0004-0000-1200-000005000000}"/>
    <hyperlink ref="E124" r:id="rId7" xr:uid="{00000000-0004-0000-1200-000006000000}"/>
    <hyperlink ref="AC58" r:id="rId8" xr:uid="{00000000-0004-0000-1200-000007000000}"/>
    <hyperlink ref="AC57" r:id="rId9" xr:uid="{00000000-0004-0000-1200-000008000000}"/>
  </hyperlinks>
  <pageMargins left="0.7" right="0.7" top="0.75" bottom="0.75" header="0.3" footer="0.3"/>
  <pageSetup paperSize="0" orientation="portrait" horizontalDpi="0" verticalDpi="0" copies="0"/>
  <legacyDrawing r:id="rId1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tabColor rgb="FFFFC000"/>
  </sheetPr>
  <dimension ref="A1:AQ124"/>
  <sheetViews>
    <sheetView zoomScale="60" zoomScaleNormal="60" workbookViewId="0">
      <selection activeCell="F17" sqref="F17"/>
    </sheetView>
  </sheetViews>
  <sheetFormatPr defaultRowHeight="12.75"/>
  <cols>
    <col min="1" max="1" width="28.7109375" style="7" customWidth="1"/>
    <col min="2" max="2" width="14.28515625" customWidth="1"/>
    <col min="3" max="3" width="43.85546875" bestFit="1" customWidth="1"/>
    <col min="4" max="4" width="58.28515625" bestFit="1" customWidth="1"/>
    <col min="5" max="5" width="16.28515625" bestFit="1" customWidth="1"/>
    <col min="6" max="6" width="16.28515625" style="580" customWidth="1"/>
    <col min="7" max="7" width="15" customWidth="1"/>
    <col min="8" max="8" width="11" style="441" customWidth="1"/>
    <col min="9" max="9" width="10.140625" style="441" customWidth="1"/>
    <col min="10" max="10" width="13.140625" style="441" bestFit="1" customWidth="1"/>
    <col min="11" max="11" width="7.85546875" style="441" customWidth="1"/>
    <col min="12" max="12" width="9.5703125" style="441" customWidth="1"/>
    <col min="13" max="13" width="9.5703125" style="580" customWidth="1"/>
    <col min="14" max="14" width="12" bestFit="1" customWidth="1"/>
    <col min="15" max="15" width="9.7109375" customWidth="1"/>
    <col min="16" max="16" width="7.7109375" bestFit="1" customWidth="1"/>
    <col min="17" max="17" width="8.5703125" bestFit="1" customWidth="1"/>
    <col min="18" max="18" width="13.7109375" bestFit="1" customWidth="1"/>
    <col min="19" max="19" width="13.28515625" bestFit="1" customWidth="1"/>
    <col min="20" max="20" width="12" bestFit="1" customWidth="1"/>
    <col min="21" max="21" width="23.42578125" bestFit="1" customWidth="1"/>
    <col min="22" max="22" width="12.5703125" style="441" customWidth="1"/>
    <col min="23" max="23" width="12" style="441" bestFit="1" customWidth="1"/>
    <col min="24" max="24" width="18.5703125" style="441" bestFit="1" customWidth="1"/>
    <col min="25" max="25" width="12.5703125" style="441" bestFit="1" customWidth="1"/>
    <col min="26" max="26" width="13.42578125" style="441" bestFit="1" customWidth="1"/>
    <col min="27" max="27" width="12" customWidth="1"/>
    <col min="28" max="28" width="18" style="580" customWidth="1"/>
    <col min="29" max="30" width="25.28515625" bestFit="1" customWidth="1"/>
    <col min="31" max="31" width="12.140625" customWidth="1"/>
    <col min="32" max="32" width="14.28515625" customWidth="1"/>
    <col min="33" max="33" width="14.28515625" style="441" bestFit="1" customWidth="1"/>
    <col min="34" max="34" width="17" bestFit="1" customWidth="1"/>
    <col min="35" max="35" width="24.85546875" bestFit="1" customWidth="1"/>
  </cols>
  <sheetData>
    <row r="1" spans="1:43" s="441" customFormat="1">
      <c r="A1" s="443"/>
      <c r="F1" s="580"/>
      <c r="M1" s="580"/>
      <c r="AB1" s="580"/>
    </row>
    <row r="2" spans="1:43" s="441" customFormat="1">
      <c r="A2" s="443"/>
      <c r="F2" s="580"/>
      <c r="M2" s="580"/>
      <c r="AB2" s="580"/>
    </row>
    <row r="3" spans="1:43" s="441" customFormat="1" ht="15">
      <c r="A3" s="443"/>
      <c r="B3" s="443"/>
      <c r="E3" s="459"/>
      <c r="F3" s="680" t="s">
        <v>8</v>
      </c>
      <c r="G3" s="6"/>
      <c r="H3" s="6"/>
      <c r="I3" s="6"/>
      <c r="J3" s="6"/>
      <c r="K3" s="6"/>
      <c r="L3" s="4"/>
      <c r="M3" s="639"/>
      <c r="N3" s="5"/>
      <c r="P3"/>
      <c r="X3"/>
      <c r="Y3"/>
      <c r="Z3"/>
      <c r="AA3"/>
      <c r="AB3" s="580"/>
      <c r="AD3" s="573"/>
      <c r="AE3" s="572"/>
    </row>
    <row r="4" spans="1:43" s="441" customFormat="1" ht="25.5">
      <c r="A4" s="443"/>
      <c r="B4" s="12" t="s">
        <v>1</v>
      </c>
      <c r="C4" s="12" t="s">
        <v>2</v>
      </c>
      <c r="D4" s="12" t="s">
        <v>26</v>
      </c>
      <c r="E4" s="12" t="s">
        <v>14</v>
      </c>
      <c r="F4" s="12" t="s">
        <v>15</v>
      </c>
      <c r="G4" s="24" t="s">
        <v>608</v>
      </c>
      <c r="H4" s="53" t="s">
        <v>157</v>
      </c>
      <c r="I4" s="25" t="s">
        <v>16</v>
      </c>
      <c r="J4" s="12" t="s">
        <v>601</v>
      </c>
      <c r="K4" s="52" t="s">
        <v>775</v>
      </c>
      <c r="L4" s="52" t="s">
        <v>776</v>
      </c>
      <c r="M4" s="52" t="s">
        <v>711</v>
      </c>
      <c r="N4" s="52" t="s">
        <v>772</v>
      </c>
      <c r="O4" s="51" t="s">
        <v>0</v>
      </c>
      <c r="P4" s="51" t="s">
        <v>55</v>
      </c>
      <c r="Q4" s="710" t="s">
        <v>847</v>
      </c>
      <c r="S4" s="51" t="s">
        <v>690</v>
      </c>
      <c r="U4" s="1161"/>
      <c r="V4" s="1161"/>
      <c r="W4" s="1161"/>
      <c r="X4" s="1161"/>
      <c r="Y4" s="1161"/>
      <c r="Z4" s="1161"/>
      <c r="AA4" s="1161"/>
      <c r="AD4" s="573"/>
      <c r="AE4" s="572"/>
      <c r="AL4"/>
      <c r="AM4"/>
      <c r="AN4"/>
      <c r="AO4"/>
      <c r="AP4"/>
      <c r="AQ4"/>
    </row>
    <row r="5" spans="1:43" s="441" customFormat="1" ht="34.5" thickBot="1">
      <c r="A5" s="443"/>
      <c r="B5" s="389" t="s">
        <v>27</v>
      </c>
      <c r="C5" s="389"/>
      <c r="D5" s="389"/>
      <c r="E5" s="389"/>
      <c r="F5" s="389"/>
      <c r="G5" s="553" t="s">
        <v>148</v>
      </c>
      <c r="H5" s="553" t="s">
        <v>699</v>
      </c>
      <c r="I5" s="553" t="s">
        <v>499</v>
      </c>
      <c r="J5" s="553" t="s">
        <v>77</v>
      </c>
      <c r="K5" s="553" t="s">
        <v>78</v>
      </c>
      <c r="L5" s="553" t="s">
        <v>78</v>
      </c>
      <c r="M5" s="553" t="s">
        <v>505</v>
      </c>
      <c r="N5" s="553" t="s">
        <v>505</v>
      </c>
      <c r="O5" s="553"/>
      <c r="P5" s="553" t="s">
        <v>56</v>
      </c>
      <c r="Q5" s="683" t="s">
        <v>848</v>
      </c>
      <c r="U5" s="1161"/>
      <c r="V5" s="1161"/>
      <c r="W5" s="1161"/>
      <c r="X5" s="1161"/>
      <c r="Y5" s="1161"/>
      <c r="Z5" s="1161"/>
      <c r="AA5" s="1161"/>
      <c r="AB5" s="541"/>
      <c r="AD5" s="589"/>
      <c r="AE5" s="572"/>
      <c r="AH5" s="426"/>
      <c r="AL5"/>
      <c r="AM5"/>
      <c r="AN5"/>
      <c r="AO5"/>
      <c r="AP5"/>
      <c r="AQ5"/>
    </row>
    <row r="6" spans="1:43" s="441" customFormat="1" ht="15">
      <c r="A6" s="1161"/>
      <c r="B6" s="446" t="s">
        <v>145</v>
      </c>
      <c r="C6" s="442" t="str">
        <f>Processes!D24</f>
        <v>TPANKENA1E</v>
      </c>
      <c r="D6" s="714" t="str">
        <f>Processes!E24</f>
        <v>Transport Passengers Air National - Blending 1 - Existing</v>
      </c>
      <c r="E6" s="440" t="str">
        <f>Commodities!D85</f>
        <v>TRAKENA1</v>
      </c>
      <c r="F6" s="442" t="str">
        <f>Commodities!D15</f>
        <v>TPANV</v>
      </c>
      <c r="G6" s="645">
        <f>S6/(J6*H6*1000)</f>
        <v>6.1644427636150618E-3</v>
      </c>
      <c r="H6" s="279">
        <v>24</v>
      </c>
      <c r="I6" s="451">
        <f>X61</f>
        <v>10.536825612205124</v>
      </c>
      <c r="J6" s="552">
        <f>PassangersFreightAir!I60</f>
        <v>1750000</v>
      </c>
      <c r="K6"/>
      <c r="L6" s="580"/>
      <c r="M6" s="442"/>
      <c r="N6" s="442"/>
      <c r="O6" s="240">
        <v>1E-3</v>
      </c>
      <c r="P6" s="536">
        <v>30</v>
      </c>
      <c r="Q6" s="711">
        <v>4.0971295478940781E-2</v>
      </c>
      <c r="S6" s="215">
        <f>Dem!E10*10^6*(W48/W43)</f>
        <v>258906596.0718326</v>
      </c>
      <c r="U6" s="1161"/>
      <c r="V6" s="1161"/>
      <c r="W6" s="1161"/>
      <c r="X6" s="1161"/>
      <c r="Y6" s="1161"/>
      <c r="Z6" s="1161"/>
      <c r="AA6" s="1161"/>
      <c r="AB6" s="215"/>
      <c r="AD6" s="573"/>
      <c r="AE6" s="572"/>
      <c r="AF6" s="579"/>
      <c r="AL6"/>
      <c r="AM6"/>
      <c r="AN6"/>
      <c r="AO6"/>
      <c r="AP6"/>
      <c r="AQ6"/>
    </row>
    <row r="7" spans="1:43" s="1161" customFormat="1" ht="15">
      <c r="B7" s="694" t="s">
        <v>145</v>
      </c>
      <c r="C7" s="714" t="str">
        <f>Processes!D26</f>
        <v>TPAIKEIN1E</v>
      </c>
      <c r="D7" s="714" t="str">
        <f>Processes!E26</f>
        <v>Transport Passengers Air International - Blending 1 - Short distance Existing</v>
      </c>
      <c r="E7" s="440" t="str">
        <f>Commodities!D80</f>
        <v>TRAKEIN1</v>
      </c>
      <c r="F7" s="714" t="str">
        <f>Commodities!D16</f>
        <v>TPAIS</v>
      </c>
      <c r="G7" s="645">
        <f>S7/(J7*H7*1000)</f>
        <v>3.9586878018292575E-2</v>
      </c>
      <c r="H7" s="279">
        <f>H8</f>
        <v>85.52291970905415</v>
      </c>
      <c r="I7" s="451">
        <f>I8</f>
        <v>12.770632641992611</v>
      </c>
      <c r="J7" s="552">
        <f>J8</f>
        <v>2800000</v>
      </c>
      <c r="M7" s="714"/>
      <c r="N7" s="714"/>
      <c r="O7" s="723">
        <v>1E-3</v>
      </c>
      <c r="P7" s="536">
        <v>30</v>
      </c>
      <c r="Q7" s="637">
        <v>4.0971295478940781E-2</v>
      </c>
      <c r="S7" s="718">
        <f>Dem!E11*10^6</f>
        <v>9479639092.8135586</v>
      </c>
      <c r="AB7" s="718"/>
      <c r="AD7" s="573"/>
      <c r="AE7" s="572"/>
      <c r="AF7" s="579"/>
    </row>
    <row r="8" spans="1:43" s="441" customFormat="1">
      <c r="A8" s="31"/>
      <c r="B8" s="446" t="s">
        <v>145</v>
      </c>
      <c r="C8" s="442" t="str">
        <f>Processes!D27</f>
        <v>TPAIKEIN2E</v>
      </c>
      <c r="D8" s="714" t="str">
        <f>Processes!E27</f>
        <v>Transport Passengers Air International - Blending 1 - Long distance Existing</v>
      </c>
      <c r="E8" s="440" t="str">
        <f>Commodities!D80</f>
        <v>TRAKEIN1</v>
      </c>
      <c r="F8" s="442" t="str">
        <f>Commodities!D17</f>
        <v>TPAIL</v>
      </c>
      <c r="G8" s="645">
        <f>S8/(J8*H8*1000)</f>
        <v>9.2369382042682677E-2</v>
      </c>
      <c r="H8" s="279">
        <f>PassangersFreightAir!J43</f>
        <v>85.52291970905415</v>
      </c>
      <c r="I8" s="451">
        <f>X73</f>
        <v>12.770632641992611</v>
      </c>
      <c r="J8" s="552">
        <f>PassangersFreightAir!I61</f>
        <v>2800000</v>
      </c>
      <c r="K8" s="549"/>
      <c r="L8" s="580"/>
      <c r="M8" s="442"/>
      <c r="N8" s="442"/>
      <c r="O8" s="240">
        <v>1E-3</v>
      </c>
      <c r="P8" s="536">
        <v>30</v>
      </c>
      <c r="Q8" s="637">
        <v>4.0971295478940781E-2</v>
      </c>
      <c r="S8" s="215">
        <f>Dem!E12*10^6</f>
        <v>22119157883.231636</v>
      </c>
      <c r="U8" s="1161"/>
      <c r="V8" s="1161"/>
      <c r="W8" s="1161"/>
      <c r="X8" s="1161"/>
      <c r="Y8" s="1161"/>
      <c r="Z8" s="1161"/>
      <c r="AA8" s="1161"/>
      <c r="AB8" s="215"/>
      <c r="AL8"/>
      <c r="AM8"/>
      <c r="AN8"/>
      <c r="AO8"/>
      <c r="AP8"/>
      <c r="AQ8"/>
    </row>
    <row r="9" spans="1:43" s="441" customFormat="1">
      <c r="A9" s="1161"/>
      <c r="B9" s="446" t="s">
        <v>145</v>
      </c>
      <c r="C9" s="3" t="str">
        <f>Processes!D25</f>
        <v>TPANAGSL1E</v>
      </c>
      <c r="D9" s="679" t="str">
        <f>Processes!E25</f>
        <v>Transport Passengers Air National - Aviation gasoline - Existing</v>
      </c>
      <c r="E9" s="580" t="str">
        <f>Commodities!D53</f>
        <v>TRAAGSL</v>
      </c>
      <c r="F9" s="3" t="str">
        <f>Commodities!D15</f>
        <v>TPANV</v>
      </c>
      <c r="G9" s="645">
        <f>(PassangersFreightAir!S33+PassangersFreightAir!S34+PassangersFreightAir!S35)/1000*F28</f>
        <v>0.51975568660488625</v>
      </c>
      <c r="H9" s="709">
        <f>SUM(PassangersFreightAir!T33:T35)/SUM(PassangersFreightAir!S33:S35)*0.6</f>
        <v>2.2641137855579867</v>
      </c>
      <c r="I9" s="451">
        <f>X62</f>
        <v>111.69218451209609</v>
      </c>
      <c r="J9" s="451">
        <f>S9/(G9*H9*1000)</f>
        <v>8145.1797176742521</v>
      </c>
      <c r="K9"/>
      <c r="L9" s="580"/>
      <c r="M9" s="442"/>
      <c r="N9" s="442"/>
      <c r="O9" s="240">
        <v>1E-3</v>
      </c>
      <c r="P9" s="536">
        <v>30</v>
      </c>
      <c r="Q9" s="637">
        <v>1.0242823869735195E-3</v>
      </c>
      <c r="S9" s="215">
        <f>Dem!E10*(AVI!W45+AVI!W46)/AVI!W43*10^6</f>
        <v>9585133.5827587936</v>
      </c>
      <c r="U9" s="1161"/>
      <c r="V9" s="1161"/>
      <c r="W9" s="1161"/>
      <c r="X9" s="1161"/>
      <c r="Y9" s="1161"/>
      <c r="Z9" s="1161"/>
      <c r="AA9" s="1161"/>
      <c r="AB9" s="215"/>
      <c r="AL9"/>
      <c r="AM9"/>
      <c r="AN9"/>
      <c r="AO9"/>
      <c r="AP9"/>
      <c r="AQ9"/>
    </row>
    <row r="10" spans="1:43">
      <c r="A10" s="1161"/>
      <c r="B10" s="446" t="s">
        <v>146</v>
      </c>
      <c r="C10" s="442" t="str">
        <f>Processes!D24</f>
        <v>TPANKENA1E</v>
      </c>
      <c r="D10" s="714" t="str">
        <f>Processes!E24</f>
        <v>Transport Passengers Air National - Blending 1 - Existing</v>
      </c>
      <c r="E10" s="440" t="str">
        <f>Commodities!D85</f>
        <v>TRAKENA1</v>
      </c>
      <c r="F10" s="442" t="str">
        <f>Commodities!D15</f>
        <v>TPANV</v>
      </c>
      <c r="G10" s="645">
        <f>S10/(J10*H10*1000)</f>
        <v>4.662235868573809E-3</v>
      </c>
      <c r="H10" s="552">
        <f>H6</f>
        <v>24</v>
      </c>
      <c r="I10" s="451">
        <f>X61</f>
        <v>10.536825612205124</v>
      </c>
      <c r="J10" s="552">
        <f>PassangersFreightAir!I60</f>
        <v>1750000</v>
      </c>
      <c r="K10"/>
      <c r="L10" s="580"/>
      <c r="M10" s="3"/>
      <c r="N10" s="3"/>
      <c r="O10" s="240">
        <v>1E-3</v>
      </c>
      <c r="P10" s="536">
        <v>30</v>
      </c>
      <c r="Q10" s="711">
        <v>4.0971295478940781E-2</v>
      </c>
      <c r="S10" s="215">
        <f>Dem!F10*10^6*(W48/W43)</f>
        <v>195813906.48009998</v>
      </c>
      <c r="U10" s="1161"/>
      <c r="V10" s="1161"/>
      <c r="W10" s="1161"/>
      <c r="X10" s="1161"/>
      <c r="Y10" s="1161"/>
      <c r="Z10" s="1161"/>
      <c r="AA10" s="1161"/>
      <c r="AB10" s="215"/>
      <c r="AC10" s="441"/>
      <c r="AG10"/>
      <c r="AJ10" s="441"/>
    </row>
    <row r="11" spans="1:43" s="1161" customFormat="1">
      <c r="B11" s="694" t="s">
        <v>146</v>
      </c>
      <c r="C11" s="714" t="str">
        <f>Processes!D26</f>
        <v>TPAIKEIN1E</v>
      </c>
      <c r="D11" s="714" t="str">
        <f>Processes!E26</f>
        <v>Transport Passengers Air International - Blending 1 - Short distance Existing</v>
      </c>
      <c r="E11" s="440" t="str">
        <f>Commodities!D80</f>
        <v>TRAKEIN1</v>
      </c>
      <c r="F11" s="714" t="str">
        <f>Commodities!D16</f>
        <v>TPAIS</v>
      </c>
      <c r="G11" s="645">
        <f>S11/(J11*H11*1000)</f>
        <v>5.9998991752079614E-3</v>
      </c>
      <c r="H11" s="552">
        <f>H7</f>
        <v>85.52291970905415</v>
      </c>
      <c r="I11" s="451">
        <f>X72</f>
        <v>12.770632641992611</v>
      </c>
      <c r="J11" s="552">
        <f>J12</f>
        <v>2800000</v>
      </c>
      <c r="K11" s="714"/>
      <c r="L11" s="714"/>
      <c r="M11" s="679"/>
      <c r="N11" s="679"/>
      <c r="O11" s="723">
        <v>1E-3</v>
      </c>
      <c r="P11" s="536">
        <v>30</v>
      </c>
      <c r="Q11" s="637">
        <v>4.0971295478940781E-2</v>
      </c>
      <c r="S11" s="718">
        <f>Dem!F11*10^6</f>
        <v>1436760907.186446</v>
      </c>
      <c r="AB11" s="718"/>
    </row>
    <row r="12" spans="1:43">
      <c r="A12" s="1161"/>
      <c r="B12" s="446" t="s">
        <v>146</v>
      </c>
      <c r="C12" s="442" t="str">
        <f>Processes!D27</f>
        <v>TPAIKEIN2E</v>
      </c>
      <c r="D12" s="714" t="str">
        <f>Processes!E27</f>
        <v>Transport Passengers Air International - Blending 1 - Long distance Existing</v>
      </c>
      <c r="E12" s="440" t="str">
        <f>Commodities!D80</f>
        <v>TRAKEIN1</v>
      </c>
      <c r="F12" s="442" t="str">
        <f>Commodities!D17</f>
        <v>TPAIL</v>
      </c>
      <c r="G12" s="645">
        <f>S12/(J12*H12*1000)</f>
        <v>1.3999764742151911E-2</v>
      </c>
      <c r="H12" s="552">
        <f>H8</f>
        <v>85.52291970905415</v>
      </c>
      <c r="I12" s="451">
        <f>X73</f>
        <v>12.770632641992611</v>
      </c>
      <c r="J12" s="552">
        <f>PassangersFreightAir!I61</f>
        <v>2800000</v>
      </c>
      <c r="K12" s="442"/>
      <c r="L12" s="442"/>
      <c r="M12" s="3"/>
      <c r="N12" s="3"/>
      <c r="O12" s="240">
        <v>1E-3</v>
      </c>
      <c r="P12" s="536">
        <v>30</v>
      </c>
      <c r="Q12" s="637">
        <v>4.0971295478940781E-2</v>
      </c>
      <c r="S12" s="215">
        <f>Dem!F12*10^6</f>
        <v>3352442116.768374</v>
      </c>
      <c r="U12" s="1161"/>
      <c r="V12" s="1161"/>
      <c r="W12" s="1161"/>
      <c r="X12" s="1161"/>
      <c r="Y12" s="1161"/>
      <c r="Z12" s="1161"/>
      <c r="AA12" s="1161"/>
      <c r="AB12" s="215"/>
      <c r="AC12" s="441"/>
    </row>
    <row r="13" spans="1:43" ht="15.75">
      <c r="A13" s="31"/>
      <c r="B13" s="446" t="s">
        <v>146</v>
      </c>
      <c r="C13" s="3" t="str">
        <f>Processes!D25</f>
        <v>TPANAGSL1E</v>
      </c>
      <c r="D13" s="679" t="str">
        <f>Processes!E25</f>
        <v>Transport Passengers Air National - Aviation gasoline - Existing</v>
      </c>
      <c r="E13" t="str">
        <f>Commodities!D53</f>
        <v>TRAAGSL</v>
      </c>
      <c r="F13" s="3" t="str">
        <f>Commodities!D15</f>
        <v>TPANV</v>
      </c>
      <c r="G13" s="645">
        <f>SUM(PassangersFreightAir!S33:S35)*AVI!G28/1000</f>
        <v>0.3946293176074136</v>
      </c>
      <c r="H13" s="709">
        <f>H9</f>
        <v>2.2641137855579867</v>
      </c>
      <c r="I13" s="451">
        <f>X62</f>
        <v>111.69218451209609</v>
      </c>
      <c r="J13" s="451">
        <f>S13/(G13*H13*1000)</f>
        <v>8113.5513846326376</v>
      </c>
      <c r="L13" s="580"/>
      <c r="M13" s="442"/>
      <c r="N13" s="442"/>
      <c r="O13" s="240">
        <v>1E-3</v>
      </c>
      <c r="P13" s="536">
        <v>30</v>
      </c>
      <c r="Q13" s="637">
        <v>1.0242823869735195E-3</v>
      </c>
      <c r="S13" s="215">
        <f>Dem!F10*(AVI!W45+AVI!W46)/AVI!W43*10^6</f>
        <v>7249341.9613490924</v>
      </c>
      <c r="U13" s="1161"/>
      <c r="V13" s="1161"/>
      <c r="W13" s="1161"/>
      <c r="X13" s="1161"/>
      <c r="Y13" s="1161"/>
      <c r="Z13" s="1161"/>
      <c r="AA13" s="1161"/>
      <c r="AB13" s="215"/>
      <c r="AC13" s="413"/>
    </row>
    <row r="14" spans="1:43">
      <c r="A14" s="1161"/>
      <c r="B14" s="694"/>
      <c r="C14" s="679"/>
      <c r="D14" s="679"/>
      <c r="E14" s="1161"/>
      <c r="F14" s="679"/>
      <c r="G14" s="645"/>
      <c r="H14" s="709"/>
      <c r="I14" s="451"/>
      <c r="J14" s="451"/>
      <c r="K14" s="1161"/>
      <c r="L14" s="1161"/>
      <c r="M14" s="714"/>
      <c r="N14" s="714"/>
      <c r="O14" s="723"/>
      <c r="P14" s="536"/>
      <c r="Q14" s="637"/>
      <c r="R14" s="1161"/>
      <c r="S14" s="718"/>
      <c r="T14" s="1161"/>
      <c r="U14" s="1161"/>
      <c r="V14" s="1161"/>
      <c r="W14" s="1161"/>
      <c r="X14" s="1161"/>
      <c r="Y14" s="1161"/>
      <c r="Z14" s="1161"/>
      <c r="AA14" s="1161"/>
      <c r="AB14" s="441"/>
      <c r="AC14" s="441"/>
    </row>
    <row r="15" spans="1:43">
      <c r="A15" s="1161"/>
      <c r="B15" s="1340"/>
      <c r="C15" s="1185"/>
      <c r="D15" s="1185"/>
      <c r="E15" s="1185"/>
      <c r="F15" s="1185"/>
      <c r="G15" s="1345"/>
      <c r="H15" s="1346"/>
      <c r="I15" s="712"/>
      <c r="J15" s="1346"/>
      <c r="K15" s="1270"/>
      <c r="L15" s="1270"/>
      <c r="M15" s="1185"/>
      <c r="N15" s="1185"/>
      <c r="O15" s="1342"/>
      <c r="P15" s="1185"/>
      <c r="Q15" s="1347"/>
      <c r="R15" s="31"/>
      <c r="S15" s="1343"/>
      <c r="U15" s="1161"/>
      <c r="V15" s="1161"/>
      <c r="W15" s="1161"/>
      <c r="X15" s="1161"/>
      <c r="Y15" s="1161"/>
      <c r="Z15" s="1161"/>
      <c r="AA15" s="1161"/>
      <c r="AB15"/>
      <c r="AC15" s="10"/>
    </row>
    <row r="16" spans="1:43">
      <c r="B16" s="1340"/>
      <c r="C16" s="1185"/>
      <c r="D16" s="1185"/>
      <c r="E16" s="1185"/>
      <c r="F16" s="1340"/>
      <c r="G16" s="1345"/>
      <c r="H16" s="737"/>
      <c r="I16" s="712"/>
      <c r="J16" s="1185"/>
      <c r="K16" s="1270"/>
      <c r="L16" s="1270"/>
      <c r="M16" s="1185"/>
      <c r="N16" s="1185"/>
      <c r="O16" s="1185"/>
      <c r="P16" s="1185"/>
      <c r="Q16" s="1347"/>
      <c r="R16" s="31"/>
      <c r="S16" s="31"/>
      <c r="U16" s="1161"/>
      <c r="V16" s="1161"/>
      <c r="W16" s="1161"/>
      <c r="X16" s="1161"/>
      <c r="Y16" s="1161"/>
      <c r="Z16" s="1161"/>
      <c r="AA16" s="1161"/>
      <c r="AB16"/>
      <c r="AC16" s="441"/>
    </row>
    <row r="17" spans="1:43" s="549" customFormat="1">
      <c r="A17" s="7"/>
      <c r="B17" s="1340"/>
      <c r="C17" s="1185"/>
      <c r="D17" s="1185"/>
      <c r="E17" s="1185"/>
      <c r="F17" s="1340"/>
      <c r="G17" s="1345"/>
      <c r="H17" s="1346"/>
      <c r="I17" s="712"/>
      <c r="J17" s="1346"/>
      <c r="K17" s="1270"/>
      <c r="L17" s="1270"/>
      <c r="M17" s="1340"/>
      <c r="N17" s="1340"/>
      <c r="O17" s="1342"/>
      <c r="P17" s="1185"/>
      <c r="Q17" s="1347"/>
      <c r="R17" s="31"/>
      <c r="S17" s="1343"/>
      <c r="T17"/>
      <c r="U17" s="1161"/>
      <c r="V17" s="1161"/>
      <c r="W17" s="1161"/>
      <c r="X17" s="1161"/>
      <c r="Y17" s="1161"/>
      <c r="Z17" s="1161"/>
      <c r="AA17" s="1161"/>
      <c r="AB17"/>
      <c r="AL17"/>
      <c r="AM17"/>
      <c r="AN17"/>
      <c r="AO17"/>
      <c r="AP17"/>
      <c r="AQ17"/>
    </row>
    <row r="18" spans="1:43">
      <c r="A18" s="443"/>
      <c r="B18" s="1340"/>
      <c r="C18" s="1185"/>
      <c r="D18" s="1185"/>
      <c r="E18" s="1185"/>
      <c r="F18" s="1340"/>
      <c r="G18" s="1345"/>
      <c r="H18" s="737"/>
      <c r="I18" s="712"/>
      <c r="J18" s="1185"/>
      <c r="K18" s="1270"/>
      <c r="L18" s="1270"/>
      <c r="M18" s="1185"/>
      <c r="N18" s="1185"/>
      <c r="O18" s="1185"/>
      <c r="P18" s="1185"/>
      <c r="Q18" s="1347"/>
      <c r="R18" s="31"/>
      <c r="S18" s="31"/>
      <c r="T18" s="549"/>
      <c r="U18" s="1161"/>
      <c r="V18" s="1161"/>
      <c r="W18" s="1161"/>
      <c r="X18" s="1161"/>
      <c r="Y18" s="1161"/>
      <c r="Z18" s="1161"/>
      <c r="AA18" s="1161"/>
      <c r="AB18" s="441"/>
      <c r="AC18" s="441"/>
    </row>
    <row r="19" spans="1:43">
      <c r="B19" s="1340"/>
      <c r="C19" s="1185"/>
      <c r="D19" s="1185"/>
      <c r="E19" s="1185"/>
      <c r="F19" s="1340"/>
      <c r="G19" s="1342"/>
      <c r="H19" s="1346"/>
      <c r="I19" s="712"/>
      <c r="J19" s="1346"/>
      <c r="K19" s="1270"/>
      <c r="L19" s="1270"/>
      <c r="M19" s="31"/>
      <c r="N19" s="31"/>
      <c r="O19" s="1342"/>
      <c r="P19" s="1185"/>
      <c r="Q19" s="1347"/>
      <c r="R19" s="31"/>
      <c r="S19" s="1343"/>
      <c r="U19" s="1161"/>
      <c r="V19" s="1161"/>
      <c r="W19" s="1161"/>
      <c r="X19" s="1161"/>
      <c r="Y19" s="1161"/>
      <c r="Z19" s="1161"/>
      <c r="AA19" s="1161"/>
      <c r="AB19" s="441"/>
      <c r="AC19" s="441"/>
    </row>
    <row r="20" spans="1:43" s="549" customFormat="1">
      <c r="A20" s="7"/>
      <c r="B20" s="1340"/>
      <c r="C20" s="1185"/>
      <c r="D20" s="1185"/>
      <c r="E20" s="1185"/>
      <c r="F20" s="1340"/>
      <c r="G20" s="1345"/>
      <c r="H20" s="737"/>
      <c r="I20" s="712"/>
      <c r="J20" s="1185"/>
      <c r="K20" s="1270"/>
      <c r="L20" s="1270"/>
      <c r="M20" s="1185"/>
      <c r="N20" s="1185"/>
      <c r="O20" s="1185"/>
      <c r="P20" s="1185"/>
      <c r="Q20" s="1347"/>
      <c r="R20" s="31"/>
      <c r="S20" s="31"/>
      <c r="T20"/>
      <c r="U20" s="1161"/>
      <c r="V20" s="1161"/>
      <c r="W20" s="1161"/>
      <c r="X20" s="1161"/>
      <c r="Y20" s="1161"/>
      <c r="Z20" s="1161"/>
      <c r="AA20" s="1161"/>
      <c r="AB20"/>
      <c r="AL20"/>
      <c r="AM20"/>
      <c r="AN20"/>
      <c r="AO20"/>
      <c r="AP20"/>
      <c r="AQ20"/>
    </row>
    <row r="21" spans="1:43">
      <c r="A21" s="443"/>
      <c r="B21" s="1340"/>
      <c r="C21" s="1185"/>
      <c r="D21" s="1185"/>
      <c r="E21" s="1185"/>
      <c r="F21" s="1340"/>
      <c r="G21" s="1345"/>
      <c r="H21" s="1346"/>
      <c r="I21" s="712"/>
      <c r="J21" s="1346"/>
      <c r="K21" s="1270"/>
      <c r="L21" s="1270"/>
      <c r="M21" s="1340"/>
      <c r="N21" s="1340"/>
      <c r="O21" s="1342"/>
      <c r="P21" s="1185"/>
      <c r="Q21" s="1347"/>
      <c r="R21" s="31"/>
      <c r="S21" s="1343"/>
      <c r="T21" s="549"/>
      <c r="U21" s="1161"/>
      <c r="V21" s="1161"/>
      <c r="W21" s="1161"/>
      <c r="X21" s="1161"/>
      <c r="Y21" s="1161"/>
      <c r="Z21" s="1161"/>
      <c r="AA21" s="1161"/>
      <c r="AB21" s="549"/>
      <c r="AC21" s="441"/>
    </row>
    <row r="22" spans="1:43" s="549" customFormat="1" ht="15">
      <c r="A22" s="7"/>
      <c r="B22" s="1340"/>
      <c r="C22" s="1185"/>
      <c r="D22" s="1185"/>
      <c r="E22" s="1185"/>
      <c r="F22" s="1340"/>
      <c r="G22" s="1340"/>
      <c r="H22" s="737"/>
      <c r="I22" s="1340"/>
      <c r="J22" s="1185"/>
      <c r="K22" s="1270"/>
      <c r="L22" s="1270"/>
      <c r="M22" s="1340"/>
      <c r="N22" s="1340"/>
      <c r="O22" s="1185"/>
      <c r="P22" s="1185"/>
      <c r="Q22" s="1185"/>
      <c r="R22" s="31"/>
      <c r="S22" s="31"/>
      <c r="T22"/>
      <c r="U22" s="1161"/>
      <c r="V22" s="1161"/>
      <c r="W22" s="1161"/>
      <c r="X22" s="1161"/>
      <c r="Y22" s="1161"/>
      <c r="Z22" s="1161"/>
      <c r="AA22" s="1161"/>
      <c r="AB22" s="580"/>
      <c r="AC22" s="467"/>
      <c r="AL22"/>
      <c r="AM22"/>
      <c r="AN22"/>
      <c r="AO22"/>
      <c r="AP22"/>
      <c r="AQ22"/>
    </row>
    <row r="23" spans="1:43">
      <c r="A23" s="443"/>
      <c r="B23" s="549"/>
      <c r="C23" s="549"/>
      <c r="D23" s="549"/>
      <c r="E23" s="549"/>
      <c r="F23" s="549"/>
      <c r="G23" s="549"/>
      <c r="H23" s="549"/>
      <c r="I23" s="549"/>
      <c r="J23" s="549"/>
      <c r="K23" s="549"/>
      <c r="L23" s="549"/>
      <c r="M23" s="549"/>
      <c r="N23" s="549"/>
      <c r="O23" s="549"/>
      <c r="P23" s="549"/>
      <c r="Q23" s="549"/>
      <c r="R23" s="549"/>
      <c r="S23" s="549"/>
      <c r="T23" s="549"/>
      <c r="U23" s="1161"/>
      <c r="V23" s="1161"/>
      <c r="W23" s="1161"/>
      <c r="X23" s="1161"/>
      <c r="Y23" s="1161"/>
      <c r="Z23" s="1161"/>
      <c r="AA23" s="1161"/>
      <c r="AB23" s="587"/>
    </row>
    <row r="24" spans="1:43" s="441" customFormat="1">
      <c r="A24" s="7"/>
      <c r="B24"/>
      <c r="C24"/>
      <c r="D24"/>
      <c r="E24"/>
      <c r="F24" s="580"/>
      <c r="G24"/>
      <c r="M24" s="580"/>
      <c r="N24"/>
      <c r="O24"/>
      <c r="P24"/>
      <c r="Q24" s="549"/>
      <c r="R24"/>
      <c r="S24"/>
      <c r="T24"/>
      <c r="U24" s="1161"/>
      <c r="V24" s="1161"/>
      <c r="W24" s="1161"/>
      <c r="X24" s="1161"/>
      <c r="Y24" s="1161"/>
      <c r="Z24" s="1161"/>
      <c r="AA24" s="1161"/>
      <c r="AB24" s="580"/>
      <c r="AL24"/>
      <c r="AM24"/>
      <c r="AN24"/>
      <c r="AO24"/>
      <c r="AP24"/>
      <c r="AQ24"/>
    </row>
    <row r="25" spans="1:43" s="441" customFormat="1">
      <c r="A25" s="443"/>
      <c r="F25" s="580"/>
      <c r="G25" s="580"/>
      <c r="H25" s="580"/>
      <c r="I25" s="580"/>
      <c r="N25" s="580"/>
      <c r="U25" s="1161"/>
      <c r="V25" s="1161"/>
      <c r="W25" s="1161"/>
      <c r="X25" s="1161"/>
      <c r="Y25" s="1161"/>
      <c r="Z25" s="1161"/>
      <c r="AA25" s="1161"/>
      <c r="AB25" s="580"/>
    </row>
    <row r="26" spans="1:43" s="441" customFormat="1" ht="13.5" thickBot="1">
      <c r="A26" s="443"/>
      <c r="E26" s="578"/>
      <c r="F26" s="10" t="s">
        <v>500</v>
      </c>
      <c r="M26" s="580"/>
      <c r="N26"/>
      <c r="O26"/>
      <c r="P26"/>
      <c r="Q26"/>
      <c r="R26" s="10"/>
      <c r="U26" s="1161"/>
      <c r="V26" s="1161"/>
      <c r="W26" s="1161"/>
      <c r="X26" s="1161"/>
      <c r="Y26" s="1161"/>
      <c r="Z26" s="1161"/>
      <c r="AA26" s="1161"/>
      <c r="AB26" s="580"/>
    </row>
    <row r="27" spans="1:43" s="441" customFormat="1" ht="17.25" thickTop="1" thickBot="1">
      <c r="E27"/>
      <c r="F27" s="427" t="s">
        <v>445</v>
      </c>
      <c r="G27" s="428" t="s">
        <v>446</v>
      </c>
      <c r="I27" s="518" t="s">
        <v>502</v>
      </c>
      <c r="J27" s="519" t="s">
        <v>145</v>
      </c>
      <c r="K27" s="520" t="s">
        <v>146</v>
      </c>
      <c r="M27" s="580"/>
      <c r="N27"/>
      <c r="O27"/>
      <c r="P27"/>
      <c r="Q27"/>
      <c r="R27"/>
      <c r="S27"/>
      <c r="U27" s="1161"/>
      <c r="V27" s="1161"/>
      <c r="W27" s="1161"/>
      <c r="X27" s="1161"/>
      <c r="Y27" s="1161"/>
      <c r="Z27" s="1161"/>
      <c r="AA27" s="1161"/>
      <c r="AB27" s="580"/>
    </row>
    <row r="28" spans="1:43" s="441" customFormat="1" ht="15.75">
      <c r="B28"/>
      <c r="C28"/>
      <c r="E28" s="10" t="s">
        <v>447</v>
      </c>
      <c r="F28" s="429">
        <f>SUM(O39,O45,O47)/O38</f>
        <v>0.56866048862679019</v>
      </c>
      <c r="G28" s="430">
        <f>(SUM(O40:O44)+O46+O48+O49)/O38</f>
        <v>0.43176074136478515</v>
      </c>
      <c r="I28" s="521" t="s">
        <v>481</v>
      </c>
      <c r="J28" s="240">
        <f>+AVI!F28*'Freight_NAVI-AVI'!W80</f>
        <v>0.52303506198495009</v>
      </c>
      <c r="K28" s="523">
        <f>+AVI!G28*'Freight_NAVI-AVI'!W80</f>
        <v>0.39711921372931397</v>
      </c>
      <c r="M28" s="580"/>
      <c r="N28" s="10"/>
      <c r="O28"/>
      <c r="P28"/>
      <c r="Q28"/>
      <c r="R28"/>
      <c r="S28"/>
      <c r="T28"/>
      <c r="U28" s="1161"/>
      <c r="V28" s="1161"/>
      <c r="W28" s="1161"/>
      <c r="X28" s="1161"/>
      <c r="Y28" s="1161"/>
      <c r="Z28" s="1161"/>
      <c r="AA28" s="1161"/>
      <c r="AB28" s="580"/>
    </row>
    <row r="29" spans="1:43" s="441" customFormat="1" ht="16.5" thickBot="1">
      <c r="A29" s="443"/>
      <c r="B29"/>
      <c r="C29"/>
      <c r="E29" s="10" t="s">
        <v>217</v>
      </c>
      <c r="F29" s="431">
        <f>(SUM(O52,O58,O60)/O51)</f>
        <v>0.86838509882502957</v>
      </c>
      <c r="G29" s="432">
        <f>1-F29</f>
        <v>0.13161490117497043</v>
      </c>
      <c r="I29" s="522" t="s">
        <v>482</v>
      </c>
      <c r="J29" s="238">
        <f>+AVI!F29*'Freight_NAVI-AVI'!W80</f>
        <v>0.79871182027707832</v>
      </c>
      <c r="K29" s="517">
        <f>AVI!G29*'Freight_NAVI-AVI'!W80</f>
        <v>0.12105502205793775</v>
      </c>
      <c r="M29" s="580"/>
      <c r="N29" s="588"/>
      <c r="O29"/>
      <c r="P29"/>
      <c r="Q29"/>
      <c r="R29"/>
      <c r="S29"/>
      <c r="T29"/>
      <c r="U29" s="1161"/>
      <c r="V29" s="1161"/>
      <c r="W29" s="1161"/>
      <c r="X29" s="1161"/>
      <c r="Y29" s="1161"/>
      <c r="Z29" s="1161"/>
      <c r="AA29" s="1161"/>
      <c r="AB29" s="580"/>
    </row>
    <row r="30" spans="1:43" ht="13.5" thickTop="1">
      <c r="A30" s="443"/>
      <c r="B30" s="540"/>
      <c r="D30" s="441"/>
      <c r="U30" s="1161"/>
      <c r="V30" s="1161"/>
      <c r="W30" s="1161"/>
      <c r="X30" s="1161"/>
      <c r="Y30" s="1161"/>
      <c r="Z30" s="1161"/>
      <c r="AA30" s="1161"/>
      <c r="AH30" s="441"/>
    </row>
    <row r="31" spans="1:43">
      <c r="U31" s="1161"/>
      <c r="V31" s="1161"/>
      <c r="W31" s="1161"/>
      <c r="X31" s="1161"/>
      <c r="Y31" s="1161"/>
      <c r="Z31" s="1161"/>
      <c r="AA31" s="1161"/>
    </row>
    <row r="32" spans="1:43">
      <c r="T32" s="441"/>
      <c r="U32" s="1161"/>
      <c r="V32" s="1161"/>
      <c r="W32" s="1161"/>
      <c r="X32" s="1161"/>
      <c r="Y32" s="1161"/>
      <c r="Z32" s="1161"/>
      <c r="AA32" s="1161"/>
    </row>
    <row r="33" spans="13:33">
      <c r="U33" s="1161"/>
      <c r="V33" s="1161"/>
      <c r="W33" s="1161"/>
      <c r="X33" s="1161"/>
      <c r="Y33" s="1161"/>
      <c r="Z33" s="1161"/>
      <c r="AA33" s="1161"/>
    </row>
    <row r="34" spans="13:33">
      <c r="U34" s="1161"/>
      <c r="V34" s="1161"/>
      <c r="W34" s="1161"/>
      <c r="X34" s="1161"/>
      <c r="Y34" s="1161"/>
      <c r="Z34" s="1161"/>
      <c r="AA34" s="1161"/>
    </row>
    <row r="35" spans="13:33" ht="17.25">
      <c r="M35" s="475" t="s">
        <v>615</v>
      </c>
      <c r="N35" s="491"/>
      <c r="O35" s="491"/>
      <c r="P35" s="491"/>
      <c r="Q35" s="491"/>
      <c r="R35" s="491"/>
      <c r="S35" s="474"/>
      <c r="U35" s="466" t="s">
        <v>475</v>
      </c>
      <c r="V35" s="26"/>
      <c r="W35" s="26"/>
      <c r="X35" s="26"/>
      <c r="Y35" s="26"/>
      <c r="Z35" s="26"/>
      <c r="AA35" s="277"/>
    </row>
    <row r="36" spans="13:33" ht="15">
      <c r="M36" s="482" t="s">
        <v>614</v>
      </c>
      <c r="N36" s="217"/>
      <c r="O36" s="219" t="s">
        <v>486</v>
      </c>
      <c r="P36" s="219" t="s">
        <v>487</v>
      </c>
      <c r="Q36" s="479" t="s">
        <v>612</v>
      </c>
      <c r="R36" s="479" t="s">
        <v>613</v>
      </c>
      <c r="S36" s="477" t="s">
        <v>611</v>
      </c>
      <c r="U36" s="470" t="s">
        <v>426</v>
      </c>
      <c r="V36" s="473">
        <v>2009</v>
      </c>
      <c r="W36" s="473">
        <v>2010</v>
      </c>
      <c r="X36" s="473">
        <v>2011</v>
      </c>
      <c r="Y36" s="473">
        <v>2012</v>
      </c>
      <c r="Z36" s="473">
        <v>2013</v>
      </c>
      <c r="AA36" s="469">
        <v>2014</v>
      </c>
      <c r="AB36"/>
    </row>
    <row r="37" spans="13:33" ht="15">
      <c r="M37" s="482"/>
      <c r="N37" s="217"/>
      <c r="O37" s="219"/>
      <c r="P37" s="219"/>
      <c r="Q37" s="479"/>
      <c r="R37" s="479"/>
      <c r="S37" s="477"/>
      <c r="U37" s="468" t="s">
        <v>435</v>
      </c>
      <c r="V37" s="472">
        <v>7534.51</v>
      </c>
      <c r="W37" s="472">
        <v>6533.05</v>
      </c>
      <c r="X37" s="472">
        <v>6385.47</v>
      </c>
      <c r="Y37" s="472">
        <v>6218.85</v>
      </c>
      <c r="Z37" s="472">
        <v>6292.97</v>
      </c>
      <c r="AA37" s="487">
        <v>5669.54</v>
      </c>
      <c r="AB37"/>
    </row>
    <row r="38" spans="13:33" ht="15">
      <c r="M38" s="485" t="s">
        <v>216</v>
      </c>
      <c r="N38" s="219" t="s">
        <v>203</v>
      </c>
      <c r="O38" s="220">
        <v>2374</v>
      </c>
      <c r="P38" s="220">
        <v>2332</v>
      </c>
      <c r="Q38" s="478">
        <v>1869</v>
      </c>
      <c r="R38" s="478">
        <v>1850</v>
      </c>
      <c r="S38" s="476">
        <v>1894</v>
      </c>
      <c r="U38" s="467" t="s">
        <v>53</v>
      </c>
      <c r="V38" s="471">
        <v>0</v>
      </c>
      <c r="W38" s="471">
        <v>0</v>
      </c>
      <c r="X38" s="471">
        <v>0</v>
      </c>
      <c r="Y38" s="471">
        <v>0</v>
      </c>
      <c r="Z38" s="471">
        <v>0</v>
      </c>
      <c r="AA38" s="464">
        <v>0</v>
      </c>
      <c r="AB38"/>
    </row>
    <row r="39" spans="13:33" ht="15">
      <c r="M39" s="415"/>
      <c r="N39" s="219" t="s">
        <v>204</v>
      </c>
      <c r="O39" s="220">
        <v>1218</v>
      </c>
      <c r="P39" s="220">
        <v>1196</v>
      </c>
      <c r="Q39" s="478">
        <v>960</v>
      </c>
      <c r="R39" s="478">
        <v>943</v>
      </c>
      <c r="S39" s="476">
        <v>967</v>
      </c>
      <c r="U39" s="467" t="s">
        <v>424</v>
      </c>
      <c r="V39" s="471">
        <v>0</v>
      </c>
      <c r="W39" s="471">
        <v>0</v>
      </c>
      <c r="X39" s="471">
        <v>0</v>
      </c>
      <c r="Y39" s="471">
        <v>0</v>
      </c>
      <c r="Z39" s="471">
        <v>0</v>
      </c>
      <c r="AA39" s="464">
        <v>0</v>
      </c>
      <c r="AB39"/>
    </row>
    <row r="40" spans="13:33" ht="15">
      <c r="M40" s="415"/>
      <c r="N40" s="219" t="s">
        <v>205</v>
      </c>
      <c r="O40" s="220">
        <v>117</v>
      </c>
      <c r="P40" s="220">
        <v>115</v>
      </c>
      <c r="Q40" s="478">
        <v>75</v>
      </c>
      <c r="R40" s="478">
        <v>90</v>
      </c>
      <c r="S40" s="476">
        <v>102</v>
      </c>
      <c r="U40" s="467" t="s">
        <v>425</v>
      </c>
      <c r="V40" s="471">
        <v>6489.27</v>
      </c>
      <c r="W40" s="471">
        <v>5664.85</v>
      </c>
      <c r="X40" s="471">
        <v>5653.69</v>
      </c>
      <c r="Y40" s="471">
        <v>5595.16</v>
      </c>
      <c r="Z40" s="471">
        <v>5517.93</v>
      </c>
      <c r="AA40" s="464">
        <v>5123.8999999999996</v>
      </c>
      <c r="AB40"/>
    </row>
    <row r="41" spans="13:33" ht="17.25">
      <c r="M41" s="415"/>
      <c r="N41" s="219" t="s">
        <v>206</v>
      </c>
      <c r="O41" s="220">
        <v>160</v>
      </c>
      <c r="P41" s="220">
        <v>161</v>
      </c>
      <c r="Q41" s="478">
        <v>125</v>
      </c>
      <c r="R41" s="478">
        <v>106</v>
      </c>
      <c r="S41" s="476">
        <v>112</v>
      </c>
      <c r="T41" s="457"/>
      <c r="U41" s="467" t="s">
        <v>432</v>
      </c>
      <c r="V41" s="471">
        <v>1045.23</v>
      </c>
      <c r="W41" s="471">
        <v>868.2</v>
      </c>
      <c r="X41" s="471">
        <v>731.78</v>
      </c>
      <c r="Y41" s="471">
        <v>623.69000000000005</v>
      </c>
      <c r="Z41" s="471">
        <v>775.03</v>
      </c>
      <c r="AA41" s="464">
        <v>545.64</v>
      </c>
      <c r="AB41"/>
    </row>
    <row r="42" spans="13:33" ht="15">
      <c r="M42" s="415"/>
      <c r="N42" s="219" t="s">
        <v>207</v>
      </c>
      <c r="O42" s="220">
        <v>524</v>
      </c>
      <c r="P42" s="220">
        <v>516</v>
      </c>
      <c r="Q42" s="478">
        <v>467</v>
      </c>
      <c r="R42" s="478">
        <v>465</v>
      </c>
      <c r="S42" s="476">
        <v>445</v>
      </c>
      <c r="U42" s="467"/>
      <c r="V42" s="471"/>
      <c r="W42" s="471"/>
      <c r="X42" s="471"/>
      <c r="Y42" s="471"/>
      <c r="Z42" s="471"/>
      <c r="AA42" s="464"/>
      <c r="AB42"/>
      <c r="AF42" s="441"/>
      <c r="AG42"/>
    </row>
    <row r="43" spans="13:33" ht="15">
      <c r="M43" s="415"/>
      <c r="N43" s="219" t="s">
        <v>208</v>
      </c>
      <c r="O43" s="220">
        <v>153</v>
      </c>
      <c r="P43" s="220">
        <v>141</v>
      </c>
      <c r="Q43" s="478">
        <v>83</v>
      </c>
      <c r="R43" s="478">
        <v>66</v>
      </c>
      <c r="S43" s="476">
        <v>62</v>
      </c>
      <c r="T43" s="441"/>
      <c r="U43" s="468" t="s">
        <v>436</v>
      </c>
      <c r="V43" s="472">
        <v>1745.26</v>
      </c>
      <c r="W43" s="472">
        <v>1864.71</v>
      </c>
      <c r="X43" s="472">
        <v>1758.66</v>
      </c>
      <c r="Y43" s="472">
        <v>1545.28</v>
      </c>
      <c r="Z43" s="472">
        <v>1484.56</v>
      </c>
      <c r="AA43" s="487">
        <v>1377.44</v>
      </c>
      <c r="AB43" s="719"/>
      <c r="AF43" s="441"/>
      <c r="AG43"/>
    </row>
    <row r="44" spans="13:33" ht="12.75" customHeight="1">
      <c r="M44" s="415"/>
      <c r="N44" s="219" t="s">
        <v>209</v>
      </c>
      <c r="O44" s="220">
        <v>37</v>
      </c>
      <c r="P44" s="220">
        <v>38</v>
      </c>
      <c r="Q44" s="478">
        <v>40</v>
      </c>
      <c r="R44" s="478">
        <v>46</v>
      </c>
      <c r="S44" s="476">
        <v>53</v>
      </c>
      <c r="U44" s="467" t="s">
        <v>53</v>
      </c>
      <c r="V44" s="489">
        <v>0</v>
      </c>
      <c r="W44" s="489">
        <v>0</v>
      </c>
      <c r="X44" s="489">
        <v>0</v>
      </c>
      <c r="Y44" s="489">
        <v>0</v>
      </c>
      <c r="Z44" s="489">
        <v>0</v>
      </c>
      <c r="AA44" s="488">
        <v>0.05</v>
      </c>
      <c r="AB44" s="719"/>
      <c r="AF44" s="441"/>
      <c r="AG44"/>
    </row>
    <row r="45" spans="13:33" ht="15">
      <c r="M45" s="415"/>
      <c r="N45" s="219" t="s">
        <v>210</v>
      </c>
      <c r="O45" s="220">
        <v>123</v>
      </c>
      <c r="P45" s="220">
        <v>117</v>
      </c>
      <c r="Q45" s="478">
        <v>88</v>
      </c>
      <c r="R45" s="478">
        <v>101</v>
      </c>
      <c r="S45" s="476">
        <v>116</v>
      </c>
      <c r="U45" s="467" t="s">
        <v>429</v>
      </c>
      <c r="V45" s="489">
        <v>73.39</v>
      </c>
      <c r="W45" s="489">
        <v>65.680000000000007</v>
      </c>
      <c r="X45" s="489">
        <v>57.44</v>
      </c>
      <c r="Y45" s="489">
        <v>62.76</v>
      </c>
      <c r="Z45" s="489">
        <v>64.87</v>
      </c>
      <c r="AA45" s="488">
        <v>38.869999999999997</v>
      </c>
      <c r="AB45" s="719"/>
      <c r="AF45" s="441"/>
      <c r="AG45"/>
    </row>
    <row r="46" spans="13:33" ht="15">
      <c r="M46" s="415"/>
      <c r="N46" s="219" t="s">
        <v>211</v>
      </c>
      <c r="O46" s="220">
        <v>34</v>
      </c>
      <c r="P46" s="220">
        <v>35</v>
      </c>
      <c r="Q46" s="478">
        <v>19</v>
      </c>
      <c r="R46" s="478">
        <v>22</v>
      </c>
      <c r="S46" s="476">
        <v>29</v>
      </c>
      <c r="U46" s="467" t="s">
        <v>423</v>
      </c>
      <c r="V46" s="489">
        <v>1.28</v>
      </c>
      <c r="W46" s="489">
        <v>0.89</v>
      </c>
      <c r="X46" s="489">
        <v>1.05</v>
      </c>
      <c r="Y46" s="489">
        <v>0.76</v>
      </c>
      <c r="Z46" s="489">
        <v>0.33</v>
      </c>
      <c r="AA46" s="488">
        <v>0.23</v>
      </c>
      <c r="AB46" s="719"/>
      <c r="AF46" s="441"/>
      <c r="AG46"/>
    </row>
    <row r="47" spans="13:33" ht="15">
      <c r="M47" s="415"/>
      <c r="N47" s="219" t="s">
        <v>212</v>
      </c>
      <c r="O47" s="220">
        <v>9</v>
      </c>
      <c r="P47" s="220">
        <v>13</v>
      </c>
      <c r="Q47" s="478">
        <v>12</v>
      </c>
      <c r="R47" s="478">
        <v>12</v>
      </c>
      <c r="S47" s="476">
        <v>8</v>
      </c>
      <c r="U47" s="467" t="s">
        <v>424</v>
      </c>
      <c r="V47" s="489">
        <v>0</v>
      </c>
      <c r="W47" s="489">
        <v>0</v>
      </c>
      <c r="X47" s="489">
        <v>0</v>
      </c>
      <c r="Y47" s="489">
        <v>0</v>
      </c>
      <c r="Z47" s="489">
        <v>0</v>
      </c>
      <c r="AA47" s="488">
        <v>0</v>
      </c>
      <c r="AB47"/>
      <c r="AF47" s="441"/>
      <c r="AG47"/>
    </row>
    <row r="48" spans="13:33" ht="15">
      <c r="M48" s="415"/>
      <c r="N48" s="219" t="s">
        <v>213</v>
      </c>
      <c r="O48" s="220">
        <v>0</v>
      </c>
      <c r="P48" s="220">
        <v>0</v>
      </c>
      <c r="Q48" s="478">
        <v>0</v>
      </c>
      <c r="R48" s="478">
        <v>0</v>
      </c>
      <c r="S48" s="476">
        <v>0</v>
      </c>
      <c r="U48" s="467" t="s">
        <v>431</v>
      </c>
      <c r="V48" s="489">
        <v>1670.58</v>
      </c>
      <c r="W48" s="489">
        <v>1798.14</v>
      </c>
      <c r="X48" s="489">
        <v>1700.17</v>
      </c>
      <c r="Y48" s="489">
        <v>1481.77</v>
      </c>
      <c r="Z48" s="489">
        <v>1419.36</v>
      </c>
      <c r="AA48" s="488">
        <v>1338.29</v>
      </c>
      <c r="AB48"/>
      <c r="AF48" s="441"/>
      <c r="AG48"/>
    </row>
    <row r="49" spans="13:33" ht="15">
      <c r="M49" s="415"/>
      <c r="N49" s="219" t="s">
        <v>214</v>
      </c>
      <c r="O49" s="220">
        <v>0</v>
      </c>
      <c r="P49" s="220">
        <v>0</v>
      </c>
      <c r="Q49" s="478">
        <v>0</v>
      </c>
      <c r="R49" s="478">
        <v>0</v>
      </c>
      <c r="S49" s="476">
        <v>0</v>
      </c>
      <c r="U49" s="467"/>
      <c r="V49" s="442"/>
      <c r="W49" s="442"/>
      <c r="X49" s="442"/>
      <c r="Y49" s="442"/>
      <c r="Z49" s="442"/>
      <c r="AA49" s="28"/>
      <c r="AB49"/>
      <c r="AF49" s="441"/>
      <c r="AG49"/>
    </row>
    <row r="50" spans="13:33" ht="14.25">
      <c r="M50" s="216"/>
      <c r="N50" s="217"/>
      <c r="O50" s="217"/>
      <c r="P50" s="217"/>
      <c r="Q50" s="217"/>
      <c r="R50" s="217"/>
      <c r="S50" s="218"/>
      <c r="U50" s="468" t="s">
        <v>437</v>
      </c>
      <c r="V50" s="472">
        <v>32551.77</v>
      </c>
      <c r="W50" s="472">
        <v>33929.93</v>
      </c>
      <c r="X50" s="472">
        <v>34878.14</v>
      </c>
      <c r="Y50" s="472">
        <v>35151.040000000001</v>
      </c>
      <c r="Z50" s="472">
        <v>34815.19</v>
      </c>
      <c r="AA50" s="487">
        <v>37747.71</v>
      </c>
      <c r="AB50"/>
      <c r="AF50" s="441"/>
      <c r="AG50"/>
    </row>
    <row r="51" spans="13:33" ht="15">
      <c r="M51" s="485" t="s">
        <v>217</v>
      </c>
      <c r="N51" s="219" t="s">
        <v>203</v>
      </c>
      <c r="O51" s="220">
        <v>10979</v>
      </c>
      <c r="P51" s="220">
        <v>11728</v>
      </c>
      <c r="Q51" s="478">
        <v>12316</v>
      </c>
      <c r="R51" s="478">
        <v>12781</v>
      </c>
      <c r="S51" s="476">
        <v>13525</v>
      </c>
      <c r="U51" s="467" t="s">
        <v>429</v>
      </c>
      <c r="V51" s="471">
        <v>3.86</v>
      </c>
      <c r="W51" s="471">
        <v>3.86</v>
      </c>
      <c r="X51" s="471">
        <v>3.86</v>
      </c>
      <c r="Y51" s="471">
        <v>0.9</v>
      </c>
      <c r="Z51" s="471">
        <v>1.83</v>
      </c>
      <c r="AA51" s="464">
        <v>2.99</v>
      </c>
      <c r="AB51"/>
      <c r="AC51" s="1161"/>
      <c r="AF51" s="441"/>
      <c r="AG51"/>
    </row>
    <row r="52" spans="13:33" ht="15">
      <c r="M52" s="415"/>
      <c r="N52" s="219" t="s">
        <v>204</v>
      </c>
      <c r="O52" s="220">
        <v>9527</v>
      </c>
      <c r="P52" s="220">
        <v>10160</v>
      </c>
      <c r="Q52" s="478">
        <v>10695</v>
      </c>
      <c r="R52" s="478">
        <v>11071</v>
      </c>
      <c r="S52" s="476">
        <v>11817</v>
      </c>
      <c r="U52" s="492" t="s">
        <v>431</v>
      </c>
      <c r="V52" s="461">
        <v>32547.91</v>
      </c>
      <c r="W52" s="461">
        <v>33926.080000000002</v>
      </c>
      <c r="X52" s="461">
        <v>34874.28</v>
      </c>
      <c r="Y52" s="461">
        <v>35150.14</v>
      </c>
      <c r="Z52" s="461">
        <v>34813.35</v>
      </c>
      <c r="AA52" s="465">
        <v>37744.720000000001</v>
      </c>
      <c r="AB52"/>
      <c r="AC52" s="1161"/>
      <c r="AF52" s="441"/>
      <c r="AG52"/>
    </row>
    <row r="53" spans="13:33" ht="15">
      <c r="M53" s="415"/>
      <c r="N53" s="219" t="s">
        <v>205</v>
      </c>
      <c r="O53" s="220">
        <v>1173</v>
      </c>
      <c r="P53" s="220">
        <v>1241</v>
      </c>
      <c r="Q53" s="478">
        <v>1293</v>
      </c>
      <c r="R53" s="478">
        <v>1325</v>
      </c>
      <c r="S53" s="476">
        <v>1327</v>
      </c>
      <c r="U53" s="441"/>
      <c r="AA53" s="441"/>
      <c r="AB53"/>
      <c r="AC53" s="1161"/>
      <c r="AF53" s="441"/>
      <c r="AG53"/>
    </row>
    <row r="54" spans="13:33" ht="15">
      <c r="M54" s="415"/>
      <c r="N54" s="219" t="s">
        <v>206</v>
      </c>
      <c r="O54" s="220">
        <v>124</v>
      </c>
      <c r="P54" s="220">
        <v>136</v>
      </c>
      <c r="Q54" s="478">
        <v>119</v>
      </c>
      <c r="R54" s="478">
        <v>125</v>
      </c>
      <c r="S54" s="476">
        <v>100</v>
      </c>
      <c r="U54" s="441"/>
      <c r="AA54" s="441"/>
      <c r="AB54"/>
      <c r="AF54" s="441"/>
      <c r="AG54"/>
    </row>
    <row r="55" spans="13:33" ht="15">
      <c r="M55" s="415"/>
      <c r="N55" s="219" t="s">
        <v>207</v>
      </c>
      <c r="O55" s="220">
        <v>139</v>
      </c>
      <c r="P55" s="220">
        <v>172</v>
      </c>
      <c r="Q55" s="478">
        <v>192</v>
      </c>
      <c r="R55" s="478">
        <v>244</v>
      </c>
      <c r="S55" s="476">
        <v>262</v>
      </c>
      <c r="U55" s="571" t="s">
        <v>689</v>
      </c>
      <c r="V55"/>
      <c r="W55"/>
      <c r="Z55"/>
      <c r="AA55" s="441"/>
      <c r="AB55"/>
      <c r="AF55" s="441"/>
      <c r="AG55"/>
    </row>
    <row r="56" spans="13:33" ht="15">
      <c r="M56" s="415"/>
      <c r="N56" s="219" t="s">
        <v>208</v>
      </c>
      <c r="O56" s="220">
        <v>3</v>
      </c>
      <c r="P56" s="220">
        <v>4</v>
      </c>
      <c r="Q56" s="478">
        <v>4</v>
      </c>
      <c r="R56" s="478">
        <v>3</v>
      </c>
      <c r="S56" s="476">
        <v>2</v>
      </c>
      <c r="U56" s="570" t="s">
        <v>688</v>
      </c>
      <c r="V56" s="577" t="s">
        <v>696</v>
      </c>
      <c r="W56" s="700" t="s">
        <v>687</v>
      </c>
      <c r="X56" s="701" t="s">
        <v>844</v>
      </c>
      <c r="Y56"/>
      <c r="Z56"/>
      <c r="AA56" s="441"/>
      <c r="AB56"/>
      <c r="AF56" s="441"/>
      <c r="AG56"/>
    </row>
    <row r="57" spans="13:33" ht="15">
      <c r="M57" s="415"/>
      <c r="N57" s="219" t="s">
        <v>209</v>
      </c>
      <c r="O57" s="220">
        <v>5</v>
      </c>
      <c r="P57" s="220">
        <v>7</v>
      </c>
      <c r="Q57" s="478">
        <v>7</v>
      </c>
      <c r="R57" s="478">
        <v>7</v>
      </c>
      <c r="S57" s="476">
        <v>8</v>
      </c>
      <c r="U57" s="21" t="s">
        <v>79</v>
      </c>
      <c r="V57" s="279">
        <v>184.45599999999999</v>
      </c>
      <c r="W57" s="59" t="e">
        <f>V57/H19</f>
        <v>#DIV/0!</v>
      </c>
      <c r="X57" s="551" t="e">
        <f>(W57+W58+W59+W60)/($W$37/1000)</f>
        <v>#DIV/0!</v>
      </c>
      <c r="Y57" s="441">
        <f>SUM(V57:V60)/(W37/1000)</f>
        <v>7922.1266258631103</v>
      </c>
      <c r="Z57">
        <f>V58/3.8</f>
        <v>512.89473684210532</v>
      </c>
      <c r="AA57" s="441"/>
      <c r="AB57"/>
      <c r="AF57" s="441"/>
      <c r="AG57"/>
    </row>
    <row r="58" spans="13:33" ht="15">
      <c r="M58" s="415"/>
      <c r="N58" s="219" t="s">
        <v>210</v>
      </c>
      <c r="O58" s="220">
        <v>3</v>
      </c>
      <c r="P58" s="220">
        <v>4</v>
      </c>
      <c r="Q58" s="478">
        <v>3</v>
      </c>
      <c r="R58" s="478">
        <v>3</v>
      </c>
      <c r="S58" s="476">
        <v>4</v>
      </c>
      <c r="U58" s="21" t="e">
        <f>Dem!#REF!</f>
        <v>#REF!</v>
      </c>
      <c r="V58" s="279">
        <v>1949</v>
      </c>
      <c r="W58" s="59">
        <v>14.634585936213885</v>
      </c>
      <c r="X58" s="28"/>
      <c r="Z58"/>
      <c r="AA58" s="441"/>
      <c r="AB58"/>
      <c r="AF58" s="441"/>
      <c r="AG58"/>
    </row>
    <row r="59" spans="13:33" ht="15">
      <c r="M59" s="415"/>
      <c r="N59" s="219" t="s">
        <v>211</v>
      </c>
      <c r="O59" s="220">
        <v>1</v>
      </c>
      <c r="P59" s="220">
        <v>1</v>
      </c>
      <c r="Q59" s="478">
        <v>0</v>
      </c>
      <c r="R59" s="478">
        <v>0</v>
      </c>
      <c r="S59" s="476">
        <v>1</v>
      </c>
      <c r="U59" s="21" t="s">
        <v>80</v>
      </c>
      <c r="V59" s="279">
        <v>1481.4</v>
      </c>
      <c r="W59" s="59" t="e">
        <f>V59/H17</f>
        <v>#DIV/0!</v>
      </c>
      <c r="X59" s="551"/>
      <c r="Z59"/>
      <c r="AA59" s="718"/>
      <c r="AB59"/>
      <c r="AF59" s="441"/>
      <c r="AG59"/>
    </row>
    <row r="60" spans="13:33" ht="15">
      <c r="M60" s="415"/>
      <c r="N60" s="219" t="s">
        <v>212</v>
      </c>
      <c r="O60" s="220">
        <v>4</v>
      </c>
      <c r="P60" s="220">
        <v>4</v>
      </c>
      <c r="Q60" s="478">
        <v>3</v>
      </c>
      <c r="R60" s="478">
        <v>4</v>
      </c>
      <c r="S60" s="476">
        <v>4</v>
      </c>
      <c r="U60" s="21" t="e">
        <f>Dem!#REF!</f>
        <v>#REF!</v>
      </c>
      <c r="V60" s="279">
        <v>48140.793353094996</v>
      </c>
      <c r="W60" s="59">
        <v>83.814772976101068</v>
      </c>
      <c r="X60" s="28"/>
      <c r="Z60"/>
      <c r="AB60"/>
      <c r="AF60" s="441"/>
      <c r="AG60"/>
    </row>
    <row r="61" spans="13:33" ht="15">
      <c r="M61" s="415"/>
      <c r="N61" s="219" t="s">
        <v>213</v>
      </c>
      <c r="O61" s="220">
        <v>0</v>
      </c>
      <c r="P61" s="220">
        <v>0</v>
      </c>
      <c r="Q61" s="478">
        <v>0</v>
      </c>
      <c r="R61" s="478">
        <v>0</v>
      </c>
      <c r="S61" s="476">
        <v>0</v>
      </c>
      <c r="U61" s="21" t="s">
        <v>707</v>
      </c>
      <c r="V61" s="279">
        <v>454.72050255193255</v>
      </c>
      <c r="W61" s="59">
        <f>V61/H6</f>
        <v>18.946687606330524</v>
      </c>
      <c r="X61" s="551">
        <f>(W61)/W48*1000</f>
        <v>10.536825612205124</v>
      </c>
      <c r="Z61"/>
      <c r="AB61"/>
      <c r="AF61" s="441"/>
      <c r="AG61"/>
    </row>
    <row r="62" spans="13:33" ht="15">
      <c r="M62" s="415"/>
      <c r="N62" s="219" t="s">
        <v>214</v>
      </c>
      <c r="O62" s="220">
        <v>0</v>
      </c>
      <c r="P62" s="220">
        <v>0</v>
      </c>
      <c r="Q62" s="478">
        <v>0</v>
      </c>
      <c r="R62" s="478">
        <v>0</v>
      </c>
      <c r="S62" s="476">
        <v>0</v>
      </c>
      <c r="U62" s="3" t="s">
        <v>708</v>
      </c>
      <c r="V62" s="692">
        <v>16.834475544107885</v>
      </c>
      <c r="W62" s="59">
        <f>V62/H9</f>
        <v>7.4353487229702369</v>
      </c>
      <c r="X62" s="551">
        <f>W62/((W45+W46)/1000)</f>
        <v>111.69218451209609</v>
      </c>
      <c r="Z62"/>
      <c r="AB62"/>
      <c r="AF62" s="441"/>
      <c r="AG62"/>
    </row>
    <row r="63" spans="13:33" ht="15">
      <c r="M63" s="490"/>
      <c r="N63" s="222"/>
      <c r="O63" s="222"/>
      <c r="P63" s="222"/>
      <c r="Q63" s="422"/>
      <c r="R63" s="422"/>
      <c r="S63" s="423"/>
      <c r="U63" s="21" t="s">
        <v>81</v>
      </c>
      <c r="V63" s="279">
        <v>36388</v>
      </c>
      <c r="W63" s="59">
        <f>V63/H12</f>
        <v>425.47658713933816</v>
      </c>
      <c r="X63" s="551">
        <f>W63/(W50+W64)*1000</f>
        <v>12.536942336309584</v>
      </c>
      <c r="Z63"/>
      <c r="AB63"/>
      <c r="AF63" s="441"/>
      <c r="AG63"/>
    </row>
    <row r="64" spans="13:33">
      <c r="M64"/>
      <c r="U64" s="436" t="e">
        <f>Dem!#REF!</f>
        <v>#REF!</v>
      </c>
      <c r="V64" s="279">
        <v>631.8048</v>
      </c>
      <c r="W64" s="435">
        <v>7.8975600000000004</v>
      </c>
      <c r="X64" s="425"/>
      <c r="Z64"/>
      <c r="AB64"/>
      <c r="AF64" s="441"/>
      <c r="AG64"/>
    </row>
    <row r="65" spans="13:33">
      <c r="M65"/>
      <c r="Z65"/>
      <c r="AB65"/>
      <c r="AF65" s="441"/>
      <c r="AG65"/>
    </row>
    <row r="66" spans="13:33">
      <c r="M66"/>
      <c r="AB66"/>
      <c r="AF66" s="441"/>
      <c r="AG66"/>
    </row>
    <row r="67" spans="13:33">
      <c r="M67"/>
      <c r="AA67" s="580"/>
      <c r="AB67"/>
      <c r="AF67" s="441"/>
      <c r="AG67"/>
    </row>
    <row r="68" spans="13:33">
      <c r="M68"/>
      <c r="AA68" s="580"/>
      <c r="AB68"/>
      <c r="AF68" s="441"/>
      <c r="AG68"/>
    </row>
    <row r="69" spans="13:33">
      <c r="M69"/>
      <c r="AA69" s="580"/>
      <c r="AB69"/>
      <c r="AF69" s="441"/>
      <c r="AG69"/>
    </row>
    <row r="70" spans="13:33">
      <c r="M70"/>
      <c r="U70" s="678"/>
      <c r="V70" s="678"/>
      <c r="W70" s="678"/>
      <c r="X70" s="678"/>
      <c r="Y70" s="678"/>
      <c r="Z70" s="693"/>
      <c r="AA70" s="580"/>
      <c r="AB70"/>
      <c r="AF70" s="441"/>
      <c r="AG70"/>
    </row>
    <row r="71" spans="13:33">
      <c r="M71"/>
      <c r="U71" s="678"/>
      <c r="V71" s="678"/>
      <c r="W71" s="678"/>
      <c r="X71" s="678"/>
      <c r="Y71" s="678"/>
      <c r="Z71" s="719">
        <f>SUM(Z72:Z75)</f>
        <v>33.93521364903328</v>
      </c>
      <c r="AA71" s="580"/>
      <c r="AB71"/>
      <c r="AF71" s="441"/>
      <c r="AG71"/>
    </row>
    <row r="72" spans="13:33">
      <c r="M72"/>
      <c r="U72" s="691" t="s">
        <v>845</v>
      </c>
      <c r="V72" s="702">
        <v>0.13195626006097499</v>
      </c>
      <c r="W72" s="703">
        <v>85.52291970905415</v>
      </c>
      <c r="X72" s="719">
        <f>$X$61*1.212</f>
        <v>12.770632641992611</v>
      </c>
      <c r="Y72" s="703">
        <v>2800000</v>
      </c>
      <c r="Z72" s="704">
        <f>V72*1/X72*Y72*0.001</f>
        <v>28.931810860787561</v>
      </c>
      <c r="AA72" s="580"/>
      <c r="AB72"/>
      <c r="AF72" s="441"/>
      <c r="AG72"/>
    </row>
    <row r="73" spans="13:33">
      <c r="M73"/>
      <c r="U73" s="684" t="s">
        <v>845</v>
      </c>
      <c r="V73" s="644">
        <v>1.9999663917359887E-2</v>
      </c>
      <c r="W73" s="552">
        <v>85.52291970905415</v>
      </c>
      <c r="X73" s="719">
        <f t="shared" ref="X73:X75" si="0">$X$61*1.212</f>
        <v>12.770632641992611</v>
      </c>
      <c r="Y73" s="552">
        <v>2800000</v>
      </c>
      <c r="Z73" s="278">
        <f t="shared" ref="Z73:Z77" si="1">V73*1/X73*Y73*0.001</f>
        <v>4.3849870666916395</v>
      </c>
      <c r="AA73" s="580"/>
      <c r="AB73"/>
      <c r="AF73" s="441"/>
      <c r="AG73"/>
    </row>
    <row r="74" spans="13:33">
      <c r="M74"/>
      <c r="U74" s="705" t="s">
        <v>846</v>
      </c>
      <c r="V74" s="644">
        <v>2.5866292221035248E-3</v>
      </c>
      <c r="W74" s="552">
        <v>80</v>
      </c>
      <c r="X74" s="719">
        <f t="shared" si="0"/>
        <v>12.770632641992611</v>
      </c>
      <c r="Y74" s="552">
        <v>2800000</v>
      </c>
      <c r="Z74" s="278">
        <f t="shared" si="1"/>
        <v>0.56712631432798044</v>
      </c>
      <c r="AA74" s="580"/>
      <c r="AB74"/>
      <c r="AF74" s="441"/>
      <c r="AG74"/>
    </row>
    <row r="75" spans="13:33">
      <c r="M75"/>
      <c r="U75" s="706" t="s">
        <v>846</v>
      </c>
      <c r="V75" s="707">
        <v>2.339279207536176E-4</v>
      </c>
      <c r="W75" s="708">
        <v>80</v>
      </c>
      <c r="X75" s="719">
        <f t="shared" si="0"/>
        <v>12.770632641992611</v>
      </c>
      <c r="Y75" s="708">
        <v>2800000</v>
      </c>
      <c r="Z75" s="561">
        <f t="shared" si="1"/>
        <v>5.128940722610352E-2</v>
      </c>
      <c r="AA75" s="580"/>
      <c r="AB75"/>
      <c r="AF75" s="441"/>
      <c r="AG75"/>
    </row>
    <row r="76" spans="13:33">
      <c r="M76"/>
      <c r="AA76" s="580"/>
      <c r="AB76"/>
      <c r="AF76" s="441"/>
      <c r="AG76"/>
    </row>
    <row r="77" spans="13:33">
      <c r="M77"/>
      <c r="U77" s="441"/>
      <c r="V77" s="720">
        <f>G6+G10</f>
        <v>1.082667863218887E-2</v>
      </c>
      <c r="W77" s="718">
        <f>H6</f>
        <v>24</v>
      </c>
      <c r="X77" s="718">
        <f>I6</f>
        <v>10.536825612205124</v>
      </c>
      <c r="Y77" s="718">
        <f>J6</f>
        <v>1750000</v>
      </c>
      <c r="Z77" s="517">
        <f t="shared" si="1"/>
        <v>1.7981400000000001</v>
      </c>
      <c r="AA77" s="580"/>
      <c r="AB77"/>
      <c r="AF77" s="441"/>
      <c r="AG77"/>
    </row>
    <row r="78" spans="13:33">
      <c r="M78"/>
      <c r="U78" s="441"/>
      <c r="V78"/>
      <c r="W78"/>
      <c r="X78"/>
      <c r="Y78"/>
      <c r="Z78"/>
      <c r="AA78" s="580"/>
      <c r="AB78"/>
      <c r="AF78" s="441"/>
      <c r="AG78"/>
    </row>
    <row r="79" spans="13:33">
      <c r="M79"/>
      <c r="U79" s="441"/>
      <c r="Z79"/>
      <c r="AA79" s="580"/>
      <c r="AB79"/>
      <c r="AF79" s="441"/>
      <c r="AG79"/>
    </row>
    <row r="80" spans="13:33">
      <c r="M80"/>
      <c r="U80" s="441"/>
      <c r="Z80"/>
      <c r="AA80" s="580"/>
      <c r="AB80"/>
      <c r="AF80" s="441"/>
      <c r="AG80"/>
    </row>
    <row r="81" spans="13:33">
      <c r="M81"/>
      <c r="U81" s="441"/>
      <c r="Z81"/>
      <c r="AA81" s="580"/>
      <c r="AB81"/>
      <c r="AF81" s="441"/>
      <c r="AG81"/>
    </row>
    <row r="82" spans="13:33">
      <c r="M82"/>
      <c r="U82" s="441"/>
      <c r="Z82"/>
      <c r="AA82" s="580"/>
      <c r="AB82"/>
      <c r="AF82" s="441"/>
      <c r="AG82"/>
    </row>
    <row r="83" spans="13:33">
      <c r="M83"/>
      <c r="U83" s="441"/>
      <c r="Z83"/>
      <c r="AA83" s="580"/>
      <c r="AB83"/>
      <c r="AF83" s="441"/>
      <c r="AG83"/>
    </row>
    <row r="84" spans="13:33">
      <c r="M84"/>
      <c r="U84" s="441"/>
      <c r="Z84"/>
      <c r="AA84" s="580"/>
      <c r="AB84"/>
      <c r="AF84" s="441"/>
      <c r="AG84"/>
    </row>
    <row r="85" spans="13:33">
      <c r="M85"/>
      <c r="U85" s="441"/>
      <c r="Z85"/>
      <c r="AA85" s="580"/>
      <c r="AB85"/>
      <c r="AF85" s="441"/>
      <c r="AG85"/>
    </row>
    <row r="86" spans="13:33">
      <c r="M86"/>
      <c r="U86" s="441"/>
      <c r="Z86"/>
      <c r="AA86" s="580"/>
      <c r="AB86"/>
      <c r="AF86" s="441"/>
      <c r="AG86"/>
    </row>
    <row r="87" spans="13:33">
      <c r="M87"/>
      <c r="U87" s="441"/>
      <c r="Z87"/>
      <c r="AA87" s="580"/>
      <c r="AB87"/>
      <c r="AF87" s="441"/>
      <c r="AG87"/>
    </row>
    <row r="88" spans="13:33">
      <c r="M88"/>
      <c r="U88" s="441"/>
      <c r="Z88"/>
      <c r="AA88" s="580"/>
      <c r="AB88"/>
      <c r="AF88" s="441"/>
      <c r="AG88"/>
    </row>
    <row r="89" spans="13:33">
      <c r="M89"/>
      <c r="U89" s="441"/>
      <c r="Z89"/>
      <c r="AA89" s="580"/>
      <c r="AB89"/>
      <c r="AF89" s="441"/>
      <c r="AG89"/>
    </row>
    <row r="90" spans="13:33">
      <c r="M90"/>
      <c r="U90" s="441"/>
      <c r="Z90"/>
      <c r="AA90" s="580"/>
      <c r="AB90"/>
      <c r="AF90" s="441"/>
      <c r="AG90"/>
    </row>
    <row r="91" spans="13:33">
      <c r="M91"/>
      <c r="U91" s="441"/>
      <c r="Z91"/>
      <c r="AA91" s="580"/>
      <c r="AB91"/>
      <c r="AF91" s="441"/>
      <c r="AG91"/>
    </row>
    <row r="92" spans="13:33">
      <c r="M92"/>
      <c r="U92" s="441"/>
      <c r="Z92"/>
      <c r="AA92" s="580"/>
      <c r="AB92"/>
      <c r="AF92" s="441"/>
      <c r="AG92"/>
    </row>
    <row r="93" spans="13:33">
      <c r="M93"/>
      <c r="U93" s="441"/>
      <c r="Z93"/>
      <c r="AA93" s="580"/>
      <c r="AB93"/>
      <c r="AF93" s="441"/>
      <c r="AG93"/>
    </row>
    <row r="94" spans="13:33">
      <c r="M94"/>
      <c r="U94" s="441"/>
      <c r="Z94"/>
      <c r="AA94" s="580"/>
      <c r="AB94"/>
      <c r="AF94" s="441"/>
      <c r="AG94"/>
    </row>
    <row r="95" spans="13:33">
      <c r="M95"/>
      <c r="U95" s="441"/>
      <c r="Z95"/>
      <c r="AA95" s="580"/>
      <c r="AB95"/>
      <c r="AF95" s="441"/>
      <c r="AG95"/>
    </row>
    <row r="96" spans="13:33">
      <c r="M96"/>
      <c r="U96" s="441"/>
      <c r="Z96"/>
      <c r="AA96" s="580"/>
      <c r="AF96" s="441"/>
      <c r="AG96"/>
    </row>
    <row r="97" spans="13:33">
      <c r="M97"/>
      <c r="U97" s="441"/>
      <c r="Z97"/>
      <c r="AA97" s="580"/>
      <c r="AF97" s="441"/>
      <c r="AG97"/>
    </row>
    <row r="98" spans="13:33">
      <c r="M98"/>
      <c r="U98" s="441"/>
      <c r="Z98"/>
      <c r="AA98" s="580"/>
      <c r="AF98" s="441"/>
      <c r="AG98"/>
    </row>
    <row r="99" spans="13:33">
      <c r="M99"/>
      <c r="U99" s="441"/>
      <c r="Z99"/>
      <c r="AA99" s="580"/>
      <c r="AF99" s="441"/>
      <c r="AG99"/>
    </row>
    <row r="100" spans="13:33">
      <c r="M100"/>
      <c r="U100" s="441"/>
      <c r="Z100"/>
      <c r="AA100" s="580"/>
      <c r="AF100" s="441"/>
      <c r="AG100"/>
    </row>
    <row r="101" spans="13:33">
      <c r="U101" s="441"/>
      <c r="Z101"/>
      <c r="AA101" s="580"/>
      <c r="AF101" s="441"/>
      <c r="AG101"/>
    </row>
    <row r="102" spans="13:33">
      <c r="U102" s="441"/>
      <c r="Z102"/>
      <c r="AA102" s="580"/>
      <c r="AF102" s="441"/>
      <c r="AG102"/>
    </row>
    <row r="103" spans="13:33">
      <c r="U103" s="441"/>
      <c r="Z103"/>
      <c r="AA103" s="580"/>
    </row>
    <row r="104" spans="13:33">
      <c r="U104" s="441"/>
      <c r="Z104"/>
      <c r="AA104" s="580"/>
    </row>
    <row r="105" spans="13:33">
      <c r="U105" s="441"/>
      <c r="Z105"/>
      <c r="AA105" s="580"/>
    </row>
    <row r="106" spans="13:33">
      <c r="U106" s="441"/>
      <c r="Z106"/>
      <c r="AA106" s="580"/>
    </row>
    <row r="107" spans="13:33">
      <c r="U107" s="441"/>
      <c r="Z107"/>
      <c r="AA107" s="580"/>
    </row>
    <row r="108" spans="13:33">
      <c r="U108" s="441"/>
      <c r="Z108"/>
      <c r="AA108" s="580"/>
    </row>
    <row r="109" spans="13:33">
      <c r="U109" s="441"/>
      <c r="Z109"/>
      <c r="AA109" s="580"/>
    </row>
    <row r="110" spans="13:33">
      <c r="U110" s="441"/>
      <c r="Z110"/>
      <c r="AA110" s="580"/>
    </row>
    <row r="111" spans="13:33">
      <c r="U111" s="441"/>
      <c r="Z111"/>
      <c r="AA111" s="580"/>
    </row>
    <row r="112" spans="13:33">
      <c r="U112" s="441"/>
      <c r="Z112"/>
      <c r="AA112" s="580"/>
    </row>
    <row r="113" spans="21:27">
      <c r="U113" s="441"/>
      <c r="Z113"/>
      <c r="AA113" s="580"/>
    </row>
    <row r="114" spans="21:27">
      <c r="U114" s="441"/>
      <c r="Z114"/>
      <c r="AA114" s="580"/>
    </row>
    <row r="115" spans="21:27">
      <c r="U115" s="441"/>
      <c r="Z115"/>
      <c r="AA115" s="580"/>
    </row>
    <row r="116" spans="21:27">
      <c r="U116" s="441"/>
      <c r="Z116"/>
      <c r="AA116" s="580"/>
    </row>
    <row r="117" spans="21:27">
      <c r="U117" s="441"/>
      <c r="Z117"/>
      <c r="AA117" s="580"/>
    </row>
    <row r="118" spans="21:27">
      <c r="U118" s="441"/>
      <c r="Z118"/>
      <c r="AA118" s="580"/>
    </row>
    <row r="119" spans="21:27">
      <c r="U119" s="441"/>
      <c r="Z119"/>
      <c r="AA119" s="580"/>
    </row>
    <row r="120" spans="21:27">
      <c r="U120" s="441"/>
      <c r="Z120"/>
      <c r="AA120" s="580"/>
    </row>
    <row r="121" spans="21:27">
      <c r="U121" s="441"/>
      <c r="Z121"/>
      <c r="AA121" s="580"/>
    </row>
    <row r="122" spans="21:27">
      <c r="U122" s="441"/>
      <c r="Z122"/>
      <c r="AA122" s="580"/>
    </row>
    <row r="123" spans="21:27">
      <c r="U123" s="441"/>
      <c r="Z123"/>
      <c r="AA123" s="580"/>
    </row>
    <row r="124" spans="21:27">
      <c r="U124" s="441"/>
      <c r="Z124"/>
      <c r="AA124" s="580"/>
    </row>
  </sheetData>
  <pageMargins left="0.7" right="0.7" top="0.75" bottom="0.75" header="0.3" footer="0.3"/>
  <pageSetup paperSize="9" orientation="portrait"/>
  <drawing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AL65"/>
  <sheetViews>
    <sheetView workbookViewId="0">
      <selection activeCell="E15" sqref="E15"/>
    </sheetView>
  </sheetViews>
  <sheetFormatPr defaultColWidth="9.140625" defaultRowHeight="12.75"/>
  <cols>
    <col min="1" max="1" width="9.140625" style="1356"/>
    <col min="2" max="2" width="6.28515625" style="1356" bestFit="1" customWidth="1"/>
    <col min="3" max="3" width="17.7109375" style="1356" bestFit="1" customWidth="1"/>
    <col min="4" max="4" width="59.42578125" style="1356" bestFit="1" customWidth="1"/>
    <col min="5" max="5" width="10.7109375" style="1356" bestFit="1" customWidth="1"/>
    <col min="6" max="6" width="6.42578125" style="1356" bestFit="1" customWidth="1"/>
    <col min="7" max="7" width="6" style="1356" bestFit="1" customWidth="1"/>
    <col min="8" max="8" width="9" style="1356" customWidth="1"/>
    <col min="9" max="15" width="9.140625" style="1356"/>
    <col min="16" max="18" width="8.7109375" style="1356" bestFit="1" customWidth="1"/>
    <col min="19" max="19" width="7.7109375" style="1356" bestFit="1" customWidth="1"/>
    <col min="20" max="20" width="4" style="1356" bestFit="1" customWidth="1"/>
    <col min="21" max="21" width="9.140625" style="1356"/>
    <col min="22" max="23" width="12.42578125" style="1356" bestFit="1" customWidth="1"/>
    <col min="24" max="25" width="9.140625" style="1356"/>
    <col min="26" max="26" width="10" style="1356" bestFit="1" customWidth="1"/>
    <col min="27" max="28" width="11.7109375" style="1356" bestFit="1" customWidth="1"/>
    <col min="29" max="29" width="9.5703125" style="1356" bestFit="1" customWidth="1"/>
    <col min="30" max="32" width="9.140625" style="1356"/>
    <col min="33" max="34" width="9.5703125" style="1356" bestFit="1" customWidth="1"/>
    <col min="35" max="16384" width="9.140625" style="1356"/>
  </cols>
  <sheetData>
    <row r="1" spans="2:37">
      <c r="H1" s="1525" t="s">
        <v>1039</v>
      </c>
      <c r="I1" s="1525"/>
      <c r="J1" s="1371"/>
      <c r="M1" s="1378"/>
    </row>
    <row r="2" spans="2:37">
      <c r="H2" s="1378">
        <v>0.2</v>
      </c>
      <c r="J2" s="1378"/>
      <c r="M2" s="1378"/>
    </row>
    <row r="3" spans="2:37">
      <c r="E3" s="1526"/>
      <c r="F3" s="1527" t="s">
        <v>8</v>
      </c>
      <c r="G3" s="1527"/>
      <c r="H3" s="1527"/>
      <c r="I3" s="1527"/>
      <c r="J3" s="1527"/>
      <c r="K3" s="1527"/>
      <c r="L3" s="1527"/>
      <c r="M3" s="1527"/>
      <c r="N3" s="1527"/>
      <c r="P3" s="1527"/>
      <c r="Q3" s="1527"/>
      <c r="R3" s="1527"/>
      <c r="S3" s="1527"/>
      <c r="T3" s="1362"/>
      <c r="U3" s="1362"/>
      <c r="V3" s="1362"/>
      <c r="AH3" s="1371"/>
      <c r="AI3" s="1371"/>
    </row>
    <row r="4" spans="2:37" ht="38.25">
      <c r="B4" s="1528" t="s">
        <v>1</v>
      </c>
      <c r="C4" s="1528" t="s">
        <v>2</v>
      </c>
      <c r="D4" s="1528" t="s">
        <v>26</v>
      </c>
      <c r="E4" s="1528" t="s">
        <v>14</v>
      </c>
      <c r="F4" s="1529" t="s">
        <v>15</v>
      </c>
      <c r="G4" s="1530" t="s">
        <v>1042</v>
      </c>
      <c r="H4" s="1530" t="s">
        <v>1808</v>
      </c>
      <c r="I4" s="1530" t="s">
        <v>906</v>
      </c>
      <c r="J4" s="1531" t="s">
        <v>608</v>
      </c>
      <c r="K4" s="1531" t="s">
        <v>908</v>
      </c>
      <c r="L4" s="1531" t="s">
        <v>909</v>
      </c>
      <c r="M4" s="1531" t="s">
        <v>910</v>
      </c>
      <c r="N4" s="1531" t="s">
        <v>911</v>
      </c>
      <c r="O4" s="1531" t="s">
        <v>915</v>
      </c>
      <c r="P4" s="1532" t="s">
        <v>157</v>
      </c>
      <c r="Q4" s="1530" t="s">
        <v>820</v>
      </c>
      <c r="R4" s="1529" t="s">
        <v>601</v>
      </c>
      <c r="S4" s="1533" t="s">
        <v>0</v>
      </c>
      <c r="T4" s="1533" t="s">
        <v>55</v>
      </c>
      <c r="AB4" s="1422"/>
      <c r="AC4" s="1422"/>
      <c r="AD4" s="1534" t="s">
        <v>1809</v>
      </c>
      <c r="AE4" s="1356">
        <v>1.25</v>
      </c>
      <c r="AF4" s="1356" t="s">
        <v>1810</v>
      </c>
    </row>
    <row r="5" spans="2:37" ht="34.5" thickBot="1">
      <c r="B5" s="1535" t="s">
        <v>27</v>
      </c>
      <c r="C5" s="1535"/>
      <c r="D5" s="1535"/>
      <c r="E5" s="1535"/>
      <c r="F5" s="1535"/>
      <c r="G5" s="1535"/>
      <c r="H5" s="1535"/>
      <c r="I5" s="1535" t="s">
        <v>505</v>
      </c>
      <c r="J5" s="1535" t="s">
        <v>148</v>
      </c>
      <c r="K5" s="1535" t="s">
        <v>148</v>
      </c>
      <c r="L5" s="1535" t="s">
        <v>148</v>
      </c>
      <c r="M5" s="1535" t="s">
        <v>148</v>
      </c>
      <c r="N5" s="1535" t="s">
        <v>148</v>
      </c>
      <c r="O5" s="1535" t="s">
        <v>148</v>
      </c>
      <c r="P5" s="1535" t="s">
        <v>1045</v>
      </c>
      <c r="Q5" s="1535" t="s">
        <v>499</v>
      </c>
      <c r="R5" s="1535" t="s">
        <v>77</v>
      </c>
      <c r="S5" s="1535"/>
      <c r="T5" s="1535" t="s">
        <v>56</v>
      </c>
      <c r="W5" s="1356" t="s">
        <v>1802</v>
      </c>
      <c r="X5" s="1356" t="s">
        <v>44</v>
      </c>
      <c r="Y5" s="1536"/>
      <c r="Z5" s="1422"/>
      <c r="AA5" s="1422" t="s">
        <v>1811</v>
      </c>
      <c r="AB5" s="1371" t="s">
        <v>757</v>
      </c>
      <c r="AC5" s="1422"/>
      <c r="AD5" s="1534" t="s">
        <v>1812</v>
      </c>
      <c r="AE5" s="1356">
        <v>1.45</v>
      </c>
      <c r="AG5" s="1422"/>
      <c r="AH5" s="1422"/>
    </row>
    <row r="6" spans="2:37" ht="15">
      <c r="B6" s="1356" t="s">
        <v>145</v>
      </c>
      <c r="C6" s="1371" t="str">
        <f>"TFT"&amp;MID(E6,4,3)&amp;MID(E7,4,2)&amp;"2E"</f>
        <v>TFTDSB2E</v>
      </c>
      <c r="D6" s="1371" t="str">
        <f>Processes!E30</f>
        <v>Transport Freight Truck - 2 axle Diesel Engine - Blending 1 - Existing</v>
      </c>
      <c r="E6" s="1356" t="str">
        <f>Commodities!$D$70</f>
        <v>TRADSBL1</v>
      </c>
      <c r="F6" s="1356" t="s">
        <v>1192</v>
      </c>
      <c r="G6" s="1537">
        <v>0.46300000000000002</v>
      </c>
      <c r="H6" s="1537">
        <f t="shared" ref="H6:H29" si="0">G6*(1-$H$2)</f>
        <v>0.37040000000000006</v>
      </c>
      <c r="I6" s="1376">
        <v>5</v>
      </c>
      <c r="J6" s="1376">
        <v>6.35</v>
      </c>
      <c r="K6" s="1538">
        <f>0.875*J6</f>
        <v>5.5562499999999995</v>
      </c>
      <c r="L6" s="1539">
        <f>0.76*J6</f>
        <v>4.8259999999999996</v>
      </c>
      <c r="M6" s="1539">
        <f>0.57*J6</f>
        <v>3.6194999999999995</v>
      </c>
      <c r="N6" s="1539">
        <f>0.32*J6</f>
        <v>2.032</v>
      </c>
      <c r="O6" s="1539">
        <f>0.1*J6</f>
        <v>0.63500000000000001</v>
      </c>
      <c r="P6" s="1539">
        <v>3.45</v>
      </c>
      <c r="Q6" s="1537">
        <f>(1*1000*0.826)/(7.46*1.25)</f>
        <v>88.579088471849872</v>
      </c>
      <c r="R6" s="1540">
        <v>24625</v>
      </c>
      <c r="S6" s="1541">
        <f>10^-3</f>
        <v>1E-3</v>
      </c>
      <c r="T6" s="1542">
        <v>7</v>
      </c>
      <c r="V6" s="1543"/>
      <c r="W6" s="1543">
        <f>P6*G6*J6*R6/1000</f>
        <v>249.77562281250002</v>
      </c>
      <c r="X6" s="1543">
        <f>1/Q6*G6*J6*R6/1000</f>
        <v>0.81733434492282064</v>
      </c>
      <c r="Y6" s="1543"/>
      <c r="Z6" s="1544" t="str">
        <f>F6</f>
        <v>TFTS</v>
      </c>
      <c r="AA6" s="1545">
        <f>SUMIFS($W$6:$W$29,$F$6:$F$29,Z6)</f>
        <v>4947.2495966874994</v>
      </c>
      <c r="AB6" s="1495">
        <v>4899.12</v>
      </c>
      <c r="AC6" s="1422"/>
      <c r="AG6" s="1546"/>
      <c r="AH6" s="1422"/>
    </row>
    <row r="7" spans="2:37" ht="15">
      <c r="F7" s="1356" t="s">
        <v>1814</v>
      </c>
      <c r="G7" s="1537">
        <v>0.29720000000000002</v>
      </c>
      <c r="H7" s="1537">
        <f t="shared" si="0"/>
        <v>0.23776000000000003</v>
      </c>
      <c r="I7" s="1376">
        <v>5</v>
      </c>
      <c r="J7" s="1376"/>
      <c r="K7" s="1376"/>
      <c r="L7" s="1539"/>
      <c r="M7" s="1539"/>
      <c r="N7" s="1539"/>
      <c r="O7" s="1539"/>
      <c r="P7" s="1547"/>
      <c r="Q7" s="1537">
        <f>(1*1000*0.826)/7.46</f>
        <v>110.72386058981233</v>
      </c>
      <c r="R7" s="1540"/>
      <c r="S7" s="1541"/>
      <c r="T7" s="1542"/>
      <c r="V7" s="1543"/>
      <c r="W7" s="1543">
        <f>P6*G7*J6*R6/1000</f>
        <v>160.33113412500001</v>
      </c>
      <c r="X7" s="1543">
        <f>1/Q7*G7*J6*R6/1000</f>
        <v>0.41971795647699767</v>
      </c>
      <c r="Y7" s="1543"/>
      <c r="Z7" s="1544" t="str">
        <f>F7</f>
        <v>TFTM</v>
      </c>
      <c r="AA7" s="1545">
        <f>SUMIFS($W$6:$W$29,$F$6:$F$29,Z7)</f>
        <v>3175.6427216750003</v>
      </c>
      <c r="AB7" s="1495">
        <v>3150.58</v>
      </c>
      <c r="AC7" s="1422"/>
      <c r="AG7" s="1546"/>
      <c r="AH7" s="1422"/>
      <c r="AI7" s="1422"/>
    </row>
    <row r="8" spans="2:37" ht="15">
      <c r="B8" s="1548"/>
      <c r="C8" s="1548"/>
      <c r="D8" s="1548"/>
      <c r="E8" s="1548"/>
      <c r="F8" s="1548" t="s">
        <v>1815</v>
      </c>
      <c r="G8" s="1549">
        <v>0.23899999999999999</v>
      </c>
      <c r="H8" s="1549">
        <f t="shared" si="0"/>
        <v>0.19120000000000001</v>
      </c>
      <c r="I8" s="1550">
        <v>5</v>
      </c>
      <c r="J8" s="1550"/>
      <c r="K8" s="1550"/>
      <c r="L8" s="1551"/>
      <c r="M8" s="1551"/>
      <c r="N8" s="1551"/>
      <c r="O8" s="1551"/>
      <c r="P8" s="1552"/>
      <c r="Q8" s="1549">
        <f>(1*1.45*1000*0.826)/(7.46*1.25)</f>
        <v>128.43967828418232</v>
      </c>
      <c r="R8" s="1553"/>
      <c r="S8" s="1554"/>
      <c r="T8" s="1555"/>
      <c r="V8" s="1543"/>
      <c r="W8" s="1543">
        <f>P6*G8*J6*R6/1000</f>
        <v>128.93385281249999</v>
      </c>
      <c r="X8" s="1543">
        <f>1/Q8*G8*J6*R6/1000</f>
        <v>0.29097029632316102</v>
      </c>
      <c r="Y8" s="1543"/>
      <c r="Z8" s="1544" t="str">
        <f>F8</f>
        <v>TFTL</v>
      </c>
      <c r="AA8" s="1545">
        <f t="shared" ref="AA8:AA11" si="1">SUMIFS($W$6:$W$29,$F$6:$F$29,Z8)</f>
        <v>2553.7638306874996</v>
      </c>
      <c r="AB8" s="1546">
        <v>2523.16</v>
      </c>
      <c r="AC8" s="1422"/>
      <c r="AD8" s="1422"/>
      <c r="AE8" s="1422"/>
      <c r="AF8" s="1422"/>
      <c r="AG8" s="1422"/>
      <c r="AH8" s="1422"/>
      <c r="AI8" s="1422"/>
    </row>
    <row r="9" spans="2:37" ht="15">
      <c r="B9" s="1356" t="s">
        <v>145</v>
      </c>
      <c r="C9" s="1371" t="str">
        <f>"TFT"&amp;MID(E9,4,3)&amp;MID(E10,4,2)&amp;"3E"</f>
        <v>TFTDSB3E</v>
      </c>
      <c r="D9" s="1356" t="str">
        <f>Processes!E31</f>
        <v>Transport Freight Truck - 3 axle Diesel Engine - Blending 1 - Existing</v>
      </c>
      <c r="E9" s="1356" t="str">
        <f>Commodities!$D$70</f>
        <v>TRADSBL1</v>
      </c>
      <c r="F9" s="1356" t="s">
        <v>1192</v>
      </c>
      <c r="G9" s="1537">
        <v>0.46300000000000002</v>
      </c>
      <c r="H9" s="1537">
        <f t="shared" si="0"/>
        <v>0.37040000000000006</v>
      </c>
      <c r="I9" s="1376">
        <v>5</v>
      </c>
      <c r="J9" s="1376">
        <v>4.79</v>
      </c>
      <c r="K9" s="1538">
        <f>0.875*J9</f>
        <v>4.1912500000000001</v>
      </c>
      <c r="L9" s="1539">
        <f>0.76*J9</f>
        <v>3.6404000000000001</v>
      </c>
      <c r="M9" s="1539">
        <f>0.57*J9</f>
        <v>2.7302999999999997</v>
      </c>
      <c r="N9" s="1539">
        <f>0.32*J9</f>
        <v>1.5327999999999999</v>
      </c>
      <c r="O9" s="1539">
        <f>0.1*J9</f>
        <v>0.47900000000000004</v>
      </c>
      <c r="P9" s="1539">
        <v>10.95</v>
      </c>
      <c r="Q9" s="1537">
        <f>1*1000*0.826/(11.28*1.25)</f>
        <v>58.581560283687942</v>
      </c>
      <c r="R9" s="1540">
        <v>91500</v>
      </c>
      <c r="S9" s="1541">
        <f>10^-3</f>
        <v>1E-3</v>
      </c>
      <c r="T9" s="1542">
        <v>7</v>
      </c>
      <c r="V9" s="1543"/>
      <c r="W9" s="1543">
        <f>P9*G9*J9*R9/1000</f>
        <v>2222.0392072499999</v>
      </c>
      <c r="X9" s="1543">
        <f>1/Q9*G9*J9*R9/1000</f>
        <v>3.4639902730024219</v>
      </c>
      <c r="Y9" s="1543"/>
      <c r="Z9" s="1356" t="s">
        <v>1817</v>
      </c>
      <c r="AA9" s="1545">
        <f>SUMIFS($W$6:$W$29,$F$6:$F$29,Z9)</f>
        <v>2729.0476737999993</v>
      </c>
      <c r="AB9" s="1546">
        <v>2716.96</v>
      </c>
      <c r="AI9" s="1422"/>
    </row>
    <row r="10" spans="2:37" ht="15">
      <c r="F10" s="1356" t="s">
        <v>1814</v>
      </c>
      <c r="G10" s="1537">
        <v>0.29720000000000002</v>
      </c>
      <c r="H10" s="1537">
        <f t="shared" si="0"/>
        <v>0.23776000000000003</v>
      </c>
      <c r="I10" s="1376">
        <v>5</v>
      </c>
      <c r="J10" s="1376"/>
      <c r="K10" s="1376"/>
      <c r="L10" s="1539"/>
      <c r="M10" s="1539"/>
      <c r="N10" s="1539"/>
      <c r="O10" s="1539"/>
      <c r="P10" s="1539"/>
      <c r="Q10" s="1537">
        <f>1*1000*0.826/11.28</f>
        <v>73.22695035460994</v>
      </c>
      <c r="R10" s="1540"/>
      <c r="S10" s="1541"/>
      <c r="T10" s="1542"/>
      <c r="V10" s="1543"/>
      <c r="W10" s="1543">
        <f>P9*G10*J9*R9/1000</f>
        <v>1426.3284069000001</v>
      </c>
      <c r="X10" s="1543">
        <f>1/Q10*G10*J9*R9/1000</f>
        <v>1.7788300805811137</v>
      </c>
      <c r="Y10" s="1543"/>
      <c r="Z10" s="1356" t="s">
        <v>1818</v>
      </c>
      <c r="AA10" s="1545">
        <f t="shared" si="1"/>
        <v>1696.3073728999998</v>
      </c>
      <c r="AB10" s="1546">
        <v>1684.68</v>
      </c>
    </row>
    <row r="11" spans="2:37" ht="15">
      <c r="B11" s="1548"/>
      <c r="C11" s="1548"/>
      <c r="D11" s="1548"/>
      <c r="E11" s="1548"/>
      <c r="F11" s="1548" t="s">
        <v>1815</v>
      </c>
      <c r="G11" s="1549">
        <v>0.23899999999999999</v>
      </c>
      <c r="H11" s="1549">
        <f t="shared" si="0"/>
        <v>0.19120000000000001</v>
      </c>
      <c r="I11" s="1550">
        <v>5</v>
      </c>
      <c r="J11" s="1550"/>
      <c r="K11" s="1550"/>
      <c r="L11" s="1551"/>
      <c r="M11" s="1551"/>
      <c r="N11" s="1551"/>
      <c r="O11" s="1551"/>
      <c r="P11" s="1552"/>
      <c r="Q11" s="1549">
        <f>1*1.45*1000*0.826/(11.28*1.25)</f>
        <v>84.943262411347519</v>
      </c>
      <c r="R11" s="1553"/>
      <c r="S11" s="1554"/>
      <c r="T11" s="1555"/>
      <c r="V11" s="1543"/>
      <c r="W11" s="1543">
        <f>P9*G11*J9*R9/1000</f>
        <v>1147.0137592499998</v>
      </c>
      <c r="X11" s="1543">
        <f>1/Q11*G11*J9*R9/1000</f>
        <v>1.2331774413459129</v>
      </c>
      <c r="Y11" s="1543"/>
      <c r="Z11" s="1548" t="s">
        <v>1819</v>
      </c>
      <c r="AA11" s="1545">
        <f t="shared" si="1"/>
        <v>282.31527659999995</v>
      </c>
      <c r="AB11" s="1546">
        <v>270.82</v>
      </c>
    </row>
    <row r="12" spans="2:37" ht="15">
      <c r="B12" s="1356" t="s">
        <v>146</v>
      </c>
      <c r="C12" s="1356" t="str">
        <f>C6</f>
        <v>TFTDSB2E</v>
      </c>
      <c r="D12" s="1356" t="str">
        <f>D6</f>
        <v>Transport Freight Truck - 2 axle Diesel Engine - Blending 1 - Existing</v>
      </c>
      <c r="E12" s="1356" t="str">
        <f>Commodities!$D$70</f>
        <v>TRADSBL1</v>
      </c>
      <c r="F12" s="1356" t="s">
        <v>1192</v>
      </c>
      <c r="G12" s="1537">
        <v>0.46300000000000002</v>
      </c>
      <c r="H12" s="1537">
        <f t="shared" si="0"/>
        <v>0.37040000000000006</v>
      </c>
      <c r="I12" s="1376">
        <v>5</v>
      </c>
      <c r="J12" s="1376">
        <v>6.35</v>
      </c>
      <c r="K12" s="1538">
        <f>0.875*J12</f>
        <v>5.5562499999999995</v>
      </c>
      <c r="L12" s="1539">
        <f>0.76*J12</f>
        <v>4.8259999999999996</v>
      </c>
      <c r="M12" s="1539">
        <f>0.57*J12</f>
        <v>3.6194999999999995</v>
      </c>
      <c r="N12" s="1539">
        <f>0.32*J12</f>
        <v>2.032</v>
      </c>
      <c r="O12" s="1539">
        <f>0.1*J12</f>
        <v>0.63500000000000001</v>
      </c>
      <c r="P12" s="1539">
        <v>3.5</v>
      </c>
      <c r="Q12" s="1537">
        <f>1*1000*0.826/(7.46*1.25)</f>
        <v>88.579088471849872</v>
      </c>
      <c r="R12" s="1540">
        <v>24625</v>
      </c>
      <c r="S12" s="1541">
        <f>10^-3</f>
        <v>1E-3</v>
      </c>
      <c r="T12" s="1542">
        <v>7</v>
      </c>
      <c r="V12" s="1543"/>
      <c r="W12" s="1543">
        <f>P12*G12*J12*R12/1000</f>
        <v>253.39555937499998</v>
      </c>
      <c r="X12" s="1543">
        <f>1/Q12*G12*J12*R12/1000</f>
        <v>0.81733434492282064</v>
      </c>
      <c r="Y12" s="1543"/>
      <c r="Z12" s="1543"/>
      <c r="AA12" s="1495">
        <f>SUM(AA6:AA8)</f>
        <v>10676.656149049999</v>
      </c>
      <c r="AB12" s="1495">
        <f>SUM(AB6:AB8)</f>
        <v>10572.86</v>
      </c>
      <c r="AC12" s="1495"/>
      <c r="AF12" s="1556"/>
      <c r="AG12" s="1556"/>
      <c r="AH12" s="1556"/>
    </row>
    <row r="13" spans="2:37" ht="15">
      <c r="F13" s="1356" t="s">
        <v>1814</v>
      </c>
      <c r="G13" s="1537">
        <v>0.29720000000000002</v>
      </c>
      <c r="H13" s="1537">
        <f t="shared" si="0"/>
        <v>0.23776000000000003</v>
      </c>
      <c r="I13" s="1376">
        <v>5</v>
      </c>
      <c r="J13" s="1376"/>
      <c r="K13" s="1376"/>
      <c r="L13" s="1539"/>
      <c r="M13" s="1539"/>
      <c r="N13" s="1539"/>
      <c r="O13" s="1539"/>
      <c r="P13" s="1539"/>
      <c r="Q13" s="1537">
        <f>1*1000*0.826/7.46</f>
        <v>110.72386058981233</v>
      </c>
      <c r="R13" s="1540"/>
      <c r="S13" s="1541"/>
      <c r="T13" s="1542"/>
      <c r="V13" s="1543"/>
      <c r="W13" s="1543">
        <f>P12*G13*J12*R12/1000</f>
        <v>162.65477375</v>
      </c>
      <c r="X13" s="1543">
        <f>1/Q13*G13*J12*R12/1000</f>
        <v>0.41971795647699767</v>
      </c>
      <c r="Y13" s="1543"/>
      <c r="AA13" s="1495">
        <f>SUM(AA9:AA11)</f>
        <v>4707.6703232999989</v>
      </c>
      <c r="AB13" s="1495">
        <f>SUM(AB9:AB11)</f>
        <v>4672.46</v>
      </c>
      <c r="AC13" s="1495"/>
      <c r="AF13" s="1556"/>
      <c r="AG13" s="1556"/>
      <c r="AH13" s="1556"/>
      <c r="AI13" s="1556"/>
      <c r="AK13" s="1371"/>
    </row>
    <row r="14" spans="2:37" ht="15">
      <c r="B14" s="1548"/>
      <c r="C14" s="1548"/>
      <c r="D14" s="1548"/>
      <c r="E14" s="1548"/>
      <c r="F14" s="1548" t="s">
        <v>1815</v>
      </c>
      <c r="G14" s="1549">
        <v>0.23899999999999999</v>
      </c>
      <c r="H14" s="1549">
        <f t="shared" si="0"/>
        <v>0.19120000000000001</v>
      </c>
      <c r="I14" s="1550">
        <v>5</v>
      </c>
      <c r="J14" s="1550"/>
      <c r="K14" s="1550"/>
      <c r="L14" s="1551"/>
      <c r="M14" s="1551"/>
      <c r="N14" s="1551"/>
      <c r="O14" s="1551"/>
      <c r="P14" s="1552"/>
      <c r="Q14" s="1549">
        <f>1*1.45*1000*0.826/(7.46*1.25)</f>
        <v>128.43967828418232</v>
      </c>
      <c r="R14" s="1553"/>
      <c r="S14" s="1554"/>
      <c r="T14" s="1555"/>
      <c r="V14" s="1543"/>
      <c r="W14" s="1543">
        <f>P12*G14*J12*R12/1000</f>
        <v>130.80245937499998</v>
      </c>
      <c r="X14" s="1543">
        <f>1/Q14*G14*J12*R12/1000</f>
        <v>0.29097029632316102</v>
      </c>
      <c r="Y14" s="1543"/>
      <c r="AA14" s="1495">
        <f>SUM(AA6:AA12)</f>
        <v>26060.982621399999</v>
      </c>
      <c r="AB14" s="1495">
        <f>SUM(AB6:AB11)</f>
        <v>15245.32</v>
      </c>
      <c r="AD14" s="1556"/>
      <c r="AE14" s="1556"/>
      <c r="AF14" s="1556"/>
      <c r="AG14" s="1556"/>
      <c r="AI14" s="1556"/>
      <c r="AK14" s="1371"/>
    </row>
    <row r="15" spans="2:37" ht="15">
      <c r="B15" s="1356" t="s">
        <v>146</v>
      </c>
      <c r="C15" s="1356" t="str">
        <f>C9</f>
        <v>TFTDSB3E</v>
      </c>
      <c r="D15" s="1356" t="str">
        <f>D9</f>
        <v>Transport Freight Truck - 3 axle Diesel Engine - Blending 1 - Existing</v>
      </c>
      <c r="E15" s="1356" t="str">
        <f>Commodities!$D$70</f>
        <v>TRADSBL1</v>
      </c>
      <c r="F15" s="1356" t="s">
        <v>1192</v>
      </c>
      <c r="G15" s="1537">
        <v>0.46300000000000002</v>
      </c>
      <c r="H15" s="1537">
        <f t="shared" si="0"/>
        <v>0.37040000000000006</v>
      </c>
      <c r="I15" s="1376">
        <v>5</v>
      </c>
      <c r="J15" s="1376">
        <v>4.79</v>
      </c>
      <c r="K15" s="1538">
        <f>0.875*J15</f>
        <v>4.1912500000000001</v>
      </c>
      <c r="L15" s="1539">
        <f>0.76*J15</f>
        <v>3.6404000000000001</v>
      </c>
      <c r="M15" s="1539">
        <f>0.57*J15</f>
        <v>2.7302999999999997</v>
      </c>
      <c r="N15" s="1539">
        <f>0.32*J15</f>
        <v>1.5327999999999999</v>
      </c>
      <c r="O15" s="1539">
        <f>0.1*J15</f>
        <v>0.47900000000000004</v>
      </c>
      <c r="P15" s="1539">
        <v>10.95</v>
      </c>
      <c r="Q15" s="1537">
        <f>1*1000*0.826/(11.28*1.25)</f>
        <v>58.581560283687942</v>
      </c>
      <c r="R15" s="1540">
        <v>91500</v>
      </c>
      <c r="S15" s="1541">
        <f>10^-3</f>
        <v>1E-3</v>
      </c>
      <c r="T15" s="1542">
        <v>7</v>
      </c>
      <c r="V15" s="1543"/>
      <c r="W15" s="1543">
        <f>P15*G15*J15*R15/1000</f>
        <v>2222.0392072499999</v>
      </c>
      <c r="X15" s="1543">
        <f>1/Q15*G15*J15*R15/1000</f>
        <v>3.4639902730024219</v>
      </c>
      <c r="Y15" s="1543"/>
      <c r="AD15" s="1556"/>
      <c r="AE15" s="1556"/>
      <c r="AF15" s="1556"/>
      <c r="AG15" s="1556"/>
    </row>
    <row r="16" spans="2:37" ht="15">
      <c r="F16" s="1356" t="s">
        <v>1814</v>
      </c>
      <c r="G16" s="1537">
        <v>0.29720000000000002</v>
      </c>
      <c r="H16" s="1537">
        <f t="shared" si="0"/>
        <v>0.23776000000000003</v>
      </c>
      <c r="I16" s="1376">
        <v>5</v>
      </c>
      <c r="J16" s="1376" t="s">
        <v>1820</v>
      </c>
      <c r="K16" s="1376" t="s">
        <v>1820</v>
      </c>
      <c r="L16" s="1539"/>
      <c r="M16" s="1539"/>
      <c r="N16" s="1539"/>
      <c r="O16" s="1539"/>
      <c r="P16" s="1539"/>
      <c r="Q16" s="1537">
        <f>(1*1000*0.826)/11.28</f>
        <v>73.22695035460994</v>
      </c>
      <c r="R16" s="1540"/>
      <c r="S16" s="1541"/>
      <c r="T16" s="1542"/>
      <c r="V16" s="1543"/>
      <c r="W16" s="1543">
        <f>P15*G16*J15*R15/1000</f>
        <v>1426.3284069000001</v>
      </c>
      <c r="X16" s="1543">
        <f>1/Q16*G16*J15*R15/1000</f>
        <v>1.7788300805811137</v>
      </c>
      <c r="Y16" s="1543"/>
      <c r="AD16" s="1556"/>
      <c r="AE16" s="1556"/>
      <c r="AF16" s="1556"/>
      <c r="AG16" s="1556"/>
    </row>
    <row r="17" spans="2:38" ht="15">
      <c r="B17" s="1548"/>
      <c r="C17" s="1548"/>
      <c r="D17" s="1548"/>
      <c r="E17" s="1548"/>
      <c r="F17" s="1548" t="s">
        <v>1815</v>
      </c>
      <c r="G17" s="1549">
        <v>0.23899999999999999</v>
      </c>
      <c r="H17" s="1549">
        <f t="shared" si="0"/>
        <v>0.19120000000000001</v>
      </c>
      <c r="I17" s="1550">
        <v>5</v>
      </c>
      <c r="J17" s="1551"/>
      <c r="K17" s="1551"/>
      <c r="L17" s="1551"/>
      <c r="M17" s="1551"/>
      <c r="N17" s="1551"/>
      <c r="O17" s="1551"/>
      <c r="P17" s="1552"/>
      <c r="Q17" s="1549">
        <f>1*1.45*1000*0.826/(11.28*1.25)</f>
        <v>84.943262411347519</v>
      </c>
      <c r="R17" s="1553"/>
      <c r="S17" s="1554"/>
      <c r="T17" s="1555"/>
      <c r="V17" s="1543"/>
      <c r="W17" s="1543">
        <f>P15*G17*J15*R15/1000</f>
        <v>1147.0137592499998</v>
      </c>
      <c r="X17" s="1543">
        <f>1/Q17*G17*J15*R15/1000</f>
        <v>1.2331774413459129</v>
      </c>
      <c r="Y17" s="1543"/>
      <c r="AB17" s="1613"/>
      <c r="AC17" s="1613"/>
    </row>
    <row r="18" spans="2:38" ht="15">
      <c r="B18" s="1356" t="s">
        <v>145</v>
      </c>
      <c r="C18" s="1371" t="str">
        <f>"TFTI"&amp;MID(E18,4,3)&amp;MID(E19,4,2)&amp;"2E"</f>
        <v>TFTIDSB2E</v>
      </c>
      <c r="D18" s="1356" t="str">
        <f>Processes!E32</f>
        <v>Transport Freight International Truck - 2 axle Diesel Engine - Blending 1 - Existing</v>
      </c>
      <c r="E18" s="1356" t="str">
        <f>Commodities!$D$70</f>
        <v>TRADSBL1</v>
      </c>
      <c r="F18" s="1356" t="s">
        <v>1817</v>
      </c>
      <c r="G18" s="1557">
        <v>0.57999999999999996</v>
      </c>
      <c r="H18" s="1537">
        <f t="shared" si="0"/>
        <v>0.46399999999999997</v>
      </c>
      <c r="I18" s="1376">
        <v>5</v>
      </c>
      <c r="J18" s="1539">
        <v>2.86</v>
      </c>
      <c r="K18" s="1538">
        <f>0.875*J18</f>
        <v>2.5024999999999999</v>
      </c>
      <c r="L18" s="1539">
        <f>0.76*J18</f>
        <v>2.1736</v>
      </c>
      <c r="M18" s="1539">
        <f>0.57*J18</f>
        <v>1.6301999999999999</v>
      </c>
      <c r="N18" s="1539">
        <f>0.32*J18</f>
        <v>0.91520000000000001</v>
      </c>
      <c r="O18" s="1539">
        <f>0.1*J18</f>
        <v>0.28599999999999998</v>
      </c>
      <c r="P18" s="1539">
        <v>3.5</v>
      </c>
      <c r="Q18" s="1537">
        <f>1*1000*0.826/(7.46*1.25)</f>
        <v>88.579088471849872</v>
      </c>
      <c r="R18" s="1540">
        <v>24133</v>
      </c>
      <c r="S18" s="1541">
        <f>10^-3</f>
        <v>1E-3</v>
      </c>
      <c r="T18" s="1542">
        <v>7</v>
      </c>
      <c r="V18" s="1543"/>
      <c r="W18" s="1543">
        <f>P18*G18*J18*R18/1000</f>
        <v>140.1113714</v>
      </c>
      <c r="X18" s="1543">
        <f>1/Q18*G18*J18*R18/1000</f>
        <v>0.45193308139225175</v>
      </c>
      <c r="Y18" s="1543"/>
      <c r="AA18" s="1422"/>
      <c r="AB18" s="1613"/>
      <c r="AC18" s="1613"/>
    </row>
    <row r="19" spans="2:38" ht="15">
      <c r="F19" s="1356" t="s">
        <v>1818</v>
      </c>
      <c r="G19" s="1557">
        <v>0.37</v>
      </c>
      <c r="H19" s="1537">
        <f t="shared" si="0"/>
        <v>0.29599999999999999</v>
      </c>
      <c r="I19" s="1376">
        <v>5</v>
      </c>
      <c r="J19" s="1539"/>
      <c r="K19" s="1539"/>
      <c r="L19" s="1539"/>
      <c r="M19" s="1539"/>
      <c r="N19" s="1539"/>
      <c r="O19" s="1539"/>
      <c r="P19" s="1547"/>
      <c r="Q19" s="1537">
        <f>1*1000*0.826/7.46</f>
        <v>110.72386058981233</v>
      </c>
      <c r="R19" s="1540"/>
      <c r="S19" s="1541"/>
      <c r="T19" s="1542"/>
      <c r="V19" s="1543"/>
      <c r="W19" s="1543">
        <f>P18*G19*J18*R18/1000</f>
        <v>89.381392099999985</v>
      </c>
      <c r="X19" s="1543">
        <f>1/Q19*G19*J18*R18/1000</f>
        <v>0.23064171050363197</v>
      </c>
      <c r="Y19" s="1543"/>
      <c r="AA19" s="1422"/>
      <c r="AB19" s="1613"/>
      <c r="AC19" s="1613"/>
    </row>
    <row r="20" spans="2:38" ht="15">
      <c r="B20" s="1548"/>
      <c r="C20" s="1548"/>
      <c r="D20" s="1548"/>
      <c r="E20" s="1548"/>
      <c r="F20" s="1548" t="s">
        <v>1819</v>
      </c>
      <c r="G20" s="1558">
        <v>0.06</v>
      </c>
      <c r="H20" s="1549">
        <f t="shared" si="0"/>
        <v>4.8000000000000001E-2</v>
      </c>
      <c r="I20" s="1550">
        <v>5</v>
      </c>
      <c r="J20" s="1551"/>
      <c r="K20" s="1551"/>
      <c r="L20" s="1551"/>
      <c r="M20" s="1551"/>
      <c r="N20" s="1551"/>
      <c r="O20" s="1551"/>
      <c r="P20" s="1552"/>
      <c r="Q20" s="1549">
        <f>1*1.45*1000*0.826/(7.46*1.25)</f>
        <v>128.43967828418232</v>
      </c>
      <c r="R20" s="1553"/>
      <c r="S20" s="1554"/>
      <c r="T20" s="1555"/>
      <c r="V20" s="1543"/>
      <c r="W20" s="1543">
        <f>P18*G20*J18*R18/1000</f>
        <v>14.494279799999999</v>
      </c>
      <c r="X20" s="1543">
        <f>1/Q20*G20*J18*R18/1000</f>
        <v>3.2242550396593468E-2</v>
      </c>
      <c r="Y20" s="1543"/>
      <c r="AA20" s="1422"/>
      <c r="AB20" s="1614"/>
      <c r="AC20" s="1614"/>
      <c r="AD20" s="1371"/>
      <c r="AE20" s="1371"/>
    </row>
    <row r="21" spans="2:38" ht="15">
      <c r="B21" s="1356" t="s">
        <v>145</v>
      </c>
      <c r="C21" s="1371" t="str">
        <f>"TFTI"&amp;MID(E21,4,3)&amp;MID(E22,4,2)&amp;"3E"</f>
        <v>TFTIDSB3E</v>
      </c>
      <c r="D21" s="1356" t="str">
        <f>Processes!E33</f>
        <v>Transport Freight International Truck - 3 axle Diesel Engine - Blending 1 - Existing</v>
      </c>
      <c r="E21" s="1356" t="str">
        <f>Commodities!$D$70</f>
        <v>TRADSBL1</v>
      </c>
      <c r="F21" s="1356" t="s">
        <v>1817</v>
      </c>
      <c r="G21" s="1557">
        <v>0.57999999999999996</v>
      </c>
      <c r="H21" s="1537">
        <f t="shared" si="0"/>
        <v>0.46399999999999997</v>
      </c>
      <c r="I21" s="1376">
        <v>5</v>
      </c>
      <c r="J21" s="1539">
        <v>2.15</v>
      </c>
      <c r="K21" s="1538">
        <f>0.875*J21</f>
        <v>1.8812499999999999</v>
      </c>
      <c r="L21" s="1539">
        <f>0.76*J21</f>
        <v>1.6339999999999999</v>
      </c>
      <c r="M21" s="1539">
        <f>0.57*J21</f>
        <v>1.2254999999999998</v>
      </c>
      <c r="N21" s="1539">
        <f>0.32*J21</f>
        <v>0.68799999999999994</v>
      </c>
      <c r="O21" s="1539">
        <f>0.1*J21</f>
        <v>0.215</v>
      </c>
      <c r="P21" s="1539">
        <v>10.95</v>
      </c>
      <c r="Q21" s="1537">
        <f>1*1000*0.826/(11.28*1.25)</f>
        <v>58.581560283687942</v>
      </c>
      <c r="R21" s="1540">
        <v>89670</v>
      </c>
      <c r="S21" s="1541">
        <f>10^-3</f>
        <v>1E-3</v>
      </c>
      <c r="T21" s="1542">
        <v>7</v>
      </c>
      <c r="V21" s="1543"/>
      <c r="W21" s="1543">
        <f>P21*G21*J21*R21/1000</f>
        <v>1224.4124654999996</v>
      </c>
      <c r="X21" s="1543">
        <f>1/Q21*G21*J21*R21/1000</f>
        <v>1.9087659915254238</v>
      </c>
      <c r="Y21" s="1543"/>
      <c r="AB21" s="1614"/>
      <c r="AC21" s="1614"/>
    </row>
    <row r="22" spans="2:38" ht="15">
      <c r="F22" s="1356" t="s">
        <v>1818</v>
      </c>
      <c r="G22" s="1557">
        <v>0.36</v>
      </c>
      <c r="H22" s="1537">
        <f t="shared" si="0"/>
        <v>0.28799999999999998</v>
      </c>
      <c r="I22" s="1376">
        <v>5</v>
      </c>
      <c r="J22" s="1539"/>
      <c r="K22" s="1539"/>
      <c r="L22" s="1539"/>
      <c r="M22" s="1539"/>
      <c r="N22" s="1539"/>
      <c r="O22" s="1539"/>
      <c r="P22" s="1539"/>
      <c r="Q22" s="1537">
        <f>1*1000*0.826/11.28</f>
        <v>73.22695035460994</v>
      </c>
      <c r="R22" s="1540"/>
      <c r="S22" s="1541"/>
      <c r="T22" s="1542"/>
      <c r="V22" s="1543"/>
      <c r="W22" s="1543">
        <f>P21*G22*J21*R21/1000</f>
        <v>759.98015099999998</v>
      </c>
      <c r="X22" s="1543">
        <f>1/Q22*G22*J21*R21/1000</f>
        <v>0.94780104406779642</v>
      </c>
      <c r="Y22" s="1543"/>
      <c r="AB22" s="1614"/>
      <c r="AC22" s="1614"/>
      <c r="AD22" s="1422"/>
      <c r="AE22" s="1422"/>
    </row>
    <row r="23" spans="2:38" ht="15">
      <c r="B23" s="1548"/>
      <c r="C23" s="1548"/>
      <c r="D23" s="1548"/>
      <c r="E23" s="1548"/>
      <c r="F23" s="1548" t="s">
        <v>1819</v>
      </c>
      <c r="G23" s="1558">
        <v>0.06</v>
      </c>
      <c r="H23" s="1549">
        <f t="shared" si="0"/>
        <v>4.8000000000000001E-2</v>
      </c>
      <c r="I23" s="1550">
        <v>5</v>
      </c>
      <c r="J23" s="1551"/>
      <c r="K23" s="1551"/>
      <c r="L23" s="1551"/>
      <c r="M23" s="1551"/>
      <c r="N23" s="1551"/>
      <c r="O23" s="1551"/>
      <c r="P23" s="1552"/>
      <c r="Q23" s="1549">
        <f>1*1.45*1000*0.826/(11.28*1.25)</f>
        <v>84.943262411347519</v>
      </c>
      <c r="R23" s="1553"/>
      <c r="S23" s="1554"/>
      <c r="T23" s="1555"/>
      <c r="V23" s="1543"/>
      <c r="W23" s="1543">
        <f>P21*G23*J21*R21/1000</f>
        <v>126.66335849999997</v>
      </c>
      <c r="X23" s="1543">
        <f>1/Q23*G23*J21*R21/1000</f>
        <v>0.13617831092928112</v>
      </c>
      <c r="Y23" s="1543"/>
      <c r="AD23" s="1556"/>
      <c r="AE23" s="1556"/>
      <c r="AG23" s="1371"/>
    </row>
    <row r="24" spans="2:38" ht="15">
      <c r="B24" s="1356" t="s">
        <v>146</v>
      </c>
      <c r="C24" s="1356" t="str">
        <f>C18</f>
        <v>TFTIDSB2E</v>
      </c>
      <c r="D24" s="1356" t="str">
        <f>D18</f>
        <v>Transport Freight International Truck - 2 axle Diesel Engine - Blending 1 - Existing</v>
      </c>
      <c r="E24" s="1356" t="str">
        <f>Commodities!$D$70</f>
        <v>TRADSBL1</v>
      </c>
      <c r="F24" s="1356" t="s">
        <v>1817</v>
      </c>
      <c r="G24" s="1557">
        <v>0.57999999999999996</v>
      </c>
      <c r="H24" s="1537">
        <f t="shared" si="0"/>
        <v>0.46399999999999997</v>
      </c>
      <c r="I24" s="1376">
        <v>5</v>
      </c>
      <c r="J24" s="1539">
        <v>2.86</v>
      </c>
      <c r="K24" s="1538">
        <f>0.875*J24</f>
        <v>2.5024999999999999</v>
      </c>
      <c r="L24" s="1539">
        <f>0.76*J24</f>
        <v>2.1736</v>
      </c>
      <c r="M24" s="1539">
        <f>0.57*J24</f>
        <v>1.6301999999999999</v>
      </c>
      <c r="N24" s="1539">
        <f>0.32*J24</f>
        <v>0.91520000000000001</v>
      </c>
      <c r="O24" s="1539">
        <f>0.1*J24</f>
        <v>0.28599999999999998</v>
      </c>
      <c r="P24" s="1539">
        <v>3.5</v>
      </c>
      <c r="Q24" s="1537">
        <f>(1*1000*0.826)/(7.46*1.25)</f>
        <v>88.579088471849872</v>
      </c>
      <c r="R24" s="1540">
        <v>24133</v>
      </c>
      <c r="S24" s="1541">
        <f>10^-3</f>
        <v>1E-3</v>
      </c>
      <c r="T24" s="1542">
        <v>7</v>
      </c>
      <c r="V24" s="1543"/>
      <c r="W24" s="1543">
        <f>P24*G24*J24*R24/1000</f>
        <v>140.1113714</v>
      </c>
      <c r="X24" s="1543">
        <f>1/Q24*G24*J24*R24/1000</f>
        <v>0.45193308139225175</v>
      </c>
      <c r="Y24" s="1543"/>
      <c r="AB24" s="1546"/>
      <c r="AC24" s="1546"/>
      <c r="AD24" s="1546"/>
      <c r="AF24" s="1556"/>
      <c r="AG24" s="1556"/>
      <c r="AH24" s="1556"/>
      <c r="AI24" s="1556"/>
      <c r="AJ24" s="1556"/>
      <c r="AL24" s="1371"/>
    </row>
    <row r="25" spans="2:38" ht="15">
      <c r="F25" s="1356" t="s">
        <v>1818</v>
      </c>
      <c r="G25" s="1557">
        <v>0.36</v>
      </c>
      <c r="H25" s="1537">
        <f t="shared" si="0"/>
        <v>0.28799999999999998</v>
      </c>
      <c r="I25" s="1376">
        <v>5</v>
      </c>
      <c r="J25" s="1539"/>
      <c r="K25" s="1539"/>
      <c r="L25" s="1539"/>
      <c r="M25" s="1539"/>
      <c r="N25" s="1539"/>
      <c r="O25" s="1539"/>
      <c r="P25" s="1539"/>
      <c r="Q25" s="1537">
        <f>1*1000*0.826/7.46</f>
        <v>110.72386058981233</v>
      </c>
      <c r="R25" s="1540"/>
      <c r="S25" s="1541"/>
      <c r="T25" s="1542"/>
      <c r="V25" s="1543"/>
      <c r="W25" s="1543">
        <f>P24*G25*J24*R24/1000</f>
        <v>86.965678799999992</v>
      </c>
      <c r="X25" s="1543">
        <f>1/Q25*G25*J24*R24/1000</f>
        <v>0.22440815076029058</v>
      </c>
      <c r="Y25" s="1543"/>
      <c r="AB25" s="1546"/>
      <c r="AC25" s="1546"/>
      <c r="AD25" s="1546"/>
      <c r="AF25" s="1556"/>
      <c r="AG25" s="1556"/>
      <c r="AH25" s="1556"/>
    </row>
    <row r="26" spans="2:38" ht="15">
      <c r="B26" s="1548"/>
      <c r="C26" s="1548"/>
      <c r="D26" s="1548"/>
      <c r="E26" s="1548"/>
      <c r="F26" s="1548" t="s">
        <v>1819</v>
      </c>
      <c r="G26" s="1558">
        <v>0.06</v>
      </c>
      <c r="H26" s="1549">
        <f t="shared" si="0"/>
        <v>4.8000000000000001E-2</v>
      </c>
      <c r="I26" s="1550">
        <v>5</v>
      </c>
      <c r="J26" s="1551"/>
      <c r="K26" s="1551"/>
      <c r="L26" s="1551"/>
      <c r="M26" s="1551"/>
      <c r="N26" s="1551"/>
      <c r="O26" s="1551"/>
      <c r="P26" s="1552"/>
      <c r="Q26" s="1549">
        <f>1*1.45*1000*0.826/(7.46*1.25)</f>
        <v>128.43967828418232</v>
      </c>
      <c r="R26" s="1553"/>
      <c r="S26" s="1554"/>
      <c r="T26" s="1555"/>
      <c r="V26" s="1543"/>
      <c r="W26" s="1543">
        <f>P24*G26*J24*R24/1000</f>
        <v>14.494279799999999</v>
      </c>
      <c r="X26" s="1543">
        <f>1/Q26*G26*J24*R24/1000</f>
        <v>3.2242550396593468E-2</v>
      </c>
      <c r="Y26" s="1543"/>
      <c r="Z26" s="1546"/>
      <c r="AA26" s="1546"/>
      <c r="AB26" s="1546"/>
      <c r="AC26" s="1546"/>
      <c r="AD26" s="1546"/>
      <c r="AE26" s="1556"/>
      <c r="AF26" s="1556"/>
      <c r="AG26" s="1556"/>
    </row>
    <row r="27" spans="2:38" ht="15">
      <c r="B27" s="1356" t="s">
        <v>146</v>
      </c>
      <c r="C27" s="1356" t="str">
        <f>C21</f>
        <v>TFTIDSB3E</v>
      </c>
      <c r="D27" s="1356" t="str">
        <f>D21</f>
        <v>Transport Freight International Truck - 3 axle Diesel Engine - Blending 1 - Existing</v>
      </c>
      <c r="E27" s="1356" t="str">
        <f>Commodities!$D$70</f>
        <v>TRADSBL1</v>
      </c>
      <c r="F27" s="1356" t="s">
        <v>1817</v>
      </c>
      <c r="G27" s="1557">
        <v>0.57999999999999996</v>
      </c>
      <c r="H27" s="1537">
        <f t="shared" si="0"/>
        <v>0.46399999999999997</v>
      </c>
      <c r="I27" s="1376">
        <v>5</v>
      </c>
      <c r="J27" s="1539">
        <v>2.15</v>
      </c>
      <c r="K27" s="1538">
        <f>0.875*J27</f>
        <v>1.8812499999999999</v>
      </c>
      <c r="L27" s="1539">
        <f>0.76*J27</f>
        <v>1.6339999999999999</v>
      </c>
      <c r="M27" s="1539">
        <f>0.57*J27</f>
        <v>1.2254999999999998</v>
      </c>
      <c r="N27" s="1539">
        <f>0.32*J27</f>
        <v>0.68799999999999994</v>
      </c>
      <c r="O27" s="1539">
        <f>0.1*J27</f>
        <v>0.215</v>
      </c>
      <c r="P27" s="1539">
        <v>10.95</v>
      </c>
      <c r="Q27" s="1537">
        <f>1*1000*0.826/(11.28*1.25)</f>
        <v>58.581560283687942</v>
      </c>
      <c r="R27" s="1540">
        <v>89670</v>
      </c>
      <c r="S27" s="1541">
        <f>10^-3</f>
        <v>1E-3</v>
      </c>
      <c r="T27" s="1542">
        <v>7</v>
      </c>
      <c r="V27" s="1543"/>
      <c r="W27" s="1543">
        <f>P27*G27*J27*R27/1000</f>
        <v>1224.4124654999996</v>
      </c>
      <c r="X27" s="1543">
        <f>1/Q27*G27*J27*R27/1000</f>
        <v>1.9087659915254238</v>
      </c>
      <c r="Y27" s="1543"/>
      <c r="Z27" s="1546"/>
      <c r="AA27" s="1546"/>
      <c r="AB27" s="1559"/>
      <c r="AC27" s="1546"/>
      <c r="AD27" s="1546"/>
      <c r="AE27" s="1556"/>
      <c r="AF27" s="1556"/>
      <c r="AG27" s="1556"/>
    </row>
    <row r="28" spans="2:38" ht="15">
      <c r="F28" s="1356" t="s">
        <v>1818</v>
      </c>
      <c r="G28" s="1557">
        <v>0.36</v>
      </c>
      <c r="H28" s="1537">
        <f t="shared" si="0"/>
        <v>0.28799999999999998</v>
      </c>
      <c r="I28" s="1376">
        <v>5</v>
      </c>
      <c r="J28" s="1539"/>
      <c r="K28" s="1539"/>
      <c r="L28" s="1539"/>
      <c r="M28" s="1539"/>
      <c r="N28" s="1560"/>
      <c r="O28" s="1560"/>
      <c r="P28" s="1539"/>
      <c r="Q28" s="1537">
        <f>1*1000*0.826/11.28</f>
        <v>73.22695035460994</v>
      </c>
      <c r="R28" s="1540"/>
      <c r="S28" s="1541"/>
      <c r="T28" s="1542"/>
      <c r="V28" s="1543"/>
      <c r="W28" s="1543">
        <f>P27*G28*J27*R27/1000</f>
        <v>759.98015099999998</v>
      </c>
      <c r="X28" s="1543">
        <f>1/Q28*G28*J27*R27/1000</f>
        <v>0.94780104406779642</v>
      </c>
      <c r="Y28" s="1543"/>
      <c r="Z28" s="1546"/>
      <c r="AB28" s="1559"/>
      <c r="AC28" s="1546"/>
      <c r="AD28" s="1556"/>
      <c r="AE28" s="1556"/>
      <c r="AF28" s="1556"/>
      <c r="AG28" s="1556"/>
    </row>
    <row r="29" spans="2:38" ht="15">
      <c r="B29" s="1548"/>
      <c r="C29" s="1548"/>
      <c r="D29" s="1548"/>
      <c r="E29" s="1548"/>
      <c r="F29" s="1548" t="s">
        <v>1819</v>
      </c>
      <c r="G29" s="1558">
        <v>0.06</v>
      </c>
      <c r="H29" s="1549">
        <f t="shared" si="0"/>
        <v>4.8000000000000001E-2</v>
      </c>
      <c r="I29" s="1550">
        <v>5</v>
      </c>
      <c r="J29" s="1551"/>
      <c r="K29" s="1551"/>
      <c r="L29" s="1551"/>
      <c r="M29" s="1551"/>
      <c r="N29" s="1551"/>
      <c r="O29" s="1551"/>
      <c r="P29" s="1552"/>
      <c r="Q29" s="1549">
        <f>1*1.45*1000*0.826/(11.28*1.25)</f>
        <v>84.943262411347519</v>
      </c>
      <c r="R29" s="1553"/>
      <c r="S29" s="1554"/>
      <c r="T29" s="1555"/>
      <c r="V29" s="1543"/>
      <c r="W29" s="1543">
        <f>P27*G29*J27*R27/1000</f>
        <v>126.66335849999997</v>
      </c>
      <c r="X29" s="1543">
        <f>1/Q29*G29*J27*R27/1000</f>
        <v>0.13617831092928112</v>
      </c>
      <c r="Y29" s="1543"/>
      <c r="Z29" s="1556"/>
      <c r="AA29" s="1546"/>
      <c r="AB29" s="1559"/>
      <c r="AC29" s="1546"/>
      <c r="AD29" s="1556"/>
    </row>
    <row r="30" spans="2:38" ht="15">
      <c r="J30" s="1559"/>
      <c r="K30" s="1559"/>
      <c r="L30" s="1559"/>
      <c r="M30" s="1559"/>
      <c r="N30" s="1559"/>
      <c r="O30" s="1559"/>
      <c r="P30" s="1559"/>
      <c r="Q30" s="1559"/>
      <c r="R30" s="1559"/>
      <c r="S30" s="1559"/>
      <c r="W30" s="1543">
        <f>SUM(W6:W29)</f>
        <v>15384.326472349996</v>
      </c>
      <c r="X30" s="1561">
        <f>SUM(X6:X29)</f>
        <v>23.416932603191466</v>
      </c>
      <c r="Y30" s="1556"/>
      <c r="AA30" s="1559"/>
      <c r="AB30" s="1546"/>
      <c r="AC30" s="1556"/>
    </row>
    <row r="31" spans="2:38" ht="15">
      <c r="E31" s="1527"/>
      <c r="F31" s="1527" t="s">
        <v>8</v>
      </c>
      <c r="G31" s="1527"/>
      <c r="H31" s="1527"/>
      <c r="I31" s="1527"/>
      <c r="J31" s="1527"/>
      <c r="K31" s="1527"/>
      <c r="L31" s="1527"/>
      <c r="M31" s="1527"/>
      <c r="N31" s="1527"/>
      <c r="P31" s="1527"/>
      <c r="Q31" s="1527"/>
      <c r="R31" s="1527"/>
      <c r="S31" s="1527"/>
      <c r="T31" s="1362"/>
      <c r="U31" s="1362"/>
      <c r="V31" s="1362"/>
      <c r="Y31" s="1546"/>
      <c r="Z31" s="1559"/>
      <c r="AA31" s="1546"/>
      <c r="AH31" s="1556"/>
      <c r="AI31" s="1556"/>
      <c r="AK31" s="1371"/>
    </row>
    <row r="32" spans="2:38" ht="38.25">
      <c r="B32" s="1528" t="s">
        <v>1</v>
      </c>
      <c r="C32" s="1528" t="s">
        <v>2</v>
      </c>
      <c r="D32" s="1528" t="s">
        <v>26</v>
      </c>
      <c r="E32" s="1528" t="s">
        <v>14</v>
      </c>
      <c r="F32" s="1529" t="s">
        <v>15</v>
      </c>
      <c r="G32" s="1530" t="s">
        <v>1042</v>
      </c>
      <c r="H32" s="1530" t="s">
        <v>1808</v>
      </c>
      <c r="I32" s="1530" t="s">
        <v>906</v>
      </c>
      <c r="J32" s="1531" t="s">
        <v>608</v>
      </c>
      <c r="K32" s="1531" t="s">
        <v>908</v>
      </c>
      <c r="L32" s="1531" t="s">
        <v>909</v>
      </c>
      <c r="M32" s="1531" t="s">
        <v>910</v>
      </c>
      <c r="N32" s="1531" t="s">
        <v>911</v>
      </c>
      <c r="O32" s="1531" t="s">
        <v>912</v>
      </c>
      <c r="P32" s="1532" t="s">
        <v>157</v>
      </c>
      <c r="Q32" s="1530" t="s">
        <v>820</v>
      </c>
      <c r="R32" s="1529" t="s">
        <v>601</v>
      </c>
      <c r="S32" s="1533" t="s">
        <v>0</v>
      </c>
      <c r="T32" s="1533" t="s">
        <v>55</v>
      </c>
      <c r="U32" s="1562"/>
      <c r="V32" s="1562"/>
      <c r="X32" s="1559"/>
      <c r="Y32" s="1546"/>
      <c r="AB32" s="1422"/>
      <c r="AC32" s="1422"/>
      <c r="AD32" s="1422"/>
      <c r="AE32" s="1422"/>
      <c r="AH32" s="1556"/>
      <c r="AI32" s="1556"/>
      <c r="AK32" s="1371"/>
    </row>
    <row r="33" spans="2:33" ht="34.5" thickBot="1">
      <c r="B33" s="1535" t="s">
        <v>27</v>
      </c>
      <c r="C33" s="1535"/>
      <c r="D33" s="1535"/>
      <c r="E33" s="1535"/>
      <c r="F33" s="1535"/>
      <c r="G33" s="1535"/>
      <c r="H33" s="1535"/>
      <c r="I33" s="1535" t="s">
        <v>505</v>
      </c>
      <c r="J33" s="1535" t="s">
        <v>148</v>
      </c>
      <c r="K33" s="1535" t="s">
        <v>148</v>
      </c>
      <c r="L33" s="1535" t="s">
        <v>148</v>
      </c>
      <c r="M33" s="1535" t="s">
        <v>148</v>
      </c>
      <c r="N33" s="1535"/>
      <c r="O33" s="1535"/>
      <c r="P33" s="1535" t="s">
        <v>1045</v>
      </c>
      <c r="Q33" s="1535" t="s">
        <v>499</v>
      </c>
      <c r="R33" s="1535" t="s">
        <v>77</v>
      </c>
      <c r="S33" s="1535"/>
      <c r="T33" s="1535" t="s">
        <v>56</v>
      </c>
      <c r="U33" s="1563"/>
      <c r="V33" s="1356" t="s">
        <v>1802</v>
      </c>
      <c r="W33" s="1356" t="s">
        <v>44</v>
      </c>
      <c r="X33" s="1559"/>
      <c r="Y33" s="1546"/>
      <c r="AA33" s="1356" t="s">
        <v>757</v>
      </c>
      <c r="AB33" s="1422"/>
      <c r="AC33" s="1422"/>
      <c r="AD33" s="1371"/>
      <c r="AE33" s="1422"/>
      <c r="AF33" s="1422"/>
      <c r="AG33" s="1422"/>
    </row>
    <row r="34" spans="2:33" ht="15">
      <c r="B34" s="1356" t="s">
        <v>145</v>
      </c>
      <c r="C34" s="1356" t="str">
        <f>"TFV"&amp;MID(E34,4,4)&amp;"E"</f>
        <v>TFVDSBLE</v>
      </c>
      <c r="D34" s="1356" t="str">
        <f>Processes!E34</f>
        <v>Transport Freight Van - Diesel Engine - 2-3.5T - Existing</v>
      </c>
      <c r="E34" s="1356" t="str">
        <f>Commodities!$D$70</f>
        <v>TRADSBL1</v>
      </c>
      <c r="F34" s="1356" t="s">
        <v>223</v>
      </c>
      <c r="G34" s="1557">
        <v>0.34</v>
      </c>
      <c r="H34" s="1537">
        <f t="shared" ref="H34:H49" si="2">G34*(1-$H$2)</f>
        <v>0.27200000000000002</v>
      </c>
      <c r="I34" s="1376">
        <v>5</v>
      </c>
      <c r="J34" s="1539">
        <v>168</v>
      </c>
      <c r="K34" s="1538">
        <f>0.875*J34</f>
        <v>147</v>
      </c>
      <c r="L34" s="1539">
        <f>0.76*J34</f>
        <v>127.68</v>
      </c>
      <c r="M34" s="1539">
        <f>0.57*J34</f>
        <v>95.759999999999991</v>
      </c>
      <c r="N34" s="1539">
        <f>0.32*J34</f>
        <v>53.76</v>
      </c>
      <c r="O34" s="1564">
        <f>0.1*J34</f>
        <v>16.8</v>
      </c>
      <c r="P34" s="1539">
        <v>0.48</v>
      </c>
      <c r="Q34" s="1537">
        <f>(1*0.784*1000)/(3.88*1.064)</f>
        <v>189.90775908844273</v>
      </c>
      <c r="R34" s="1540">
        <v>20029</v>
      </c>
      <c r="S34" s="1541">
        <f>10^-3</f>
        <v>1E-3</v>
      </c>
      <c r="T34" s="1542">
        <v>12</v>
      </c>
      <c r="U34" s="1542"/>
      <c r="V34" s="1543">
        <f>P34*G34*J34*R34/1000</f>
        <v>549.14711039999997</v>
      </c>
      <c r="W34" s="1543">
        <f>1/Q34*G34*J34*R34/1000</f>
        <v>6.0242745504000021</v>
      </c>
      <c r="X34" s="1543"/>
      <c r="Y34" s="1544" t="str">
        <f>F34</f>
        <v>TFVS</v>
      </c>
      <c r="Z34" s="1545">
        <f>SUMIFS($V$34:$V$49,$F$34:$F$49,Y34)</f>
        <v>1251.5389375679999</v>
      </c>
      <c r="AA34" s="1495">
        <v>1240.6581000000001</v>
      </c>
      <c r="AB34" s="1422"/>
      <c r="AC34" s="1422"/>
      <c r="AF34" s="1556"/>
      <c r="AG34" s="1556"/>
    </row>
    <row r="35" spans="2:33" ht="15">
      <c r="B35" s="1548"/>
      <c r="C35" s="1548"/>
      <c r="D35" s="1548"/>
      <c r="E35" s="1548"/>
      <c r="F35" s="1548" t="s">
        <v>82</v>
      </c>
      <c r="G35" s="1558">
        <v>0.66</v>
      </c>
      <c r="H35" s="1549">
        <f t="shared" si="2"/>
        <v>0.52800000000000002</v>
      </c>
      <c r="I35" s="1550">
        <v>5</v>
      </c>
      <c r="J35" s="1551"/>
      <c r="K35" s="1551"/>
      <c r="L35" s="1551"/>
      <c r="M35" s="1565"/>
      <c r="N35" s="1565"/>
      <c r="O35" s="1565"/>
      <c r="P35" s="1551"/>
      <c r="Q35" s="1549">
        <f>(1*1.45*0.784*1000)/3.88</f>
        <v>292.98969072164948</v>
      </c>
      <c r="R35" s="1553"/>
      <c r="S35" s="1554"/>
      <c r="T35" s="1555"/>
      <c r="U35" s="1542"/>
      <c r="V35" s="1543">
        <f>P34*G35*J34*R34/1000</f>
        <v>1065.9914496000001</v>
      </c>
      <c r="W35" s="1543">
        <f>1/Q34*G35*J34*R34/1000</f>
        <v>11.694180009600002</v>
      </c>
      <c r="X35" s="1543"/>
      <c r="Y35" s="1544" t="str">
        <f>F35</f>
        <v>TFVL</v>
      </c>
      <c r="Z35" s="1545">
        <f>SUMIFS($V$34:$V$49,$F$34:$F$49,Y35)</f>
        <v>2429.4579376320007</v>
      </c>
      <c r="AA35" s="1495">
        <v>2422.3418999999999</v>
      </c>
      <c r="AB35" s="1422"/>
      <c r="AC35" s="1422"/>
      <c r="AF35" s="1556"/>
      <c r="AG35" s="1556"/>
    </row>
    <row r="36" spans="2:33" ht="15">
      <c r="B36" s="1356" t="s">
        <v>145</v>
      </c>
      <c r="C36" s="1356" t="str">
        <f>"TFV"&amp;MID(E36,4,4)&amp;"E"</f>
        <v>TFVGSBLE</v>
      </c>
      <c r="D36" s="1356" t="str">
        <f>Processes!E35</f>
        <v>Transport Freight Van - Otto Engine - 2-3.5T - Existing</v>
      </c>
      <c r="E36" s="1356" t="str">
        <f>Commodities!D75</f>
        <v>TRAGSBL1</v>
      </c>
      <c r="F36" s="1356" t="s">
        <v>223</v>
      </c>
      <c r="G36" s="1557">
        <v>0.34</v>
      </c>
      <c r="H36" s="1537">
        <f t="shared" si="2"/>
        <v>0.27200000000000002</v>
      </c>
      <c r="I36" s="1376">
        <v>5</v>
      </c>
      <c r="J36" s="1539">
        <v>24.13</v>
      </c>
      <c r="K36" s="1538">
        <f>0.875*J36</f>
        <v>21.11375</v>
      </c>
      <c r="L36" s="1539">
        <f>0.76*J36</f>
        <v>18.338799999999999</v>
      </c>
      <c r="M36" s="1539">
        <f>0.57*J36</f>
        <v>13.754099999999998</v>
      </c>
      <c r="N36" s="1539">
        <f>0.32*J36</f>
        <v>7.7215999999999996</v>
      </c>
      <c r="O36" s="1564">
        <f>0.1*J36</f>
        <v>2.4130000000000003</v>
      </c>
      <c r="P36" s="1539">
        <v>0.48</v>
      </c>
      <c r="Q36" s="1537">
        <f>(1*1000*0.784)/(4.19)</f>
        <v>187.11217183770881</v>
      </c>
      <c r="R36" s="1540">
        <v>19097</v>
      </c>
      <c r="S36" s="1541">
        <f>10^-3</f>
        <v>1E-3</v>
      </c>
      <c r="T36" s="1542">
        <v>12</v>
      </c>
      <c r="U36" s="1542"/>
      <c r="V36" s="1543">
        <f>P36*G36*J36*R36/1000</f>
        <v>75.204291552000015</v>
      </c>
      <c r="W36" s="1543">
        <f>1/Q36*G36*J36*R36/1000</f>
        <v>0.83733519771173481</v>
      </c>
      <c r="X36" s="1543"/>
      <c r="Y36" s="1544"/>
      <c r="Z36" s="1545">
        <f>SUM(Z34:Z35)</f>
        <v>3680.9968752000004</v>
      </c>
      <c r="AA36" s="1545">
        <f>SUM(AA34:AA35)</f>
        <v>3663</v>
      </c>
      <c r="AB36" s="1422"/>
      <c r="AC36" s="1422"/>
      <c r="AD36" s="1556"/>
      <c r="AE36" s="1556"/>
      <c r="AF36" s="1556"/>
      <c r="AG36" s="1556"/>
    </row>
    <row r="37" spans="2:33" ht="15">
      <c r="B37" s="1548"/>
      <c r="C37" s="1548"/>
      <c r="D37" s="1548"/>
      <c r="E37" s="1548"/>
      <c r="F37" s="1548" t="s">
        <v>82</v>
      </c>
      <c r="G37" s="1558">
        <v>0.66</v>
      </c>
      <c r="H37" s="1549">
        <f t="shared" si="2"/>
        <v>0.52800000000000002</v>
      </c>
      <c r="I37" s="1550">
        <v>5</v>
      </c>
      <c r="J37" s="1551"/>
      <c r="K37" s="1551"/>
      <c r="L37" s="1551"/>
      <c r="M37" s="1565"/>
      <c r="N37" s="1565"/>
      <c r="O37" s="1565"/>
      <c r="P37" s="1551"/>
      <c r="Q37" s="1549">
        <f>(1*1.45*1000*0.784)/4.19</f>
        <v>271.31264916467779</v>
      </c>
      <c r="R37" s="1553"/>
      <c r="S37" s="1554"/>
      <c r="T37" s="1555"/>
      <c r="U37" s="1542"/>
      <c r="V37" s="1543">
        <f>P36*G37*J36*R36/1000</f>
        <v>145.984801248</v>
      </c>
      <c r="W37" s="1543">
        <f>1/Q36*G37*J36*R36/1000</f>
        <v>1.6254153837933678</v>
      </c>
      <c r="X37" s="1543"/>
      <c r="Y37" s="1546"/>
      <c r="AB37" s="1422"/>
      <c r="AC37" s="1422"/>
      <c r="AD37" s="1556"/>
      <c r="AE37" s="1556"/>
      <c r="AF37" s="1556"/>
      <c r="AG37" s="1556"/>
    </row>
    <row r="38" spans="2:33" ht="15">
      <c r="B38" s="1566" t="s">
        <v>145</v>
      </c>
      <c r="C38" s="1356" t="str">
        <f>"TFV"&amp;MID(E38,4,4)&amp;"E"</f>
        <v>TFVLPGE</v>
      </c>
      <c r="D38" s="1566" t="str">
        <f>Processes!E36</f>
        <v>Transport Freight Van - LPG Engine - 2-3.5T - Existing</v>
      </c>
      <c r="E38" s="1566" t="str">
        <f>Commodities!D39</f>
        <v>TRALPG</v>
      </c>
      <c r="F38" s="1566" t="s">
        <v>223</v>
      </c>
      <c r="G38" s="1567">
        <v>0.34</v>
      </c>
      <c r="H38" s="1568">
        <f t="shared" si="2"/>
        <v>0.27200000000000002</v>
      </c>
      <c r="I38" s="1569">
        <v>5</v>
      </c>
      <c r="J38" s="1570">
        <v>0.01</v>
      </c>
      <c r="K38" s="1538">
        <f>0.875*J38</f>
        <v>8.7500000000000008E-3</v>
      </c>
      <c r="L38" s="1539">
        <f>0.76*J38</f>
        <v>7.6E-3</v>
      </c>
      <c r="M38" s="1539">
        <f>0.57*J38</f>
        <v>5.6999999999999993E-3</v>
      </c>
      <c r="N38" s="1539">
        <f>0.32*J38</f>
        <v>3.2000000000000002E-3</v>
      </c>
      <c r="O38" s="1564">
        <f>0.1*J38</f>
        <v>1E-3</v>
      </c>
      <c r="P38" s="1571">
        <v>0.48</v>
      </c>
      <c r="Q38" s="1568">
        <f>1*1000*0.784/4.19</f>
        <v>187.11217183770881</v>
      </c>
      <c r="R38" s="1572">
        <v>19097</v>
      </c>
      <c r="S38" s="1573">
        <f>10^-3</f>
        <v>1E-3</v>
      </c>
      <c r="T38" s="1574">
        <v>12</v>
      </c>
      <c r="U38" s="1542"/>
      <c r="V38" s="1543">
        <f>P38*G38*J38*R38/1000</f>
        <v>3.1166304000000002E-2</v>
      </c>
      <c r="W38" s="1543">
        <f>1/Q38*G38*J38*R38/1000</f>
        <v>3.4701002806122454E-4</v>
      </c>
      <c r="X38" s="1543"/>
      <c r="Y38" s="1546"/>
      <c r="AB38" s="1422"/>
      <c r="AC38" s="1422"/>
    </row>
    <row r="39" spans="2:33" ht="15">
      <c r="B39" s="1548"/>
      <c r="C39" s="1548"/>
      <c r="D39" s="1548"/>
      <c r="E39" s="1548"/>
      <c r="F39" s="1548" t="s">
        <v>82</v>
      </c>
      <c r="G39" s="1558">
        <v>0.66</v>
      </c>
      <c r="H39" s="1549">
        <f t="shared" si="2"/>
        <v>0.52800000000000002</v>
      </c>
      <c r="I39" s="1550">
        <v>5</v>
      </c>
      <c r="J39" s="1551"/>
      <c r="K39" s="1551"/>
      <c r="L39" s="1551"/>
      <c r="M39" s="1565"/>
      <c r="N39" s="1565"/>
      <c r="O39" s="1565"/>
      <c r="P39" s="1551"/>
      <c r="Q39" s="1549">
        <f>1*1000*1.45*0.784/4.19</f>
        <v>271.31264916467779</v>
      </c>
      <c r="R39" s="1553"/>
      <c r="S39" s="1554"/>
      <c r="T39" s="1555"/>
      <c r="U39" s="1542"/>
      <c r="V39" s="1543">
        <f>P38*G39*J38*R38/1000</f>
        <v>6.0499296000000008E-2</v>
      </c>
      <c r="W39" s="1543">
        <f>1/Q38*G39*J38*R38/1000</f>
        <v>6.7360770153061247E-4</v>
      </c>
      <c r="X39" s="1543"/>
      <c r="Y39" s="1546"/>
      <c r="AB39" s="1422"/>
      <c r="AC39" s="1422"/>
    </row>
    <row r="40" spans="2:33" ht="15">
      <c r="B40" s="1356" t="s">
        <v>145</v>
      </c>
      <c r="C40" s="1356" t="str">
        <f>"TFV"&amp;MID(E40,4,4)&amp;"E"</f>
        <v>TFVELCEE</v>
      </c>
      <c r="D40" s="1356" t="str">
        <f>Processes!E37</f>
        <v>Transport Freight Van - ELC Engine - 2-3.5T- Existing</v>
      </c>
      <c r="E40" s="1356" t="str">
        <f>Commodities!D47</f>
        <v>TRAELCEV</v>
      </c>
      <c r="F40" s="1356" t="s">
        <v>223</v>
      </c>
      <c r="G40" s="1557">
        <v>0.34</v>
      </c>
      <c r="H40" s="1537">
        <f t="shared" si="2"/>
        <v>0.27200000000000002</v>
      </c>
      <c r="I40" s="1376">
        <v>5</v>
      </c>
      <c r="J40" s="1539">
        <v>0.01</v>
      </c>
      <c r="K40" s="1538">
        <f>0.875*J40</f>
        <v>8.7500000000000008E-3</v>
      </c>
      <c r="L40" s="1539">
        <f>0.76*J40</f>
        <v>7.6E-3</v>
      </c>
      <c r="M40" s="1539">
        <f>0.57*J40</f>
        <v>5.6999999999999993E-3</v>
      </c>
      <c r="N40" s="1539">
        <f>0.32*J40</f>
        <v>3.2000000000000002E-3</v>
      </c>
      <c r="O40" s="1564">
        <f>0.1*J40</f>
        <v>1E-3</v>
      </c>
      <c r="P40" s="1539">
        <v>0.48</v>
      </c>
      <c r="Q40" s="1537">
        <v>1940</v>
      </c>
      <c r="R40" s="1540">
        <v>19097</v>
      </c>
      <c r="S40" s="1541">
        <f>10^-3</f>
        <v>1E-3</v>
      </c>
      <c r="T40" s="1542">
        <v>12</v>
      </c>
      <c r="U40" s="1542"/>
      <c r="V40" s="1543">
        <f>P40*G40*J40*R40/1000</f>
        <v>3.1166304000000002E-2</v>
      </c>
      <c r="W40" s="1543">
        <f>1/Q40*G40*J40*R40/1000</f>
        <v>3.3468969072164947E-5</v>
      </c>
      <c r="X40" s="1543"/>
      <c r="Y40" s="1546"/>
      <c r="AB40" s="1422"/>
      <c r="AC40" s="1422"/>
    </row>
    <row r="41" spans="2:33" ht="15">
      <c r="B41" s="1548"/>
      <c r="C41" s="1548"/>
      <c r="D41" s="1548"/>
      <c r="E41" s="1548"/>
      <c r="F41" s="1548" t="s">
        <v>82</v>
      </c>
      <c r="G41" s="1558">
        <v>0.66</v>
      </c>
      <c r="H41" s="1549">
        <f t="shared" si="2"/>
        <v>0.52800000000000002</v>
      </c>
      <c r="I41" s="1550">
        <v>5</v>
      </c>
      <c r="J41" s="1551"/>
      <c r="K41" s="1551"/>
      <c r="L41" s="1551"/>
      <c r="M41" s="1565"/>
      <c r="N41" s="1565"/>
      <c r="O41" s="1565"/>
      <c r="P41" s="1551"/>
      <c r="Q41" s="1549">
        <v>1940</v>
      </c>
      <c r="R41" s="1553"/>
      <c r="S41" s="1554"/>
      <c r="T41" s="1555"/>
      <c r="U41" s="1542"/>
      <c r="V41" s="1543">
        <f>P40*G41*J40*R40/1000</f>
        <v>6.0499296000000008E-2</v>
      </c>
      <c r="W41" s="1543">
        <f>1/Q40*G41*J40*R40/1000</f>
        <v>6.4969175257731959E-5</v>
      </c>
      <c r="X41" s="1543"/>
      <c r="Y41" s="1546"/>
      <c r="AB41" s="1422"/>
      <c r="AC41" s="1422"/>
    </row>
    <row r="42" spans="2:33" ht="15">
      <c r="B42" s="1356" t="s">
        <v>146</v>
      </c>
      <c r="C42" s="1356" t="str">
        <f>C34</f>
        <v>TFVDSBLE</v>
      </c>
      <c r="D42" s="1356" t="str">
        <f>D34</f>
        <v>Transport Freight Van - Diesel Engine - 2-3.5T - Existing</v>
      </c>
      <c r="E42" s="1356" t="str">
        <f>E34</f>
        <v>TRADSBL1</v>
      </c>
      <c r="F42" s="1356" t="s">
        <v>223</v>
      </c>
      <c r="G42" s="1557">
        <v>0.34</v>
      </c>
      <c r="H42" s="1537">
        <f t="shared" si="2"/>
        <v>0.27200000000000002</v>
      </c>
      <c r="I42" s="1376">
        <v>5</v>
      </c>
      <c r="J42" s="1539">
        <v>168</v>
      </c>
      <c r="K42" s="1538">
        <f>0.875*J42</f>
        <v>147</v>
      </c>
      <c r="L42" s="1539">
        <f>0.76*J42</f>
        <v>127.68</v>
      </c>
      <c r="M42" s="1539">
        <f>0.57*J42</f>
        <v>95.759999999999991</v>
      </c>
      <c r="N42" s="1539">
        <f>0.32*J42</f>
        <v>53.76</v>
      </c>
      <c r="O42" s="1564">
        <f>0.1*J42</f>
        <v>16.8</v>
      </c>
      <c r="P42" s="1539">
        <v>0.48</v>
      </c>
      <c r="Q42" s="1537">
        <f>(1*0.784*1000)/(3.88*1.064)</f>
        <v>189.90775908844273</v>
      </c>
      <c r="R42" s="1540">
        <v>20029</v>
      </c>
      <c r="S42" s="1541">
        <f>10^-3</f>
        <v>1E-3</v>
      </c>
      <c r="T42" s="1542">
        <v>12</v>
      </c>
      <c r="U42" s="1542"/>
      <c r="V42" s="1543">
        <f>P42*G42*J42*R42/1000</f>
        <v>549.14711039999997</v>
      </c>
      <c r="W42" s="1543">
        <f>1/Q42*G42*J42*R42/1000</f>
        <v>6.0242745504000021</v>
      </c>
      <c r="X42" s="1543"/>
      <c r="Y42" s="1546"/>
      <c r="AB42" s="1422"/>
      <c r="AC42" s="1422"/>
      <c r="AF42" s="1556"/>
      <c r="AG42" s="1556"/>
    </row>
    <row r="43" spans="2:33" ht="15">
      <c r="B43" s="1548"/>
      <c r="C43" s="1548"/>
      <c r="D43" s="1548"/>
      <c r="E43" s="1548"/>
      <c r="F43" s="1548" t="s">
        <v>82</v>
      </c>
      <c r="G43" s="1558">
        <v>0.66</v>
      </c>
      <c r="H43" s="1549">
        <f t="shared" si="2"/>
        <v>0.52800000000000002</v>
      </c>
      <c r="I43" s="1550">
        <v>5</v>
      </c>
      <c r="J43" s="1551"/>
      <c r="K43" s="1551"/>
      <c r="L43" s="1551"/>
      <c r="M43" s="1565"/>
      <c r="N43" s="1565"/>
      <c r="O43" s="1565"/>
      <c r="P43" s="1551"/>
      <c r="Q43" s="1549">
        <f>(1*1.45*0.784*1000)/3.88</f>
        <v>292.98969072164948</v>
      </c>
      <c r="R43" s="1553"/>
      <c r="S43" s="1554"/>
      <c r="T43" s="1555"/>
      <c r="U43" s="1542"/>
      <c r="V43" s="1543">
        <f>P42*G43*J42*R42/1000</f>
        <v>1065.9914496000001</v>
      </c>
      <c r="W43" s="1543">
        <f>1/Q42*G43*J42*R42/1000</f>
        <v>11.694180009600002</v>
      </c>
      <c r="X43" s="1543"/>
      <c r="Y43" s="1546"/>
      <c r="AB43" s="1422"/>
      <c r="AC43" s="1422"/>
      <c r="AF43" s="1556"/>
      <c r="AG43" s="1556"/>
    </row>
    <row r="44" spans="2:33" ht="15">
      <c r="B44" s="1356" t="s">
        <v>146</v>
      </c>
      <c r="C44" s="1356" t="str">
        <f>C36</f>
        <v>TFVGSBLE</v>
      </c>
      <c r="D44" s="1356" t="str">
        <f>D36</f>
        <v>Transport Freight Van - Otto Engine - 2-3.5T - Existing</v>
      </c>
      <c r="E44" s="1356" t="str">
        <f>E36</f>
        <v>TRAGSBL1</v>
      </c>
      <c r="F44" s="1356" t="s">
        <v>223</v>
      </c>
      <c r="G44" s="1557">
        <v>0.34</v>
      </c>
      <c r="H44" s="1537">
        <f t="shared" si="2"/>
        <v>0.27200000000000002</v>
      </c>
      <c r="I44" s="1376">
        <v>5</v>
      </c>
      <c r="J44" s="1539">
        <v>25</v>
      </c>
      <c r="K44" s="1538">
        <f>0.875*J44</f>
        <v>21.875</v>
      </c>
      <c r="L44" s="1539">
        <f>0.76*J44</f>
        <v>19</v>
      </c>
      <c r="M44" s="1539">
        <f>0.57*J44</f>
        <v>14.249999999999998</v>
      </c>
      <c r="N44" s="1539">
        <f>0.32*J44</f>
        <v>8</v>
      </c>
      <c r="O44" s="1564">
        <f>0.1*J44</f>
        <v>2.5</v>
      </c>
      <c r="P44" s="1539">
        <v>0.48</v>
      </c>
      <c r="Q44" s="1537">
        <f>(1*1000*0.784)/(4.19)</f>
        <v>187.11217183770881</v>
      </c>
      <c r="R44" s="1540">
        <v>19097</v>
      </c>
      <c r="S44" s="1541">
        <f>10^-3</f>
        <v>1E-3</v>
      </c>
      <c r="T44" s="1542">
        <v>12</v>
      </c>
      <c r="U44" s="1542"/>
      <c r="V44" s="1543">
        <f>P44*G44*J44*R44/1000</f>
        <v>77.915759999999992</v>
      </c>
      <c r="W44" s="1543">
        <f>1/Q44*G44*J44*R44/1000</f>
        <v>0.86752507015306135</v>
      </c>
      <c r="X44" s="1543"/>
      <c r="Y44" s="1546"/>
      <c r="AB44" s="1422"/>
      <c r="AC44" s="1422"/>
      <c r="AD44" s="1556"/>
      <c r="AE44" s="1556"/>
      <c r="AF44" s="1556"/>
      <c r="AG44" s="1556"/>
    </row>
    <row r="45" spans="2:33" ht="15">
      <c r="B45" s="1548"/>
      <c r="C45" s="1548"/>
      <c r="D45" s="1548"/>
      <c r="E45" s="1548"/>
      <c r="F45" s="1548" t="s">
        <v>82</v>
      </c>
      <c r="G45" s="1558">
        <v>0.66</v>
      </c>
      <c r="H45" s="1549">
        <f t="shared" si="2"/>
        <v>0.52800000000000002</v>
      </c>
      <c r="I45" s="1550">
        <v>5</v>
      </c>
      <c r="J45" s="1551"/>
      <c r="K45" s="1551"/>
      <c r="L45" s="1551"/>
      <c r="M45" s="1565"/>
      <c r="N45" s="1565"/>
      <c r="O45" s="1565"/>
      <c r="P45" s="1551"/>
      <c r="Q45" s="1549">
        <f>(1*1.45*1000*0.784)/4.19</f>
        <v>271.31264916467779</v>
      </c>
      <c r="R45" s="1553"/>
      <c r="S45" s="1554"/>
      <c r="T45" s="1555"/>
      <c r="U45" s="1542"/>
      <c r="V45" s="1543">
        <f>P44*G45*J44*R44/1000</f>
        <v>151.24824000000001</v>
      </c>
      <c r="W45" s="1543">
        <f>1/Q44*G45*J44*R44/1000</f>
        <v>1.6840192538265308</v>
      </c>
      <c r="X45" s="1543"/>
      <c r="Y45" s="1546"/>
      <c r="AB45" s="1422"/>
      <c r="AC45" s="1422"/>
      <c r="AD45" s="1556"/>
      <c r="AE45" s="1556"/>
      <c r="AF45" s="1556"/>
      <c r="AG45" s="1556"/>
    </row>
    <row r="46" spans="2:33" ht="15">
      <c r="B46" s="1566" t="s">
        <v>146</v>
      </c>
      <c r="C46" s="1356" t="str">
        <f>C38</f>
        <v>TFVLPGE</v>
      </c>
      <c r="D46" s="1356" t="str">
        <f>D38</f>
        <v>Transport Freight Van - LPG Engine - 2-3.5T - Existing</v>
      </c>
      <c r="E46" s="1356" t="str">
        <f>E38</f>
        <v>TRALPG</v>
      </c>
      <c r="F46" s="1566" t="s">
        <v>223</v>
      </c>
      <c r="G46" s="1567">
        <v>0.34</v>
      </c>
      <c r="H46" s="1568">
        <f t="shared" si="2"/>
        <v>0.27200000000000002</v>
      </c>
      <c r="I46" s="1569">
        <v>5</v>
      </c>
      <c r="J46" s="1570">
        <v>0.01</v>
      </c>
      <c r="K46" s="1538">
        <f>0.875*J46</f>
        <v>8.7500000000000008E-3</v>
      </c>
      <c r="L46" s="1539">
        <f>0.76*J46</f>
        <v>7.6E-3</v>
      </c>
      <c r="M46" s="1539">
        <f>0.57*J46</f>
        <v>5.6999999999999993E-3</v>
      </c>
      <c r="N46" s="1539">
        <f>0.32*J46</f>
        <v>3.2000000000000002E-3</v>
      </c>
      <c r="O46" s="1564">
        <f>0.1*J46</f>
        <v>1E-3</v>
      </c>
      <c r="P46" s="1571">
        <v>0.48</v>
      </c>
      <c r="Q46" s="1568">
        <f>1*1000*0.784/4.19</f>
        <v>187.11217183770881</v>
      </c>
      <c r="R46" s="1572">
        <v>19097</v>
      </c>
      <c r="S46" s="1573">
        <f>10^-3</f>
        <v>1E-3</v>
      </c>
      <c r="T46" s="1574">
        <v>12</v>
      </c>
      <c r="U46" s="1542"/>
      <c r="V46" s="1543">
        <f>P46*G46*J46*R46/1000</f>
        <v>3.1166304000000002E-2</v>
      </c>
      <c r="W46" s="1543">
        <f>1/Q46*G46*J46*R46/1000</f>
        <v>3.4701002806122454E-4</v>
      </c>
      <c r="X46" s="1543"/>
      <c r="Y46" s="1546"/>
      <c r="AB46" s="1422"/>
      <c r="AC46" s="1422"/>
    </row>
    <row r="47" spans="2:33" ht="15">
      <c r="B47" s="1548"/>
      <c r="C47" s="1548"/>
      <c r="D47" s="1548"/>
      <c r="E47" s="1548"/>
      <c r="F47" s="1548" t="s">
        <v>82</v>
      </c>
      <c r="G47" s="1558">
        <v>0.66</v>
      </c>
      <c r="H47" s="1549">
        <f t="shared" si="2"/>
        <v>0.52800000000000002</v>
      </c>
      <c r="I47" s="1550">
        <v>5</v>
      </c>
      <c r="J47" s="1551"/>
      <c r="K47" s="1551"/>
      <c r="L47" s="1551"/>
      <c r="M47" s="1565"/>
      <c r="N47" s="1565"/>
      <c r="O47" s="1565"/>
      <c r="P47" s="1551"/>
      <c r="Q47" s="1549">
        <f>1*1000*1.45*0.784/4.19</f>
        <v>271.31264916467779</v>
      </c>
      <c r="R47" s="1553"/>
      <c r="S47" s="1554"/>
      <c r="T47" s="1555"/>
      <c r="U47" s="1542"/>
      <c r="V47" s="1543">
        <f>P46*G47*J46*R46/1000</f>
        <v>6.0499296000000008E-2</v>
      </c>
      <c r="W47" s="1543">
        <f>1/Q46*G47*J46*R46/1000</f>
        <v>6.7360770153061247E-4</v>
      </c>
      <c r="X47" s="1543"/>
      <c r="Y47" s="1546"/>
      <c r="AB47" s="1422"/>
      <c r="AC47" s="1422"/>
    </row>
    <row r="48" spans="2:33" ht="15">
      <c r="B48" s="1356" t="s">
        <v>146</v>
      </c>
      <c r="C48" s="1356" t="str">
        <f>C40</f>
        <v>TFVELCEE</v>
      </c>
      <c r="D48" s="1356" t="str">
        <f>D40</f>
        <v>Transport Freight Van - ELC Engine - 2-3.5T- Existing</v>
      </c>
      <c r="E48" s="1356" t="str">
        <f>E40</f>
        <v>TRAELCEV</v>
      </c>
      <c r="F48" s="1356" t="s">
        <v>223</v>
      </c>
      <c r="G48" s="1557">
        <v>0.34</v>
      </c>
      <c r="H48" s="1537">
        <f t="shared" si="2"/>
        <v>0.27200000000000002</v>
      </c>
      <c r="I48" s="1376">
        <v>5</v>
      </c>
      <c r="J48" s="1539">
        <v>0.01</v>
      </c>
      <c r="K48" s="1538">
        <f>0.875*J48</f>
        <v>8.7500000000000008E-3</v>
      </c>
      <c r="L48" s="1539">
        <f>0.76*J48</f>
        <v>7.6E-3</v>
      </c>
      <c r="M48" s="1539">
        <f>0.57*J48</f>
        <v>5.6999999999999993E-3</v>
      </c>
      <c r="N48" s="1539">
        <f>0.32*J48</f>
        <v>3.2000000000000002E-3</v>
      </c>
      <c r="O48" s="1564">
        <f>0.1*J48</f>
        <v>1E-3</v>
      </c>
      <c r="P48" s="1539">
        <v>0.48</v>
      </c>
      <c r="Q48" s="1537">
        <v>1940</v>
      </c>
      <c r="R48" s="1540">
        <v>19097</v>
      </c>
      <c r="S48" s="1541">
        <f>10^-3</f>
        <v>1E-3</v>
      </c>
      <c r="T48" s="1542">
        <v>12</v>
      </c>
      <c r="U48" s="1542"/>
      <c r="V48" s="1543">
        <f>P48*G48*J48*R48/1000</f>
        <v>3.1166304000000002E-2</v>
      </c>
      <c r="W48" s="1543">
        <f>1/Q48*G48*J48*R48/1000</f>
        <v>3.3468969072164947E-5</v>
      </c>
      <c r="X48" s="1543"/>
      <c r="Y48" s="1546"/>
      <c r="AB48" s="1422"/>
      <c r="AC48" s="1422"/>
    </row>
    <row r="49" spans="2:29" ht="15">
      <c r="B49" s="1548"/>
      <c r="C49" s="1548"/>
      <c r="D49" s="1548"/>
      <c r="E49" s="1548"/>
      <c r="F49" s="1548" t="s">
        <v>82</v>
      </c>
      <c r="G49" s="1558">
        <v>0.66</v>
      </c>
      <c r="H49" s="1549">
        <f t="shared" si="2"/>
        <v>0.52800000000000002</v>
      </c>
      <c r="I49" s="1550">
        <v>5</v>
      </c>
      <c r="J49" s="1551"/>
      <c r="K49" s="1551"/>
      <c r="L49" s="1551"/>
      <c r="M49" s="1565"/>
      <c r="N49" s="1565"/>
      <c r="O49" s="1565"/>
      <c r="P49" s="1551"/>
      <c r="Q49" s="1549">
        <v>1940</v>
      </c>
      <c r="R49" s="1553"/>
      <c r="S49" s="1554"/>
      <c r="T49" s="1555"/>
      <c r="U49" s="1542"/>
      <c r="V49" s="1543">
        <f>P48*G49*J48*R48/1000</f>
        <v>6.0499296000000008E-2</v>
      </c>
      <c r="W49" s="1543">
        <f>1/Q48*G49*J48*R48/1000</f>
        <v>6.4969175257731959E-5</v>
      </c>
      <c r="X49" s="1543"/>
      <c r="Y49" s="1546"/>
      <c r="AB49" s="1422"/>
      <c r="AC49" s="1422"/>
    </row>
    <row r="50" spans="2:29" ht="15">
      <c r="K50" s="1422"/>
      <c r="L50" s="1575"/>
      <c r="M50" s="1575"/>
      <c r="N50" s="1575"/>
      <c r="O50" s="1575"/>
      <c r="P50" s="1575"/>
      <c r="Q50" s="1575"/>
      <c r="R50" s="1575"/>
      <c r="S50" s="1575"/>
      <c r="V50" s="1543">
        <f>SUM(V34:V49)</f>
        <v>3680.9968752000004</v>
      </c>
      <c r="W50" s="1543">
        <f>SUM(W34:W49)</f>
        <v>40.453442137232543</v>
      </c>
    </row>
    <row r="51" spans="2:29" ht="15">
      <c r="E51" s="1559"/>
      <c r="I51" s="1576"/>
      <c r="J51" s="1543"/>
      <c r="K51" s="1543"/>
      <c r="L51" s="1543"/>
      <c r="M51" s="1543"/>
      <c r="N51" s="1543"/>
      <c r="O51" s="1543"/>
      <c r="P51" s="1543"/>
      <c r="Q51" s="1543"/>
      <c r="R51" s="1422"/>
      <c r="S51" s="1422"/>
    </row>
    <row r="52" spans="2:29" ht="15">
      <c r="J52" s="1543"/>
      <c r="K52" s="1543"/>
      <c r="L52" s="1543"/>
      <c r="M52" s="1543"/>
      <c r="N52" s="1543"/>
      <c r="O52" s="1543"/>
      <c r="P52" s="1543"/>
      <c r="Q52" s="1543"/>
      <c r="R52" s="1422"/>
      <c r="S52" s="1422"/>
    </row>
    <row r="53" spans="2:29" ht="15">
      <c r="E53" s="1559"/>
      <c r="I53" s="1576"/>
      <c r="J53" s="1543"/>
      <c r="K53" s="1543"/>
      <c r="L53" s="1543"/>
      <c r="M53" s="1543"/>
      <c r="N53" s="1543"/>
      <c r="O53" s="1543"/>
      <c r="P53" s="1543"/>
      <c r="Q53" s="1543"/>
      <c r="R53" s="1422"/>
      <c r="S53" s="1422"/>
    </row>
    <row r="54" spans="2:29" ht="15">
      <c r="J54" s="1543"/>
      <c r="K54" s="1543"/>
      <c r="L54" s="1543"/>
      <c r="M54" s="1543"/>
      <c r="N54" s="1543"/>
      <c r="O54" s="1543"/>
      <c r="P54" s="1543"/>
      <c r="Q54" s="1543"/>
      <c r="R54" s="1422"/>
      <c r="S54" s="1422"/>
    </row>
    <row r="55" spans="2:29">
      <c r="E55" s="1559"/>
      <c r="I55" s="1576"/>
      <c r="J55" s="1543"/>
      <c r="K55" s="1543"/>
      <c r="L55" s="1543"/>
      <c r="M55" s="1543"/>
      <c r="N55" s="1543"/>
      <c r="O55" s="1543"/>
      <c r="P55" s="1543"/>
      <c r="Q55" s="1543"/>
    </row>
    <row r="56" spans="2:29">
      <c r="G56" s="1543"/>
      <c r="H56" s="1543"/>
      <c r="I56" s="1543"/>
      <c r="J56" s="1543"/>
      <c r="K56" s="1543"/>
      <c r="L56" s="1543"/>
      <c r="M56" s="1543"/>
      <c r="N56" s="1543"/>
      <c r="O56" s="1534"/>
      <c r="P56" s="1534"/>
    </row>
    <row r="57" spans="2:29">
      <c r="G57" s="1543"/>
      <c r="H57" s="1543"/>
      <c r="I57" s="1543"/>
      <c r="J57" s="1543"/>
      <c r="K57" s="1543"/>
      <c r="L57" s="1543"/>
      <c r="M57" s="1543"/>
      <c r="N57" s="1543"/>
      <c r="O57" s="1534"/>
      <c r="P57" s="1534"/>
    </row>
    <row r="58" spans="2:29">
      <c r="I58" s="1577"/>
      <c r="J58" s="1577"/>
      <c r="K58" s="1577"/>
      <c r="L58" s="1577"/>
      <c r="M58" s="1577"/>
      <c r="N58" s="1577"/>
      <c r="O58" s="1577"/>
      <c r="P58" s="1577"/>
    </row>
    <row r="59" spans="2:29">
      <c r="I59" s="1577"/>
      <c r="J59" s="1577"/>
      <c r="K59" s="1577"/>
      <c r="L59" s="1577"/>
      <c r="M59" s="1577"/>
      <c r="N59" s="1577"/>
      <c r="O59" s="1577"/>
      <c r="P59" s="1577"/>
    </row>
    <row r="60" spans="2:29">
      <c r="I60" s="1534"/>
      <c r="J60" s="1534"/>
      <c r="K60" s="1534"/>
      <c r="L60" s="1534"/>
      <c r="M60" s="1534"/>
      <c r="N60" s="1534"/>
      <c r="O60" s="1534"/>
      <c r="P60" s="1534"/>
    </row>
    <row r="61" spans="2:29">
      <c r="I61" s="1534"/>
      <c r="J61" s="1534"/>
      <c r="K61" s="1534"/>
      <c r="L61" s="1534"/>
      <c r="M61" s="1534"/>
      <c r="N61" s="1534"/>
      <c r="O61" s="1534"/>
      <c r="P61" s="1534"/>
    </row>
    <row r="62" spans="2:29">
      <c r="L62" s="1534"/>
      <c r="M62" s="1534"/>
      <c r="N62" s="1534"/>
      <c r="O62" s="1534"/>
      <c r="P62" s="1534"/>
      <c r="Q62" s="1534"/>
      <c r="R62" s="1534"/>
      <c r="S62" s="1534"/>
    </row>
    <row r="63" spans="2:29">
      <c r="L63" s="1534"/>
      <c r="M63" s="1534"/>
      <c r="N63" s="1534"/>
      <c r="O63" s="1534"/>
      <c r="P63" s="1534"/>
      <c r="Q63" s="1534"/>
      <c r="R63" s="1534"/>
      <c r="S63" s="1534"/>
    </row>
    <row r="64" spans="2:29">
      <c r="L64" s="1534"/>
      <c r="M64" s="1534"/>
      <c r="N64" s="1534"/>
      <c r="O64" s="1534"/>
      <c r="P64" s="1534"/>
      <c r="Q64" s="1534"/>
      <c r="R64" s="1534"/>
      <c r="S64" s="1534"/>
    </row>
    <row r="65" spans="12:19">
      <c r="L65" s="1534"/>
      <c r="M65" s="1534"/>
      <c r="N65" s="1534"/>
      <c r="O65" s="1534"/>
      <c r="P65" s="1534"/>
      <c r="Q65" s="1534"/>
      <c r="R65" s="1534"/>
      <c r="S65" s="153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sheetPr>
  <dimension ref="A1:BX82"/>
  <sheetViews>
    <sheetView zoomScale="80" zoomScaleNormal="80" workbookViewId="0">
      <selection activeCell="I38" sqref="I38"/>
    </sheetView>
  </sheetViews>
  <sheetFormatPr defaultColWidth="8.85546875" defaultRowHeight="12.75"/>
  <cols>
    <col min="1" max="1" width="2.28515625" style="681" customWidth="1"/>
    <col min="2" max="2" width="10.5703125" style="681" customWidth="1"/>
    <col min="3" max="3" width="12.42578125" style="713" bestFit="1" customWidth="1"/>
    <col min="4" max="4" width="55.5703125" style="713" bestFit="1" customWidth="1"/>
    <col min="5" max="5" width="17.140625" style="713" bestFit="1" customWidth="1"/>
    <col min="6" max="6" width="9.7109375" style="713" bestFit="1" customWidth="1"/>
    <col min="7" max="7" width="10" style="713" customWidth="1"/>
    <col min="8" max="8" width="10.42578125" style="713" customWidth="1"/>
    <col min="9" max="10" width="10.7109375" style="713" customWidth="1"/>
    <col min="11" max="11" width="11.85546875" style="713" customWidth="1"/>
    <col min="12" max="12" width="11.5703125" style="713" customWidth="1"/>
    <col min="13" max="13" width="11.28515625" style="713" customWidth="1"/>
    <col min="14" max="14" width="12.140625" style="713" customWidth="1"/>
    <col min="15" max="15" width="13.28515625" style="713" customWidth="1"/>
    <col min="16" max="16" width="17.42578125" style="713" customWidth="1"/>
    <col min="17" max="17" width="12" style="713" bestFit="1" customWidth="1"/>
    <col min="18" max="26" width="12" style="1161" customWidth="1"/>
    <col min="27" max="27" width="8.7109375" style="713" bestFit="1" customWidth="1"/>
    <col min="28" max="28" width="8.5703125" style="713" bestFit="1" customWidth="1"/>
    <col min="29" max="29" width="15" style="713" customWidth="1"/>
    <col min="30" max="30" width="8.140625" style="713" customWidth="1"/>
    <col min="31" max="31" width="9" style="713" bestFit="1" customWidth="1"/>
    <col min="32" max="32" width="12.42578125" style="713" customWidth="1"/>
    <col min="33" max="33" width="17.28515625" style="713" customWidth="1"/>
    <col min="34" max="34" width="10" style="713" customWidth="1"/>
    <col min="35" max="35" width="17.28515625" style="713" customWidth="1"/>
    <col min="36" max="36" width="8.85546875" style="713"/>
    <col min="37" max="37" width="12" style="713" bestFit="1" customWidth="1"/>
    <col min="38" max="38" width="16.42578125" style="713" bestFit="1" customWidth="1"/>
    <col min="39" max="39" width="12" style="713" bestFit="1" customWidth="1"/>
    <col min="40" max="40" width="16.42578125" style="713" bestFit="1" customWidth="1"/>
    <col min="41" max="41" width="23.140625" style="713" bestFit="1" customWidth="1"/>
    <col min="42" max="42" width="10.5703125" style="713" bestFit="1" customWidth="1"/>
    <col min="43" max="43" width="19.42578125" style="713" bestFit="1" customWidth="1"/>
    <col min="44" max="44" width="20" style="713" bestFit="1" customWidth="1"/>
    <col min="45" max="45" width="11.7109375" style="713" customWidth="1"/>
    <col min="46" max="46" width="8.85546875" style="713"/>
    <col min="47" max="47" width="49.140625" style="713" bestFit="1" customWidth="1"/>
    <col min="48" max="48" width="8.85546875" style="713"/>
    <col min="49" max="49" width="19.5703125" style="713" bestFit="1" customWidth="1"/>
    <col min="50" max="50" width="15.42578125" style="713" bestFit="1" customWidth="1"/>
    <col min="51" max="51" width="18.7109375" style="713" bestFit="1" customWidth="1"/>
    <col min="52" max="52" width="8.85546875" style="713"/>
    <col min="53" max="53" width="18.28515625" style="713" bestFit="1" customWidth="1"/>
    <col min="54" max="59" width="8.85546875" style="713"/>
    <col min="60" max="60" width="9.5703125" style="713" bestFit="1" customWidth="1"/>
    <col min="61" max="61" width="8.85546875" style="713"/>
    <col min="62" max="62" width="31.5703125" style="713" bestFit="1" customWidth="1"/>
    <col min="63" max="63" width="24.28515625" style="713" bestFit="1" customWidth="1"/>
    <col min="64" max="64" width="33.42578125" style="713" bestFit="1" customWidth="1"/>
    <col min="65" max="66" width="34.5703125" style="713" bestFit="1" customWidth="1"/>
    <col min="67" max="67" width="33.85546875" style="713" bestFit="1" customWidth="1"/>
    <col min="68" max="16384" width="8.85546875" style="713"/>
  </cols>
  <sheetData>
    <row r="1" spans="1:67">
      <c r="H1" s="1016" t="s">
        <v>1039</v>
      </c>
      <c r="I1" s="1016"/>
      <c r="J1" s="682" t="s">
        <v>1040</v>
      </c>
      <c r="L1" s="713">
        <v>2025</v>
      </c>
      <c r="M1" s="426">
        <v>0.9</v>
      </c>
    </row>
    <row r="2" spans="1:67">
      <c r="H2" s="106">
        <v>0.2</v>
      </c>
      <c r="J2" s="106"/>
      <c r="L2" s="713">
        <v>2020</v>
      </c>
      <c r="M2" s="426">
        <v>0.1</v>
      </c>
    </row>
    <row r="3" spans="1:67">
      <c r="E3" s="677"/>
      <c r="F3" s="680" t="s">
        <v>1807</v>
      </c>
      <c r="G3" s="680"/>
      <c r="H3" s="680"/>
      <c r="I3" s="680"/>
      <c r="J3" s="680"/>
      <c r="K3" s="680"/>
      <c r="M3" s="680"/>
      <c r="N3" s="680"/>
      <c r="O3" s="680"/>
      <c r="P3" s="680"/>
      <c r="Q3" s="680"/>
      <c r="R3" s="680"/>
      <c r="S3" s="680"/>
      <c r="T3" s="680"/>
      <c r="U3" s="680"/>
      <c r="V3" s="680"/>
      <c r="W3" s="680"/>
      <c r="X3" s="680"/>
      <c r="Y3" s="680"/>
      <c r="Z3" s="755"/>
      <c r="AC3" s="1161"/>
      <c r="AE3" s="681"/>
      <c r="AF3" s="681"/>
      <c r="BJ3" s="682" t="s">
        <v>1041</v>
      </c>
      <c r="BK3" s="682"/>
    </row>
    <row r="4" spans="1:67" ht="25.5">
      <c r="B4" s="757" t="s">
        <v>1</v>
      </c>
      <c r="C4" s="757" t="s">
        <v>2</v>
      </c>
      <c r="D4" s="757" t="s">
        <v>26</v>
      </c>
      <c r="E4" s="757" t="s">
        <v>14</v>
      </c>
      <c r="F4" s="757" t="s">
        <v>15</v>
      </c>
      <c r="G4" s="1017" t="s">
        <v>1042</v>
      </c>
      <c r="H4" s="1017" t="s">
        <v>906</v>
      </c>
      <c r="I4" s="1018" t="s">
        <v>155</v>
      </c>
      <c r="J4" s="1019" t="s">
        <v>157</v>
      </c>
      <c r="K4" s="1017" t="s">
        <v>820</v>
      </c>
      <c r="L4" s="757" t="s">
        <v>601</v>
      </c>
      <c r="M4" s="710" t="s">
        <v>0</v>
      </c>
      <c r="N4" s="710" t="s">
        <v>55</v>
      </c>
      <c r="O4" s="1018" t="s">
        <v>907</v>
      </c>
      <c r="P4" s="1018" t="s">
        <v>908</v>
      </c>
      <c r="Q4" s="1018" t="s">
        <v>909</v>
      </c>
      <c r="R4" s="1018" t="s">
        <v>910</v>
      </c>
      <c r="S4" s="1018" t="s">
        <v>911</v>
      </c>
      <c r="T4" s="1018" t="s">
        <v>912</v>
      </c>
      <c r="U4" s="1018" t="s">
        <v>913</v>
      </c>
      <c r="V4" s="1018" t="s">
        <v>914</v>
      </c>
      <c r="W4" s="1018" t="s">
        <v>915</v>
      </c>
      <c r="X4" s="713"/>
      <c r="AC4" s="1161"/>
      <c r="AD4" s="170"/>
      <c r="AE4" s="170"/>
      <c r="AF4" s="1020" t="s">
        <v>1043</v>
      </c>
      <c r="AG4" s="1021" t="s">
        <v>1044</v>
      </c>
      <c r="AH4" s="1022" t="s">
        <v>1043</v>
      </c>
      <c r="AI4" s="1021" t="s">
        <v>1044</v>
      </c>
      <c r="BD4" s="1023"/>
      <c r="BE4" s="1023"/>
      <c r="BF4" s="1023"/>
      <c r="BG4" s="1023"/>
    </row>
    <row r="5" spans="1:67" ht="34.5" thickBot="1">
      <c r="B5" s="716" t="s">
        <v>27</v>
      </c>
      <c r="C5" s="716"/>
      <c r="D5" s="716"/>
      <c r="E5" s="716"/>
      <c r="F5" s="716"/>
      <c r="G5" s="716"/>
      <c r="H5" s="716" t="s">
        <v>505</v>
      </c>
      <c r="I5" s="716" t="str">
        <f>Processes!G6</f>
        <v>kvehicles</v>
      </c>
      <c r="J5" s="716" t="s">
        <v>1045</v>
      </c>
      <c r="K5" s="716" t="s">
        <v>499</v>
      </c>
      <c r="L5" s="716" t="s">
        <v>77</v>
      </c>
      <c r="M5" s="716"/>
      <c r="N5" s="716" t="s">
        <v>56</v>
      </c>
      <c r="O5" s="716"/>
      <c r="P5" s="716" t="s">
        <v>148</v>
      </c>
      <c r="Q5" s="716" t="s">
        <v>148</v>
      </c>
      <c r="R5" s="716" t="s">
        <v>148</v>
      </c>
      <c r="S5" s="716" t="s">
        <v>148</v>
      </c>
      <c r="T5" s="716" t="s">
        <v>148</v>
      </c>
      <c r="U5" s="716" t="s">
        <v>148</v>
      </c>
      <c r="V5" s="716" t="s">
        <v>148</v>
      </c>
      <c r="W5" s="716" t="s">
        <v>148</v>
      </c>
      <c r="X5" s="713"/>
      <c r="AC5" s="1161"/>
      <c r="AD5" s="170"/>
      <c r="AE5" s="170"/>
      <c r="AF5" s="1024" t="s">
        <v>145</v>
      </c>
      <c r="AG5" s="1024" t="s">
        <v>145</v>
      </c>
      <c r="AH5" s="1025" t="s">
        <v>146</v>
      </c>
      <c r="AI5" s="1024" t="s">
        <v>146</v>
      </c>
      <c r="AK5" s="682" t="s">
        <v>1046</v>
      </c>
      <c r="AL5" s="682" t="s">
        <v>1047</v>
      </c>
      <c r="AP5" s="1026" t="s">
        <v>1048</v>
      </c>
      <c r="AQ5" s="1027"/>
      <c r="AR5" s="1028" t="s">
        <v>982</v>
      </c>
      <c r="AS5" s="1027"/>
      <c r="AT5" s="1027"/>
      <c r="AU5" s="1027"/>
      <c r="AV5" s="1027"/>
      <c r="AW5" s="1029"/>
      <c r="BA5" s="1030"/>
      <c r="BB5" s="1023"/>
      <c r="BC5" s="1023"/>
      <c r="BD5" s="682"/>
      <c r="BE5" s="1023"/>
      <c r="BF5" s="682"/>
      <c r="BG5" s="1023"/>
      <c r="BH5" s="1023"/>
      <c r="BI5" s="1023"/>
      <c r="BJ5" s="1023"/>
      <c r="BK5" s="1023"/>
    </row>
    <row r="6" spans="1:67" ht="15">
      <c r="B6" s="681" t="s">
        <v>145</v>
      </c>
      <c r="C6" s="713" t="e">
        <f>Processes!#REF!</f>
        <v>#REF!</v>
      </c>
      <c r="D6" s="1161" t="e">
        <f>Processes!#REF!</f>
        <v>#REF!</v>
      </c>
      <c r="E6" s="713" t="str">
        <f>Commodities!D70</f>
        <v>TRADSBL1</v>
      </c>
      <c r="F6" s="713" t="e">
        <f>Commodities!#REF!</f>
        <v>#REF!</v>
      </c>
      <c r="G6" s="1031">
        <v>0.34</v>
      </c>
      <c r="H6" s="713">
        <v>5</v>
      </c>
      <c r="I6" s="1033">
        <f>AX9*0.97/1000</f>
        <v>205.21222999999998</v>
      </c>
      <c r="J6" s="1034">
        <v>0.46</v>
      </c>
      <c r="K6" s="1032">
        <f>1/$BS$62*10^3*$AB$24</f>
        <v>203.58779421054243</v>
      </c>
      <c r="L6" s="1034">
        <v>17400</v>
      </c>
      <c r="M6" s="720">
        <f>10^-3</f>
        <v>1E-3</v>
      </c>
      <c r="N6" s="239">
        <v>50</v>
      </c>
      <c r="O6" s="1033">
        <v>210.0820358721453</v>
      </c>
      <c r="P6" s="1033">
        <v>205.57281525762912</v>
      </c>
      <c r="Q6" s="1033">
        <v>146.2662889535828</v>
      </c>
      <c r="R6" s="1033">
        <v>86.905977402904441</v>
      </c>
      <c r="S6" s="1033">
        <v>39.089548515828398</v>
      </c>
      <c r="T6" s="1033">
        <v>11.776503855286032</v>
      </c>
      <c r="U6" s="1033">
        <v>11.776503855286032</v>
      </c>
      <c r="V6" s="1033">
        <v>0.17883594505163281</v>
      </c>
      <c r="W6" s="1033">
        <v>6.2749454404081688E-3</v>
      </c>
      <c r="X6" s="713"/>
      <c r="AC6" s="1161"/>
      <c r="AD6" s="1035"/>
      <c r="AE6" s="726" t="s">
        <v>223</v>
      </c>
      <c r="AF6" s="1035"/>
      <c r="AG6" s="1036">
        <f>I6*M6*L6*J6*G6+M8*L8*J8*I8*G8</f>
        <v>623.97025288079999</v>
      </c>
      <c r="AH6" s="1035"/>
      <c r="AI6" s="1037">
        <f>I13*M6*L13*J13*G13+M8*L15*J15*I15*G15</f>
        <v>639.33055401599995</v>
      </c>
      <c r="AK6" s="1038">
        <f>SUM(F32,F41,F49)/1000</f>
        <v>31.247</v>
      </c>
      <c r="AL6" s="1039">
        <f>1/SUMPRODUCT(K6:K7,G6:G7)*I6*L6*M6+1/SUMPRODUCT(K6:K7,G13:G14)*I13*L13*M6</f>
        <v>28.43053170167849</v>
      </c>
      <c r="AM6" s="1040">
        <f>(AK6-AL6)/AK6</f>
        <v>9.0135638567590812E-2</v>
      </c>
      <c r="AP6" s="216"/>
      <c r="AQ6" s="217"/>
      <c r="AR6" s="217"/>
      <c r="AS6" s="217"/>
      <c r="AT6" s="217"/>
      <c r="AU6" s="217"/>
      <c r="AV6" s="217"/>
      <c r="AW6" s="218"/>
      <c r="BA6" s="1030"/>
      <c r="BB6" s="1023"/>
      <c r="BD6" s="1023"/>
      <c r="BE6" s="1023"/>
      <c r="BF6" s="1041"/>
      <c r="BG6" s="1023"/>
      <c r="BH6" s="1023"/>
      <c r="BI6" s="1023"/>
      <c r="BJ6" s="1023"/>
      <c r="BK6" s="1023"/>
    </row>
    <row r="7" spans="1:67" ht="15">
      <c r="D7" s="1161"/>
      <c r="F7" s="1161" t="e">
        <f>Commodities!#REF!</f>
        <v>#REF!</v>
      </c>
      <c r="G7" s="1031">
        <v>0.66</v>
      </c>
      <c r="H7" s="713">
        <v>5</v>
      </c>
      <c r="I7" s="1033"/>
      <c r="J7" s="1042"/>
      <c r="K7" s="1032">
        <f>1/$BS$62*10^3*$AB$25</f>
        <v>309.63923073846757</v>
      </c>
      <c r="L7" s="1034"/>
      <c r="M7" s="720"/>
      <c r="N7" s="239"/>
      <c r="O7" s="1033"/>
      <c r="P7" s="1033"/>
      <c r="Q7" s="1033"/>
      <c r="R7" s="1033"/>
      <c r="S7" s="1033"/>
      <c r="T7" s="1033"/>
      <c r="U7" s="1033"/>
      <c r="V7" s="1033"/>
      <c r="W7" s="1033"/>
      <c r="X7" s="713"/>
      <c r="AC7" s="1161"/>
      <c r="AE7" s="726" t="s">
        <v>82</v>
      </c>
      <c r="AF7" s="1035"/>
      <c r="AG7" s="1036">
        <f>I6*M6*L6*J6*G7+M8*L8*J8*I8*G9</f>
        <v>1211.2363732392</v>
      </c>
      <c r="AH7" s="1035"/>
      <c r="AI7" s="1037">
        <f>I13*M6*L13*J13*G14+M8*L15*J15*I15*G16</f>
        <v>1241.053428384</v>
      </c>
      <c r="AK7" s="1038"/>
      <c r="AL7" s="1039"/>
      <c r="AM7" s="1038"/>
      <c r="AP7" s="216"/>
      <c r="AQ7" s="217"/>
      <c r="AR7" s="217"/>
      <c r="AS7" s="217"/>
      <c r="AT7" s="217"/>
      <c r="AU7" s="217"/>
      <c r="AV7" s="217"/>
      <c r="AW7" s="218"/>
      <c r="BA7" s="1030"/>
      <c r="BB7" s="1023"/>
      <c r="BD7" s="1023"/>
      <c r="BE7" s="1023"/>
      <c r="BF7" s="1023"/>
      <c r="BG7" s="1023"/>
      <c r="BH7" s="1023"/>
      <c r="BI7" s="1023"/>
      <c r="BJ7" s="1023"/>
      <c r="BK7" s="1023"/>
    </row>
    <row r="8" spans="1:67" s="714" customFormat="1" ht="15">
      <c r="A8" s="679"/>
      <c r="B8" s="679" t="s">
        <v>145</v>
      </c>
      <c r="C8" s="713" t="e">
        <f>Processes!#REF!</f>
        <v>#REF!</v>
      </c>
      <c r="D8" s="1161" t="e">
        <f>Processes!#REF!</f>
        <v>#REF!</v>
      </c>
      <c r="E8" s="713" t="str">
        <f>Commodities!D75</f>
        <v>TRAGSBL1</v>
      </c>
      <c r="F8" s="1161" t="e">
        <f>Commodities!#REF!</f>
        <v>#REF!</v>
      </c>
      <c r="G8" s="1031">
        <v>0.34</v>
      </c>
      <c r="H8" s="713">
        <v>5</v>
      </c>
      <c r="I8" s="1033">
        <f>AX9*0.03/1000</f>
        <v>6.3467699999999994</v>
      </c>
      <c r="J8" s="1034">
        <v>0.46</v>
      </c>
      <c r="K8" s="1032">
        <f>1/$BR$61*10^3</f>
        <v>238.61158256575914</v>
      </c>
      <c r="L8" s="1034">
        <v>66000</v>
      </c>
      <c r="M8" s="720">
        <f>10^-3</f>
        <v>1E-3</v>
      </c>
      <c r="N8" s="239">
        <v>50</v>
      </c>
      <c r="O8" s="1033">
        <v>6.4973825527467621</v>
      </c>
      <c r="P8" s="1033">
        <v>6.3579221213699721</v>
      </c>
      <c r="Q8" s="1033">
        <v>4.5236996583582307</v>
      </c>
      <c r="R8" s="1033">
        <v>2.6878137341104469</v>
      </c>
      <c r="S8" s="1033">
        <v>1.2089551087369608</v>
      </c>
      <c r="T8" s="1033">
        <v>0.36422176872018658</v>
      </c>
      <c r="U8" s="1033">
        <v>0.36422176872018658</v>
      </c>
      <c r="V8" s="1033">
        <v>5.5310086098443144E-3</v>
      </c>
      <c r="W8" s="1033">
        <v>1.9407047753839697E-4</v>
      </c>
      <c r="AD8" s="1035"/>
      <c r="AE8" s="1035"/>
      <c r="AF8" s="1035"/>
      <c r="AG8" s="1035"/>
      <c r="AI8" s="1035"/>
      <c r="AK8" s="1043">
        <f>SUM(F31,F40)/1000</f>
        <v>3.7749999999999999</v>
      </c>
      <c r="AL8" s="1039">
        <f>1/SUMPRODUCT(K8:K9,G8:G9)*I8*L8*M8+1/SUMPRODUCT(K8:K9,G15:G16)*I15*L15*M8</f>
        <v>3.824060719049684</v>
      </c>
      <c r="AM8" s="1040">
        <f>(AK8-AL8)/AK8</f>
        <v>-1.2996216966803741E-2</v>
      </c>
      <c r="AP8" s="1044"/>
      <c r="AQ8" s="1045"/>
      <c r="AR8" s="1046" t="s">
        <v>497</v>
      </c>
      <c r="AS8" s="1046" t="s">
        <v>149</v>
      </c>
      <c r="AT8" s="1046" t="s">
        <v>150</v>
      </c>
      <c r="AU8" s="1046" t="s">
        <v>151</v>
      </c>
      <c r="AV8" s="1046" t="s">
        <v>152</v>
      </c>
      <c r="AW8" s="1046" t="s">
        <v>153</v>
      </c>
      <c r="AX8" s="1047" t="s">
        <v>145</v>
      </c>
      <c r="AY8" s="1047" t="s">
        <v>146</v>
      </c>
      <c r="BA8" s="713"/>
      <c r="BB8" s="713"/>
      <c r="BC8" s="713"/>
      <c r="BD8" s="713"/>
      <c r="BE8" s="713"/>
      <c r="BF8" s="713"/>
      <c r="BG8" s="713"/>
      <c r="BH8" s="713"/>
      <c r="BI8" s="713"/>
      <c r="BJ8" s="713"/>
      <c r="BK8" s="713"/>
    </row>
    <row r="9" spans="1:67" s="714" customFormat="1" ht="15">
      <c r="A9" s="679"/>
      <c r="B9" s="679"/>
      <c r="C9" s="713"/>
      <c r="D9" s="1161"/>
      <c r="E9" s="22"/>
      <c r="F9" s="1161" t="e">
        <f>Commodities!#REF!</f>
        <v>#REF!</v>
      </c>
      <c r="G9" s="1048">
        <v>0.66</v>
      </c>
      <c r="H9" s="22">
        <v>5</v>
      </c>
      <c r="I9" s="1050"/>
      <c r="J9" s="1051"/>
      <c r="K9" s="1049">
        <f>K8</f>
        <v>238.61158256575914</v>
      </c>
      <c r="L9" s="1052"/>
      <c r="M9" s="238"/>
      <c r="N9" s="1053"/>
      <c r="O9" s="1050"/>
      <c r="P9" s="1050"/>
      <c r="Q9" s="1050"/>
      <c r="R9" s="1050"/>
      <c r="S9" s="1050"/>
      <c r="T9" s="1050"/>
      <c r="U9" s="1050"/>
      <c r="V9" s="1050"/>
      <c r="W9" s="1050"/>
      <c r="AD9" s="713"/>
      <c r="AE9" s="713"/>
      <c r="AF9" s="713"/>
      <c r="AG9" s="1036"/>
      <c r="AI9" s="1036"/>
      <c r="AK9" s="1043"/>
      <c r="AL9" s="1039"/>
      <c r="AM9" s="1038"/>
      <c r="AP9" s="1054" t="s">
        <v>486</v>
      </c>
      <c r="AQ9" s="1055" t="s">
        <v>1049</v>
      </c>
      <c r="AR9" s="1056">
        <v>462359</v>
      </c>
      <c r="AS9" s="1056">
        <v>141125</v>
      </c>
      <c r="AT9" s="1056">
        <v>70434</v>
      </c>
      <c r="AU9" s="1056">
        <v>91189</v>
      </c>
      <c r="AV9" s="1056">
        <v>106818</v>
      </c>
      <c r="AW9" s="1056">
        <v>51275</v>
      </c>
      <c r="AX9" s="714">
        <f>AS9+AT9</f>
        <v>211559</v>
      </c>
      <c r="AY9" s="714">
        <f>AU9+AV9+AW9</f>
        <v>249282</v>
      </c>
      <c r="BA9" s="713"/>
      <c r="BB9" s="713"/>
      <c r="BC9" s="713"/>
      <c r="BD9" s="713"/>
      <c r="BE9" s="713"/>
      <c r="BF9" s="713"/>
      <c r="BG9" s="713"/>
      <c r="BH9" s="713"/>
      <c r="BI9" s="713"/>
      <c r="BJ9" s="713"/>
      <c r="BK9" s="713"/>
    </row>
    <row r="10" spans="1:67" ht="15">
      <c r="B10" s="679" t="s">
        <v>145</v>
      </c>
      <c r="C10" s="700" t="e">
        <f>Processes!#REF!</f>
        <v>#REF!</v>
      </c>
      <c r="D10" s="700" t="e">
        <f>Processes!#REF!</f>
        <v>#REF!</v>
      </c>
      <c r="E10" s="713" t="str">
        <f>Commodities!D70</f>
        <v>TRADSBL1</v>
      </c>
      <c r="F10" s="1161" t="e">
        <f>Commodities!#REF!</f>
        <v>#REF!</v>
      </c>
      <c r="G10" s="1031">
        <v>6.2E-2</v>
      </c>
      <c r="H10" s="679">
        <v>5</v>
      </c>
      <c r="I10" s="1033">
        <f>AX17/1000</f>
        <v>14.061</v>
      </c>
      <c r="J10" s="727">
        <v>11.19</v>
      </c>
      <c r="K10" s="1032">
        <f>1/$BR$77*10^3</f>
        <v>97.507594893774183</v>
      </c>
      <c r="L10" s="727">
        <v>62850</v>
      </c>
      <c r="M10" s="723">
        <f>10^-3</f>
        <v>1E-3</v>
      </c>
      <c r="N10" s="724">
        <v>6</v>
      </c>
      <c r="O10" s="1033">
        <v>14.061</v>
      </c>
      <c r="P10" s="1033">
        <v>14.061</v>
      </c>
      <c r="Q10" s="1033">
        <v>12.6549</v>
      </c>
      <c r="R10" s="1033">
        <v>1.4060999999999997</v>
      </c>
      <c r="S10" s="1033"/>
      <c r="T10" s="1033"/>
      <c r="U10" s="1033"/>
      <c r="V10" s="1033"/>
      <c r="W10" s="1033"/>
      <c r="X10" s="713"/>
      <c r="AC10" s="1161"/>
      <c r="AD10" s="1035"/>
      <c r="AE10" s="700" t="e">
        <f>Commodities!#REF!</f>
        <v>#REF!</v>
      </c>
      <c r="AF10" s="1035"/>
      <c r="AG10" s="1036">
        <f>M10*L10*J10*I10*G10</f>
        <v>613.11687045299993</v>
      </c>
      <c r="AH10" s="1035"/>
      <c r="AI10" s="1036">
        <f>M10*L17*J17*I17*G17</f>
        <v>613.03702706999991</v>
      </c>
      <c r="AK10" s="1038">
        <f>SUM(F37,F46,F53)</f>
        <v>0</v>
      </c>
      <c r="AL10" s="1039"/>
      <c r="AM10" s="1038"/>
      <c r="AP10" s="1044"/>
      <c r="AQ10" s="1055" t="s">
        <v>1050</v>
      </c>
      <c r="AR10" s="1056">
        <v>87800</v>
      </c>
      <c r="AS10" s="1056">
        <v>20010</v>
      </c>
      <c r="AT10" s="1056">
        <v>18570</v>
      </c>
      <c r="AU10" s="1056">
        <v>19468</v>
      </c>
      <c r="AV10" s="1056">
        <v>19862</v>
      </c>
      <c r="AW10" s="1056">
        <v>9668</v>
      </c>
      <c r="BA10" s="1023"/>
      <c r="BB10" s="1023"/>
      <c r="BC10" s="1023"/>
      <c r="BD10" s="1023"/>
      <c r="BE10" s="1023"/>
      <c r="BF10" s="1023"/>
      <c r="BG10" s="1030"/>
      <c r="BH10" s="1030"/>
      <c r="BI10" s="1030"/>
      <c r="BJ10" s="1030"/>
      <c r="BK10" s="1030"/>
    </row>
    <row r="11" spans="1:67" ht="15">
      <c r="C11" s="714"/>
      <c r="D11" s="714"/>
      <c r="F11" s="1161" t="e">
        <f>Commodities!#REF!</f>
        <v>#REF!</v>
      </c>
      <c r="G11" s="1031">
        <v>0.44500000000000001</v>
      </c>
      <c r="H11" s="679">
        <v>5</v>
      </c>
      <c r="I11" s="1057"/>
      <c r="J11" s="1058"/>
      <c r="K11" s="1032">
        <f>K10</f>
        <v>97.507594893774183</v>
      </c>
      <c r="L11" s="727"/>
      <c r="M11" s="723"/>
      <c r="N11" s="724"/>
      <c r="O11" s="1057"/>
      <c r="P11" s="1057"/>
      <c r="Q11" s="1057"/>
      <c r="R11" s="1057"/>
      <c r="S11" s="1057"/>
      <c r="T11" s="1057"/>
      <c r="U11" s="1057"/>
      <c r="V11" s="1057"/>
      <c r="W11" s="1057"/>
      <c r="X11" s="713"/>
      <c r="AC11" s="1161"/>
      <c r="AE11" s="714" t="e">
        <f>Commodities!#REF!</f>
        <v>#REF!</v>
      </c>
      <c r="AF11" s="1035"/>
      <c r="AG11" s="1036">
        <f>M10*L10*J10*I10*G11</f>
        <v>4400.5968927674994</v>
      </c>
      <c r="AH11" s="1035"/>
      <c r="AI11" s="1036">
        <f>M10*L17*J17*I17*G18</f>
        <v>4400.0238233249993</v>
      </c>
      <c r="AK11" s="1038"/>
      <c r="AL11" s="1039"/>
      <c r="AM11" s="1038"/>
      <c r="AP11" s="1044"/>
      <c r="AQ11" s="1055" t="s">
        <v>1051</v>
      </c>
      <c r="AR11" s="1056">
        <v>79190</v>
      </c>
      <c r="AS11" s="1056">
        <v>14487</v>
      </c>
      <c r="AT11" s="1056">
        <v>12957</v>
      </c>
      <c r="AU11" s="1056">
        <v>18908</v>
      </c>
      <c r="AV11" s="1056">
        <v>21177</v>
      </c>
      <c r="AW11" s="1056">
        <v>11438</v>
      </c>
      <c r="BA11" s="1030"/>
      <c r="BB11" s="1030"/>
      <c r="BC11" s="1030"/>
      <c r="BD11" s="1030"/>
      <c r="BE11" s="1030"/>
      <c r="BF11" s="1030"/>
      <c r="BG11" s="1059"/>
      <c r="BH11" s="1059"/>
      <c r="BI11" s="1059"/>
      <c r="BJ11" s="1059"/>
      <c r="BK11" s="1059"/>
      <c r="BM11" s="682"/>
      <c r="BN11" s="682"/>
      <c r="BO11" s="682"/>
    </row>
    <row r="12" spans="1:67" ht="15.75" thickBot="1">
      <c r="B12" s="1060"/>
      <c r="C12" s="1061"/>
      <c r="D12" s="1061"/>
      <c r="E12" s="1061"/>
      <c r="F12" s="1161" t="e">
        <f>Commodities!#REF!</f>
        <v>#REF!</v>
      </c>
      <c r="G12" s="1062">
        <f>1-G11-G10</f>
        <v>0.49299999999999994</v>
      </c>
      <c r="H12" s="1060">
        <v>5</v>
      </c>
      <c r="I12" s="1064"/>
      <c r="J12" s="1065"/>
      <c r="K12" s="1063">
        <f>K11</f>
        <v>97.507594893774183</v>
      </c>
      <c r="L12" s="1066"/>
      <c r="M12" s="1067"/>
      <c r="N12" s="1068"/>
      <c r="O12" s="1064"/>
      <c r="P12" s="1064"/>
      <c r="Q12" s="1064"/>
      <c r="R12" s="1064"/>
      <c r="S12" s="1064"/>
      <c r="T12" s="1064"/>
      <c r="U12" s="1064"/>
      <c r="V12" s="1064"/>
      <c r="W12" s="1064"/>
      <c r="X12" s="713"/>
      <c r="AC12" s="1161"/>
      <c r="AD12" s="1035"/>
      <c r="AE12" s="22" t="e">
        <f>Commodities!#REF!</f>
        <v>#REF!</v>
      </c>
      <c r="AF12" s="1035"/>
      <c r="AG12" s="1036">
        <f>M10*L10*J10*I10*G12</f>
        <v>4875.2680182794984</v>
      </c>
      <c r="AH12" s="1035"/>
      <c r="AI12" s="1036">
        <f>M10*L17*J17*I17*G19</f>
        <v>4874.6331346049983</v>
      </c>
      <c r="AK12" s="1038">
        <f>F56/1000</f>
        <v>22.966000000000001</v>
      </c>
      <c r="AL12" s="1039">
        <f>1/SUMPRODUCT(K10:K12,G10:G12)*I10*L10*M10+1/SUMPRODUCT(K10:K12,G17:G19)*I17*L17*M10</f>
        <v>20.71890299623206</v>
      </c>
      <c r="AM12" s="1040">
        <f>(AK12-AL12)/AK12</f>
        <v>9.7844509438645852E-2</v>
      </c>
      <c r="AP12" s="1044"/>
      <c r="AQ12" s="1055" t="s">
        <v>1052</v>
      </c>
      <c r="AR12" s="1056">
        <v>30739</v>
      </c>
      <c r="AS12" s="1056">
        <v>5831</v>
      </c>
      <c r="AT12" s="1056">
        <v>6561</v>
      </c>
      <c r="AU12" s="1056">
        <v>7110</v>
      </c>
      <c r="AV12" s="1056">
        <v>7603</v>
      </c>
      <c r="AW12" s="1056">
        <v>3576</v>
      </c>
      <c r="BA12" s="1023"/>
      <c r="BB12" s="1023"/>
      <c r="BH12" s="1059"/>
      <c r="BI12" s="1059"/>
      <c r="BJ12" s="1059"/>
      <c r="BK12" s="1059"/>
      <c r="BM12" s="682"/>
    </row>
    <row r="13" spans="1:67" ht="15">
      <c r="B13" s="681" t="s">
        <v>146</v>
      </c>
      <c r="C13" s="713" t="e">
        <f>Processes!#REF!</f>
        <v>#REF!</v>
      </c>
      <c r="D13" s="1161" t="e">
        <f>Processes!#REF!</f>
        <v>#REF!</v>
      </c>
      <c r="E13" s="713" t="str">
        <f>Commodities!D70</f>
        <v>TRADSBL1</v>
      </c>
      <c r="F13" s="1161" t="e">
        <f>Commodities!#REF!</f>
        <v>#REF!</v>
      </c>
      <c r="G13" s="1031">
        <v>0.34</v>
      </c>
      <c r="H13" s="713">
        <v>5</v>
      </c>
      <c r="I13" s="1033">
        <f>AY9*0.97/1000</f>
        <v>241.80353999999997</v>
      </c>
      <c r="J13" s="1034">
        <v>0.4</v>
      </c>
      <c r="K13" s="1032">
        <f>1/$BS$62*10^3*$AB$24</f>
        <v>203.58779421054243</v>
      </c>
      <c r="L13" s="1034">
        <v>17400</v>
      </c>
      <c r="M13" s="720">
        <f>10^-3</f>
        <v>1E-3</v>
      </c>
      <c r="N13" s="239">
        <v>50</v>
      </c>
      <c r="O13" s="1033">
        <v>252.8496147447525</v>
      </c>
      <c r="P13" s="1033">
        <v>248.88911666860523</v>
      </c>
      <c r="Q13" s="1033">
        <v>177.08606591231859</v>
      </c>
      <c r="R13" s="1033">
        <v>105.21810911021274</v>
      </c>
      <c r="S13" s="1033">
        <v>47.326341651625377</v>
      </c>
      <c r="T13" s="1033">
        <v>14.257940587870454</v>
      </c>
      <c r="U13" s="1033">
        <v>14.257940587870454</v>
      </c>
      <c r="V13" s="1033">
        <v>0.21659934229844757</v>
      </c>
      <c r="W13" s="1033">
        <v>7.6215432590827177E-3</v>
      </c>
      <c r="X13" s="713"/>
      <c r="AC13" s="1161"/>
      <c r="AD13" s="1035"/>
      <c r="AE13" s="1035"/>
      <c r="AF13" s="1035"/>
      <c r="AG13" s="1035"/>
      <c r="AH13" s="1035"/>
      <c r="AI13" s="1035"/>
      <c r="AP13" s="1044"/>
      <c r="AQ13" s="1055" t="s">
        <v>1053</v>
      </c>
      <c r="AR13" s="1056">
        <v>260605</v>
      </c>
      <c r="AS13" s="1056">
        <v>85658</v>
      </c>
      <c r="AT13" s="1056">
        <v>39676</v>
      </c>
      <c r="AU13" s="1056">
        <v>49000</v>
      </c>
      <c r="AV13" s="1056">
        <v>58568</v>
      </c>
      <c r="AW13" s="1056">
        <v>26726</v>
      </c>
      <c r="BA13" s="1023"/>
      <c r="BB13" s="1023"/>
      <c r="BH13" s="1059"/>
      <c r="BI13" s="1059"/>
      <c r="BJ13" s="1059"/>
      <c r="BK13" s="1059"/>
      <c r="BM13" s="682"/>
    </row>
    <row r="14" spans="1:67" ht="15">
      <c r="D14" s="1161"/>
      <c r="F14" s="1161" t="e">
        <f>Commodities!#REF!</f>
        <v>#REF!</v>
      </c>
      <c r="G14" s="1031">
        <v>0.66</v>
      </c>
      <c r="H14" s="713">
        <v>5</v>
      </c>
      <c r="I14" s="1033"/>
      <c r="J14" s="1042"/>
      <c r="K14" s="1032">
        <f>1/$BS$62*10^3*$AB$25</f>
        <v>309.63923073846757</v>
      </c>
      <c r="L14" s="1034"/>
      <c r="M14" s="720"/>
      <c r="N14" s="239"/>
      <c r="O14" s="1033"/>
      <c r="P14" s="1033"/>
      <c r="Q14" s="1033"/>
      <c r="R14" s="1033"/>
      <c r="S14" s="1033"/>
      <c r="T14" s="1033"/>
      <c r="U14" s="1033"/>
      <c r="V14" s="1033"/>
      <c r="W14" s="1033"/>
      <c r="X14" s="713"/>
      <c r="AC14" s="1161"/>
      <c r="AF14" s="715"/>
      <c r="AH14" s="715"/>
      <c r="AN14" s="1161"/>
      <c r="AO14" s="1161"/>
      <c r="AP14" s="1044"/>
      <c r="AQ14" s="1055" t="s">
        <v>1054</v>
      </c>
      <c r="AR14" s="1056">
        <v>51665</v>
      </c>
      <c r="AS14" s="1056">
        <v>12632</v>
      </c>
      <c r="AT14" s="1056">
        <v>10795</v>
      </c>
      <c r="AU14" s="1056">
        <v>11287</v>
      </c>
      <c r="AV14" s="1056">
        <v>11234</v>
      </c>
      <c r="AW14" s="1056">
        <v>5572</v>
      </c>
      <c r="BA14" s="1023"/>
      <c r="BB14" s="1023"/>
      <c r="BH14" s="1059"/>
      <c r="BI14" s="1059"/>
      <c r="BJ14" s="1059"/>
      <c r="BK14" s="1059"/>
    </row>
    <row r="15" spans="1:67" ht="15">
      <c r="B15" s="679" t="s">
        <v>146</v>
      </c>
      <c r="C15" s="713" t="e">
        <f>Processes!#REF!</f>
        <v>#REF!</v>
      </c>
      <c r="D15" s="1161" t="e">
        <f>Processes!#REF!</f>
        <v>#REF!</v>
      </c>
      <c r="E15" s="713" t="str">
        <f>Commodities!D75</f>
        <v>TRAGSBL1</v>
      </c>
      <c r="F15" s="1161" t="e">
        <f>Commodities!#REF!</f>
        <v>#REF!</v>
      </c>
      <c r="G15" s="1031">
        <v>0.34</v>
      </c>
      <c r="H15" s="713">
        <v>5</v>
      </c>
      <c r="I15" s="1033">
        <f>AY9*0.03/1000</f>
        <v>7.4784600000000001</v>
      </c>
      <c r="J15" s="1034">
        <v>0.4</v>
      </c>
      <c r="K15" s="1032">
        <f>1/$BR$61*10^3</f>
        <v>238.61158256575914</v>
      </c>
      <c r="L15" s="1034">
        <v>66000</v>
      </c>
      <c r="M15" s="720">
        <f>10^-3</f>
        <v>1E-3</v>
      </c>
      <c r="N15" s="239">
        <v>50</v>
      </c>
      <c r="O15" s="1033">
        <v>7.8200911776727589</v>
      </c>
      <c r="P15" s="1033">
        <v>7.6976015464517094</v>
      </c>
      <c r="Q15" s="1033">
        <v>5.4768886364634621</v>
      </c>
      <c r="R15" s="1033">
        <v>3.2541683229962706</v>
      </c>
      <c r="S15" s="1033">
        <v>1.4637012881945994</v>
      </c>
      <c r="T15" s="1033">
        <v>0.44096723467640586</v>
      </c>
      <c r="U15" s="1033">
        <v>0.44096723467640586</v>
      </c>
      <c r="V15" s="1033">
        <v>6.6989487308798225E-3</v>
      </c>
      <c r="W15" s="1033">
        <v>2.3571783275513563E-4</v>
      </c>
      <c r="X15" s="713"/>
      <c r="AC15" s="1161"/>
      <c r="AF15" s="715"/>
      <c r="AH15" s="715"/>
      <c r="AN15" s="1161"/>
      <c r="AO15" s="1161"/>
      <c r="AP15" s="1044"/>
      <c r="AQ15" s="1055" t="s">
        <v>1055</v>
      </c>
      <c r="AR15" s="1056">
        <v>122564</v>
      </c>
      <c r="AS15" s="1056">
        <v>40980</v>
      </c>
      <c r="AT15" s="1056">
        <v>17801</v>
      </c>
      <c r="AU15" s="1056">
        <v>23281</v>
      </c>
      <c r="AV15" s="1056">
        <v>27073</v>
      </c>
      <c r="AW15" s="1056">
        <v>13111</v>
      </c>
      <c r="BA15" s="1023"/>
      <c r="BB15" s="1023"/>
      <c r="BH15" s="1059"/>
      <c r="BI15" s="1059"/>
      <c r="BJ15" s="1059"/>
      <c r="BK15" s="1059"/>
    </row>
    <row r="16" spans="1:67" ht="15.75" thickBot="1">
      <c r="B16" s="679"/>
      <c r="D16" s="1161"/>
      <c r="E16" s="22"/>
      <c r="F16" s="1161" t="e">
        <f>Commodities!#REF!</f>
        <v>#REF!</v>
      </c>
      <c r="G16" s="1048">
        <v>0.66</v>
      </c>
      <c r="H16" s="22">
        <v>5</v>
      </c>
      <c r="I16" s="1050"/>
      <c r="J16" s="1051"/>
      <c r="K16" s="1049">
        <f>K15</f>
        <v>238.61158256575914</v>
      </c>
      <c r="L16" s="1052"/>
      <c r="M16" s="238"/>
      <c r="N16" s="1053"/>
      <c r="O16" s="1050"/>
      <c r="P16" s="1050"/>
      <c r="Q16" s="1050"/>
      <c r="R16" s="1050"/>
      <c r="S16" s="1050"/>
      <c r="T16" s="1050"/>
      <c r="U16" s="1050"/>
      <c r="V16" s="1050"/>
      <c r="W16" s="1050"/>
      <c r="X16" s="713"/>
      <c r="AC16" s="1161"/>
      <c r="AD16" s="715"/>
      <c r="AF16" s="715"/>
      <c r="AK16" s="1045"/>
      <c r="AN16" s="1161"/>
      <c r="AO16" s="1161"/>
      <c r="AQ16" s="1055" t="s">
        <v>1056</v>
      </c>
      <c r="AR16" s="1056">
        <v>5396</v>
      </c>
      <c r="AS16" s="1056">
        <v>1547</v>
      </c>
      <c r="AT16" s="1056">
        <v>1214</v>
      </c>
      <c r="AU16" s="1056">
        <v>1071</v>
      </c>
      <c r="AV16" s="1056">
        <v>1025</v>
      </c>
      <c r="AW16" s="1056">
        <v>520</v>
      </c>
      <c r="AZ16" s="1023"/>
      <c r="BA16" s="1023"/>
      <c r="BB16" s="1023"/>
      <c r="BC16" s="1030"/>
      <c r="BD16" s="1059"/>
      <c r="BE16" s="1059"/>
      <c r="BF16" s="1059"/>
      <c r="BG16" s="1059"/>
      <c r="BH16" s="1059"/>
    </row>
    <row r="17" spans="2:69" ht="15.75" thickBot="1">
      <c r="B17" s="679" t="s">
        <v>146</v>
      </c>
      <c r="C17" s="700" t="e">
        <f>Processes!#REF!</f>
        <v>#REF!</v>
      </c>
      <c r="D17" s="700" t="e">
        <f>Processes!#REF!</f>
        <v>#REF!</v>
      </c>
      <c r="E17" s="713" t="str">
        <f>Commodities!D70</f>
        <v>TRADSBL1</v>
      </c>
      <c r="F17" s="1161" t="e">
        <f>Commodities!#REF!</f>
        <v>#REF!</v>
      </c>
      <c r="G17" s="1031">
        <v>6.2E-2</v>
      </c>
      <c r="H17" s="679">
        <v>5</v>
      </c>
      <c r="I17" s="1033">
        <f>AY17/1000</f>
        <v>18.082999999999998</v>
      </c>
      <c r="J17" s="727">
        <v>8.6999999999999993</v>
      </c>
      <c r="K17" s="1032">
        <f>1/$BR$77*10^3</f>
        <v>97.507594893774183</v>
      </c>
      <c r="L17" s="727">
        <v>62850</v>
      </c>
      <c r="M17" s="723">
        <f>10^-3</f>
        <v>1E-3</v>
      </c>
      <c r="N17" s="724">
        <v>6</v>
      </c>
      <c r="O17" s="1033">
        <v>18.082999999999998</v>
      </c>
      <c r="P17" s="1033">
        <v>18.082999999999998</v>
      </c>
      <c r="Q17" s="1033">
        <v>16.274699999999999</v>
      </c>
      <c r="R17" s="1033">
        <v>1.8082999999999994</v>
      </c>
      <c r="S17" s="1033"/>
      <c r="T17" s="1033"/>
      <c r="U17" s="1033"/>
      <c r="V17" s="1033"/>
      <c r="W17" s="1033"/>
      <c r="X17" s="713"/>
      <c r="AC17" s="1161"/>
      <c r="AG17" s="1678" t="s">
        <v>1057</v>
      </c>
      <c r="AH17" s="1679"/>
      <c r="AI17" s="1678" t="s">
        <v>1058</v>
      </c>
      <c r="AJ17" s="1680"/>
      <c r="AK17" s="1045"/>
      <c r="AN17" s="1161"/>
      <c r="AO17" s="1161"/>
      <c r="AQ17" s="1055" t="s">
        <v>235</v>
      </c>
      <c r="AR17" s="1056">
        <v>32300</v>
      </c>
      <c r="AS17" s="1056">
        <v>10647</v>
      </c>
      <c r="AT17" s="1056">
        <v>3414</v>
      </c>
      <c r="AU17" s="1056">
        <v>6613</v>
      </c>
      <c r="AV17" s="1056">
        <v>7086</v>
      </c>
      <c r="AW17" s="1056">
        <v>4384</v>
      </c>
      <c r="AX17" s="714">
        <f>AS17+AT17</f>
        <v>14061</v>
      </c>
      <c r="AY17" s="714">
        <f>AU17+AV17+AW17</f>
        <v>18083</v>
      </c>
      <c r="AZ17" s="1023"/>
      <c r="BA17" s="1023"/>
      <c r="BB17" s="1023"/>
      <c r="BC17" s="1030"/>
      <c r="BD17" s="1059"/>
      <c r="BE17" s="1059"/>
      <c r="BF17" s="1059"/>
      <c r="BG17" s="1059"/>
      <c r="BH17" s="1059"/>
    </row>
    <row r="18" spans="2:69" ht="15.75" thickBot="1">
      <c r="C18" s="714"/>
      <c r="D18" s="714"/>
      <c r="F18" s="1161" t="e">
        <f>Commodities!#REF!</f>
        <v>#REF!</v>
      </c>
      <c r="G18" s="1031">
        <v>0.44500000000000001</v>
      </c>
      <c r="H18" s="679">
        <v>5</v>
      </c>
      <c r="I18" s="1057"/>
      <c r="J18" s="1058"/>
      <c r="K18" s="1032">
        <f>K17</f>
        <v>97.507594893774183</v>
      </c>
      <c r="L18" s="727"/>
      <c r="M18" s="723"/>
      <c r="N18" s="724"/>
      <c r="O18" s="724"/>
      <c r="P18" s="724"/>
      <c r="Q18" s="724"/>
      <c r="R18" s="724"/>
      <c r="S18" s="724"/>
      <c r="T18" s="724"/>
      <c r="U18" s="724"/>
      <c r="V18" s="724"/>
      <c r="W18" s="724"/>
      <c r="X18" s="713"/>
      <c r="AC18" s="1161"/>
      <c r="AG18" s="1069" t="s">
        <v>145</v>
      </c>
      <c r="AH18" s="1069" t="s">
        <v>146</v>
      </c>
      <c r="AI18" s="1069" t="s">
        <v>145</v>
      </c>
      <c r="AJ18" s="1070" t="s">
        <v>146</v>
      </c>
      <c r="AK18" s="1045"/>
      <c r="AN18" s="1161"/>
      <c r="AO18" s="1161"/>
      <c r="AQ18" s="1055" t="s">
        <v>1059</v>
      </c>
      <c r="AR18" s="1056">
        <v>2568</v>
      </c>
      <c r="AS18" s="1056">
        <v>707</v>
      </c>
      <c r="AT18" s="1056">
        <v>310</v>
      </c>
      <c r="AU18" s="1056">
        <v>575</v>
      </c>
      <c r="AV18" s="1056">
        <v>614</v>
      </c>
      <c r="AW18" s="1056">
        <v>339</v>
      </c>
      <c r="AZ18" s="1023"/>
      <c r="BA18" s="1023"/>
      <c r="BB18" s="1023"/>
      <c r="BC18" s="1030"/>
      <c r="BD18" s="1059"/>
      <c r="BE18" s="1059"/>
      <c r="BF18" s="1059"/>
      <c r="BG18" s="1059"/>
      <c r="BH18" s="1059"/>
    </row>
    <row r="19" spans="2:69" ht="15.75" thickBot="1">
      <c r="B19" s="1060"/>
      <c r="C19" s="1061"/>
      <c r="D19" s="1061"/>
      <c r="E19" s="1061"/>
      <c r="F19" s="1161" t="e">
        <f>Commodities!#REF!</f>
        <v>#REF!</v>
      </c>
      <c r="G19" s="1062">
        <f>1-G18-G17</f>
        <v>0.49299999999999994</v>
      </c>
      <c r="H19" s="1060">
        <v>5</v>
      </c>
      <c r="I19" s="1064"/>
      <c r="J19" s="1065"/>
      <c r="K19" s="1063">
        <f>K18</f>
        <v>97.507594893774183</v>
      </c>
      <c r="L19" s="1066"/>
      <c r="M19" s="1067"/>
      <c r="N19" s="1068"/>
      <c r="O19" s="724"/>
      <c r="P19" s="724"/>
      <c r="Q19" s="724"/>
      <c r="R19" s="724"/>
      <c r="S19" s="724"/>
      <c r="T19" s="724"/>
      <c r="U19" s="724"/>
      <c r="V19" s="724"/>
      <c r="W19" s="724"/>
      <c r="X19" s="713"/>
      <c r="AC19" s="1161"/>
      <c r="AD19" s="1161"/>
      <c r="AF19" s="979" t="e">
        <f>Commodities!#REF!</f>
        <v>#REF!</v>
      </c>
      <c r="AI19" s="1071" t="e">
        <f>Dem!#REF!</f>
        <v>#REF!</v>
      </c>
      <c r="AJ19" s="1072" t="e">
        <f>Dem!#REF!</f>
        <v>#REF!</v>
      </c>
      <c r="AK19" s="1045"/>
      <c r="AN19" s="1161"/>
      <c r="AO19" s="1161"/>
      <c r="AQ19" s="1055" t="s">
        <v>1060</v>
      </c>
      <c r="AR19" s="1056">
        <v>217</v>
      </c>
      <c r="AS19" s="1056">
        <v>106</v>
      </c>
      <c r="AT19" s="1056">
        <v>22</v>
      </c>
      <c r="AU19" s="1056">
        <v>29</v>
      </c>
      <c r="AV19" s="1056">
        <v>45</v>
      </c>
      <c r="AW19" s="1056">
        <v>15</v>
      </c>
      <c r="AZ19" s="1023"/>
      <c r="BA19" s="1023"/>
      <c r="BB19" s="1023"/>
      <c r="BC19" s="1030"/>
      <c r="BD19" s="1059"/>
      <c r="BE19" s="1059"/>
      <c r="BF19" s="1059"/>
      <c r="BG19" s="1059"/>
      <c r="BH19" s="1059"/>
    </row>
    <row r="20" spans="2:69" ht="15.75" thickBot="1">
      <c r="B20" s="713"/>
      <c r="AF20" s="979" t="e">
        <f>Commodities!#REF!</f>
        <v>#REF!</v>
      </c>
      <c r="AG20" s="1073"/>
      <c r="AI20" s="1071" t="e">
        <f>Dem!#REF!</f>
        <v>#REF!</v>
      </c>
      <c r="AJ20" s="1072" t="e">
        <f>Dem!#REF!</f>
        <v>#REF!</v>
      </c>
      <c r="AK20" s="1045"/>
      <c r="AN20" s="1161"/>
      <c r="AO20" s="1161"/>
      <c r="AQ20" s="1055" t="s">
        <v>1061</v>
      </c>
      <c r="AR20" s="1056">
        <v>2083</v>
      </c>
      <c r="AS20" s="1056">
        <v>526</v>
      </c>
      <c r="AT20" s="1056">
        <v>261</v>
      </c>
      <c r="AU20" s="1056">
        <v>474</v>
      </c>
      <c r="AV20" s="1056">
        <v>505</v>
      </c>
      <c r="AW20" s="1056">
        <v>297</v>
      </c>
      <c r="BF20" s="1023"/>
      <c r="BG20" s="1023"/>
      <c r="BN20" s="1059"/>
      <c r="BO20" s="1059"/>
      <c r="BP20" s="1059"/>
    </row>
    <row r="21" spans="2:69" ht="15">
      <c r="B21" s="713"/>
      <c r="AF21" s="682" t="s">
        <v>1062</v>
      </c>
      <c r="AG21" s="1074">
        <f>I6*L6*M6*J6+I8*L8*M8*J8</f>
        <v>1835.20662612</v>
      </c>
      <c r="AH21" s="1075">
        <f>I13*L13*M6*J13+I15*L15*M8*J15</f>
        <v>1880.3839824000001</v>
      </c>
      <c r="AI21" s="1076">
        <f>SUM(AV19:AV20)</f>
        <v>550</v>
      </c>
      <c r="AJ21" s="1077">
        <f>SUM(AW19:AW20)</f>
        <v>312</v>
      </c>
      <c r="AK21" s="217"/>
      <c r="AN21" s="1161"/>
      <c r="AO21" s="1161"/>
      <c r="AQ21" s="1055" t="s">
        <v>1063</v>
      </c>
      <c r="AR21" s="1056">
        <v>268</v>
      </c>
      <c r="AS21" s="1056">
        <v>73</v>
      </c>
      <c r="AT21" s="1056">
        <v>23</v>
      </c>
      <c r="AU21" s="1056">
        <v>66</v>
      </c>
      <c r="AV21" s="1056">
        <v>55</v>
      </c>
      <c r="AW21" s="1056">
        <v>25</v>
      </c>
      <c r="BC21" s="1023"/>
      <c r="BD21" s="1023"/>
      <c r="BE21" s="1023"/>
      <c r="BF21" s="1030"/>
      <c r="BG21" s="1059"/>
      <c r="BH21" s="1059"/>
      <c r="BN21" s="1059"/>
      <c r="BO21" s="1059"/>
      <c r="BP21" s="1059"/>
    </row>
    <row r="22" spans="2:69" ht="15">
      <c r="AH22" s="1078"/>
      <c r="AI22" s="714"/>
      <c r="AJ22" s="99"/>
      <c r="AK22" s="217"/>
      <c r="AN22" s="1161"/>
      <c r="AO22" s="1161"/>
      <c r="AQ22" s="1055" t="s">
        <v>1064</v>
      </c>
      <c r="AR22" s="1056">
        <v>29732</v>
      </c>
      <c r="AS22" s="1056">
        <v>9940</v>
      </c>
      <c r="AT22" s="1056">
        <v>3104</v>
      </c>
      <c r="AU22" s="1056">
        <v>6038</v>
      </c>
      <c r="AV22" s="1056">
        <v>6472</v>
      </c>
      <c r="AW22" s="1056">
        <v>4045</v>
      </c>
      <c r="BC22" s="1023"/>
      <c r="BD22" s="1023"/>
      <c r="BE22" s="1023"/>
      <c r="BF22" s="1030"/>
      <c r="BG22" s="1059"/>
      <c r="BH22" s="1059"/>
    </row>
    <row r="23" spans="2:69" ht="15">
      <c r="AA23" s="1681" t="s">
        <v>1065</v>
      </c>
      <c r="AB23" s="1681"/>
      <c r="AF23" s="1079" t="e">
        <f>Commodities!#REF!</f>
        <v>#REF!</v>
      </c>
      <c r="AH23" s="714"/>
      <c r="AI23" s="1071" t="e">
        <f>Dem!#REF!</f>
        <v>#REF!</v>
      </c>
      <c r="AJ23" s="1072" t="e">
        <f>Dem!#REF!</f>
        <v>#REF!</v>
      </c>
      <c r="AN23" s="1161"/>
      <c r="AO23" s="1161"/>
      <c r="AQ23" s="1055" t="s">
        <v>1066</v>
      </c>
      <c r="AR23" s="1056">
        <v>14093</v>
      </c>
      <c r="AS23" s="1056">
        <v>5077</v>
      </c>
      <c r="AT23" s="1056">
        <v>1381</v>
      </c>
      <c r="AU23" s="1056">
        <v>2837</v>
      </c>
      <c r="AV23" s="1056">
        <v>2797</v>
      </c>
      <c r="AW23" s="1056">
        <v>1980</v>
      </c>
      <c r="BF23" s="718"/>
      <c r="BG23" s="718"/>
    </row>
    <row r="24" spans="2:69" ht="15">
      <c r="C24" s="714"/>
      <c r="D24" s="714"/>
      <c r="E24" s="714"/>
      <c r="F24" s="714"/>
      <c r="G24" s="714"/>
      <c r="H24" s="239"/>
      <c r="I24" s="239"/>
      <c r="J24" s="239"/>
      <c r="K24" s="239"/>
      <c r="L24" s="239"/>
      <c r="M24" s="239"/>
      <c r="N24" s="239"/>
      <c r="O24" s="239"/>
      <c r="P24" s="239"/>
      <c r="Q24" s="239"/>
      <c r="R24" s="239"/>
      <c r="S24" s="239"/>
      <c r="T24" s="239"/>
      <c r="U24" s="239"/>
      <c r="V24" s="239"/>
      <c r="W24" s="239"/>
      <c r="X24" s="239"/>
      <c r="Y24" s="239"/>
      <c r="Z24" s="239"/>
      <c r="AA24" s="904" t="s">
        <v>504</v>
      </c>
      <c r="AB24" s="1080">
        <v>0.78900000000000003</v>
      </c>
      <c r="AE24" s="724"/>
      <c r="AF24" s="1079" t="e">
        <f>Commodities!#REF!</f>
        <v>#REF!</v>
      </c>
      <c r="AG24" s="1081"/>
      <c r="AH24" s="714"/>
      <c r="AI24" s="1071" t="e">
        <f>Dem!#REF!</f>
        <v>#REF!</v>
      </c>
      <c r="AJ24" s="1072" t="e">
        <f>Dem!#REF!</f>
        <v>#REF!</v>
      </c>
      <c r="AN24" s="1161"/>
      <c r="AO24" s="1161"/>
      <c r="AQ24" s="1055" t="s">
        <v>1067</v>
      </c>
      <c r="AR24" s="1056">
        <v>14562</v>
      </c>
      <c r="AS24" s="1056">
        <v>4355</v>
      </c>
      <c r="AT24" s="1056">
        <v>1608</v>
      </c>
      <c r="AU24" s="1056">
        <v>3048</v>
      </c>
      <c r="AV24" s="1056">
        <v>3501</v>
      </c>
      <c r="AW24" s="1056">
        <v>1960</v>
      </c>
      <c r="BF24" s="681"/>
      <c r="BG24" s="451"/>
      <c r="BH24" s="451"/>
      <c r="BI24" s="1082"/>
      <c r="BJ24" s="1023"/>
      <c r="BK24" s="1023"/>
      <c r="BL24" s="1023"/>
      <c r="BM24" s="1023"/>
      <c r="BN24" s="1023"/>
      <c r="BO24" s="1023"/>
      <c r="BP24" s="1023"/>
      <c r="BQ24" s="1023"/>
    </row>
    <row r="25" spans="2:69" ht="15.75" thickBot="1">
      <c r="C25" s="714"/>
      <c r="D25" s="714"/>
      <c r="E25" s="714"/>
      <c r="F25" s="714"/>
      <c r="G25" s="239"/>
      <c r="H25" s="239"/>
      <c r="I25" s="239"/>
      <c r="J25" s="239"/>
      <c r="K25" s="239"/>
      <c r="L25" s="239"/>
      <c r="M25" s="239"/>
      <c r="N25" s="239"/>
      <c r="O25" s="724"/>
      <c r="P25" s="724"/>
      <c r="Q25" s="1035"/>
      <c r="R25" s="1035"/>
      <c r="S25" s="1035"/>
      <c r="T25" s="1035"/>
      <c r="U25" s="1035"/>
      <c r="V25" s="1035"/>
      <c r="W25" s="1035"/>
      <c r="X25" s="1035"/>
      <c r="Y25" s="1035"/>
      <c r="Z25" s="1035"/>
      <c r="AA25" s="904" t="s">
        <v>503</v>
      </c>
      <c r="AB25" s="1080">
        <v>1.2</v>
      </c>
      <c r="AD25" s="724"/>
      <c r="AE25" s="724"/>
      <c r="AF25" s="1079" t="e">
        <f>Commodities!#REF!</f>
        <v>#REF!</v>
      </c>
      <c r="AG25" s="1081"/>
      <c r="AH25" s="1061"/>
      <c r="AI25" s="1071" t="e">
        <f>Dem!#REF!</f>
        <v>#REF!</v>
      </c>
      <c r="AJ25" s="1072" t="e">
        <f>Dem!#REF!</f>
        <v>#REF!</v>
      </c>
      <c r="AN25" s="1161"/>
      <c r="AO25" s="1161"/>
      <c r="AQ25" s="1083" t="s">
        <v>1068</v>
      </c>
      <c r="AR25" s="1084">
        <v>1077</v>
      </c>
      <c r="AS25" s="1084">
        <v>506</v>
      </c>
      <c r="AT25" s="1084">
        <v>107</v>
      </c>
      <c r="AU25" s="1084">
        <v>147</v>
      </c>
      <c r="AV25" s="1084">
        <v>165</v>
      </c>
      <c r="AW25" s="1084">
        <v>101</v>
      </c>
      <c r="BF25" s="681"/>
      <c r="BG25" s="1047"/>
      <c r="BH25" s="1082"/>
      <c r="BI25" s="1082"/>
      <c r="BJ25" s="1023"/>
      <c r="BK25" s="1023"/>
      <c r="BL25" s="1023"/>
      <c r="BM25" s="1023"/>
      <c r="BN25" s="1023"/>
      <c r="BO25" s="1023"/>
      <c r="BP25" s="1023"/>
      <c r="BQ25" s="1023"/>
    </row>
    <row r="26" spans="2:69" ht="19.5">
      <c r="C26" s="714"/>
      <c r="D26" s="1657" t="str">
        <f>TRA_BAL!B2</f>
        <v>Historiske energiforbrug - ENS</v>
      </c>
      <c r="E26" s="1657"/>
      <c r="F26" s="1657"/>
      <c r="G26" s="1657"/>
      <c r="H26" s="1657"/>
      <c r="I26" s="754"/>
      <c r="J26" s="754"/>
      <c r="K26" s="754"/>
      <c r="L26" s="754"/>
      <c r="M26" s="754"/>
      <c r="N26" s="754"/>
      <c r="O26" s="724"/>
      <c r="P26" s="724"/>
      <c r="Q26" s="1035"/>
      <c r="R26" s="1035"/>
      <c r="S26" s="1035"/>
      <c r="T26" s="1035"/>
      <c r="U26" s="1035"/>
      <c r="V26" s="1035"/>
      <c r="W26" s="1035"/>
      <c r="X26" s="1035"/>
      <c r="Y26" s="1035"/>
      <c r="Z26" s="1035"/>
      <c r="AA26" s="724"/>
      <c r="AB26" s="724"/>
      <c r="AC26" s="723"/>
      <c r="AD26" s="724"/>
      <c r="AE26" s="724"/>
      <c r="AF26" s="1085" t="s">
        <v>1062</v>
      </c>
      <c r="AG26" s="1074">
        <f>I10*L10*M10*J10</f>
        <v>9888.9817814999988</v>
      </c>
      <c r="AH26" s="1075">
        <f>I17*L17*M10*J17</f>
        <v>9887.6939849999981</v>
      </c>
      <c r="AI26" s="1086" t="e">
        <f>SUM(AI23:AI25)</f>
        <v>#REF!</v>
      </c>
      <c r="AJ26" s="1087" t="e">
        <f>SUM(AJ23:AJ25)</f>
        <v>#REF!</v>
      </c>
      <c r="BD26" s="681"/>
      <c r="BE26" s="1047"/>
      <c r="BF26" s="1082"/>
      <c r="BG26" s="1082"/>
      <c r="BH26" s="1023"/>
      <c r="BI26" s="1023"/>
      <c r="BJ26" s="1023"/>
      <c r="BK26" s="1023"/>
      <c r="BL26" s="1023"/>
      <c r="BM26" s="1023"/>
      <c r="BN26" s="1023"/>
      <c r="BO26" s="1023"/>
    </row>
    <row r="27" spans="2:69" ht="15">
      <c r="C27" s="714"/>
      <c r="D27" s="679"/>
      <c r="E27" s="246" t="s">
        <v>379</v>
      </c>
      <c r="F27" s="247">
        <v>0.6528193712554865</v>
      </c>
      <c r="G27" s="247"/>
      <c r="H27" s="247"/>
      <c r="I27" s="247"/>
      <c r="J27" s="247"/>
      <c r="K27" s="247"/>
      <c r="L27" s="247"/>
      <c r="M27" s="247"/>
      <c r="N27" s="247"/>
      <c r="O27" s="724"/>
      <c r="P27" s="724"/>
      <c r="Q27" s="1035"/>
      <c r="R27" s="1035"/>
      <c r="S27" s="1035"/>
      <c r="T27" s="1035"/>
      <c r="U27" s="1035"/>
      <c r="V27" s="1035"/>
      <c r="W27" s="1035"/>
      <c r="X27" s="1035"/>
      <c r="Y27" s="1035"/>
      <c r="Z27" s="1035"/>
      <c r="AA27" s="724"/>
      <c r="AB27" s="724"/>
      <c r="AC27" s="723"/>
      <c r="AD27" s="724"/>
      <c r="AE27" s="724"/>
      <c r="AF27" s="714"/>
      <c r="BE27" s="1030"/>
      <c r="BF27" s="1023"/>
      <c r="BG27" s="1023"/>
      <c r="BH27" s="1023"/>
      <c r="BI27" s="1023"/>
      <c r="BJ27" s="1023"/>
      <c r="BK27" s="1023"/>
      <c r="BL27" s="1023"/>
      <c r="BM27" s="1023"/>
      <c r="BN27" s="1023"/>
      <c r="BO27" s="1023"/>
    </row>
    <row r="28" spans="2:69" ht="15.75" thickBot="1">
      <c r="D28" s="248"/>
      <c r="E28" s="246" t="s">
        <v>380</v>
      </c>
      <c r="F28" s="247">
        <v>0.34718062874451339</v>
      </c>
      <c r="G28" s="247"/>
      <c r="H28" s="247"/>
      <c r="I28" s="247"/>
      <c r="J28" s="247"/>
      <c r="K28" s="247"/>
      <c r="L28" s="247"/>
      <c r="M28" s="247"/>
      <c r="N28" s="247"/>
      <c r="P28" s="1088" t="s">
        <v>1069</v>
      </c>
      <c r="Q28" s="1089"/>
      <c r="R28" s="1285"/>
      <c r="S28" s="1285"/>
      <c r="T28" s="1285"/>
      <c r="U28" s="1285"/>
      <c r="V28" s="1285"/>
      <c r="W28" s="1285"/>
      <c r="X28" s="1285"/>
      <c r="Y28" s="1285"/>
      <c r="Z28" s="1285"/>
      <c r="AA28" s="1089"/>
      <c r="AB28" s="1089"/>
      <c r="AC28" s="1090"/>
      <c r="BE28" s="1030"/>
      <c r="BF28" s="1023"/>
      <c r="BG28" s="1023"/>
      <c r="BH28" s="1023"/>
      <c r="BI28" s="1023"/>
      <c r="BJ28" s="1023"/>
      <c r="BK28" s="1023"/>
      <c r="BL28" s="1023"/>
      <c r="BM28" s="1023"/>
      <c r="BN28" s="1023"/>
      <c r="BO28" s="1023"/>
    </row>
    <row r="29" spans="2:69" ht="15.75" thickBot="1">
      <c r="D29" s="1091" t="s">
        <v>52</v>
      </c>
      <c r="E29" s="1092"/>
      <c r="F29" s="1093">
        <v>2010</v>
      </c>
      <c r="G29" s="1093">
        <v>2011</v>
      </c>
      <c r="H29" s="1093">
        <v>2012</v>
      </c>
      <c r="I29" s="248"/>
      <c r="J29" s="248"/>
      <c r="K29" s="248"/>
      <c r="L29" s="248"/>
      <c r="M29" s="248"/>
      <c r="N29" s="248"/>
      <c r="P29" s="216"/>
      <c r="Q29" s="217">
        <v>2010</v>
      </c>
      <c r="R29" s="217"/>
      <c r="S29" s="217"/>
      <c r="T29" s="217"/>
      <c r="U29" s="217"/>
      <c r="V29" s="217"/>
      <c r="W29" s="217"/>
      <c r="X29" s="217"/>
      <c r="Y29" s="217"/>
      <c r="Z29" s="217"/>
      <c r="AA29" s="217">
        <v>2011</v>
      </c>
      <c r="AB29" s="217">
        <v>2012</v>
      </c>
      <c r="AC29" s="218">
        <v>2013</v>
      </c>
      <c r="AG29" s="1069" t="s">
        <v>145</v>
      </c>
      <c r="AH29" s="1069" t="s">
        <v>146</v>
      </c>
    </row>
    <row r="30" spans="2:69" ht="15">
      <c r="D30" s="1094" t="str">
        <f>TRA_BAL!B28</f>
        <v>Varebiler u. 2 t</v>
      </c>
      <c r="E30" s="1094"/>
      <c r="F30" s="1262">
        <f>TRA_BAL!D28</f>
        <v>4765</v>
      </c>
      <c r="G30" s="1262">
        <f>TRA_BAL!E28</f>
        <v>4821</v>
      </c>
      <c r="H30" s="1262">
        <f>TRA_BAL!F28</f>
        <v>4994</v>
      </c>
      <c r="I30" s="253"/>
      <c r="J30" s="253"/>
      <c r="K30" s="253"/>
      <c r="L30" s="253"/>
      <c r="M30" s="253"/>
      <c r="N30" s="253"/>
      <c r="P30" s="216" t="s">
        <v>1070</v>
      </c>
      <c r="Q30" s="217"/>
      <c r="R30" s="217"/>
      <c r="S30" s="217"/>
      <c r="T30" s="217"/>
      <c r="U30" s="217"/>
      <c r="V30" s="217"/>
      <c r="W30" s="217"/>
      <c r="X30" s="217"/>
      <c r="Y30" s="217"/>
      <c r="Z30" s="217"/>
      <c r="AA30" s="217"/>
      <c r="AB30" s="217"/>
      <c r="AC30" s="218"/>
      <c r="AF30" s="1095" t="s">
        <v>1071</v>
      </c>
      <c r="AG30" s="1040">
        <f>(AI21-AG21)/AI21</f>
        <v>-2.3367393202181819</v>
      </c>
      <c r="AH30" s="1040">
        <f>(AJ21-AH21)/AJ21</f>
        <v>-5.0268717384615389</v>
      </c>
    </row>
    <row r="31" spans="2:69" ht="15">
      <c r="C31" s="31"/>
      <c r="D31" s="252"/>
      <c r="E31" s="246" t="str">
        <f>TRA_BAL!C29</f>
        <v>Benzin</v>
      </c>
      <c r="F31" s="255">
        <f>TRA_BAL!D29</f>
        <v>1351</v>
      </c>
      <c r="G31" s="255">
        <f>TRA_BAL!E29</f>
        <v>1194</v>
      </c>
      <c r="H31" s="255">
        <f>TRA_BAL!F29</f>
        <v>1115</v>
      </c>
      <c r="I31" s="1096"/>
      <c r="J31" s="1096"/>
      <c r="K31" s="1096"/>
      <c r="L31" s="1096"/>
      <c r="M31" s="1096"/>
      <c r="N31" s="1096"/>
      <c r="P31" s="216" t="s">
        <v>1072</v>
      </c>
      <c r="Q31" s="217"/>
      <c r="R31" s="217"/>
      <c r="S31" s="217"/>
      <c r="T31" s="217"/>
      <c r="U31" s="217"/>
      <c r="V31" s="217"/>
      <c r="W31" s="217"/>
      <c r="X31" s="217"/>
      <c r="Y31" s="217"/>
      <c r="Z31" s="217"/>
      <c r="AA31" s="217"/>
      <c r="AB31" s="217"/>
      <c r="AC31" s="218"/>
      <c r="AF31" s="1095" t="s">
        <v>457</v>
      </c>
      <c r="AG31" s="1040" t="e">
        <f>(AI26-AG26)/AI26</f>
        <v>#REF!</v>
      </c>
      <c r="AH31" s="1040" t="e">
        <f>(AJ26-AH26)/AJ26</f>
        <v>#REF!</v>
      </c>
    </row>
    <row r="32" spans="2:69" ht="15">
      <c r="D32" s="252"/>
      <c r="E32" s="246" t="str">
        <f>TRA_BAL!C30</f>
        <v xml:space="preserve">Diesel </v>
      </c>
      <c r="F32" s="255">
        <f>TRA_BAL!D30</f>
        <v>3390</v>
      </c>
      <c r="G32" s="255">
        <f>TRA_BAL!E30</f>
        <v>3454</v>
      </c>
      <c r="H32" s="255">
        <f>TRA_BAL!F30</f>
        <v>3574</v>
      </c>
      <c r="I32" s="1096"/>
      <c r="J32" s="1096"/>
      <c r="K32" s="1096"/>
      <c r="L32" s="1096"/>
      <c r="M32" s="1096"/>
      <c r="N32" s="1096"/>
      <c r="P32" s="216" t="s">
        <v>789</v>
      </c>
      <c r="Q32" s="217">
        <v>32300</v>
      </c>
      <c r="R32" s="217"/>
      <c r="S32" s="217"/>
      <c r="T32" s="217"/>
      <c r="U32" s="217"/>
      <c r="V32" s="217"/>
      <c r="W32" s="217"/>
      <c r="X32" s="217"/>
      <c r="Y32" s="217"/>
      <c r="Z32" s="217"/>
      <c r="AA32" s="217">
        <v>30820</v>
      </c>
      <c r="AB32" s="217">
        <v>29698</v>
      </c>
      <c r="AC32" s="218">
        <v>29952</v>
      </c>
    </row>
    <row r="33" spans="4:76" ht="15">
      <c r="D33" s="252"/>
      <c r="E33" s="246" t="str">
        <f>TRA_BAL!C31</f>
        <v>Naturgas</v>
      </c>
      <c r="F33" s="255">
        <f>TRA_BAL!D31</f>
        <v>0</v>
      </c>
      <c r="G33" s="255">
        <f>TRA_BAL!E31</f>
        <v>0</v>
      </c>
      <c r="H33" s="255">
        <f>TRA_BAL!F31</f>
        <v>0</v>
      </c>
      <c r="I33" s="1096"/>
      <c r="J33" s="1096"/>
      <c r="K33" s="1096"/>
      <c r="L33" s="1096"/>
      <c r="M33" s="1096"/>
      <c r="N33" s="1096"/>
      <c r="P33" s="216" t="s">
        <v>790</v>
      </c>
      <c r="Q33" s="217">
        <v>291</v>
      </c>
      <c r="R33" s="217"/>
      <c r="S33" s="217"/>
      <c r="T33" s="217"/>
      <c r="U33" s="217"/>
      <c r="V33" s="217"/>
      <c r="W33" s="217"/>
      <c r="X33" s="217"/>
      <c r="Y33" s="217"/>
      <c r="Z33" s="217"/>
      <c r="AA33" s="217">
        <v>296</v>
      </c>
      <c r="AB33" s="217">
        <v>301</v>
      </c>
      <c r="AC33" s="218">
        <v>323</v>
      </c>
    </row>
    <row r="34" spans="4:76" ht="15">
      <c r="D34" s="252"/>
      <c r="E34" s="246" t="str">
        <f>TRA_BAL!C32</f>
        <v>Biogas</v>
      </c>
      <c r="F34" s="255">
        <f>TRA_BAL!D32</f>
        <v>0</v>
      </c>
      <c r="G34" s="255">
        <f>TRA_BAL!E32</f>
        <v>0</v>
      </c>
      <c r="H34" s="255">
        <f>TRA_BAL!F32</f>
        <v>0</v>
      </c>
      <c r="I34" s="1096"/>
      <c r="J34" s="1096"/>
      <c r="K34" s="1096"/>
      <c r="L34" s="1096"/>
      <c r="M34" s="1096"/>
      <c r="N34" s="1096"/>
      <c r="P34" s="216" t="s">
        <v>791</v>
      </c>
      <c r="Q34" s="217">
        <v>31998</v>
      </c>
      <c r="R34" s="217"/>
      <c r="S34" s="217"/>
      <c r="T34" s="217"/>
      <c r="U34" s="217"/>
      <c r="V34" s="217"/>
      <c r="W34" s="217"/>
      <c r="X34" s="217"/>
      <c r="Y34" s="217"/>
      <c r="Z34" s="217"/>
      <c r="AA34" s="217">
        <v>30509</v>
      </c>
      <c r="AB34" s="217">
        <v>29384</v>
      </c>
      <c r="AC34" s="218">
        <v>29618</v>
      </c>
    </row>
    <row r="35" spans="4:76" ht="15">
      <c r="D35" s="252"/>
      <c r="E35" s="246" t="str">
        <f>TRA_BAL!C33</f>
        <v xml:space="preserve">Bioethanol </v>
      </c>
      <c r="F35" s="255">
        <f>TRA_BAL!D33</f>
        <v>22</v>
      </c>
      <c r="G35" s="255">
        <f>TRA_BAL!E33</f>
        <v>40</v>
      </c>
      <c r="H35" s="255">
        <f>TRA_BAL!F33</f>
        <v>37</v>
      </c>
      <c r="I35" s="1096"/>
      <c r="J35" s="1096"/>
      <c r="K35" s="1096"/>
      <c r="L35" s="1096"/>
      <c r="M35" s="1096"/>
      <c r="N35" s="1096"/>
      <c r="P35" s="216" t="s">
        <v>1018</v>
      </c>
      <c r="Q35" s="217">
        <v>11</v>
      </c>
      <c r="R35" s="217"/>
      <c r="S35" s="217"/>
      <c r="T35" s="217"/>
      <c r="U35" s="217"/>
      <c r="V35" s="217"/>
      <c r="W35" s="217"/>
      <c r="X35" s="217"/>
      <c r="Y35" s="217"/>
      <c r="Z35" s="217"/>
      <c r="AA35" s="217">
        <v>15</v>
      </c>
      <c r="AB35" s="217">
        <v>13</v>
      </c>
      <c r="AC35" s="218">
        <v>11</v>
      </c>
    </row>
    <row r="36" spans="4:76" ht="15">
      <c r="D36" s="252"/>
      <c r="E36" s="246" t="str">
        <f>TRA_BAL!C34</f>
        <v>Biodiesel</v>
      </c>
      <c r="F36" s="255">
        <f>TRA_BAL!D34</f>
        <v>1</v>
      </c>
      <c r="G36" s="255">
        <f>TRA_BAL!E34</f>
        <v>132</v>
      </c>
      <c r="H36" s="255">
        <f>TRA_BAL!F34</f>
        <v>268</v>
      </c>
      <c r="I36" s="1096"/>
      <c r="J36" s="1096"/>
      <c r="K36" s="1096"/>
      <c r="L36" s="1096"/>
      <c r="M36" s="1096"/>
      <c r="N36" s="1096"/>
      <c r="P36" s="216"/>
      <c r="Q36" s="217"/>
      <c r="R36" s="217"/>
      <c r="S36" s="217"/>
      <c r="T36" s="217"/>
      <c r="U36" s="217"/>
      <c r="V36" s="217"/>
      <c r="W36" s="217"/>
      <c r="X36" s="217"/>
      <c r="Y36" s="217"/>
      <c r="Z36" s="217"/>
      <c r="AA36" s="217"/>
      <c r="AB36" s="217"/>
      <c r="AC36" s="218"/>
    </row>
    <row r="37" spans="4:76" ht="15">
      <c r="D37" s="252"/>
      <c r="E37" s="246" t="str">
        <f>TRA_BAL!C35</f>
        <v xml:space="preserve">Elektricitet </v>
      </c>
      <c r="F37" s="255">
        <f>TRA_BAL!D35</f>
        <v>0</v>
      </c>
      <c r="G37" s="255">
        <f>TRA_BAL!E35</f>
        <v>0</v>
      </c>
      <c r="H37" s="255">
        <f>TRA_BAL!F35</f>
        <v>0</v>
      </c>
      <c r="I37" s="1096"/>
      <c r="J37" s="1096"/>
      <c r="K37" s="1096"/>
      <c r="L37" s="1096"/>
      <c r="M37" s="1096"/>
      <c r="N37" s="1096"/>
      <c r="P37" s="236" t="s">
        <v>794</v>
      </c>
      <c r="Q37" s="422"/>
      <c r="R37" s="422"/>
      <c r="S37" s="422"/>
      <c r="T37" s="422"/>
      <c r="U37" s="422"/>
      <c r="V37" s="422"/>
      <c r="W37" s="422"/>
      <c r="X37" s="422"/>
      <c r="Y37" s="422"/>
      <c r="Z37" s="422"/>
      <c r="AA37" s="422"/>
      <c r="AB37" s="422"/>
      <c r="AC37" s="423"/>
    </row>
    <row r="38" spans="4:76" ht="15">
      <c r="D38" s="252"/>
      <c r="E38" s="246" t="str">
        <f>TRA_BAL!C36</f>
        <v>Brint</v>
      </c>
      <c r="F38" s="255">
        <f>TRA_BAL!D36</f>
        <v>0</v>
      </c>
      <c r="G38" s="255">
        <f>TRA_BAL!E36</f>
        <v>0</v>
      </c>
      <c r="H38" s="255">
        <f>TRA_BAL!F36</f>
        <v>0</v>
      </c>
      <c r="I38" s="1096"/>
      <c r="J38" s="1096"/>
      <c r="K38" s="1096"/>
      <c r="L38" s="1096"/>
      <c r="M38" s="1096"/>
      <c r="N38" s="1096"/>
    </row>
    <row r="39" spans="4:76" ht="15">
      <c r="D39" s="1094" t="str">
        <f>TRA_BAL!B37</f>
        <v>Varebiler 2-3,5 t</v>
      </c>
      <c r="E39" s="1097"/>
      <c r="F39" s="1098">
        <f>TRA_BAL!D37</f>
        <v>30091</v>
      </c>
      <c r="G39" s="1098">
        <f>TRA_BAL!E37</f>
        <v>27794</v>
      </c>
      <c r="H39" s="1098">
        <f>TRA_BAL!F37</f>
        <v>25828</v>
      </c>
      <c r="I39" s="1099"/>
      <c r="J39" s="1099"/>
      <c r="K39" s="1099"/>
      <c r="L39" s="1099"/>
      <c r="M39" s="1099"/>
      <c r="N39" s="1099"/>
    </row>
    <row r="40" spans="4:76" ht="15">
      <c r="D40" s="252"/>
      <c r="E40" s="246" t="str">
        <f>TRA_BAL!C38</f>
        <v>Benzin</v>
      </c>
      <c r="F40" s="255">
        <f>TRA_BAL!D38</f>
        <v>2424</v>
      </c>
      <c r="G40" s="255">
        <f>TRA_BAL!E38</f>
        <v>1949</v>
      </c>
      <c r="H40" s="255">
        <f>TRA_BAL!F38</f>
        <v>1582</v>
      </c>
      <c r="I40" s="1096"/>
      <c r="J40" s="1096"/>
      <c r="K40" s="1096"/>
      <c r="L40" s="1096"/>
      <c r="M40" s="1096"/>
      <c r="N40" s="1096"/>
    </row>
    <row r="41" spans="4:76" ht="15">
      <c r="D41" s="252"/>
      <c r="E41" s="246" t="str">
        <f>TRA_BAL!C39</f>
        <v xml:space="preserve">Diesel </v>
      </c>
      <c r="F41" s="255">
        <f>TRA_BAL!D39</f>
        <v>27623</v>
      </c>
      <c r="G41" s="255">
        <f>TRA_BAL!E39</f>
        <v>24828</v>
      </c>
      <c r="H41" s="255">
        <f>TRA_BAL!F39</f>
        <v>22508</v>
      </c>
      <c r="I41" s="1096"/>
      <c r="J41" s="1096"/>
      <c r="K41" s="1096"/>
      <c r="L41" s="1096"/>
      <c r="M41" s="1096"/>
      <c r="N41" s="1096"/>
    </row>
    <row r="42" spans="4:76" ht="15">
      <c r="D42" s="252"/>
      <c r="E42" s="246" t="str">
        <f>TRA_BAL!C40</f>
        <v>Naturgas</v>
      </c>
      <c r="F42" s="255">
        <f>TRA_BAL!D40</f>
        <v>0</v>
      </c>
      <c r="G42" s="255">
        <f>TRA_BAL!E40</f>
        <v>0</v>
      </c>
      <c r="H42" s="255">
        <f>TRA_BAL!F40</f>
        <v>0</v>
      </c>
      <c r="I42" s="1096"/>
      <c r="J42" s="1096"/>
      <c r="K42" s="1096"/>
      <c r="L42" s="1096"/>
      <c r="M42" s="1096"/>
      <c r="N42" s="1096"/>
    </row>
    <row r="43" spans="4:76" ht="15">
      <c r="D43" s="252"/>
      <c r="E43" s="246" t="str">
        <f>TRA_BAL!C41</f>
        <v>Biogas</v>
      </c>
      <c r="F43" s="255">
        <f>TRA_BAL!D41</f>
        <v>0</v>
      </c>
      <c r="G43" s="255">
        <f>TRA_BAL!E41</f>
        <v>0</v>
      </c>
      <c r="H43" s="255">
        <f>TRA_BAL!F41</f>
        <v>0</v>
      </c>
      <c r="I43" s="1096"/>
      <c r="J43" s="1096"/>
      <c r="K43" s="1096"/>
      <c r="L43" s="1096"/>
      <c r="M43" s="1096"/>
      <c r="N43" s="1096"/>
    </row>
    <row r="44" spans="4:76" ht="15">
      <c r="D44" s="252"/>
      <c r="E44" s="246" t="str">
        <f>TRA_BAL!C42</f>
        <v xml:space="preserve">Bioethanol </v>
      </c>
      <c r="F44" s="255">
        <f>TRA_BAL!D42</f>
        <v>40</v>
      </c>
      <c r="G44" s="255">
        <f>TRA_BAL!E42</f>
        <v>66</v>
      </c>
      <c r="H44" s="255">
        <f>TRA_BAL!F42</f>
        <v>53</v>
      </c>
      <c r="I44" s="1096"/>
      <c r="J44" s="1096"/>
      <c r="K44" s="1096"/>
      <c r="L44" s="1096"/>
      <c r="M44" s="1096"/>
      <c r="N44" s="1096"/>
    </row>
    <row r="45" spans="4:76" ht="15">
      <c r="D45" s="252"/>
      <c r="E45" s="246" t="str">
        <f>TRA_BAL!C43</f>
        <v>Biodiesel</v>
      </c>
      <c r="F45" s="255">
        <f>TRA_BAL!D43</f>
        <v>5</v>
      </c>
      <c r="G45" s="255">
        <f>TRA_BAL!E43</f>
        <v>951</v>
      </c>
      <c r="H45" s="255">
        <f>TRA_BAL!F43</f>
        <v>1685</v>
      </c>
      <c r="I45" s="1096"/>
      <c r="J45" s="1096"/>
      <c r="K45" s="1096"/>
      <c r="L45" s="1096"/>
      <c r="M45" s="1096"/>
      <c r="N45" s="1096"/>
    </row>
    <row r="46" spans="4:76" ht="20.25">
      <c r="D46" s="252"/>
      <c r="E46" s="246" t="str">
        <f>TRA_BAL!C44</f>
        <v xml:space="preserve">Elektricitet </v>
      </c>
      <c r="F46" s="255">
        <f>TRA_BAL!D44</f>
        <v>0</v>
      </c>
      <c r="G46" s="255">
        <f>TRA_BAL!E44</f>
        <v>0</v>
      </c>
      <c r="H46" s="255">
        <f>TRA_BAL!F44</f>
        <v>0</v>
      </c>
      <c r="I46" s="1096"/>
      <c r="J46" s="1096"/>
      <c r="K46" s="1096"/>
      <c r="L46" s="1096"/>
      <c r="M46" s="1096"/>
      <c r="N46" s="1096"/>
      <c r="P46" s="298" t="s">
        <v>439</v>
      </c>
      <c r="Q46" s="297"/>
      <c r="R46" s="297"/>
      <c r="S46" s="297"/>
      <c r="T46" s="297"/>
      <c r="U46" s="297"/>
      <c r="V46" s="297"/>
      <c r="W46" s="297"/>
      <c r="X46" s="297"/>
      <c r="Y46" s="297"/>
      <c r="Z46" s="297"/>
      <c r="AA46" s="298"/>
      <c r="AB46" s="298"/>
      <c r="AC46" s="297"/>
      <c r="AD46" s="297"/>
      <c r="AE46" s="297"/>
      <c r="AF46" s="297"/>
      <c r="AG46" s="297"/>
      <c r="AH46" s="297"/>
      <c r="AI46" s="297"/>
      <c r="AJ46" s="297"/>
      <c r="AK46" s="297"/>
      <c r="AL46" s="297"/>
      <c r="AM46" s="297"/>
      <c r="AN46" s="297"/>
      <c r="AO46" s="297"/>
      <c r="AP46" s="297"/>
      <c r="AQ46" s="297"/>
      <c r="AR46" s="297"/>
      <c r="AS46" s="297"/>
      <c r="AT46" s="297"/>
      <c r="AU46" s="297"/>
      <c r="AV46" s="297"/>
      <c r="AW46" s="297"/>
      <c r="AX46" s="297"/>
      <c r="AY46" s="297"/>
      <c r="AZ46" s="297"/>
      <c r="BA46" s="297"/>
      <c r="BB46" s="297"/>
      <c r="BC46" s="297"/>
      <c r="BD46" s="297"/>
      <c r="BE46" s="297"/>
      <c r="BF46" s="297"/>
      <c r="BG46" s="297"/>
      <c r="BH46" s="297"/>
      <c r="BI46" s="297"/>
      <c r="BJ46" s="297"/>
      <c r="BK46" s="297"/>
      <c r="BL46" s="297"/>
      <c r="BM46" s="297"/>
      <c r="BN46" s="297"/>
      <c r="BO46" s="297"/>
      <c r="BP46" s="297"/>
      <c r="BQ46" s="297"/>
      <c r="BR46" s="297"/>
      <c r="BS46" s="297"/>
      <c r="BT46" s="297"/>
      <c r="BU46" s="297"/>
      <c r="BV46" s="297"/>
      <c r="BW46" s="297"/>
      <c r="BX46" s="297"/>
    </row>
    <row r="47" spans="4:76" ht="15">
      <c r="D47" s="252"/>
      <c r="E47" s="246" t="str">
        <f>TRA_BAL!C45</f>
        <v>Brint</v>
      </c>
      <c r="F47" s="255">
        <f>TRA_BAL!D45</f>
        <v>0</v>
      </c>
      <c r="G47" s="255">
        <f>TRA_BAL!E45</f>
        <v>0</v>
      </c>
      <c r="H47" s="255">
        <f>TRA_BAL!F45</f>
        <v>0</v>
      </c>
      <c r="I47" s="1096"/>
      <c r="J47" s="1096"/>
      <c r="K47" s="1096"/>
      <c r="L47" s="1096"/>
      <c r="M47" s="1096"/>
      <c r="N47" s="1096"/>
      <c r="P47" s="299"/>
      <c r="Q47" s="299"/>
      <c r="R47" s="299"/>
      <c r="S47" s="299"/>
      <c r="T47" s="299"/>
      <c r="U47" s="299"/>
      <c r="V47" s="299"/>
      <c r="W47" s="299"/>
      <c r="X47" s="299"/>
      <c r="Y47" s="299"/>
      <c r="Z47" s="299"/>
      <c r="AA47" s="299"/>
      <c r="AB47" s="299"/>
      <c r="AC47" s="299"/>
      <c r="AD47" s="300"/>
      <c r="AE47" s="300"/>
      <c r="AF47" s="300"/>
      <c r="AG47" s="300"/>
      <c r="AH47" s="300"/>
      <c r="AI47" s="300"/>
      <c r="AJ47" s="300"/>
      <c r="AK47" s="300"/>
      <c r="AL47" s="300"/>
      <c r="AM47" s="300"/>
      <c r="AN47" s="300"/>
      <c r="AO47" s="300"/>
      <c r="AP47" s="300"/>
      <c r="AQ47" s="300"/>
      <c r="AR47" s="300"/>
      <c r="AS47" s="300"/>
      <c r="AT47" s="300"/>
      <c r="AU47" s="300"/>
      <c r="AV47" s="300"/>
      <c r="AW47" s="300"/>
      <c r="AX47" s="300"/>
      <c r="AY47" s="300"/>
      <c r="AZ47" s="300"/>
      <c r="BA47" s="300"/>
      <c r="BB47" s="300"/>
      <c r="BC47" s="300"/>
      <c r="BD47" s="300"/>
      <c r="BE47" s="300"/>
      <c r="BF47" s="300"/>
      <c r="BG47" s="300"/>
      <c r="BH47" s="300"/>
      <c r="BI47" s="300"/>
      <c r="BJ47" s="300"/>
      <c r="BK47" s="300"/>
      <c r="BL47" s="300"/>
      <c r="BM47" s="300"/>
      <c r="BN47" s="300"/>
      <c r="BO47" s="300"/>
      <c r="BP47" s="301"/>
      <c r="BQ47" s="299"/>
      <c r="BR47" s="299"/>
      <c r="BS47" s="299"/>
      <c r="BT47" s="299"/>
      <c r="BU47" s="299"/>
      <c r="BV47" s="299"/>
      <c r="BW47" s="299"/>
      <c r="BX47" s="299"/>
    </row>
    <row r="48" spans="4:76" ht="18.75" thickBot="1">
      <c r="D48" s="1094" t="str">
        <f>TRA_BAL!B46</f>
        <v>Små lastbiler 3,5-6 t</v>
      </c>
      <c r="E48" s="1097"/>
      <c r="F48" s="1098">
        <f>TRA_BAL!D46</f>
        <v>234</v>
      </c>
      <c r="G48" s="1098">
        <f>TRA_BAL!E46</f>
        <v>210</v>
      </c>
      <c r="H48" s="1098">
        <f>TRA_BAL!F46</f>
        <v>193</v>
      </c>
      <c r="I48" s="1099"/>
      <c r="J48" s="1099"/>
      <c r="K48" s="1099"/>
      <c r="L48" s="1099"/>
      <c r="M48" s="1099"/>
      <c r="N48" s="1099"/>
      <c r="P48" s="302" t="s">
        <v>440</v>
      </c>
      <c r="Q48" s="299"/>
      <c r="R48" s="299"/>
      <c r="S48" s="299"/>
      <c r="T48" s="299"/>
      <c r="U48" s="299"/>
      <c r="V48" s="299"/>
      <c r="W48" s="299"/>
      <c r="X48" s="299"/>
      <c r="Y48" s="299"/>
      <c r="Z48" s="299"/>
      <c r="AA48" s="299"/>
      <c r="AB48" s="299"/>
      <c r="AC48" s="299"/>
      <c r="AD48" s="303"/>
      <c r="AE48" s="303"/>
      <c r="AF48" s="303"/>
      <c r="AG48" s="303"/>
      <c r="AH48" s="303"/>
      <c r="AI48" s="303"/>
      <c r="AJ48" s="303"/>
      <c r="AK48" s="303"/>
      <c r="AL48" s="303"/>
      <c r="AM48" s="303"/>
      <c r="AN48" s="303"/>
      <c r="AO48" s="303"/>
      <c r="AP48" s="303"/>
      <c r="AQ48" s="303"/>
      <c r="AR48" s="303"/>
      <c r="AS48" s="303"/>
      <c r="AT48" s="303"/>
      <c r="AU48" s="303"/>
      <c r="AV48" s="303"/>
      <c r="AW48" s="303"/>
      <c r="AX48" s="303"/>
      <c r="AY48" s="303"/>
      <c r="AZ48" s="303"/>
      <c r="BA48" s="303"/>
      <c r="BB48" s="303"/>
      <c r="BC48" s="303"/>
      <c r="BD48" s="304"/>
      <c r="BE48" s="304"/>
      <c r="BF48" s="304"/>
      <c r="BG48" s="304"/>
      <c r="BH48" s="304"/>
      <c r="BI48" s="304"/>
      <c r="BJ48" s="304"/>
      <c r="BK48" s="304"/>
      <c r="BL48" s="1100"/>
      <c r="BM48" s="304"/>
      <c r="BN48" s="304"/>
      <c r="BO48" s="304"/>
      <c r="BP48" s="1101"/>
      <c r="BQ48" s="1102"/>
      <c r="BR48" s="299"/>
      <c r="BS48" s="299"/>
      <c r="BT48" s="299"/>
      <c r="BU48" s="299"/>
      <c r="BV48" s="299"/>
      <c r="BW48" s="299"/>
      <c r="BX48" s="299"/>
    </row>
    <row r="49" spans="4:76" ht="15">
      <c r="D49" s="252">
        <f>TRA_BAL!B47</f>
        <v>0</v>
      </c>
      <c r="E49" s="246" t="str">
        <f>TRA_BAL!C47</f>
        <v xml:space="preserve">Diesel </v>
      </c>
      <c r="F49" s="255">
        <f>TRA_BAL!D47</f>
        <v>234</v>
      </c>
      <c r="G49" s="255">
        <f>TRA_BAL!E47</f>
        <v>203</v>
      </c>
      <c r="H49" s="255">
        <f>TRA_BAL!F47</f>
        <v>180</v>
      </c>
      <c r="I49" s="1096"/>
      <c r="J49" s="1096"/>
      <c r="K49" s="1096"/>
      <c r="L49" s="1096"/>
      <c r="M49" s="1096"/>
      <c r="N49" s="1096"/>
      <c r="P49" s="308" t="s">
        <v>410</v>
      </c>
      <c r="Q49" s="309" t="s">
        <v>411</v>
      </c>
      <c r="R49" s="309"/>
      <c r="S49" s="309"/>
      <c r="T49" s="309"/>
      <c r="U49" s="309"/>
      <c r="V49" s="309"/>
      <c r="W49" s="309"/>
      <c r="X49" s="309"/>
      <c r="Y49" s="309"/>
      <c r="Z49" s="309"/>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0"/>
      <c r="BC49" s="310"/>
      <c r="BD49" s="310"/>
      <c r="BE49" s="310"/>
      <c r="BF49" s="310"/>
      <c r="BG49" s="310"/>
      <c r="BH49" s="310"/>
      <c r="BI49" s="310"/>
      <c r="BJ49" s="310"/>
      <c r="BK49" s="310"/>
      <c r="BL49" s="310"/>
      <c r="BM49" s="311"/>
      <c r="BN49" s="311"/>
      <c r="BO49" s="310"/>
      <c r="BP49" s="310"/>
      <c r="BQ49" s="310"/>
      <c r="BR49" s="310"/>
      <c r="BS49" s="310"/>
      <c r="BT49" s="310"/>
      <c r="BU49" s="310"/>
      <c r="BV49" s="310"/>
      <c r="BW49" s="310"/>
      <c r="BX49" s="312"/>
    </row>
    <row r="50" spans="4:76" ht="15">
      <c r="D50" s="252">
        <f>TRA_BAL!B48</f>
        <v>0</v>
      </c>
      <c r="E50" s="246" t="str">
        <f>TRA_BAL!C48</f>
        <v>Naturgas</v>
      </c>
      <c r="F50" s="255">
        <f>TRA_BAL!D48</f>
        <v>0</v>
      </c>
      <c r="G50" s="255">
        <f>TRA_BAL!E48</f>
        <v>0</v>
      </c>
      <c r="H50" s="255">
        <f>TRA_BAL!F48</f>
        <v>0</v>
      </c>
      <c r="I50" s="1096"/>
      <c r="J50" s="1096"/>
      <c r="K50" s="1096"/>
      <c r="L50" s="1096"/>
      <c r="M50" s="1096"/>
      <c r="N50" s="1096"/>
      <c r="P50" s="313" t="s">
        <v>412</v>
      </c>
      <c r="Q50" s="314" t="s">
        <v>413</v>
      </c>
      <c r="R50" s="1287"/>
      <c r="S50" s="1287"/>
      <c r="T50" s="1287"/>
      <c r="U50" s="1287"/>
      <c r="V50" s="1287"/>
      <c r="W50" s="1287"/>
      <c r="X50" s="1287"/>
      <c r="Y50" s="1287"/>
      <c r="Z50" s="1287"/>
      <c r="AA50" s="315">
        <v>1972</v>
      </c>
      <c r="AB50" s="315">
        <v>1973</v>
      </c>
      <c r="AC50" s="315">
        <v>1974</v>
      </c>
      <c r="AD50" s="315">
        <v>1975</v>
      </c>
      <c r="AE50" s="315">
        <v>1976</v>
      </c>
      <c r="AF50" s="315">
        <v>1977</v>
      </c>
      <c r="AG50" s="315">
        <v>1978</v>
      </c>
      <c r="AH50" s="315">
        <v>1979</v>
      </c>
      <c r="AI50" s="315">
        <v>1980</v>
      </c>
      <c r="AJ50" s="315"/>
      <c r="AK50" s="315"/>
      <c r="AL50" s="315"/>
      <c r="AM50" s="315"/>
      <c r="AN50" s="315">
        <v>1981</v>
      </c>
      <c r="AO50" s="315">
        <v>1982</v>
      </c>
      <c r="AP50" s="315">
        <v>1983</v>
      </c>
      <c r="AQ50" s="315">
        <v>1984</v>
      </c>
      <c r="AR50" s="315">
        <v>1985</v>
      </c>
      <c r="AS50" s="315">
        <v>1986</v>
      </c>
      <c r="AT50" s="315">
        <v>1987</v>
      </c>
      <c r="AU50" s="315">
        <v>1988</v>
      </c>
      <c r="AV50" s="315">
        <v>1989</v>
      </c>
      <c r="AW50" s="315">
        <v>1990</v>
      </c>
      <c r="AX50" s="315">
        <v>1991</v>
      </c>
      <c r="AY50" s="315">
        <v>1992</v>
      </c>
      <c r="AZ50" s="315">
        <v>1993</v>
      </c>
      <c r="BA50" s="315">
        <v>1994</v>
      </c>
      <c r="BB50" s="315">
        <v>1995</v>
      </c>
      <c r="BC50" s="315">
        <v>1996</v>
      </c>
      <c r="BD50" s="315">
        <v>1997</v>
      </c>
      <c r="BE50" s="315">
        <v>1998</v>
      </c>
      <c r="BF50" s="315">
        <v>1999</v>
      </c>
      <c r="BG50" s="315">
        <v>2000</v>
      </c>
      <c r="BH50" s="315">
        <v>2001</v>
      </c>
      <c r="BI50" s="315"/>
      <c r="BJ50" s="315">
        <v>2002</v>
      </c>
      <c r="BK50" s="315">
        <v>2003</v>
      </c>
      <c r="BL50" s="315">
        <v>2004</v>
      </c>
      <c r="BM50" s="315">
        <v>2005</v>
      </c>
      <c r="BN50" s="315">
        <v>2006</v>
      </c>
      <c r="BO50" s="315">
        <v>2007</v>
      </c>
      <c r="BP50" s="315">
        <v>2008</v>
      </c>
      <c r="BQ50" s="315">
        <v>2009</v>
      </c>
      <c r="BR50" s="315">
        <v>2010</v>
      </c>
      <c r="BS50" s="315">
        <v>2011</v>
      </c>
      <c r="BT50" s="315">
        <v>2012</v>
      </c>
      <c r="BU50" s="315">
        <v>2013</v>
      </c>
      <c r="BV50" s="315">
        <v>2014</v>
      </c>
      <c r="BW50" s="315">
        <v>2015</v>
      </c>
      <c r="BX50" s="316">
        <v>2016</v>
      </c>
    </row>
    <row r="51" spans="4:76" ht="15">
      <c r="D51" s="252">
        <f>TRA_BAL!B49</f>
        <v>0</v>
      </c>
      <c r="E51" s="246" t="str">
        <f>TRA_BAL!C49</f>
        <v>Biogas</v>
      </c>
      <c r="F51" s="255">
        <f>TRA_BAL!D49</f>
        <v>0</v>
      </c>
      <c r="G51" s="255">
        <f>TRA_BAL!E49</f>
        <v>0</v>
      </c>
      <c r="H51" s="255">
        <f>TRA_BAL!F49</f>
        <v>0</v>
      </c>
      <c r="I51" s="1096"/>
      <c r="J51" s="1096"/>
      <c r="K51" s="1096"/>
      <c r="L51" s="1096"/>
      <c r="M51" s="1096"/>
      <c r="N51" s="1096"/>
      <c r="P51" s="336" t="s">
        <v>392</v>
      </c>
      <c r="Q51" s="1103" t="s">
        <v>53</v>
      </c>
      <c r="R51" s="1288"/>
      <c r="S51" s="1288"/>
      <c r="T51" s="1288"/>
      <c r="U51" s="1288"/>
      <c r="V51" s="1288"/>
      <c r="W51" s="1288"/>
      <c r="X51" s="1288"/>
      <c r="Y51" s="1288"/>
      <c r="Z51" s="1288"/>
      <c r="AA51" s="1104" t="e">
        <v>#NULL!</v>
      </c>
      <c r="AB51" s="1104" t="e">
        <v>#NULL!</v>
      </c>
      <c r="AC51" s="1104" t="e">
        <v>#NULL!</v>
      </c>
      <c r="AD51" s="1104" t="e">
        <v>#NULL!</v>
      </c>
      <c r="AE51" s="1104" t="e">
        <v>#NULL!</v>
      </c>
      <c r="AF51" s="1104" t="e">
        <v>#NULL!</v>
      </c>
      <c r="AG51" s="1104" t="e">
        <v>#NULL!</v>
      </c>
      <c r="AH51" s="1104" t="e">
        <v>#NULL!</v>
      </c>
      <c r="AI51" s="1104" t="e">
        <v>#NULL!</v>
      </c>
      <c r="AJ51" s="1104"/>
      <c r="AK51" s="1104"/>
      <c r="AL51" s="1104"/>
      <c r="AM51" s="1104"/>
      <c r="AN51" s="1104" t="e">
        <v>#NULL!</v>
      </c>
      <c r="AO51" s="1104" t="e">
        <v>#NULL!</v>
      </c>
      <c r="AP51" s="1104" t="e">
        <v>#NULL!</v>
      </c>
      <c r="AQ51" s="1104" t="e">
        <v>#NULL!</v>
      </c>
      <c r="AR51" s="1104" t="e">
        <v>#NULL!</v>
      </c>
      <c r="AS51" s="1104" t="e">
        <v>#NULL!</v>
      </c>
      <c r="AT51" s="1104" t="e">
        <v>#NULL!</v>
      </c>
      <c r="AU51" s="1104" t="e">
        <v>#NULL!</v>
      </c>
      <c r="AV51" s="1104" t="e">
        <v>#NULL!</v>
      </c>
      <c r="AW51" s="1104" t="e">
        <v>#NULL!</v>
      </c>
      <c r="AX51" s="1104" t="e">
        <v>#NULL!</v>
      </c>
      <c r="AY51" s="1104" t="e">
        <v>#NULL!</v>
      </c>
      <c r="AZ51" s="1104" t="e">
        <v>#NULL!</v>
      </c>
      <c r="BA51" s="1104" t="e">
        <v>#NULL!</v>
      </c>
      <c r="BB51" s="1104" t="e">
        <v>#NULL!</v>
      </c>
      <c r="BC51" s="1104" t="e">
        <v>#NULL!</v>
      </c>
      <c r="BD51" s="1104" t="e">
        <v>#NULL!</v>
      </c>
      <c r="BE51" s="1104" t="e">
        <v>#NULL!</v>
      </c>
      <c r="BF51" s="1104" t="e">
        <v>#NULL!</v>
      </c>
      <c r="BG51" s="1104" t="e">
        <v>#NULL!</v>
      </c>
      <c r="BH51" s="1104" t="e">
        <v>#NULL!</v>
      </c>
      <c r="BI51" s="1104"/>
      <c r="BJ51" s="1104" t="e">
        <v>#NULL!</v>
      </c>
      <c r="BK51" s="1104" t="e">
        <v>#NULL!</v>
      </c>
      <c r="BL51" s="1104" t="e">
        <v>#NULL!</v>
      </c>
      <c r="BM51" s="1104" t="e">
        <v>#NULL!</v>
      </c>
      <c r="BN51" s="1104" t="e">
        <v>#NULL!</v>
      </c>
      <c r="BO51" s="1104" t="e">
        <v>#NULL!</v>
      </c>
      <c r="BP51" s="1104" t="e">
        <v>#NULL!</v>
      </c>
      <c r="BQ51" s="1104" t="e">
        <v>#NULL!</v>
      </c>
      <c r="BR51" s="1104" t="e">
        <v>#NULL!</v>
      </c>
      <c r="BS51" s="1104" t="e">
        <v>#NULL!</v>
      </c>
      <c r="BT51" s="1104" t="e">
        <v>#NULL!</v>
      </c>
      <c r="BU51" s="1104" t="e">
        <v>#NULL!</v>
      </c>
      <c r="BV51" s="1104" t="e">
        <v>#NULL!</v>
      </c>
      <c r="BW51" s="1104" t="e">
        <v>#NULL!</v>
      </c>
      <c r="BX51" s="1105" t="e">
        <v>#NULL!</v>
      </c>
    </row>
    <row r="52" spans="4:76" ht="15">
      <c r="D52" s="252">
        <f>TRA_BAL!B50</f>
        <v>0</v>
      </c>
      <c r="E52" s="246" t="str">
        <f>TRA_BAL!C50</f>
        <v>Biodiesel</v>
      </c>
      <c r="F52" s="255">
        <f>TRA_BAL!D50</f>
        <v>0</v>
      </c>
      <c r="G52" s="255">
        <f>TRA_BAL!E50</f>
        <v>8</v>
      </c>
      <c r="H52" s="255">
        <f>TRA_BAL!F50</f>
        <v>13</v>
      </c>
      <c r="I52" s="1096"/>
      <c r="J52" s="1096"/>
      <c r="K52" s="1096"/>
      <c r="L52" s="1096"/>
      <c r="M52" s="1096"/>
      <c r="N52" s="1096"/>
      <c r="P52" s="1106"/>
      <c r="Q52" s="1103" t="s">
        <v>382</v>
      </c>
      <c r="R52" s="1288"/>
      <c r="S52" s="1288"/>
      <c r="T52" s="1288"/>
      <c r="U52" s="1288"/>
      <c r="V52" s="1288"/>
      <c r="W52" s="1288"/>
      <c r="X52" s="1288"/>
      <c r="Y52" s="1288"/>
      <c r="Z52" s="1288"/>
      <c r="AA52" s="1107">
        <v>3.9785890992953599</v>
      </c>
      <c r="AB52" s="1107">
        <v>3.9686934806278695</v>
      </c>
      <c r="AC52" s="1107">
        <v>3.9587978619603752</v>
      </c>
      <c r="AD52" s="1107">
        <v>3.9489022432928849</v>
      </c>
      <c r="AE52" s="1107">
        <v>3.9390066246253905</v>
      </c>
      <c r="AF52" s="1107">
        <v>3.9291110059578993</v>
      </c>
      <c r="AG52" s="1107">
        <v>3.919215387290405</v>
      </c>
      <c r="AH52" s="1107">
        <v>3.9093197686229146</v>
      </c>
      <c r="AI52" s="1107">
        <v>3.8994241499554203</v>
      </c>
      <c r="AJ52" s="1107"/>
      <c r="AK52" s="1107"/>
      <c r="AL52" s="1107"/>
      <c r="AM52" s="1107"/>
      <c r="AN52" s="1107">
        <v>3.88952853128793</v>
      </c>
      <c r="AO52" s="1107">
        <v>3.8796329126204347</v>
      </c>
      <c r="AP52" s="1107">
        <v>3.8697372939529444</v>
      </c>
      <c r="AQ52" s="1107">
        <v>3.8598416752854501</v>
      </c>
      <c r="AR52" s="1107">
        <v>3.8270256362628738</v>
      </c>
      <c r="AS52" s="1107">
        <v>3.8215167266266707</v>
      </c>
      <c r="AT52" s="1107">
        <v>3.8265164093217132</v>
      </c>
      <c r="AU52" s="1107">
        <v>3.8036011969694394</v>
      </c>
      <c r="AV52" s="1107">
        <v>3.7963794330766016</v>
      </c>
      <c r="AW52" s="1107">
        <v>3.7947360188573982</v>
      </c>
      <c r="AX52" s="1107">
        <v>3.8101285604879656</v>
      </c>
      <c r="AY52" s="1107">
        <v>3.8015642892047916</v>
      </c>
      <c r="AZ52" s="1107">
        <v>3.8169105374770731</v>
      </c>
      <c r="BA52" s="1107">
        <v>3.8061936250335342</v>
      </c>
      <c r="BB52" s="1107">
        <v>3.7921204441141585</v>
      </c>
      <c r="BC52" s="1107">
        <v>3.7699922188527712</v>
      </c>
      <c r="BD52" s="1107">
        <v>3.7118940542020562</v>
      </c>
      <c r="BE52" s="1107">
        <v>3.682868118555843</v>
      </c>
      <c r="BF52" s="1107">
        <v>3.6487036201397256</v>
      </c>
      <c r="BG52" s="1107">
        <v>3.6203952315469667</v>
      </c>
      <c r="BH52" s="1107">
        <v>3.5860842670098716</v>
      </c>
      <c r="BI52" s="1107"/>
      <c r="BJ52" s="1107">
        <v>3.5539903247238414</v>
      </c>
      <c r="BK52" s="1107">
        <v>3.5244515376952066</v>
      </c>
      <c r="BL52" s="1107">
        <v>3.4970709435518348</v>
      </c>
      <c r="BM52" s="1107">
        <v>3.5382999072594834</v>
      </c>
      <c r="BN52" s="1107">
        <v>3.5831889316689947</v>
      </c>
      <c r="BO52" s="1107">
        <v>3.6268912165608995</v>
      </c>
      <c r="BP52" s="1107">
        <v>3.6617091648197642</v>
      </c>
      <c r="BQ52" s="1107">
        <v>3.6837022080998669</v>
      </c>
      <c r="BR52" s="1107">
        <v>3.6959895320082317</v>
      </c>
      <c r="BS52" s="1107">
        <v>3.7078085520560391</v>
      </c>
      <c r="BT52" s="1107">
        <v>3.7239730562483446</v>
      </c>
      <c r="BU52" s="1108">
        <v>3.7239730562483446</v>
      </c>
      <c r="BV52" s="1108" t="e">
        <v>#NULL!</v>
      </c>
      <c r="BW52" s="1108" t="e">
        <v>#NULL!</v>
      </c>
      <c r="BX52" s="1109" t="e">
        <v>#NULL!</v>
      </c>
    </row>
    <row r="53" spans="4:76" ht="15">
      <c r="D53" s="252">
        <f>TRA_BAL!B51</f>
        <v>0</v>
      </c>
      <c r="E53" s="246" t="str">
        <f>TRA_BAL!C51</f>
        <v xml:space="preserve">Elektricitet </v>
      </c>
      <c r="F53" s="255">
        <f>TRA_BAL!D51</f>
        <v>0</v>
      </c>
      <c r="G53" s="255">
        <f>TRA_BAL!E51</f>
        <v>0</v>
      </c>
      <c r="H53" s="255">
        <f>TRA_BAL!F51</f>
        <v>0</v>
      </c>
      <c r="I53" s="1096"/>
      <c r="J53" s="1096"/>
      <c r="K53" s="1096"/>
      <c r="L53" s="1096"/>
      <c r="M53" s="1096"/>
      <c r="N53" s="1096"/>
      <c r="P53" s="1106"/>
      <c r="Q53" s="1103" t="s">
        <v>383</v>
      </c>
      <c r="R53" s="1288"/>
      <c r="S53" s="1288"/>
      <c r="T53" s="1288"/>
      <c r="U53" s="1288"/>
      <c r="V53" s="1288"/>
      <c r="W53" s="1288"/>
      <c r="X53" s="1288"/>
      <c r="Y53" s="1288"/>
      <c r="Z53" s="1288"/>
      <c r="AA53" s="1107">
        <v>3.3405700886202738</v>
      </c>
      <c r="AB53" s="1107">
        <v>3.3322613623597848</v>
      </c>
      <c r="AC53" s="1107">
        <v>3.3239526360992926</v>
      </c>
      <c r="AD53" s="1107">
        <v>3.3156439098388035</v>
      </c>
      <c r="AE53" s="1107">
        <v>3.3073351835783109</v>
      </c>
      <c r="AF53" s="1107">
        <v>3.2990264573178214</v>
      </c>
      <c r="AG53" s="1107">
        <v>3.2907177310573292</v>
      </c>
      <c r="AH53" s="1107">
        <v>3.2824090047968402</v>
      </c>
      <c r="AI53" s="1107">
        <v>3.2741002785363476</v>
      </c>
      <c r="AJ53" s="1107"/>
      <c r="AK53" s="1107"/>
      <c r="AL53" s="1107"/>
      <c r="AM53" s="1107"/>
      <c r="AN53" s="1107">
        <v>3.2657915522758585</v>
      </c>
      <c r="AO53" s="1107">
        <v>3.2574828260153654</v>
      </c>
      <c r="AP53" s="1107">
        <v>3.2491740997548764</v>
      </c>
      <c r="AQ53" s="1107">
        <v>3.2408653734943842</v>
      </c>
      <c r="AR53" s="1107">
        <v>3.2133118172839104</v>
      </c>
      <c r="AS53" s="1107">
        <v>3.208686333653326</v>
      </c>
      <c r="AT53" s="1107">
        <v>3.2128842515701597</v>
      </c>
      <c r="AU53" s="1107">
        <v>3.1936437944513418</v>
      </c>
      <c r="AV53" s="1107">
        <v>3.187580135238139</v>
      </c>
      <c r="AW53" s="1107">
        <v>3.1862002640710316</v>
      </c>
      <c r="AX53" s="1107">
        <v>3.1991244095094289</v>
      </c>
      <c r="AY53" s="1107">
        <v>3.1919335315963351</v>
      </c>
      <c r="AZ53" s="1107">
        <v>3.2048188074243922</v>
      </c>
      <c r="BA53" s="1107">
        <v>3.1958204926304399</v>
      </c>
      <c r="BB53" s="1107">
        <v>3.1840041310867622</v>
      </c>
      <c r="BC53" s="1107">
        <v>3.1654244573437427</v>
      </c>
      <c r="BD53" s="1107">
        <v>3.1166430963657299</v>
      </c>
      <c r="BE53" s="1107">
        <v>3.092271850681894</v>
      </c>
      <c r="BF53" s="1107">
        <v>3.0635860782502022</v>
      </c>
      <c r="BG53" s="1107">
        <v>3.0398173115266527</v>
      </c>
      <c r="BH53" s="1107">
        <v>3.0598193722970604</v>
      </c>
      <c r="BI53" s="1107"/>
      <c r="BJ53" s="1107">
        <v>3.0792638212402546</v>
      </c>
      <c r="BK53" s="1107">
        <v>3.0952220675800048</v>
      </c>
      <c r="BL53" s="1107">
        <v>3.1080663237364767</v>
      </c>
      <c r="BM53" s="1107">
        <v>3.120437115100632</v>
      </c>
      <c r="BN53" s="1107">
        <v>3.1316533673783447</v>
      </c>
      <c r="BO53" s="1107">
        <v>3.1399041335357207</v>
      </c>
      <c r="BP53" s="1107">
        <v>3.1455861705878672</v>
      </c>
      <c r="BQ53" s="1107">
        <v>3.1493436076641985</v>
      </c>
      <c r="BR53" s="1107">
        <v>3.1523120586358502</v>
      </c>
      <c r="BS53" s="1107">
        <v>3.1546211871613234</v>
      </c>
      <c r="BT53" s="1107">
        <v>3.1566675888938711</v>
      </c>
      <c r="BU53" s="1108">
        <v>3.1566675888938711</v>
      </c>
      <c r="BV53" s="1108" t="e">
        <v>#NULL!</v>
      </c>
      <c r="BW53" s="1108" t="e">
        <v>#NULL!</v>
      </c>
      <c r="BX53" s="1109" t="e">
        <v>#NULL!</v>
      </c>
    </row>
    <row r="54" spans="4:76" ht="15">
      <c r="D54" s="252">
        <f>TRA_BAL!B52</f>
        <v>0</v>
      </c>
      <c r="E54" s="246" t="str">
        <f>TRA_BAL!C52</f>
        <v>Brint</v>
      </c>
      <c r="F54" s="255">
        <f>TRA_BAL!D52</f>
        <v>0</v>
      </c>
      <c r="G54" s="255">
        <f>TRA_BAL!E52</f>
        <v>0</v>
      </c>
      <c r="H54" s="255">
        <f>TRA_BAL!F52</f>
        <v>0</v>
      </c>
      <c r="I54" s="1096"/>
      <c r="J54" s="1096"/>
      <c r="K54" s="1096"/>
      <c r="L54" s="1096"/>
      <c r="M54" s="1096"/>
      <c r="N54" s="1096"/>
      <c r="P54" s="1106"/>
      <c r="Q54" s="1103" t="s">
        <v>384</v>
      </c>
      <c r="R54" s="1288"/>
      <c r="S54" s="1288"/>
      <c r="T54" s="1288"/>
      <c r="U54" s="1288"/>
      <c r="V54" s="1288"/>
      <c r="W54" s="1288"/>
      <c r="X54" s="1288"/>
      <c r="Y54" s="1288"/>
      <c r="Z54" s="1288"/>
      <c r="AA54" s="1104"/>
      <c r="AB54" s="1104"/>
      <c r="AC54" s="1104"/>
      <c r="AD54" s="1104"/>
      <c r="AE54" s="1104"/>
      <c r="AF54" s="1104"/>
      <c r="AG54" s="1104"/>
      <c r="AH54" s="1104"/>
      <c r="AI54" s="1104"/>
      <c r="AJ54" s="1104"/>
      <c r="AK54" s="1104"/>
      <c r="AL54" s="1104"/>
      <c r="AM54" s="1104"/>
      <c r="AN54" s="1104"/>
      <c r="AO54" s="1104"/>
      <c r="AP54" s="1104"/>
      <c r="AQ54" s="1104"/>
      <c r="AR54" s="1104"/>
      <c r="AS54" s="1104"/>
      <c r="AT54" s="1104"/>
      <c r="AU54" s="1104"/>
      <c r="AV54" s="1104"/>
      <c r="AW54" s="1104"/>
      <c r="AX54" s="1104"/>
      <c r="AY54" s="1104"/>
      <c r="AZ54" s="1104"/>
      <c r="BA54" s="1104"/>
      <c r="BB54" s="1104"/>
      <c r="BC54" s="1104"/>
      <c r="BD54" s="1104"/>
      <c r="BE54" s="1104"/>
      <c r="BF54" s="1104"/>
      <c r="BG54" s="1104"/>
      <c r="BH54" s="1104"/>
      <c r="BI54" s="1104"/>
      <c r="BJ54" s="1104"/>
      <c r="BK54" s="1104"/>
      <c r="BL54" s="1104"/>
      <c r="BM54" s="1104"/>
      <c r="BN54" s="1104"/>
      <c r="BO54" s="1104"/>
      <c r="BP54" s="1104"/>
      <c r="BQ54" s="1104"/>
      <c r="BR54" s="1104"/>
      <c r="BS54" s="1104"/>
      <c r="BT54" s="1104"/>
      <c r="BU54" s="1104"/>
      <c r="BV54" s="1104"/>
      <c r="BW54" s="1104"/>
      <c r="BX54" s="1105"/>
    </row>
    <row r="55" spans="4:76" ht="15">
      <c r="D55" s="1094" t="str">
        <f>TRA_BAL!B53</f>
        <v>Lastbiler o. 6 t (inkl. sættevognstrækkere)</v>
      </c>
      <c r="E55" s="1097"/>
      <c r="F55" s="1098">
        <f>TRA_BAL!D53</f>
        <v>22970</v>
      </c>
      <c r="G55" s="1098">
        <f>TRA_BAL!E53</f>
        <v>23401</v>
      </c>
      <c r="H55" s="1098">
        <f>TRA_BAL!F53</f>
        <v>21528</v>
      </c>
      <c r="I55" s="1099"/>
      <c r="J55" s="1099"/>
      <c r="K55" s="1099"/>
      <c r="L55" s="1099"/>
      <c r="M55" s="1099"/>
      <c r="N55" s="1099"/>
      <c r="P55" s="1106"/>
      <c r="Q55" s="1103" t="s">
        <v>385</v>
      </c>
      <c r="R55" s="1288"/>
      <c r="S55" s="1288"/>
      <c r="T55" s="1288"/>
      <c r="U55" s="1288"/>
      <c r="V55" s="1288"/>
      <c r="W55" s="1288"/>
      <c r="X55" s="1288"/>
      <c r="Y55" s="1288"/>
      <c r="Z55" s="1288"/>
      <c r="AA55" s="1104"/>
      <c r="AB55" s="1104"/>
      <c r="AC55" s="1104"/>
      <c r="AD55" s="1104"/>
      <c r="AE55" s="1104"/>
      <c r="AF55" s="1104"/>
      <c r="AG55" s="1104"/>
      <c r="AH55" s="1104"/>
      <c r="AI55" s="1104"/>
      <c r="AJ55" s="1104"/>
      <c r="AK55" s="1104"/>
      <c r="AL55" s="1104"/>
      <c r="AM55" s="1104"/>
      <c r="AN55" s="1104"/>
      <c r="AO55" s="1104"/>
      <c r="AP55" s="1104"/>
      <c r="AQ55" s="1104"/>
      <c r="AR55" s="1104"/>
      <c r="AS55" s="1104"/>
      <c r="AT55" s="1104"/>
      <c r="AU55" s="1104"/>
      <c r="AV55" s="1104"/>
      <c r="AW55" s="1104"/>
      <c r="AX55" s="1104"/>
      <c r="AY55" s="1104"/>
      <c r="AZ55" s="1104"/>
      <c r="BA55" s="1104"/>
      <c r="BB55" s="1104"/>
      <c r="BC55" s="1104"/>
      <c r="BD55" s="1104"/>
      <c r="BE55" s="1104"/>
      <c r="BF55" s="1104"/>
      <c r="BG55" s="1104"/>
      <c r="BH55" s="1104"/>
      <c r="BI55" s="1104"/>
      <c r="BJ55" s="1104"/>
      <c r="BK55" s="1104"/>
      <c r="BL55" s="1104"/>
      <c r="BM55" s="1104"/>
      <c r="BN55" s="1104"/>
      <c r="BO55" s="1104"/>
      <c r="BP55" s="1104"/>
      <c r="BQ55" s="1104"/>
      <c r="BR55" s="1104"/>
      <c r="BS55" s="1104"/>
      <c r="BT55" s="1104"/>
      <c r="BU55" s="1104"/>
      <c r="BV55" s="1104"/>
      <c r="BW55" s="1104"/>
      <c r="BX55" s="1105"/>
    </row>
    <row r="56" spans="4:76" ht="15">
      <c r="D56" s="252">
        <f>TRA_BAL!B54</f>
        <v>0</v>
      </c>
      <c r="E56" s="246" t="str">
        <f>TRA_BAL!C54</f>
        <v xml:space="preserve">Diesel </v>
      </c>
      <c r="F56" s="255">
        <f>TRA_BAL!D54</f>
        <v>22966</v>
      </c>
      <c r="G56" s="255">
        <f>TRA_BAL!E54</f>
        <v>22538</v>
      </c>
      <c r="H56" s="255">
        <f>TRA_BAL!F54</f>
        <v>20029</v>
      </c>
      <c r="I56" s="1096"/>
      <c r="J56" s="1096"/>
      <c r="K56" s="1096"/>
      <c r="L56" s="1096"/>
      <c r="M56" s="1096"/>
      <c r="N56" s="1096"/>
      <c r="P56" s="1106"/>
      <c r="Q56" s="1103" t="s">
        <v>386</v>
      </c>
      <c r="R56" s="1288"/>
      <c r="S56" s="1288"/>
      <c r="T56" s="1288"/>
      <c r="U56" s="1288"/>
      <c r="V56" s="1288"/>
      <c r="W56" s="1288"/>
      <c r="X56" s="1288"/>
      <c r="Y56" s="1288"/>
      <c r="Z56" s="1288"/>
      <c r="AA56" s="1104"/>
      <c r="AB56" s="1104"/>
      <c r="AC56" s="1104"/>
      <c r="AD56" s="1104"/>
      <c r="AE56" s="1104"/>
      <c r="AF56" s="1104"/>
      <c r="AG56" s="1104"/>
      <c r="AH56" s="1104"/>
      <c r="AI56" s="1104"/>
      <c r="AJ56" s="1104"/>
      <c r="AK56" s="1104"/>
      <c r="AL56" s="1104"/>
      <c r="AM56" s="1104"/>
      <c r="AN56" s="1104"/>
      <c r="AO56" s="1104"/>
      <c r="AP56" s="1104"/>
      <c r="AQ56" s="1104"/>
      <c r="AR56" s="1104"/>
      <c r="AS56" s="1104"/>
      <c r="AT56" s="1104"/>
      <c r="AU56" s="1104"/>
      <c r="AV56" s="1104"/>
      <c r="AW56" s="1104"/>
      <c r="AX56" s="1104"/>
      <c r="AY56" s="1104"/>
      <c r="AZ56" s="1104"/>
      <c r="BA56" s="1104"/>
      <c r="BB56" s="1104"/>
      <c r="BC56" s="1104"/>
      <c r="BD56" s="1104"/>
      <c r="BE56" s="1104"/>
      <c r="BF56" s="1104"/>
      <c r="BG56" s="1104"/>
      <c r="BH56" s="1104"/>
      <c r="BI56" s="1104"/>
      <c r="BJ56" s="1104"/>
      <c r="BK56" s="1104"/>
      <c r="BL56" s="1104"/>
      <c r="BM56" s="1104"/>
      <c r="BN56" s="1104"/>
      <c r="BO56" s="1104"/>
      <c r="BP56" s="1104"/>
      <c r="BQ56" s="1104"/>
      <c r="BR56" s="1104"/>
      <c r="BS56" s="1104"/>
      <c r="BT56" s="1104"/>
      <c r="BU56" s="1104"/>
      <c r="BV56" s="1104"/>
      <c r="BW56" s="1104"/>
      <c r="BX56" s="1105"/>
    </row>
    <row r="57" spans="4:76" ht="15">
      <c r="D57" s="252">
        <f>TRA_BAL!B55</f>
        <v>0</v>
      </c>
      <c r="E57" s="246" t="str">
        <f>TRA_BAL!C55</f>
        <v>Naturgas</v>
      </c>
      <c r="F57" s="255">
        <f>TRA_BAL!D55</f>
        <v>0</v>
      </c>
      <c r="G57" s="255">
        <f>TRA_BAL!E55</f>
        <v>0</v>
      </c>
      <c r="H57" s="255">
        <f>TRA_BAL!F55</f>
        <v>0</v>
      </c>
      <c r="I57" s="1096"/>
      <c r="J57" s="1096"/>
      <c r="K57" s="1096"/>
      <c r="L57" s="1096"/>
      <c r="M57" s="1096"/>
      <c r="N57" s="1096"/>
      <c r="P57" s="1106"/>
      <c r="Q57" s="1103" t="s">
        <v>54</v>
      </c>
      <c r="R57" s="1288"/>
      <c r="S57" s="1288"/>
      <c r="T57" s="1288"/>
      <c r="U57" s="1288"/>
      <c r="V57" s="1288"/>
      <c r="W57" s="1288"/>
      <c r="X57" s="1288"/>
      <c r="Y57" s="1288"/>
      <c r="Z57" s="1288"/>
      <c r="AA57" s="1104"/>
      <c r="AB57" s="1104"/>
      <c r="AC57" s="1104"/>
      <c r="AD57" s="1104"/>
      <c r="AE57" s="1104"/>
      <c r="AF57" s="1104"/>
      <c r="AG57" s="1104"/>
      <c r="AH57" s="1104"/>
      <c r="AI57" s="1104"/>
      <c r="AJ57" s="1104"/>
      <c r="AK57" s="1104"/>
      <c r="AL57" s="1104"/>
      <c r="AM57" s="1104"/>
      <c r="AN57" s="1104"/>
      <c r="AO57" s="1104"/>
      <c r="AP57" s="1104"/>
      <c r="AQ57" s="1104"/>
      <c r="AR57" s="1104"/>
      <c r="AS57" s="1104"/>
      <c r="AT57" s="1104"/>
      <c r="AU57" s="1104"/>
      <c r="AV57" s="1104"/>
      <c r="AW57" s="1104"/>
      <c r="AX57" s="1104"/>
      <c r="AY57" s="1104"/>
      <c r="AZ57" s="1104"/>
      <c r="BA57" s="1104"/>
      <c r="BB57" s="1104"/>
      <c r="BC57" s="1104"/>
      <c r="BD57" s="1104"/>
      <c r="BE57" s="1104"/>
      <c r="BF57" s="1104"/>
      <c r="BG57" s="1104"/>
      <c r="BH57" s="1104"/>
      <c r="BI57" s="1104"/>
      <c r="BJ57" s="1104"/>
      <c r="BK57" s="1104"/>
      <c r="BL57" s="1104"/>
      <c r="BM57" s="1104"/>
      <c r="BN57" s="1104"/>
      <c r="BO57" s="1104"/>
      <c r="BP57" s="1104"/>
      <c r="BQ57" s="1104"/>
      <c r="BR57" s="1104"/>
      <c r="BS57" s="1104"/>
      <c r="BT57" s="1104"/>
      <c r="BU57" s="1104"/>
      <c r="BV57" s="1104"/>
      <c r="BW57" s="1104"/>
      <c r="BX57" s="1105"/>
    </row>
    <row r="58" spans="4:76" ht="15">
      <c r="D58" s="252">
        <f>TRA_BAL!B56</f>
        <v>0</v>
      </c>
      <c r="E58" s="246" t="str">
        <f>TRA_BAL!C56</f>
        <v>Biogas</v>
      </c>
      <c r="F58" s="255">
        <f>TRA_BAL!D56</f>
        <v>0</v>
      </c>
      <c r="G58" s="255">
        <f>TRA_BAL!E56</f>
        <v>0</v>
      </c>
      <c r="H58" s="255">
        <f>TRA_BAL!F56</f>
        <v>0</v>
      </c>
      <c r="I58" s="1096"/>
      <c r="J58" s="1096"/>
      <c r="K58" s="1096"/>
      <c r="L58" s="1096"/>
      <c r="M58" s="1096"/>
      <c r="N58" s="1096"/>
      <c r="P58" s="1106"/>
      <c r="Q58" s="1103" t="s">
        <v>387</v>
      </c>
      <c r="R58" s="1288"/>
      <c r="S58" s="1288"/>
      <c r="T58" s="1288"/>
      <c r="U58" s="1288"/>
      <c r="V58" s="1288"/>
      <c r="W58" s="1288"/>
      <c r="X58" s="1288"/>
      <c r="Y58" s="1288"/>
      <c r="Z58" s="1288"/>
      <c r="AA58" s="1104"/>
      <c r="AB58" s="1104"/>
      <c r="AC58" s="1104"/>
      <c r="AD58" s="1104"/>
      <c r="AE58" s="1104"/>
      <c r="AF58" s="1104"/>
      <c r="AG58" s="1104"/>
      <c r="AH58" s="1104"/>
      <c r="AI58" s="1104"/>
      <c r="AJ58" s="1104"/>
      <c r="AK58" s="1104"/>
      <c r="AL58" s="1104"/>
      <c r="AM58" s="1104"/>
      <c r="AN58" s="1104"/>
      <c r="AO58" s="1104"/>
      <c r="AP58" s="1104"/>
      <c r="AQ58" s="1104"/>
      <c r="AR58" s="1104"/>
      <c r="AS58" s="1104"/>
      <c r="AT58" s="1104"/>
      <c r="AU58" s="1104"/>
      <c r="AV58" s="1104"/>
      <c r="AW58" s="1104"/>
      <c r="AX58" s="1104"/>
      <c r="AY58" s="1104"/>
      <c r="AZ58" s="1104"/>
      <c r="BA58" s="1104"/>
      <c r="BB58" s="1104"/>
      <c r="BC58" s="1104"/>
      <c r="BD58" s="1104"/>
      <c r="BE58" s="1104"/>
      <c r="BF58" s="1104"/>
      <c r="BG58" s="1104"/>
      <c r="BH58" s="1104"/>
      <c r="BI58" s="1104"/>
      <c r="BJ58" s="1104"/>
      <c r="BK58" s="1104"/>
      <c r="BL58" s="1104"/>
      <c r="BM58" s="1104"/>
      <c r="BN58" s="1104"/>
      <c r="BO58" s="1104"/>
      <c r="BP58" s="1104"/>
      <c r="BQ58" s="1104"/>
      <c r="BR58" s="1104"/>
      <c r="BS58" s="1104"/>
      <c r="BT58" s="1104"/>
      <c r="BU58" s="1104"/>
      <c r="BV58" s="1104"/>
      <c r="BW58" s="1104"/>
      <c r="BX58" s="1105"/>
    </row>
    <row r="59" spans="4:76" ht="15">
      <c r="D59" s="252">
        <f>TRA_BAL!B57</f>
        <v>0</v>
      </c>
      <c r="E59" s="246" t="str">
        <f>TRA_BAL!C57</f>
        <v>Biodiesel</v>
      </c>
      <c r="F59" s="255">
        <f>TRA_BAL!D57</f>
        <v>4</v>
      </c>
      <c r="G59" s="255">
        <f>TRA_BAL!E57</f>
        <v>863</v>
      </c>
      <c r="H59" s="255">
        <f>TRA_BAL!F57</f>
        <v>1499</v>
      </c>
      <c r="I59" s="1096"/>
      <c r="J59" s="1096"/>
      <c r="K59" s="1096"/>
      <c r="L59" s="1096"/>
      <c r="M59" s="1096"/>
      <c r="N59" s="1096"/>
      <c r="P59" s="1110"/>
      <c r="Q59" s="1111" t="s">
        <v>388</v>
      </c>
      <c r="R59" s="1289"/>
      <c r="S59" s="1289"/>
      <c r="T59" s="1289"/>
      <c r="U59" s="1289"/>
      <c r="V59" s="1289"/>
      <c r="W59" s="1289"/>
      <c r="X59" s="1289"/>
      <c r="Y59" s="1289"/>
      <c r="Z59" s="1289"/>
      <c r="AA59" s="1112"/>
      <c r="AB59" s="1112"/>
      <c r="AC59" s="1112"/>
      <c r="AD59" s="1112"/>
      <c r="AE59" s="1112"/>
      <c r="AF59" s="1112"/>
      <c r="AG59" s="1112"/>
      <c r="AH59" s="1112"/>
      <c r="AI59" s="1112"/>
      <c r="AJ59" s="1112"/>
      <c r="AK59" s="1112"/>
      <c r="AL59" s="1112"/>
      <c r="AM59" s="1112"/>
      <c r="AN59" s="1112"/>
      <c r="AO59" s="1112"/>
      <c r="AP59" s="1112"/>
      <c r="AQ59" s="1112"/>
      <c r="AR59" s="1112"/>
      <c r="AS59" s="1112"/>
      <c r="AT59" s="1112"/>
      <c r="AU59" s="1112"/>
      <c r="AV59" s="1112"/>
      <c r="AW59" s="1112"/>
      <c r="AX59" s="1112"/>
      <c r="AY59" s="1112"/>
      <c r="AZ59" s="1112"/>
      <c r="BA59" s="1112"/>
      <c r="BB59" s="1112"/>
      <c r="BC59" s="1112"/>
      <c r="BD59" s="1112"/>
      <c r="BE59" s="1112"/>
      <c r="BF59" s="1112"/>
      <c r="BG59" s="1112"/>
      <c r="BH59" s="1112"/>
      <c r="BI59" s="1112"/>
      <c r="BJ59" s="1112"/>
      <c r="BK59" s="1112"/>
      <c r="BL59" s="1112"/>
      <c r="BM59" s="1112"/>
      <c r="BN59" s="1112"/>
      <c r="BO59" s="1112"/>
      <c r="BP59" s="1112"/>
      <c r="BQ59" s="1112"/>
      <c r="BR59" s="1112"/>
      <c r="BS59" s="1112"/>
      <c r="BT59" s="1112"/>
      <c r="BU59" s="1112"/>
      <c r="BV59" s="1112"/>
      <c r="BW59" s="1112"/>
      <c r="BX59" s="1113"/>
    </row>
    <row r="60" spans="4:76" ht="15">
      <c r="D60" s="252">
        <f>TRA_BAL!B58</f>
        <v>0</v>
      </c>
      <c r="E60" s="246" t="str">
        <f>TRA_BAL!C58</f>
        <v xml:space="preserve">Elektricitet </v>
      </c>
      <c r="F60" s="255">
        <f>TRA_BAL!D58</f>
        <v>0</v>
      </c>
      <c r="G60" s="255">
        <f>TRA_BAL!E58</f>
        <v>0</v>
      </c>
      <c r="H60" s="255">
        <f>TRA_BAL!F58</f>
        <v>0</v>
      </c>
      <c r="I60" s="1096"/>
      <c r="J60" s="1096"/>
      <c r="K60" s="1096"/>
      <c r="L60" s="1096"/>
      <c r="M60" s="1096"/>
      <c r="N60" s="1096"/>
      <c r="P60" s="336" t="s">
        <v>393</v>
      </c>
      <c r="Q60" s="1103" t="s">
        <v>53</v>
      </c>
      <c r="R60" s="1288"/>
      <c r="S60" s="1288"/>
      <c r="T60" s="1288"/>
      <c r="U60" s="1288"/>
      <c r="V60" s="1288"/>
      <c r="W60" s="1288"/>
      <c r="X60" s="1288"/>
      <c r="Y60" s="1288"/>
      <c r="Z60" s="1288"/>
      <c r="AA60" s="1104" t="e">
        <v>#NULL!</v>
      </c>
      <c r="AB60" s="1104" t="e">
        <v>#NULL!</v>
      </c>
      <c r="AC60" s="1104" t="e">
        <v>#NULL!</v>
      </c>
      <c r="AD60" s="1104" t="e">
        <v>#NULL!</v>
      </c>
      <c r="AE60" s="1104" t="e">
        <v>#NULL!</v>
      </c>
      <c r="AF60" s="1104" t="e">
        <v>#NULL!</v>
      </c>
      <c r="AG60" s="1104" t="e">
        <v>#NULL!</v>
      </c>
      <c r="AH60" s="1104" t="e">
        <v>#NULL!</v>
      </c>
      <c r="AI60" s="1104" t="e">
        <v>#NULL!</v>
      </c>
      <c r="AJ60" s="1104"/>
      <c r="AK60" s="1104"/>
      <c r="AL60" s="1104"/>
      <c r="AM60" s="1104"/>
      <c r="AN60" s="1104" t="e">
        <v>#NULL!</v>
      </c>
      <c r="AO60" s="1104" t="e">
        <v>#NULL!</v>
      </c>
      <c r="AP60" s="1104" t="e">
        <v>#NULL!</v>
      </c>
      <c r="AQ60" s="1104" t="e">
        <v>#NULL!</v>
      </c>
      <c r="AR60" s="1104" t="e">
        <v>#NULL!</v>
      </c>
      <c r="AS60" s="1104" t="e">
        <v>#NULL!</v>
      </c>
      <c r="AT60" s="1104" t="e">
        <v>#NULL!</v>
      </c>
      <c r="AU60" s="1104" t="e">
        <v>#NULL!</v>
      </c>
      <c r="AV60" s="1104" t="e">
        <v>#NULL!</v>
      </c>
      <c r="AW60" s="1104" t="e">
        <v>#NULL!</v>
      </c>
      <c r="AX60" s="1104" t="e">
        <v>#NULL!</v>
      </c>
      <c r="AY60" s="1104" t="e">
        <v>#NULL!</v>
      </c>
      <c r="AZ60" s="1104" t="e">
        <v>#NULL!</v>
      </c>
      <c r="BA60" s="1104" t="e">
        <v>#NULL!</v>
      </c>
      <c r="BB60" s="1104" t="e">
        <v>#NULL!</v>
      </c>
      <c r="BC60" s="1104" t="e">
        <v>#NULL!</v>
      </c>
      <c r="BD60" s="1104" t="e">
        <v>#NULL!</v>
      </c>
      <c r="BE60" s="1104" t="e">
        <v>#NULL!</v>
      </c>
      <c r="BF60" s="1104" t="e">
        <v>#NULL!</v>
      </c>
      <c r="BG60" s="1104" t="e">
        <v>#NULL!</v>
      </c>
      <c r="BH60" s="1104" t="e">
        <v>#NULL!</v>
      </c>
      <c r="BI60" s="1104"/>
      <c r="BJ60" s="1104" t="e">
        <v>#NULL!</v>
      </c>
      <c r="BK60" s="1104" t="e">
        <v>#NULL!</v>
      </c>
      <c r="BL60" s="1104" t="e">
        <v>#NULL!</v>
      </c>
      <c r="BM60" s="1104" t="e">
        <v>#NULL!</v>
      </c>
      <c r="BN60" s="1104" t="e">
        <v>#NULL!</v>
      </c>
      <c r="BO60" s="1104" t="e">
        <v>#NULL!</v>
      </c>
      <c r="BP60" s="1104" t="e">
        <v>#NULL!</v>
      </c>
      <c r="BQ60" s="1104" t="e">
        <v>#NULL!</v>
      </c>
      <c r="BR60" s="1104" t="e">
        <v>#NULL!</v>
      </c>
      <c r="BS60" s="1104" t="e">
        <v>#NULL!</v>
      </c>
      <c r="BT60" s="1104" t="e">
        <v>#NULL!</v>
      </c>
      <c r="BU60" s="1104" t="e">
        <v>#NULL!</v>
      </c>
      <c r="BV60" s="1104" t="e">
        <v>#NULL!</v>
      </c>
      <c r="BW60" s="1104" t="e">
        <v>#NULL!</v>
      </c>
      <c r="BX60" s="1105" t="e">
        <v>#NULL!</v>
      </c>
    </row>
    <row r="61" spans="4:76" ht="15">
      <c r="D61" s="252">
        <f>TRA_BAL!B59</f>
        <v>0</v>
      </c>
      <c r="E61" s="246" t="str">
        <f>TRA_BAL!C59</f>
        <v>Brint</v>
      </c>
      <c r="F61" s="255">
        <f>TRA_BAL!D59</f>
        <v>0</v>
      </c>
      <c r="G61" s="255">
        <f>TRA_BAL!E59</f>
        <v>0</v>
      </c>
      <c r="H61" s="255">
        <f>TRA_BAL!F59</f>
        <v>0</v>
      </c>
      <c r="I61" s="1096"/>
      <c r="J61" s="1096"/>
      <c r="K61" s="1096"/>
      <c r="L61" s="1096"/>
      <c r="M61" s="1096"/>
      <c r="N61" s="1096"/>
      <c r="P61" s="1106"/>
      <c r="Q61" s="1103" t="s">
        <v>382</v>
      </c>
      <c r="R61" s="1288"/>
      <c r="S61" s="1288"/>
      <c r="T61" s="1288"/>
      <c r="U61" s="1288"/>
      <c r="V61" s="1288"/>
      <c r="W61" s="1288"/>
      <c r="X61" s="1288"/>
      <c r="Y61" s="1288"/>
      <c r="Z61" s="1288"/>
      <c r="AA61" s="1107">
        <v>4.3846212625398344</v>
      </c>
      <c r="AB61" s="1107">
        <v>4.3737157533423279</v>
      </c>
      <c r="AC61" s="1107">
        <v>4.3628102441448169</v>
      </c>
      <c r="AD61" s="1107">
        <v>4.3519047349473103</v>
      </c>
      <c r="AE61" s="1107">
        <v>4.3409992257498002</v>
      </c>
      <c r="AF61" s="1107">
        <v>4.3300937165522928</v>
      </c>
      <c r="AG61" s="1107">
        <v>4.3191882073547818</v>
      </c>
      <c r="AH61" s="1107">
        <v>4.3082826981572753</v>
      </c>
      <c r="AI61" s="1107">
        <v>4.2973771889597643</v>
      </c>
      <c r="AJ61" s="1107"/>
      <c r="AK61" s="1107"/>
      <c r="AL61" s="1107"/>
      <c r="AM61" s="1107"/>
      <c r="AN61" s="1107">
        <v>4.2864716797622577</v>
      </c>
      <c r="AO61" s="1107">
        <v>4.2755661705647467</v>
      </c>
      <c r="AP61" s="1107">
        <v>4.2646606613672402</v>
      </c>
      <c r="AQ61" s="1107">
        <v>4.2537551521697292</v>
      </c>
      <c r="AR61" s="1107">
        <v>4.2175900949447431</v>
      </c>
      <c r="AS61" s="1107">
        <v>4.2115189773396136</v>
      </c>
      <c r="AT61" s="1107">
        <v>4.2170288991997316</v>
      </c>
      <c r="AU61" s="1107">
        <v>4.1917750906741942</v>
      </c>
      <c r="AV61" s="1107">
        <v>4.1838163146540248</v>
      </c>
      <c r="AW61" s="1107">
        <v>4.1820051829314862</v>
      </c>
      <c r="AX61" s="1107">
        <v>4.1989685997693469</v>
      </c>
      <c r="AY61" s="1107">
        <v>4.1895303076941453</v>
      </c>
      <c r="AZ61" s="1107">
        <v>4.2064427067370058</v>
      </c>
      <c r="BA61" s="1107">
        <v>4.194632087194254</v>
      </c>
      <c r="BB61" s="1107">
        <v>4.1791226775139245</v>
      </c>
      <c r="BC61" s="1107">
        <v>4.1547361715034059</v>
      </c>
      <c r="BD61" s="1107">
        <v>4.0907088387770427</v>
      </c>
      <c r="BE61" s="1107">
        <v>4.058720681311363</v>
      </c>
      <c r="BF61" s="1107">
        <v>4.0210695486005612</v>
      </c>
      <c r="BG61" s="1107">
        <v>3.9898721669573973</v>
      </c>
      <c r="BH61" s="1107">
        <v>4.0256178255789568</v>
      </c>
      <c r="BI61" s="1107"/>
      <c r="BJ61" s="1107">
        <v>4.0603669767782211</v>
      </c>
      <c r="BK61" s="1107">
        <v>4.0888859395194705</v>
      </c>
      <c r="BL61" s="1107">
        <v>4.1118398941688028</v>
      </c>
      <c r="BM61" s="1107">
        <v>4.1339477204601742</v>
      </c>
      <c r="BN61" s="1107">
        <v>4.1539922713459303</v>
      </c>
      <c r="BO61" s="1107">
        <v>4.1687372055711176</v>
      </c>
      <c r="BP61" s="1107">
        <v>4.178891567117784</v>
      </c>
      <c r="BQ61" s="1107">
        <v>4.1856064783743898</v>
      </c>
      <c r="BR61" s="1107">
        <v>4.1909113935171582</v>
      </c>
      <c r="BS61" s="1107">
        <v>4.1950380343134404</v>
      </c>
      <c r="BT61" s="1107">
        <v>4.1986951563757033</v>
      </c>
      <c r="BU61" s="1108">
        <v>4.1986951563757033</v>
      </c>
      <c r="BV61" s="1108" t="e">
        <v>#NULL!</v>
      </c>
      <c r="BW61" s="1108" t="e">
        <v>#NULL!</v>
      </c>
      <c r="BX61" s="1109" t="e">
        <v>#NULL!</v>
      </c>
    </row>
    <row r="62" spans="4:76">
      <c r="P62" s="1106"/>
      <c r="Q62" s="1103" t="s">
        <v>383</v>
      </c>
      <c r="R62" s="1288"/>
      <c r="S62" s="1288"/>
      <c r="T62" s="1288"/>
      <c r="U62" s="1288"/>
      <c r="V62" s="1288"/>
      <c r="W62" s="1288"/>
      <c r="X62" s="1288"/>
      <c r="Y62" s="1288"/>
      <c r="Z62" s="1288"/>
      <c r="AA62" s="1107">
        <v>4.4156194081566991</v>
      </c>
      <c r="AB62" s="1107">
        <v>4.4046367998115379</v>
      </c>
      <c r="AC62" s="1107">
        <v>4.3936541914663723</v>
      </c>
      <c r="AD62" s="1107">
        <v>4.382671583121212</v>
      </c>
      <c r="AE62" s="1107">
        <v>4.3716889747760463</v>
      </c>
      <c r="AF62" s="1107">
        <v>4.3607063664308843</v>
      </c>
      <c r="AG62" s="1107">
        <v>4.3497237580857187</v>
      </c>
      <c r="AH62" s="1107">
        <v>4.3387411497405575</v>
      </c>
      <c r="AI62" s="1107">
        <v>4.3277585413953918</v>
      </c>
      <c r="AJ62" s="1107"/>
      <c r="AK62" s="1107"/>
      <c r="AL62" s="1107"/>
      <c r="AM62" s="1107"/>
      <c r="AN62" s="1107">
        <v>4.3167759330502307</v>
      </c>
      <c r="AO62" s="1107">
        <v>4.3057933247050642</v>
      </c>
      <c r="AP62" s="1107">
        <v>4.294810716359903</v>
      </c>
      <c r="AQ62" s="1107">
        <v>4.2838281080147373</v>
      </c>
      <c r="AR62" s="1107">
        <v>4.247407373128449</v>
      </c>
      <c r="AS62" s="1107">
        <v>4.241293334281937</v>
      </c>
      <c r="AT62" s="1107">
        <v>4.2468422098737308</v>
      </c>
      <c r="AU62" s="1107">
        <v>4.2214098634113491</v>
      </c>
      <c r="AV62" s="1107">
        <v>4.2133948208898717</v>
      </c>
      <c r="AW62" s="1107">
        <v>4.2115708849314588</v>
      </c>
      <c r="AX62" s="1107">
        <v>4.2286542287672999</v>
      </c>
      <c r="AY62" s="1107">
        <v>4.2191492103924695</v>
      </c>
      <c r="AZ62" s="1107">
        <v>4.2361811757506107</v>
      </c>
      <c r="BA62" s="1107">
        <v>4.2242870581626484</v>
      </c>
      <c r="BB62" s="1107">
        <v>4.2086680009413078</v>
      </c>
      <c r="BC62" s="1107">
        <v>4.1841090885998566</v>
      </c>
      <c r="BD62" s="1107">
        <v>4.119629099084122</v>
      </c>
      <c r="BE62" s="1107">
        <v>4.0874147935651068</v>
      </c>
      <c r="BF62" s="1107">
        <v>4.0494974770211929</v>
      </c>
      <c r="BG62" s="1107">
        <v>4.0180795379065541</v>
      </c>
      <c r="BH62" s="1107">
        <v>3.9932343283365599</v>
      </c>
      <c r="BI62" s="1107"/>
      <c r="BJ62" s="1107">
        <v>3.969081746534517</v>
      </c>
      <c r="BK62" s="1107">
        <v>3.9492594902564404</v>
      </c>
      <c r="BL62" s="1107">
        <v>3.9333052223616858</v>
      </c>
      <c r="BM62" s="1107">
        <v>3.9179390604688158</v>
      </c>
      <c r="BN62" s="1107">
        <v>3.9040069890873519</v>
      </c>
      <c r="BO62" s="1107">
        <v>3.8937584443675854</v>
      </c>
      <c r="BP62" s="1107">
        <v>3.8867006015300145</v>
      </c>
      <c r="BQ62" s="1107">
        <v>3.8820333668545945</v>
      </c>
      <c r="BR62" s="1107">
        <v>3.878346157454748</v>
      </c>
      <c r="BS62" s="1107">
        <v>3.8754779138873494</v>
      </c>
      <c r="BT62" s="1107">
        <v>3.8729360118057028</v>
      </c>
      <c r="BU62" s="1108">
        <v>3.8729360118057028</v>
      </c>
      <c r="BV62" s="1108" t="e">
        <v>#NULL!</v>
      </c>
      <c r="BW62" s="1108" t="e">
        <v>#NULL!</v>
      </c>
      <c r="BX62" s="1109" t="e">
        <v>#NULL!</v>
      </c>
    </row>
    <row r="63" spans="4:76">
      <c r="P63" s="1106"/>
      <c r="Q63" s="1103" t="s">
        <v>384</v>
      </c>
      <c r="R63" s="1288"/>
      <c r="S63" s="1288"/>
      <c r="T63" s="1288"/>
      <c r="U63" s="1288"/>
      <c r="V63" s="1288"/>
      <c r="W63" s="1288"/>
      <c r="X63" s="1288"/>
      <c r="Y63" s="1288"/>
      <c r="Z63" s="1288"/>
      <c r="AA63" s="1104"/>
      <c r="AB63" s="1104"/>
      <c r="AC63" s="1104"/>
      <c r="AD63" s="1104"/>
      <c r="AE63" s="1104"/>
      <c r="AF63" s="1104"/>
      <c r="AG63" s="1104"/>
      <c r="AH63" s="1104"/>
      <c r="AI63" s="1104"/>
      <c r="AJ63" s="1104"/>
      <c r="AK63" s="1104"/>
      <c r="AL63" s="1104"/>
      <c r="AM63" s="1104"/>
      <c r="AN63" s="1104"/>
      <c r="AO63" s="1104"/>
      <c r="AP63" s="1104"/>
      <c r="AQ63" s="1104"/>
      <c r="AR63" s="1104"/>
      <c r="AS63" s="1104"/>
      <c r="AT63" s="1104"/>
      <c r="AU63" s="1104"/>
      <c r="AV63" s="1104"/>
      <c r="AW63" s="1104"/>
      <c r="AX63" s="1104"/>
      <c r="AY63" s="1104"/>
      <c r="AZ63" s="1104"/>
      <c r="BA63" s="1104"/>
      <c r="BB63" s="1104"/>
      <c r="BC63" s="1104"/>
      <c r="BD63" s="1104"/>
      <c r="BE63" s="1104"/>
      <c r="BF63" s="1104"/>
      <c r="BG63" s="1104"/>
      <c r="BH63" s="1104"/>
      <c r="BI63" s="1104"/>
      <c r="BJ63" s="1104"/>
      <c r="BK63" s="1104"/>
      <c r="BL63" s="1104"/>
      <c r="BM63" s="1104"/>
      <c r="BN63" s="1104"/>
      <c r="BO63" s="1104"/>
      <c r="BP63" s="1104"/>
      <c r="BQ63" s="1104"/>
      <c r="BR63" s="1104"/>
      <c r="BS63" s="1104"/>
      <c r="BT63" s="1104"/>
      <c r="BU63" s="1104"/>
      <c r="BV63" s="1104"/>
      <c r="BW63" s="1104"/>
      <c r="BX63" s="1105"/>
    </row>
    <row r="64" spans="4:76">
      <c r="P64" s="1106"/>
      <c r="Q64" s="1103" t="s">
        <v>385</v>
      </c>
      <c r="R64" s="1288"/>
      <c r="S64" s="1288"/>
      <c r="T64" s="1288"/>
      <c r="U64" s="1288"/>
      <c r="V64" s="1288"/>
      <c r="W64" s="1288"/>
      <c r="X64" s="1288"/>
      <c r="Y64" s="1288"/>
      <c r="Z64" s="1288"/>
      <c r="AA64" s="1104"/>
      <c r="AB64" s="1104"/>
      <c r="AC64" s="1104"/>
      <c r="AD64" s="1104"/>
      <c r="AE64" s="1104"/>
      <c r="AF64" s="1104"/>
      <c r="AG64" s="1104"/>
      <c r="AH64" s="1104"/>
      <c r="AI64" s="1104"/>
      <c r="AJ64" s="1104"/>
      <c r="AK64" s="1104"/>
      <c r="AL64" s="1104"/>
      <c r="AM64" s="1104"/>
      <c r="AN64" s="1104"/>
      <c r="AO64" s="1104"/>
      <c r="AP64" s="1104"/>
      <c r="AQ64" s="1104"/>
      <c r="AR64" s="1104"/>
      <c r="AS64" s="1104"/>
      <c r="AT64" s="1104"/>
      <c r="AU64" s="1104"/>
      <c r="AV64" s="1104"/>
      <c r="AW64" s="1104"/>
      <c r="AX64" s="1104"/>
      <c r="AY64" s="1104"/>
      <c r="AZ64" s="1104"/>
      <c r="BA64" s="1104"/>
      <c r="BB64" s="1104"/>
      <c r="BC64" s="1104"/>
      <c r="BD64" s="1104"/>
      <c r="BE64" s="1104"/>
      <c r="BF64" s="1104"/>
      <c r="BG64" s="1104"/>
      <c r="BH64" s="1104"/>
      <c r="BI64" s="1104"/>
      <c r="BJ64" s="1104"/>
      <c r="BK64" s="1104"/>
      <c r="BL64" s="1104"/>
      <c r="BM64" s="1104"/>
      <c r="BN64" s="1104"/>
      <c r="BO64" s="1104"/>
      <c r="BP64" s="1104"/>
      <c r="BQ64" s="1104"/>
      <c r="BR64" s="1104"/>
      <c r="BS64" s="1104"/>
      <c r="BT64" s="1104"/>
      <c r="BU64" s="1104"/>
      <c r="BV64" s="1104"/>
      <c r="BW64" s="1104"/>
      <c r="BX64" s="1105"/>
    </row>
    <row r="65" spans="4:76">
      <c r="P65" s="1106"/>
      <c r="Q65" s="1103" t="s">
        <v>386</v>
      </c>
      <c r="R65" s="1288"/>
      <c r="S65" s="1288"/>
      <c r="T65" s="1288"/>
      <c r="U65" s="1288"/>
      <c r="V65" s="1288"/>
      <c r="W65" s="1288"/>
      <c r="X65" s="1288"/>
      <c r="Y65" s="1288"/>
      <c r="Z65" s="1288"/>
      <c r="AA65" s="1104"/>
      <c r="AB65" s="1104"/>
      <c r="AC65" s="1104"/>
      <c r="AD65" s="1104"/>
      <c r="AE65" s="1104"/>
      <c r="AF65" s="1104"/>
      <c r="AG65" s="1104"/>
      <c r="AH65" s="1104"/>
      <c r="AI65" s="1104"/>
      <c r="AJ65" s="1104"/>
      <c r="AK65" s="1104"/>
      <c r="AL65" s="1104"/>
      <c r="AM65" s="1104"/>
      <c r="AN65" s="1104"/>
      <c r="AO65" s="1104"/>
      <c r="AP65" s="1104"/>
      <c r="AQ65" s="1104"/>
      <c r="AR65" s="1104"/>
      <c r="AS65" s="1104"/>
      <c r="AT65" s="1104"/>
      <c r="AU65" s="1104"/>
      <c r="AV65" s="1104"/>
      <c r="AW65" s="1104"/>
      <c r="AX65" s="1104"/>
      <c r="AY65" s="1104"/>
      <c r="AZ65" s="1104"/>
      <c r="BA65" s="1104"/>
      <c r="BB65" s="1104"/>
      <c r="BC65" s="1104"/>
      <c r="BD65" s="1104"/>
      <c r="BE65" s="1104"/>
      <c r="BF65" s="1104"/>
      <c r="BG65" s="1104"/>
      <c r="BH65" s="1104"/>
      <c r="BI65" s="1104"/>
      <c r="BJ65" s="1104"/>
      <c r="BK65" s="1104"/>
      <c r="BL65" s="1104"/>
      <c r="BM65" s="1104"/>
      <c r="BN65" s="1104"/>
      <c r="BO65" s="1104"/>
      <c r="BP65" s="1104"/>
      <c r="BQ65" s="1104"/>
      <c r="BR65" s="1104"/>
      <c r="BS65" s="1104"/>
      <c r="BT65" s="1104"/>
      <c r="BU65" s="1104"/>
      <c r="BV65" s="1104"/>
      <c r="BW65" s="1104"/>
      <c r="BX65" s="1105"/>
    </row>
    <row r="66" spans="4:76">
      <c r="P66" s="1106"/>
      <c r="Q66" s="1103" t="s">
        <v>54</v>
      </c>
      <c r="R66" s="1288"/>
      <c r="S66" s="1288"/>
      <c r="T66" s="1288"/>
      <c r="U66" s="1288"/>
      <c r="V66" s="1288"/>
      <c r="W66" s="1288"/>
      <c r="X66" s="1288"/>
      <c r="Y66" s="1288"/>
      <c r="Z66" s="1288"/>
      <c r="AA66" s="1104"/>
      <c r="AB66" s="1104"/>
      <c r="AC66" s="1104"/>
      <c r="AD66" s="1104"/>
      <c r="AE66" s="1104"/>
      <c r="AF66" s="1104"/>
      <c r="AG66" s="1104"/>
      <c r="AH66" s="1104"/>
      <c r="AI66" s="1104"/>
      <c r="AJ66" s="1104"/>
      <c r="AK66" s="1104"/>
      <c r="AL66" s="1104"/>
      <c r="AM66" s="1104"/>
      <c r="AN66" s="1104"/>
      <c r="AO66" s="1104"/>
      <c r="AP66" s="1104"/>
      <c r="AQ66" s="1104"/>
      <c r="AR66" s="1104"/>
      <c r="AS66" s="1104"/>
      <c r="AT66" s="1104"/>
      <c r="AU66" s="1104"/>
      <c r="AV66" s="1104"/>
      <c r="AW66" s="1104"/>
      <c r="AX66" s="1104"/>
      <c r="AY66" s="1104"/>
      <c r="AZ66" s="1104"/>
      <c r="BA66" s="1104"/>
      <c r="BB66" s="1104"/>
      <c r="BC66" s="1104"/>
      <c r="BD66" s="1104"/>
      <c r="BE66" s="1104"/>
      <c r="BF66" s="1104"/>
      <c r="BG66" s="1104"/>
      <c r="BH66" s="1104"/>
      <c r="BI66" s="1104"/>
      <c r="BJ66" s="1104"/>
      <c r="BK66" s="1104"/>
      <c r="BL66" s="1104"/>
      <c r="BM66" s="1104"/>
      <c r="BN66" s="1104"/>
      <c r="BO66" s="1104"/>
      <c r="BP66" s="1104"/>
      <c r="BQ66" s="1104"/>
      <c r="BR66" s="1104"/>
      <c r="BS66" s="1104"/>
      <c r="BT66" s="1104"/>
      <c r="BU66" s="1104"/>
      <c r="BV66" s="1104"/>
      <c r="BW66" s="1104"/>
      <c r="BX66" s="1105"/>
    </row>
    <row r="67" spans="4:76">
      <c r="E67" s="682" t="s">
        <v>466</v>
      </c>
      <c r="F67" s="682" t="s">
        <v>467</v>
      </c>
      <c r="P67" s="1106"/>
      <c r="Q67" s="1103" t="s">
        <v>387</v>
      </c>
      <c r="R67" s="1288"/>
      <c r="S67" s="1288"/>
      <c r="T67" s="1288"/>
      <c r="U67" s="1288"/>
      <c r="V67" s="1288"/>
      <c r="W67" s="1288"/>
      <c r="X67" s="1288"/>
      <c r="Y67" s="1288"/>
      <c r="Z67" s="1288"/>
      <c r="AA67" s="1104"/>
      <c r="AB67" s="1104"/>
      <c r="AC67" s="1104"/>
      <c r="AD67" s="1104"/>
      <c r="AE67" s="1104"/>
      <c r="AF67" s="1104"/>
      <c r="AG67" s="1104"/>
      <c r="AH67" s="1104"/>
      <c r="AI67" s="1104"/>
      <c r="AJ67" s="1104"/>
      <c r="AK67" s="1104"/>
      <c r="AL67" s="1104"/>
      <c r="AM67" s="1104"/>
      <c r="AN67" s="1104"/>
      <c r="AO67" s="1104"/>
      <c r="AP67" s="1104"/>
      <c r="AQ67" s="1104"/>
      <c r="AR67" s="1104"/>
      <c r="AS67" s="1104"/>
      <c r="AT67" s="1104"/>
      <c r="AU67" s="1104"/>
      <c r="AV67" s="1104"/>
      <c r="AW67" s="1104"/>
      <c r="AX67" s="1104"/>
      <c r="AY67" s="1104"/>
      <c r="AZ67" s="1104"/>
      <c r="BA67" s="1104"/>
      <c r="BB67" s="1104"/>
      <c r="BC67" s="1104"/>
      <c r="BD67" s="1104"/>
      <c r="BE67" s="1104"/>
      <c r="BF67" s="1104"/>
      <c r="BG67" s="1104"/>
      <c r="BH67" s="1104"/>
      <c r="BI67" s="1104"/>
      <c r="BJ67" s="1104"/>
      <c r="BK67" s="1104"/>
      <c r="BL67" s="1104"/>
      <c r="BM67" s="1104"/>
      <c r="BN67" s="1104"/>
      <c r="BO67" s="1104"/>
      <c r="BP67" s="1104"/>
      <c r="BQ67" s="1104"/>
      <c r="BR67" s="1104"/>
      <c r="BS67" s="1104"/>
      <c r="BT67" s="1104"/>
      <c r="BU67" s="1104"/>
      <c r="BV67" s="1104"/>
      <c r="BW67" s="1104"/>
      <c r="BX67" s="1105"/>
    </row>
    <row r="68" spans="4:76">
      <c r="D68" s="367" t="s">
        <v>457</v>
      </c>
      <c r="E68" s="372">
        <v>83.505943171717917</v>
      </c>
      <c r="F68" s="713">
        <f>E68*4.1868*10^-5</f>
        <v>3.4962268287134857E-3</v>
      </c>
      <c r="P68" s="1110"/>
      <c r="Q68" s="1111" t="s">
        <v>388</v>
      </c>
      <c r="R68" s="1289"/>
      <c r="S68" s="1289"/>
      <c r="T68" s="1289"/>
      <c r="U68" s="1289"/>
      <c r="V68" s="1289"/>
      <c r="W68" s="1289"/>
      <c r="X68" s="1289"/>
      <c r="Y68" s="1289"/>
      <c r="Z68" s="1289"/>
      <c r="AA68" s="1112"/>
      <c r="AB68" s="1112"/>
      <c r="AC68" s="1112"/>
      <c r="AD68" s="1112"/>
      <c r="AE68" s="1112"/>
      <c r="AF68" s="1112"/>
      <c r="AG68" s="1112"/>
      <c r="AH68" s="1112"/>
      <c r="AI68" s="1112"/>
      <c r="AJ68" s="1112"/>
      <c r="AK68" s="1112"/>
      <c r="AL68" s="1112"/>
      <c r="AM68" s="1112"/>
      <c r="AN68" s="1112"/>
      <c r="AO68" s="1112"/>
      <c r="AP68" s="1112"/>
      <c r="AQ68" s="1112"/>
      <c r="AR68" s="1112"/>
      <c r="AS68" s="1112"/>
      <c r="AT68" s="1112"/>
      <c r="AU68" s="1112"/>
      <c r="AV68" s="1112"/>
      <c r="AW68" s="1112"/>
      <c r="AX68" s="1112"/>
      <c r="AY68" s="1112"/>
      <c r="AZ68" s="1112"/>
      <c r="BA68" s="1112"/>
      <c r="BB68" s="1112"/>
      <c r="BC68" s="1112"/>
      <c r="BD68" s="1112"/>
      <c r="BE68" s="1112"/>
      <c r="BF68" s="1112"/>
      <c r="BG68" s="1112"/>
      <c r="BH68" s="1112"/>
      <c r="BI68" s="1112"/>
      <c r="BJ68" s="1112"/>
      <c r="BK68" s="1112"/>
      <c r="BL68" s="1112"/>
      <c r="BM68" s="1112"/>
      <c r="BN68" s="1112"/>
      <c r="BO68" s="1112"/>
      <c r="BP68" s="1112"/>
      <c r="BQ68" s="1112"/>
      <c r="BR68" s="1112"/>
      <c r="BS68" s="1112"/>
      <c r="BT68" s="1112"/>
      <c r="BU68" s="1112"/>
      <c r="BV68" s="1112"/>
      <c r="BW68" s="1112"/>
      <c r="BX68" s="1113"/>
    </row>
    <row r="69" spans="4:76">
      <c r="P69" s="336" t="s">
        <v>394</v>
      </c>
      <c r="Q69" s="1103" t="s">
        <v>53</v>
      </c>
      <c r="R69" s="1288"/>
      <c r="S69" s="1288"/>
      <c r="T69" s="1288"/>
      <c r="U69" s="1288"/>
      <c r="V69" s="1288"/>
      <c r="W69" s="1288"/>
      <c r="X69" s="1288"/>
      <c r="Y69" s="1288"/>
      <c r="Z69" s="1288"/>
      <c r="AA69" s="1104" t="e">
        <v>#NULL!</v>
      </c>
      <c r="AB69" s="1104" t="e">
        <v>#NULL!</v>
      </c>
      <c r="AC69" s="1104" t="e">
        <v>#NULL!</v>
      </c>
      <c r="AD69" s="1104" t="e">
        <v>#NULL!</v>
      </c>
      <c r="AE69" s="1104" t="e">
        <v>#NULL!</v>
      </c>
      <c r="AF69" s="1104" t="e">
        <v>#NULL!</v>
      </c>
      <c r="AG69" s="1104" t="e">
        <v>#NULL!</v>
      </c>
      <c r="AH69" s="1104" t="e">
        <v>#NULL!</v>
      </c>
      <c r="AI69" s="1104" t="e">
        <v>#NULL!</v>
      </c>
      <c r="AJ69" s="1104"/>
      <c r="AK69" s="1104"/>
      <c r="AL69" s="1104"/>
      <c r="AM69" s="1104"/>
      <c r="AN69" s="1104" t="e">
        <v>#NULL!</v>
      </c>
      <c r="AO69" s="1104" t="e">
        <v>#NULL!</v>
      </c>
      <c r="AP69" s="1104" t="e">
        <v>#NULL!</v>
      </c>
      <c r="AQ69" s="1104" t="e">
        <v>#NULL!</v>
      </c>
      <c r="AR69" s="1104" t="e">
        <v>#NULL!</v>
      </c>
      <c r="AS69" s="1104" t="e">
        <v>#NULL!</v>
      </c>
      <c r="AT69" s="1104" t="e">
        <v>#NULL!</v>
      </c>
      <c r="AU69" s="1104" t="e">
        <v>#NULL!</v>
      </c>
      <c r="AV69" s="1104" t="e">
        <v>#NULL!</v>
      </c>
      <c r="AW69" s="1104" t="e">
        <v>#NULL!</v>
      </c>
      <c r="AX69" s="1104" t="e">
        <v>#NULL!</v>
      </c>
      <c r="AY69" s="1104" t="e">
        <v>#NULL!</v>
      </c>
      <c r="AZ69" s="1104" t="e">
        <v>#NULL!</v>
      </c>
      <c r="BA69" s="1104" t="e">
        <v>#NULL!</v>
      </c>
      <c r="BB69" s="1104" t="e">
        <v>#NULL!</v>
      </c>
      <c r="BC69" s="1104" t="e">
        <v>#NULL!</v>
      </c>
      <c r="BD69" s="1104" t="e">
        <v>#NULL!</v>
      </c>
      <c r="BE69" s="1104" t="e">
        <v>#NULL!</v>
      </c>
      <c r="BF69" s="1104" t="e">
        <v>#NULL!</v>
      </c>
      <c r="BG69" s="1104" t="e">
        <v>#NULL!</v>
      </c>
      <c r="BH69" s="1104" t="e">
        <v>#NULL!</v>
      </c>
      <c r="BI69" s="1104"/>
      <c r="BJ69" s="1104" t="e">
        <v>#NULL!</v>
      </c>
      <c r="BK69" s="1104" t="e">
        <v>#NULL!</v>
      </c>
      <c r="BL69" s="1104" t="e">
        <v>#NULL!</v>
      </c>
      <c r="BM69" s="1104" t="e">
        <v>#NULL!</v>
      </c>
      <c r="BN69" s="1104" t="e">
        <v>#NULL!</v>
      </c>
      <c r="BO69" s="1104" t="e">
        <v>#NULL!</v>
      </c>
      <c r="BP69" s="1104" t="e">
        <v>#NULL!</v>
      </c>
      <c r="BQ69" s="1104" t="e">
        <v>#NULL!</v>
      </c>
      <c r="BR69" s="1104" t="e">
        <v>#NULL!</v>
      </c>
      <c r="BS69" s="1104" t="e">
        <v>#NULL!</v>
      </c>
      <c r="BT69" s="1104" t="e">
        <v>#NULL!</v>
      </c>
      <c r="BU69" s="1104" t="e">
        <v>#NULL!</v>
      </c>
      <c r="BV69" s="1104" t="e">
        <v>#NULL!</v>
      </c>
      <c r="BW69" s="1104" t="e">
        <v>#NULL!</v>
      </c>
      <c r="BX69" s="1105" t="e">
        <v>#NULL!</v>
      </c>
    </row>
    <row r="70" spans="4:76">
      <c r="P70" s="1106"/>
      <c r="Q70" s="1103" t="s">
        <v>383</v>
      </c>
      <c r="R70" s="1288"/>
      <c r="S70" s="1288"/>
      <c r="T70" s="1288"/>
      <c r="U70" s="1288"/>
      <c r="V70" s="1288"/>
      <c r="W70" s="1288"/>
      <c r="X70" s="1288"/>
      <c r="Y70" s="1288"/>
      <c r="Z70" s="1288"/>
      <c r="AA70" s="1107">
        <v>4.2749895198841106</v>
      </c>
      <c r="AB70" s="1107">
        <v>4.2799354878902021</v>
      </c>
      <c r="AC70" s="1107">
        <v>4.2848814558962935</v>
      </c>
      <c r="AD70" s="1107">
        <v>4.2898274239023859</v>
      </c>
      <c r="AE70" s="1107">
        <v>4.2947733919084774</v>
      </c>
      <c r="AF70" s="1107">
        <v>4.2997193599145689</v>
      </c>
      <c r="AG70" s="1107">
        <v>4.3046653279206621</v>
      </c>
      <c r="AH70" s="1107">
        <v>4.3096112959267545</v>
      </c>
      <c r="AI70" s="1107">
        <v>4.314557263932846</v>
      </c>
      <c r="AJ70" s="1107"/>
      <c r="AK70" s="1107"/>
      <c r="AL70" s="1107"/>
      <c r="AM70" s="1107"/>
      <c r="AN70" s="1107">
        <v>4.3195032319389393</v>
      </c>
      <c r="AO70" s="1107">
        <v>4.3244491999450299</v>
      </c>
      <c r="AP70" s="1107">
        <v>4.3293951679511222</v>
      </c>
      <c r="AQ70" s="1107">
        <v>4.3343411359572137</v>
      </c>
      <c r="AR70" s="1107">
        <v>4.2409209800327377</v>
      </c>
      <c r="AS70" s="1107">
        <v>4.2683035819583237</v>
      </c>
      <c r="AT70" s="1107">
        <v>4.2903919441329128</v>
      </c>
      <c r="AU70" s="1107">
        <v>4.3356502002445358</v>
      </c>
      <c r="AV70" s="1107">
        <v>4.3511562061870137</v>
      </c>
      <c r="AW70" s="1107">
        <v>4.4307682858091244</v>
      </c>
      <c r="AX70" s="1107">
        <v>4.426344942421145</v>
      </c>
      <c r="AY70" s="1107">
        <v>4.4692173475661745</v>
      </c>
      <c r="AZ70" s="1107">
        <v>4.5335786141335772</v>
      </c>
      <c r="BA70" s="1107">
        <v>4.5219572110382362</v>
      </c>
      <c r="BB70" s="1107">
        <v>4.424530237441461</v>
      </c>
      <c r="BC70" s="1107">
        <v>4.409024231498984</v>
      </c>
      <c r="BD70" s="1107">
        <v>4.3619553210884359</v>
      </c>
      <c r="BE70" s="1107">
        <v>4.2937459078007212</v>
      </c>
      <c r="BF70" s="1107">
        <v>4.2510881887358769</v>
      </c>
      <c r="BG70" s="1107">
        <v>4.2612918535658402</v>
      </c>
      <c r="BH70" s="1107">
        <v>4.2342092305694488</v>
      </c>
      <c r="BI70" s="1107"/>
      <c r="BJ70" s="1107">
        <v>4.2123168459793678</v>
      </c>
      <c r="BK70" s="1107">
        <v>4.1943402416579119</v>
      </c>
      <c r="BL70" s="1107">
        <v>4.1824902471859637</v>
      </c>
      <c r="BM70" s="1107">
        <v>4.1481153528774293</v>
      </c>
      <c r="BN70" s="1107">
        <v>4.111043045768894</v>
      </c>
      <c r="BO70" s="1107">
        <v>4.0796569076945755</v>
      </c>
      <c r="BP70" s="1107">
        <v>4.0479883206615845</v>
      </c>
      <c r="BQ70" s="1107">
        <v>4.0244962252582646</v>
      </c>
      <c r="BR70" s="1107">
        <v>4.0092533672535398</v>
      </c>
      <c r="BS70" s="1107">
        <v>3.9969448698120145</v>
      </c>
      <c r="BT70" s="1107">
        <v>3.9885264792517141</v>
      </c>
      <c r="BU70" s="1108">
        <v>3.9885264792517141</v>
      </c>
      <c r="BV70" s="1108" t="e">
        <v>#NULL!</v>
      </c>
      <c r="BW70" s="1108" t="e">
        <v>#NULL!</v>
      </c>
      <c r="BX70" s="1109" t="e">
        <v>#NULL!</v>
      </c>
    </row>
    <row r="71" spans="4:76">
      <c r="P71" s="1106"/>
      <c r="Q71" s="1103" t="s">
        <v>384</v>
      </c>
      <c r="R71" s="1288"/>
      <c r="S71" s="1288"/>
      <c r="T71" s="1288"/>
      <c r="U71" s="1288"/>
      <c r="V71" s="1288"/>
      <c r="W71" s="1288"/>
      <c r="X71" s="1288"/>
      <c r="Y71" s="1288"/>
      <c r="Z71" s="1288"/>
      <c r="AA71" s="1104"/>
      <c r="AB71" s="1104"/>
      <c r="AC71" s="1104"/>
      <c r="AD71" s="1104"/>
      <c r="AE71" s="1104"/>
      <c r="AF71" s="1104"/>
      <c r="AG71" s="1104"/>
      <c r="AH71" s="1104"/>
      <c r="AI71" s="1104"/>
      <c r="AJ71" s="1104"/>
      <c r="AK71" s="1104"/>
      <c r="AL71" s="1104"/>
      <c r="AM71" s="1104"/>
      <c r="AN71" s="1104"/>
      <c r="AO71" s="1104"/>
      <c r="AP71" s="1104"/>
      <c r="AQ71" s="1104"/>
      <c r="AR71" s="1104"/>
      <c r="AS71" s="1104"/>
      <c r="AT71" s="1104"/>
      <c r="AU71" s="1104"/>
      <c r="AV71" s="1104"/>
      <c r="AW71" s="1104"/>
      <c r="AX71" s="1104"/>
      <c r="AY71" s="1104"/>
      <c r="AZ71" s="1104"/>
      <c r="BA71" s="1104"/>
      <c r="BB71" s="1104"/>
      <c r="BC71" s="1104"/>
      <c r="BD71" s="1104"/>
      <c r="BE71" s="1104"/>
      <c r="BF71" s="1104"/>
      <c r="BG71" s="1104"/>
      <c r="BH71" s="1104"/>
      <c r="BI71" s="1104"/>
      <c r="BJ71" s="1104"/>
      <c r="BK71" s="1104"/>
      <c r="BL71" s="1104"/>
      <c r="BM71" s="1104"/>
      <c r="BN71" s="1104"/>
      <c r="BO71" s="1104"/>
      <c r="BP71" s="1104"/>
      <c r="BQ71" s="1104"/>
      <c r="BR71" s="1104"/>
      <c r="BS71" s="1104"/>
      <c r="BT71" s="1104"/>
      <c r="BU71" s="1104"/>
      <c r="BV71" s="1104"/>
      <c r="BW71" s="1104"/>
      <c r="BX71" s="1105"/>
    </row>
    <row r="72" spans="4:76">
      <c r="P72" s="1106"/>
      <c r="Q72" s="1103" t="s">
        <v>385</v>
      </c>
      <c r="R72" s="1288"/>
      <c r="S72" s="1288"/>
      <c r="T72" s="1288"/>
      <c r="U72" s="1288"/>
      <c r="V72" s="1288"/>
      <c r="W72" s="1288"/>
      <c r="X72" s="1288"/>
      <c r="Y72" s="1288"/>
      <c r="Z72" s="1288"/>
      <c r="AA72" s="1104"/>
      <c r="AB72" s="1104"/>
      <c r="AC72" s="1104"/>
      <c r="AD72" s="1104"/>
      <c r="AE72" s="1104"/>
      <c r="AF72" s="1104"/>
      <c r="AG72" s="1104"/>
      <c r="AH72" s="1104"/>
      <c r="AI72" s="1104"/>
      <c r="AJ72" s="1104"/>
      <c r="AK72" s="1104"/>
      <c r="AL72" s="1104"/>
      <c r="AM72" s="1104"/>
      <c r="AN72" s="1104"/>
      <c r="AO72" s="1104"/>
      <c r="AP72" s="1104"/>
      <c r="AQ72" s="1104"/>
      <c r="AR72" s="1104"/>
      <c r="AS72" s="1104"/>
      <c r="AT72" s="1104"/>
      <c r="AU72" s="1104"/>
      <c r="AV72" s="1104"/>
      <c r="AW72" s="1104"/>
      <c r="AX72" s="1104"/>
      <c r="AY72" s="1104"/>
      <c r="AZ72" s="1104"/>
      <c r="BA72" s="1104"/>
      <c r="BB72" s="1104"/>
      <c r="BC72" s="1104"/>
      <c r="BD72" s="1104"/>
      <c r="BE72" s="1104"/>
      <c r="BF72" s="1104"/>
      <c r="BG72" s="1104"/>
      <c r="BH72" s="1104"/>
      <c r="BI72" s="1104"/>
      <c r="BJ72" s="1104"/>
      <c r="BK72" s="1104"/>
      <c r="BL72" s="1104"/>
      <c r="BM72" s="1104"/>
      <c r="BN72" s="1104"/>
      <c r="BO72" s="1104"/>
      <c r="BP72" s="1104"/>
      <c r="BQ72" s="1104"/>
      <c r="BR72" s="1104"/>
      <c r="BS72" s="1104"/>
      <c r="BT72" s="1104"/>
      <c r="BU72" s="1104"/>
      <c r="BV72" s="1104"/>
      <c r="BW72" s="1104"/>
      <c r="BX72" s="1105"/>
    </row>
    <row r="73" spans="4:76">
      <c r="P73" s="1106"/>
      <c r="Q73" s="1103" t="s">
        <v>54</v>
      </c>
      <c r="R73" s="1288"/>
      <c r="S73" s="1288"/>
      <c r="T73" s="1288"/>
      <c r="U73" s="1288"/>
      <c r="V73" s="1288"/>
      <c r="W73" s="1288"/>
      <c r="X73" s="1288"/>
      <c r="Y73" s="1288"/>
      <c r="Z73" s="1288"/>
      <c r="AA73" s="1104"/>
      <c r="AB73" s="1104"/>
      <c r="AC73" s="1104"/>
      <c r="AD73" s="1104"/>
      <c r="AE73" s="1104"/>
      <c r="AF73" s="1104"/>
      <c r="AG73" s="1104"/>
      <c r="AH73" s="1104"/>
      <c r="AI73" s="1104"/>
      <c r="AJ73" s="1104"/>
      <c r="AK73" s="1104"/>
      <c r="AL73" s="1104"/>
      <c r="AM73" s="1104"/>
      <c r="AN73" s="1104"/>
      <c r="AO73" s="1104"/>
      <c r="AP73" s="1104"/>
      <c r="AQ73" s="1104"/>
      <c r="AR73" s="1104"/>
      <c r="AS73" s="1104"/>
      <c r="AT73" s="1104"/>
      <c r="AU73" s="1104"/>
      <c r="AV73" s="1104"/>
      <c r="AW73" s="1104"/>
      <c r="AX73" s="1104"/>
      <c r="AY73" s="1104"/>
      <c r="AZ73" s="1104"/>
      <c r="BA73" s="1104"/>
      <c r="BB73" s="1104"/>
      <c r="BC73" s="1104"/>
      <c r="BD73" s="1104"/>
      <c r="BE73" s="1104"/>
      <c r="BF73" s="1104"/>
      <c r="BG73" s="1104"/>
      <c r="BH73" s="1104"/>
      <c r="BI73" s="1104"/>
      <c r="BJ73" s="1104"/>
      <c r="BK73" s="1104"/>
      <c r="BL73" s="1104"/>
      <c r="BM73" s="1104"/>
      <c r="BN73" s="1104"/>
      <c r="BO73" s="1104"/>
      <c r="BP73" s="1104"/>
      <c r="BQ73" s="1104"/>
      <c r="BR73" s="1104"/>
      <c r="BS73" s="1104"/>
      <c r="BT73" s="1104"/>
      <c r="BU73" s="1104"/>
      <c r="BV73" s="1104"/>
      <c r="BW73" s="1104"/>
      <c r="BX73" s="1105"/>
    </row>
    <row r="74" spans="4:76">
      <c r="P74" s="1106"/>
      <c r="Q74" s="1103" t="s">
        <v>387</v>
      </c>
      <c r="R74" s="1288"/>
      <c r="S74" s="1288"/>
      <c r="T74" s="1288"/>
      <c r="U74" s="1288"/>
      <c r="V74" s="1288"/>
      <c r="W74" s="1288"/>
      <c r="X74" s="1288"/>
      <c r="Y74" s="1288"/>
      <c r="Z74" s="1288"/>
      <c r="AA74" s="1104"/>
      <c r="AB74" s="1104"/>
      <c r="AC74" s="1104"/>
      <c r="AD74" s="1104"/>
      <c r="AE74" s="1104"/>
      <c r="AF74" s="1104"/>
      <c r="AG74" s="1104"/>
      <c r="AH74" s="1104"/>
      <c r="AI74" s="1104"/>
      <c r="AJ74" s="1104"/>
      <c r="AK74" s="1104"/>
      <c r="AL74" s="1104"/>
      <c r="AM74" s="1104"/>
      <c r="AN74" s="1104"/>
      <c r="AO74" s="1104"/>
      <c r="AP74" s="1104"/>
      <c r="AQ74" s="1104"/>
      <c r="AR74" s="1104"/>
      <c r="AS74" s="1104"/>
      <c r="AT74" s="1104"/>
      <c r="AU74" s="1104"/>
      <c r="AV74" s="1104"/>
      <c r="AW74" s="1104"/>
      <c r="AX74" s="1104"/>
      <c r="AY74" s="1104"/>
      <c r="AZ74" s="1104"/>
      <c r="BA74" s="1104"/>
      <c r="BB74" s="1104"/>
      <c r="BC74" s="1104"/>
      <c r="BD74" s="1104"/>
      <c r="BE74" s="1104"/>
      <c r="BF74" s="1104"/>
      <c r="BG74" s="1104"/>
      <c r="BH74" s="1104"/>
      <c r="BI74" s="1104"/>
      <c r="BJ74" s="1104"/>
      <c r="BK74" s="1104"/>
      <c r="BL74" s="1104"/>
      <c r="BM74" s="1104"/>
      <c r="BN74" s="1104"/>
      <c r="BO74" s="1104"/>
      <c r="BP74" s="1104"/>
      <c r="BQ74" s="1104"/>
      <c r="BR74" s="1104"/>
      <c r="BS74" s="1104"/>
      <c r="BT74" s="1104"/>
      <c r="BU74" s="1104"/>
      <c r="BV74" s="1104"/>
      <c r="BW74" s="1104"/>
      <c r="BX74" s="1105"/>
    </row>
    <row r="75" spans="4:76">
      <c r="P75" s="1110"/>
      <c r="Q75" s="1111" t="s">
        <v>388</v>
      </c>
      <c r="R75" s="1289"/>
      <c r="S75" s="1289"/>
      <c r="T75" s="1289"/>
      <c r="U75" s="1289"/>
      <c r="V75" s="1289"/>
      <c r="W75" s="1289"/>
      <c r="X75" s="1289"/>
      <c r="Y75" s="1289"/>
      <c r="Z75" s="1289"/>
      <c r="AA75" s="1112"/>
      <c r="AB75" s="1112"/>
      <c r="AC75" s="1112"/>
      <c r="AD75" s="1112"/>
      <c r="AE75" s="1112"/>
      <c r="AF75" s="1112"/>
      <c r="AG75" s="1112"/>
      <c r="AH75" s="1112"/>
      <c r="AI75" s="1112"/>
      <c r="AJ75" s="1112"/>
      <c r="AK75" s="1112"/>
      <c r="AL75" s="1112"/>
      <c r="AM75" s="1112"/>
      <c r="AN75" s="1112"/>
      <c r="AO75" s="1112"/>
      <c r="AP75" s="1112"/>
      <c r="AQ75" s="1112"/>
      <c r="AR75" s="1112"/>
      <c r="AS75" s="1112"/>
      <c r="AT75" s="1112"/>
      <c r="AU75" s="1112"/>
      <c r="AV75" s="1112"/>
      <c r="AW75" s="1112"/>
      <c r="AX75" s="1112"/>
      <c r="AY75" s="1112"/>
      <c r="AZ75" s="1112"/>
      <c r="BA75" s="1112"/>
      <c r="BB75" s="1112"/>
      <c r="BC75" s="1112"/>
      <c r="BD75" s="1112"/>
      <c r="BE75" s="1112"/>
      <c r="BF75" s="1112"/>
      <c r="BG75" s="1112"/>
      <c r="BH75" s="1112"/>
      <c r="BI75" s="1112"/>
      <c r="BJ75" s="1112"/>
      <c r="BK75" s="1112"/>
      <c r="BL75" s="1112"/>
      <c r="BM75" s="1112"/>
      <c r="BN75" s="1112"/>
      <c r="BO75" s="1112"/>
      <c r="BP75" s="1112"/>
      <c r="BQ75" s="1112"/>
      <c r="BR75" s="1112"/>
      <c r="BS75" s="1112"/>
      <c r="BT75" s="1112"/>
      <c r="BU75" s="1112"/>
      <c r="BV75" s="1112"/>
      <c r="BW75" s="1112"/>
      <c r="BX75" s="1113"/>
    </row>
    <row r="76" spans="4:76">
      <c r="P76" s="336" t="s">
        <v>395</v>
      </c>
      <c r="Q76" s="1103" t="s">
        <v>53</v>
      </c>
      <c r="R76" s="1288"/>
      <c r="S76" s="1288"/>
      <c r="T76" s="1288"/>
      <c r="U76" s="1288"/>
      <c r="V76" s="1288"/>
      <c r="W76" s="1288"/>
      <c r="X76" s="1288"/>
      <c r="Y76" s="1288"/>
      <c r="Z76" s="1288"/>
      <c r="AA76" s="1104" t="e">
        <v>#NULL!</v>
      </c>
      <c r="AB76" s="1104" t="e">
        <v>#NULL!</v>
      </c>
      <c r="AC76" s="1104" t="e">
        <v>#NULL!</v>
      </c>
      <c r="AD76" s="1104" t="e">
        <v>#NULL!</v>
      </c>
      <c r="AE76" s="1104" t="e">
        <v>#NULL!</v>
      </c>
      <c r="AF76" s="1104" t="e">
        <v>#NULL!</v>
      </c>
      <c r="AG76" s="1104" t="e">
        <v>#NULL!</v>
      </c>
      <c r="AH76" s="1104" t="e">
        <v>#NULL!</v>
      </c>
      <c r="AI76" s="1104" t="e">
        <v>#NULL!</v>
      </c>
      <c r="AJ76" s="1104"/>
      <c r="AK76" s="1104"/>
      <c r="AL76" s="1104"/>
      <c r="AM76" s="1104"/>
      <c r="AN76" s="1104" t="e">
        <v>#NULL!</v>
      </c>
      <c r="AO76" s="1104" t="e">
        <v>#NULL!</v>
      </c>
      <c r="AP76" s="1104" t="e">
        <v>#NULL!</v>
      </c>
      <c r="AQ76" s="1104" t="e">
        <v>#NULL!</v>
      </c>
      <c r="AR76" s="1104" t="e">
        <v>#NULL!</v>
      </c>
      <c r="AS76" s="1104" t="e">
        <v>#NULL!</v>
      </c>
      <c r="AT76" s="1104" t="e">
        <v>#NULL!</v>
      </c>
      <c r="AU76" s="1104" t="e">
        <v>#NULL!</v>
      </c>
      <c r="AV76" s="1104" t="e">
        <v>#NULL!</v>
      </c>
      <c r="AW76" s="1104" t="e">
        <v>#NULL!</v>
      </c>
      <c r="AX76" s="1104" t="e">
        <v>#NULL!</v>
      </c>
      <c r="AY76" s="1104" t="e">
        <v>#NULL!</v>
      </c>
      <c r="AZ76" s="1104" t="e">
        <v>#NULL!</v>
      </c>
      <c r="BA76" s="1104" t="e">
        <v>#NULL!</v>
      </c>
      <c r="BB76" s="1104" t="e">
        <v>#NULL!</v>
      </c>
      <c r="BC76" s="1104" t="e">
        <v>#NULL!</v>
      </c>
      <c r="BD76" s="1104" t="e">
        <v>#NULL!</v>
      </c>
      <c r="BE76" s="1104" t="e">
        <v>#NULL!</v>
      </c>
      <c r="BF76" s="1104" t="e">
        <v>#NULL!</v>
      </c>
      <c r="BG76" s="1104" t="e">
        <v>#NULL!</v>
      </c>
      <c r="BH76" s="1104" t="e">
        <v>#NULL!</v>
      </c>
      <c r="BI76" s="1104"/>
      <c r="BJ76" s="1104" t="e">
        <v>#NULL!</v>
      </c>
      <c r="BK76" s="1104" t="e">
        <v>#NULL!</v>
      </c>
      <c r="BL76" s="1104" t="e">
        <v>#NULL!</v>
      </c>
      <c r="BM76" s="1104" t="e">
        <v>#NULL!</v>
      </c>
      <c r="BN76" s="1104" t="e">
        <v>#NULL!</v>
      </c>
      <c r="BO76" s="1104" t="e">
        <v>#NULL!</v>
      </c>
      <c r="BP76" s="1104" t="e">
        <v>#NULL!</v>
      </c>
      <c r="BQ76" s="1104" t="e">
        <v>#NULL!</v>
      </c>
      <c r="BR76" s="1104" t="e">
        <v>#NULL!</v>
      </c>
      <c r="BS76" s="1104" t="e">
        <v>#NULL!</v>
      </c>
      <c r="BT76" s="1104" t="e">
        <v>#NULL!</v>
      </c>
      <c r="BU76" s="1104" t="e">
        <v>#NULL!</v>
      </c>
      <c r="BV76" s="1104" t="e">
        <v>#NULL!</v>
      </c>
      <c r="BW76" s="1104" t="e">
        <v>#NULL!</v>
      </c>
      <c r="BX76" s="1105" t="e">
        <v>#NULL!</v>
      </c>
    </row>
    <row r="77" spans="4:76">
      <c r="P77" s="336"/>
      <c r="Q77" s="1103" t="s">
        <v>383</v>
      </c>
      <c r="R77" s="1288"/>
      <c r="S77" s="1288"/>
      <c r="T77" s="1288"/>
      <c r="U77" s="1288"/>
      <c r="V77" s="1288"/>
      <c r="W77" s="1288"/>
      <c r="X77" s="1288"/>
      <c r="Y77" s="1288"/>
      <c r="Z77" s="1288"/>
      <c r="AA77" s="1114">
        <v>10.544078417387906</v>
      </c>
      <c r="AB77" s="1114">
        <v>10.556277435482231</v>
      </c>
      <c r="AC77" s="1114">
        <v>10.568476453576558</v>
      </c>
      <c r="AD77" s="1114">
        <v>10.580675471670885</v>
      </c>
      <c r="AE77" s="1114">
        <v>10.592874489765213</v>
      </c>
      <c r="AF77" s="1114">
        <v>10.605073507859538</v>
      </c>
      <c r="AG77" s="1114">
        <v>10.617272525953867</v>
      </c>
      <c r="AH77" s="1114">
        <v>10.629471544048197</v>
      </c>
      <c r="AI77" s="1114">
        <v>10.641670562142522</v>
      </c>
      <c r="AJ77" s="1114"/>
      <c r="AK77" s="1114"/>
      <c r="AL77" s="1114"/>
      <c r="AM77" s="1114"/>
      <c r="AN77" s="1114">
        <v>10.653869580236851</v>
      </c>
      <c r="AO77" s="1114">
        <v>10.666068598331176</v>
      </c>
      <c r="AP77" s="1114">
        <v>10.678267616425504</v>
      </c>
      <c r="AQ77" s="1114">
        <v>10.690466634519831</v>
      </c>
      <c r="AR77" s="1114">
        <v>10.460049824080729</v>
      </c>
      <c r="AS77" s="1114">
        <v>10.527587838064756</v>
      </c>
      <c r="AT77" s="1114">
        <v>10.582067836623173</v>
      </c>
      <c r="AU77" s="1114">
        <v>10.693695385475763</v>
      </c>
      <c r="AV77" s="1114">
        <v>10.731940284518791</v>
      </c>
      <c r="AW77" s="1114">
        <v>10.928300066596016</v>
      </c>
      <c r="AX77" s="1114">
        <v>10.917390079721674</v>
      </c>
      <c r="AY77" s="1114">
        <v>11.023133029426839</v>
      </c>
      <c r="AZ77" s="1114">
        <v>11.181877334780713</v>
      </c>
      <c r="BA77" s="1114">
        <v>11.153213642159386</v>
      </c>
      <c r="BB77" s="1114">
        <v>10.91291418767066</v>
      </c>
      <c r="BC77" s="1114">
        <v>10.874669288627635</v>
      </c>
      <c r="BD77" s="1114">
        <v>10.758575838554503</v>
      </c>
      <c r="BE77" s="1114">
        <v>10.590340244253168</v>
      </c>
      <c r="BF77" s="1114">
        <v>10.485126808562963</v>
      </c>
      <c r="BG77" s="1114">
        <v>10.510293710519438</v>
      </c>
      <c r="BH77" s="1114">
        <v>10.275025760168333</v>
      </c>
      <c r="BI77" s="1114"/>
      <c r="BJ77" s="1114">
        <v>10.484040295492044</v>
      </c>
      <c r="BK77" s="1114">
        <v>10.427828013348474</v>
      </c>
      <c r="BL77" s="1114">
        <v>10.39462965105783</v>
      </c>
      <c r="BM77" s="1114">
        <v>10.290192343901257</v>
      </c>
      <c r="BN77" s="1114">
        <v>10.078666485119003</v>
      </c>
      <c r="BO77" s="1114">
        <v>10.202909620353303</v>
      </c>
      <c r="BP77" s="1107">
        <v>10.300322142250486</v>
      </c>
      <c r="BQ77" s="1107">
        <v>9.8490166666123322</v>
      </c>
      <c r="BR77" s="1107">
        <v>10.2556113817535</v>
      </c>
      <c r="BS77" s="1107">
        <v>10.321493772557584</v>
      </c>
      <c r="BT77" s="1115">
        <v>10.321493772557584</v>
      </c>
      <c r="BU77" s="1108">
        <v>10.321493772557584</v>
      </c>
      <c r="BV77" s="1108" t="e">
        <v>#NULL!</v>
      </c>
      <c r="BW77" s="1108" t="e">
        <v>#NULL!</v>
      </c>
      <c r="BX77" s="1109" t="e">
        <v>#NULL!</v>
      </c>
    </row>
    <row r="78" spans="4:76">
      <c r="P78" s="336"/>
      <c r="Q78" s="1103" t="s">
        <v>384</v>
      </c>
      <c r="R78" s="1288"/>
      <c r="S78" s="1288"/>
      <c r="T78" s="1288"/>
      <c r="U78" s="1288"/>
      <c r="V78" s="1288"/>
      <c r="W78" s="1288"/>
      <c r="X78" s="1288"/>
      <c r="Y78" s="1288"/>
      <c r="Z78" s="1288"/>
      <c r="AA78" s="1104"/>
      <c r="AB78" s="1104"/>
      <c r="AC78" s="1104"/>
      <c r="AD78" s="1104"/>
      <c r="AE78" s="1104"/>
      <c r="AF78" s="1104"/>
      <c r="AG78" s="1104"/>
      <c r="AH78" s="1104"/>
      <c r="AI78" s="1104"/>
      <c r="AJ78" s="1104"/>
      <c r="AK78" s="1104"/>
      <c r="AL78" s="1104"/>
      <c r="AM78" s="1104"/>
      <c r="AN78" s="1104"/>
      <c r="AO78" s="1104"/>
      <c r="AP78" s="1104"/>
      <c r="AQ78" s="1104"/>
      <c r="AR78" s="1104"/>
      <c r="AS78" s="1104"/>
      <c r="AT78" s="1104"/>
      <c r="AU78" s="1104"/>
      <c r="AV78" s="1104"/>
      <c r="AW78" s="1104"/>
      <c r="AX78" s="1104"/>
      <c r="AY78" s="1104"/>
      <c r="AZ78" s="1104"/>
      <c r="BA78" s="1104"/>
      <c r="BB78" s="1104"/>
      <c r="BC78" s="1104"/>
      <c r="BD78" s="1104"/>
      <c r="BE78" s="1104"/>
      <c r="BF78" s="1104"/>
      <c r="BG78" s="1104"/>
      <c r="BH78" s="1104"/>
      <c r="BI78" s="1104"/>
      <c r="BJ78" s="1104"/>
      <c r="BK78" s="1104"/>
      <c r="BL78" s="1104"/>
      <c r="BM78" s="1104"/>
      <c r="BN78" s="1104"/>
      <c r="BO78" s="1104"/>
      <c r="BP78" s="1108"/>
      <c r="BQ78" s="1108"/>
      <c r="BR78" s="1108"/>
      <c r="BS78" s="1108"/>
      <c r="BT78" s="1108"/>
      <c r="BU78" s="1108"/>
      <c r="BV78" s="1108"/>
      <c r="BW78" s="1108"/>
      <c r="BX78" s="1109"/>
    </row>
    <row r="79" spans="4:76">
      <c r="P79" s="336"/>
      <c r="Q79" s="1103" t="s">
        <v>385</v>
      </c>
      <c r="R79" s="1288"/>
      <c r="S79" s="1288"/>
      <c r="T79" s="1288"/>
      <c r="U79" s="1288"/>
      <c r="V79" s="1288"/>
      <c r="W79" s="1288"/>
      <c r="X79" s="1288"/>
      <c r="Y79" s="1288"/>
      <c r="Z79" s="1288"/>
      <c r="AA79" s="1104"/>
      <c r="AB79" s="1104"/>
      <c r="AC79" s="1104"/>
      <c r="AD79" s="1104"/>
      <c r="AE79" s="1104"/>
      <c r="AF79" s="1104"/>
      <c r="AG79" s="1104"/>
      <c r="AH79" s="1104"/>
      <c r="AI79" s="1104"/>
      <c r="AJ79" s="1104"/>
      <c r="AK79" s="1104"/>
      <c r="AL79" s="1104"/>
      <c r="AM79" s="1104"/>
      <c r="AN79" s="1104"/>
      <c r="AO79" s="1104"/>
      <c r="AP79" s="1104"/>
      <c r="AQ79" s="1104"/>
      <c r="AR79" s="1104"/>
      <c r="AS79" s="1104"/>
      <c r="AT79" s="1104"/>
      <c r="AU79" s="1104"/>
      <c r="AV79" s="1104"/>
      <c r="AW79" s="1104"/>
      <c r="AX79" s="1104"/>
      <c r="AY79" s="1104"/>
      <c r="AZ79" s="1104"/>
      <c r="BA79" s="1104"/>
      <c r="BB79" s="1104"/>
      <c r="BC79" s="1104"/>
      <c r="BD79" s="1104"/>
      <c r="BE79" s="1104"/>
      <c r="BF79" s="1104"/>
      <c r="BG79" s="1104"/>
      <c r="BH79" s="1104"/>
      <c r="BI79" s="1104"/>
      <c r="BJ79" s="1104"/>
      <c r="BK79" s="1104"/>
      <c r="BL79" s="1104"/>
      <c r="BM79" s="1104"/>
      <c r="BN79" s="1104"/>
      <c r="BO79" s="1104"/>
      <c r="BP79" s="1108"/>
      <c r="BQ79" s="1108"/>
      <c r="BR79" s="1108"/>
      <c r="BS79" s="1108"/>
      <c r="BT79" s="1108"/>
      <c r="BU79" s="1108"/>
      <c r="BV79" s="1108"/>
      <c r="BW79" s="1108"/>
      <c r="BX79" s="1109"/>
    </row>
    <row r="80" spans="4:76">
      <c r="P80" s="336"/>
      <c r="Q80" s="1103" t="s">
        <v>54</v>
      </c>
      <c r="R80" s="1288"/>
      <c r="S80" s="1288"/>
      <c r="T80" s="1288"/>
      <c r="U80" s="1288"/>
      <c r="V80" s="1288"/>
      <c r="W80" s="1288"/>
      <c r="X80" s="1288"/>
      <c r="Y80" s="1288"/>
      <c r="Z80" s="1288"/>
      <c r="AA80" s="1104"/>
      <c r="AB80" s="1104"/>
      <c r="AC80" s="1104"/>
      <c r="AD80" s="1104"/>
      <c r="AE80" s="1104"/>
      <c r="AF80" s="1104"/>
      <c r="AG80" s="1104"/>
      <c r="AH80" s="1104"/>
      <c r="AI80" s="1104"/>
      <c r="AJ80" s="1104"/>
      <c r="AK80" s="1104"/>
      <c r="AL80" s="1104"/>
      <c r="AM80" s="1104"/>
      <c r="AN80" s="1104"/>
      <c r="AO80" s="1104"/>
      <c r="AP80" s="1104"/>
      <c r="AQ80" s="1104"/>
      <c r="AR80" s="1104"/>
      <c r="AS80" s="1104"/>
      <c r="AT80" s="1104"/>
      <c r="AU80" s="1104"/>
      <c r="AV80" s="1104"/>
      <c r="AW80" s="1104"/>
      <c r="AX80" s="1104"/>
      <c r="AY80" s="1104"/>
      <c r="AZ80" s="1104"/>
      <c r="BA80" s="1104"/>
      <c r="BB80" s="1104"/>
      <c r="BC80" s="1104"/>
      <c r="BD80" s="1104"/>
      <c r="BE80" s="1104"/>
      <c r="BF80" s="1104"/>
      <c r="BG80" s="1104"/>
      <c r="BH80" s="1104"/>
      <c r="BI80" s="1104"/>
      <c r="BJ80" s="1104"/>
      <c r="BK80" s="1104"/>
      <c r="BL80" s="1104"/>
      <c r="BM80" s="1104"/>
      <c r="BN80" s="1104"/>
      <c r="BO80" s="1104"/>
      <c r="BP80" s="1108"/>
      <c r="BQ80" s="1108"/>
      <c r="BR80" s="1108"/>
      <c r="BS80" s="1108"/>
      <c r="BT80" s="1108"/>
      <c r="BU80" s="1108"/>
      <c r="BV80" s="1108"/>
      <c r="BW80" s="1108"/>
      <c r="BX80" s="1109"/>
    </row>
    <row r="81" spans="16:76">
      <c r="P81" s="336"/>
      <c r="Q81" s="1103" t="s">
        <v>387</v>
      </c>
      <c r="R81" s="1288"/>
      <c r="S81" s="1288"/>
      <c r="T81" s="1288"/>
      <c r="U81" s="1288"/>
      <c r="V81" s="1288"/>
      <c r="W81" s="1288"/>
      <c r="X81" s="1288"/>
      <c r="Y81" s="1288"/>
      <c r="Z81" s="1288"/>
      <c r="AA81" s="1104"/>
      <c r="AB81" s="1104"/>
      <c r="AC81" s="1104"/>
      <c r="AD81" s="1104"/>
      <c r="AE81" s="1104"/>
      <c r="AF81" s="1104"/>
      <c r="AG81" s="1104"/>
      <c r="AH81" s="1104"/>
      <c r="AI81" s="1104"/>
      <c r="AJ81" s="1104"/>
      <c r="AK81" s="1104"/>
      <c r="AL81" s="1104"/>
      <c r="AM81" s="1104"/>
      <c r="AN81" s="1104"/>
      <c r="AO81" s="1104"/>
      <c r="AP81" s="1104"/>
      <c r="AQ81" s="1104"/>
      <c r="AR81" s="1104"/>
      <c r="AS81" s="1104"/>
      <c r="AT81" s="1104"/>
      <c r="AU81" s="1104"/>
      <c r="AV81" s="1104"/>
      <c r="AW81" s="1104"/>
      <c r="AX81" s="1104"/>
      <c r="AY81" s="1104"/>
      <c r="AZ81" s="1104"/>
      <c r="BA81" s="1104"/>
      <c r="BB81" s="1104"/>
      <c r="BC81" s="1104"/>
      <c r="BD81" s="1104"/>
      <c r="BE81" s="1104"/>
      <c r="BF81" s="1104"/>
      <c r="BG81" s="1104"/>
      <c r="BH81" s="1104"/>
      <c r="BI81" s="1104"/>
      <c r="BJ81" s="1104"/>
      <c r="BK81" s="1104"/>
      <c r="BL81" s="1104"/>
      <c r="BM81" s="1104"/>
      <c r="BN81" s="1104"/>
      <c r="BO81" s="1104"/>
      <c r="BP81" s="1108"/>
      <c r="BQ81" s="1108"/>
      <c r="BR81" s="1108"/>
      <c r="BS81" s="1108"/>
      <c r="BT81" s="1108"/>
      <c r="BU81" s="1108"/>
      <c r="BV81" s="1108"/>
      <c r="BW81" s="1108"/>
      <c r="BX81" s="1109"/>
    </row>
    <row r="82" spans="16:76">
      <c r="P82" s="341"/>
      <c r="Q82" s="1111" t="s">
        <v>388</v>
      </c>
      <c r="R82" s="1289"/>
      <c r="S82" s="1289"/>
      <c r="T82" s="1289"/>
      <c r="U82" s="1289"/>
      <c r="V82" s="1289"/>
      <c r="W82" s="1289"/>
      <c r="X82" s="1289"/>
      <c r="Y82" s="1289"/>
      <c r="Z82" s="1289"/>
      <c r="AA82" s="1112"/>
      <c r="AB82" s="1112"/>
      <c r="AC82" s="1112"/>
      <c r="AD82" s="1112"/>
      <c r="AE82" s="1112"/>
      <c r="AF82" s="1112"/>
      <c r="AG82" s="1112"/>
      <c r="AH82" s="1112"/>
      <c r="AI82" s="1112"/>
      <c r="AJ82" s="1112"/>
      <c r="AK82" s="1112"/>
      <c r="AL82" s="1112"/>
      <c r="AM82" s="1112"/>
      <c r="AN82" s="1112"/>
      <c r="AO82" s="1112"/>
      <c r="AP82" s="1112"/>
      <c r="AQ82" s="1112"/>
      <c r="AR82" s="1112"/>
      <c r="AS82" s="1112"/>
      <c r="AT82" s="1112"/>
      <c r="AU82" s="1112"/>
      <c r="AV82" s="1112"/>
      <c r="AW82" s="1112"/>
      <c r="AX82" s="1112"/>
      <c r="AY82" s="1112"/>
      <c r="AZ82" s="1112"/>
      <c r="BA82" s="1112"/>
      <c r="BB82" s="1112"/>
      <c r="BC82" s="1112"/>
      <c r="BD82" s="1112"/>
      <c r="BE82" s="1112"/>
      <c r="BF82" s="1112"/>
      <c r="BG82" s="1112"/>
      <c r="BH82" s="1112"/>
      <c r="BI82" s="1112"/>
      <c r="BJ82" s="1112"/>
      <c r="BK82" s="1112"/>
      <c r="BL82" s="1112"/>
      <c r="BM82" s="1112"/>
      <c r="BN82" s="1112"/>
      <c r="BO82" s="1112"/>
      <c r="BP82" s="1116"/>
      <c r="BQ82" s="1116"/>
      <c r="BR82" s="1116"/>
      <c r="BS82" s="1116"/>
      <c r="BT82" s="1116"/>
      <c r="BU82" s="1116"/>
      <c r="BV82" s="1116"/>
      <c r="BW82" s="1116"/>
      <c r="BX82" s="1117"/>
    </row>
  </sheetData>
  <mergeCells count="4">
    <mergeCell ref="AG17:AH17"/>
    <mergeCell ref="AI17:AJ17"/>
    <mergeCell ref="AA23:AB23"/>
    <mergeCell ref="D26:H26"/>
  </mergeCells>
  <pageMargins left="0.7" right="0.7" top="0.75" bottom="0.75" header="0.3" footer="0.3"/>
  <pageSetup paperSize="9" orientation="portrait"/>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3:Y48"/>
  <sheetViews>
    <sheetView zoomScale="90" zoomScaleNormal="90" workbookViewId="0">
      <selection activeCell="L6" sqref="L6"/>
    </sheetView>
  </sheetViews>
  <sheetFormatPr defaultColWidth="8.85546875" defaultRowHeight="12.75"/>
  <cols>
    <col min="1" max="1" width="2.28515625" style="713" customWidth="1"/>
    <col min="2" max="2" width="14" style="713" bestFit="1" customWidth="1"/>
    <col min="3" max="3" width="51.28515625" style="713" customWidth="1"/>
    <col min="4" max="4" width="17.140625" style="713" bestFit="1" customWidth="1"/>
    <col min="5" max="5" width="9.7109375" style="713" bestFit="1" customWidth="1"/>
    <col min="6" max="6" width="9.85546875" style="713" bestFit="1" customWidth="1"/>
    <col min="7" max="7" width="10.7109375" style="713" customWidth="1"/>
    <col min="8" max="8" width="16.42578125" style="713" bestFit="1" customWidth="1"/>
    <col min="9" max="9" width="17.42578125" style="713" customWidth="1"/>
    <col min="10" max="10" width="14.140625" style="713" customWidth="1"/>
    <col min="11" max="11" width="12" style="713" bestFit="1" customWidth="1"/>
    <col min="12" max="13" width="8.7109375" style="713" bestFit="1" customWidth="1"/>
    <col min="14" max="14" width="7.7109375" style="713" bestFit="1" customWidth="1"/>
    <col min="15" max="15" width="6.5703125" style="713" bestFit="1" customWidth="1"/>
    <col min="16" max="16" width="9" style="713" bestFit="1" customWidth="1"/>
    <col min="17" max="20" width="8.85546875" style="713"/>
    <col min="21" max="21" width="25.140625" style="713" customWidth="1"/>
    <col min="22" max="22" width="25.85546875" style="713" customWidth="1"/>
    <col min="23" max="23" width="20.28515625" style="713" bestFit="1" customWidth="1"/>
    <col min="24" max="24" width="9.42578125" style="713" bestFit="1" customWidth="1"/>
    <col min="25" max="25" width="9.7109375" style="713" bestFit="1" customWidth="1"/>
    <col min="26" max="16384" width="8.85546875" style="713"/>
  </cols>
  <sheetData>
    <row r="3" spans="2:25">
      <c r="D3" s="677"/>
      <c r="E3" s="680" t="s">
        <v>8</v>
      </c>
      <c r="F3" s="680"/>
      <c r="G3" s="680"/>
      <c r="H3" s="680"/>
      <c r="I3" s="680"/>
      <c r="J3" s="680"/>
      <c r="K3" s="755"/>
      <c r="O3" s="681"/>
      <c r="P3"/>
    </row>
    <row r="4" spans="2:25">
      <c r="B4" s="757" t="s">
        <v>2</v>
      </c>
      <c r="C4" s="757" t="s">
        <v>26</v>
      </c>
      <c r="D4" s="757" t="s">
        <v>14</v>
      </c>
      <c r="E4" s="757" t="s">
        <v>15</v>
      </c>
      <c r="F4" s="1018" t="s">
        <v>1073</v>
      </c>
      <c r="G4" s="1018" t="s">
        <v>1074</v>
      </c>
      <c r="H4" s="1019" t="s">
        <v>1075</v>
      </c>
      <c r="I4" s="1019" t="s">
        <v>1076</v>
      </c>
      <c r="J4" s="1017" t="s">
        <v>1077</v>
      </c>
      <c r="K4" s="1017" t="s">
        <v>1078</v>
      </c>
      <c r="L4" s="757" t="s">
        <v>1079</v>
      </c>
      <c r="M4" s="757" t="s">
        <v>1080</v>
      </c>
      <c r="N4" s="710" t="s">
        <v>0</v>
      </c>
      <c r="O4" s="710" t="s">
        <v>55</v>
      </c>
      <c r="P4"/>
      <c r="R4" s="170" t="s">
        <v>888</v>
      </c>
    </row>
    <row r="5" spans="2:25" ht="23.25" thickBot="1">
      <c r="B5" s="716" t="s">
        <v>27</v>
      </c>
      <c r="C5" s="716"/>
      <c r="D5" s="716"/>
      <c r="E5" s="716"/>
      <c r="F5" s="1118" t="str">
        <f>Processes!G28</f>
        <v>kvehicles</v>
      </c>
      <c r="G5" s="1118" t="str">
        <f>Processes!G28</f>
        <v>kvehicles</v>
      </c>
      <c r="H5" s="716" t="s">
        <v>1045</v>
      </c>
      <c r="I5" s="716" t="s">
        <v>1045</v>
      </c>
      <c r="J5" s="716" t="s">
        <v>1081</v>
      </c>
      <c r="K5" s="716" t="s">
        <v>1081</v>
      </c>
      <c r="L5" s="716" t="s">
        <v>77</v>
      </c>
      <c r="M5" s="716" t="s">
        <v>77</v>
      </c>
      <c r="N5" s="716"/>
      <c r="O5" s="716" t="s">
        <v>56</v>
      </c>
      <c r="P5"/>
      <c r="R5" s="170" t="s">
        <v>116</v>
      </c>
      <c r="S5" s="170" t="s">
        <v>117</v>
      </c>
      <c r="U5" s="682" t="s">
        <v>1082</v>
      </c>
      <c r="V5" s="682"/>
      <c r="W5" s="682" t="s">
        <v>1083</v>
      </c>
      <c r="X5" s="1119" t="s">
        <v>1084</v>
      </c>
      <c r="Y5" s="694" t="s">
        <v>803</v>
      </c>
    </row>
    <row r="6" spans="2:25">
      <c r="B6" s="713" t="str">
        <f>Processes!D38</f>
        <v>TFRLDSBL1E</v>
      </c>
      <c r="C6" s="1161" t="str">
        <f>Processes!E38</f>
        <v>Transport Freight Train - Diesel Engine - Blending 1 - Existing</v>
      </c>
      <c r="D6" s="713" t="str">
        <f>Commodities!D70</f>
        <v>TRADSBL1</v>
      </c>
      <c r="E6" s="681" t="str">
        <f>Commodities!D26</f>
        <v>TFRA</v>
      </c>
      <c r="F6" s="1120">
        <f>ROUND($H15*R6,0)/1000</f>
        <v>2.9000000000000001E-2</v>
      </c>
      <c r="G6" s="1120">
        <f>ROUND($H15*S6,0)/1000</f>
        <v>2.9000000000000001E-2</v>
      </c>
      <c r="H6" s="1034">
        <v>180</v>
      </c>
      <c r="I6" s="1034">
        <v>180</v>
      </c>
      <c r="J6" s="839">
        <f>1/M25*10^3</f>
        <v>9.6274034635355772</v>
      </c>
      <c r="K6" s="1121">
        <f>J6</f>
        <v>9.6274034635355772</v>
      </c>
      <c r="L6" s="1122">
        <v>26000</v>
      </c>
      <c r="M6" s="1122">
        <v>17500</v>
      </c>
      <c r="N6" s="1123">
        <f>10^-3</f>
        <v>1E-3</v>
      </c>
      <c r="O6" s="1042">
        <v>30</v>
      </c>
      <c r="P6"/>
      <c r="R6" s="1035">
        <v>0.5</v>
      </c>
      <c r="S6" s="1035">
        <v>0.5</v>
      </c>
      <c r="U6" s="713">
        <f>F6*L6*(1/J6)*N6+G6*M6*(1/K6)*N6</f>
        <v>0.13103221494539147</v>
      </c>
      <c r="V6" s="682"/>
      <c r="W6" s="563" t="s">
        <v>145</v>
      </c>
      <c r="X6" s="715" t="e">
        <f>Dem!#REF!</f>
        <v>#REF!</v>
      </c>
      <c r="Y6" s="715">
        <f>F6*H6*L6*N6+F7*H7*L7*N7</f>
        <v>224.64000000000004</v>
      </c>
    </row>
    <row r="7" spans="2:25">
      <c r="B7" s="1161" t="str">
        <f>Processes!D39</f>
        <v>TFRLELCX1E</v>
      </c>
      <c r="C7" s="1161" t="str">
        <f>Processes!E39</f>
        <v>Transport Freight Train - Electric - Existing</v>
      </c>
      <c r="D7" s="22" t="str">
        <f>Commodities!D46</f>
        <v>TRAELC</v>
      </c>
      <c r="E7" s="23" t="str">
        <f>Commodities!D26</f>
        <v>TFRA</v>
      </c>
      <c r="F7" s="23">
        <f>ROUND($H16*R7,0)/1000</f>
        <v>1.9E-2</v>
      </c>
      <c r="G7" s="23">
        <f>ROUND($H16*S7,0)/1000</f>
        <v>1.9E-2</v>
      </c>
      <c r="H7" s="1052">
        <v>180</v>
      </c>
      <c r="I7" s="1052">
        <v>180</v>
      </c>
      <c r="J7" s="1124">
        <f>1/L27*10^3</f>
        <v>20.818106698127771</v>
      </c>
      <c r="K7" s="1124">
        <f>J7</f>
        <v>20.818106698127771</v>
      </c>
      <c r="L7" s="1125">
        <v>26000</v>
      </c>
      <c r="M7" s="1125">
        <v>17500</v>
      </c>
      <c r="N7" s="707">
        <f>10^-3</f>
        <v>1E-3</v>
      </c>
      <c r="O7" s="1051">
        <v>30</v>
      </c>
      <c r="P7"/>
      <c r="R7" s="1035">
        <v>0.5</v>
      </c>
      <c r="S7" s="1035">
        <v>0.5</v>
      </c>
      <c r="U7" s="713">
        <f>F7*L7*(1/J7)*N7+G7*M7*(1/K7)*N7</f>
        <v>3.9701016619072729E-2</v>
      </c>
      <c r="W7" s="563" t="s">
        <v>146</v>
      </c>
      <c r="X7" s="715" t="e">
        <f>Dem!#REF!</f>
        <v>#REF!</v>
      </c>
      <c r="Y7" s="715">
        <f>G6*I6*M6*N6+G7*I7*M7*N7</f>
        <v>151.20000000000002</v>
      </c>
    </row>
    <row r="8" spans="2:25">
      <c r="P8"/>
      <c r="U8" s="685">
        <f>SUM(U6:U7)</f>
        <v>0.17073323156446418</v>
      </c>
      <c r="W8" s="684"/>
    </row>
    <row r="9" spans="2:25">
      <c r="P9"/>
      <c r="U9" s="31" t="s">
        <v>1085</v>
      </c>
    </row>
    <row r="11" spans="2:25" ht="13.5" thickBot="1">
      <c r="C11" s="31"/>
    </row>
    <row r="12" spans="2:25" ht="13.5" thickTop="1">
      <c r="C12" s="67" t="s">
        <v>1086</v>
      </c>
      <c r="D12" s="68"/>
      <c r="E12" s="68"/>
      <c r="F12" s="68"/>
      <c r="G12" s="280"/>
      <c r="V12" s="682" t="s">
        <v>1087</v>
      </c>
    </row>
    <row r="13" spans="2:25">
      <c r="C13" s="1126"/>
      <c r="D13" s="714">
        <v>2010</v>
      </c>
      <c r="E13" s="714">
        <v>2011</v>
      </c>
      <c r="F13" s="714">
        <v>2012</v>
      </c>
      <c r="G13" s="281">
        <v>2013</v>
      </c>
      <c r="H13" s="682" t="s">
        <v>1088</v>
      </c>
    </row>
    <row r="14" spans="2:25">
      <c r="C14" s="1126" t="s">
        <v>1089</v>
      </c>
      <c r="D14" s="714">
        <v>138</v>
      </c>
      <c r="E14" s="714">
        <v>131</v>
      </c>
      <c r="F14" s="714">
        <v>133</v>
      </c>
      <c r="G14" s="281">
        <v>130</v>
      </c>
    </row>
    <row r="15" spans="2:25">
      <c r="C15" s="1126" t="s">
        <v>1090</v>
      </c>
      <c r="D15" s="714">
        <v>58</v>
      </c>
      <c r="E15" s="714">
        <v>56</v>
      </c>
      <c r="F15" s="714">
        <v>56</v>
      </c>
      <c r="G15" s="281">
        <v>57</v>
      </c>
      <c r="H15" s="713">
        <f>AVERAGE(D15:E15)</f>
        <v>57</v>
      </c>
    </row>
    <row r="16" spans="2:25">
      <c r="C16" s="1126" t="s">
        <v>1091</v>
      </c>
      <c r="D16" s="714">
        <v>41</v>
      </c>
      <c r="E16" s="714">
        <v>36</v>
      </c>
      <c r="F16" s="714">
        <v>36</v>
      </c>
      <c r="G16" s="281">
        <v>36</v>
      </c>
      <c r="H16" s="713">
        <f>AVERAGE(D16:E16)</f>
        <v>38.5</v>
      </c>
    </row>
    <row r="17" spans="3:24">
      <c r="C17" s="1126"/>
      <c r="D17" s="714"/>
      <c r="E17" s="714"/>
      <c r="F17" s="714"/>
      <c r="G17" s="281"/>
    </row>
    <row r="18" spans="3:24" ht="13.5" thickBot="1">
      <c r="C18" s="1127" t="s">
        <v>794</v>
      </c>
      <c r="D18" s="271"/>
      <c r="E18" s="271"/>
      <c r="F18" s="271"/>
      <c r="G18" s="282"/>
    </row>
    <row r="19" spans="3:24" ht="15.75" thickTop="1">
      <c r="U19" s="1128" t="s">
        <v>444</v>
      </c>
      <c r="V19" s="1129"/>
      <c r="W19" s="1129"/>
      <c r="X19" s="1129"/>
    </row>
    <row r="20" spans="3:24" ht="15">
      <c r="U20" s="1130"/>
      <c r="V20" s="1129"/>
      <c r="W20" s="1129"/>
      <c r="X20" s="1129"/>
    </row>
    <row r="21" spans="3:24" ht="15">
      <c r="C21" s="381" t="s">
        <v>458</v>
      </c>
      <c r="D21" s="381"/>
      <c r="U21" s="1131" t="s">
        <v>426</v>
      </c>
      <c r="V21" s="1132">
        <v>2009</v>
      </c>
      <c r="W21" s="1132">
        <v>2010</v>
      </c>
      <c r="X21" s="1132">
        <v>2011</v>
      </c>
    </row>
    <row r="22" spans="3:24" ht="15.75" thickBot="1">
      <c r="C22" s="381"/>
      <c r="D22" s="381">
        <v>2010</v>
      </c>
      <c r="E22" s="713">
        <v>2010</v>
      </c>
      <c r="U22" s="1133" t="s">
        <v>427</v>
      </c>
      <c r="V22" s="1129"/>
      <c r="W22" s="1129"/>
      <c r="X22" s="1129"/>
    </row>
    <row r="23" spans="3:24" ht="14.25">
      <c r="C23" s="381"/>
      <c r="D23" s="381"/>
      <c r="J23" s="308" t="s">
        <v>410</v>
      </c>
      <c r="K23" s="309" t="s">
        <v>411</v>
      </c>
      <c r="L23" s="310"/>
      <c r="M23" s="310"/>
      <c r="N23" s="310"/>
      <c r="O23" s="310"/>
      <c r="P23" s="310"/>
      <c r="Q23" s="310"/>
      <c r="R23" s="310"/>
      <c r="S23" s="312"/>
      <c r="U23" s="1134" t="s">
        <v>422</v>
      </c>
      <c r="V23" s="1135">
        <v>4532.8316400000003</v>
      </c>
      <c r="W23" s="1135">
        <v>4728.0270600000003</v>
      </c>
      <c r="X23" s="1135">
        <v>4799.1494579999999</v>
      </c>
    </row>
    <row r="24" spans="3:24" ht="15">
      <c r="C24" s="382"/>
      <c r="D24" s="383"/>
      <c r="J24" s="313" t="s">
        <v>412</v>
      </c>
      <c r="K24" s="314" t="s">
        <v>413</v>
      </c>
      <c r="L24" s="315">
        <v>2009</v>
      </c>
      <c r="M24" s="315">
        <v>2010</v>
      </c>
      <c r="N24" s="315">
        <v>2011</v>
      </c>
      <c r="O24" s="315">
        <v>2012</v>
      </c>
      <c r="P24" s="315">
        <v>2013</v>
      </c>
      <c r="Q24" s="315">
        <v>2014</v>
      </c>
      <c r="R24" s="315">
        <v>2015</v>
      </c>
      <c r="S24" s="316">
        <v>2016</v>
      </c>
      <c r="U24" s="1136" t="s">
        <v>423</v>
      </c>
      <c r="V24" s="1137">
        <v>0</v>
      </c>
      <c r="W24" s="1137">
        <v>0.13139999999999996</v>
      </c>
      <c r="X24" s="1137">
        <v>0.29565000000000002</v>
      </c>
    </row>
    <row r="25" spans="3:24" ht="15">
      <c r="C25" s="365" t="s">
        <v>450</v>
      </c>
      <c r="D25" s="366">
        <v>49.248490423126015</v>
      </c>
      <c r="E25" s="713">
        <f>D25*4.1868*10^-5</f>
        <v>2.0619357970354402E-3</v>
      </c>
      <c r="F25" s="682" t="s">
        <v>1092</v>
      </c>
      <c r="J25" s="354" t="s">
        <v>442</v>
      </c>
      <c r="K25" s="1103" t="s">
        <v>383</v>
      </c>
      <c r="L25" s="1108">
        <v>103.87016642520132</v>
      </c>
      <c r="M25" s="1108">
        <v>103.87016642520132</v>
      </c>
      <c r="N25" s="1108">
        <v>103.87016642520132</v>
      </c>
      <c r="O25" s="1108">
        <v>103.87016642520132</v>
      </c>
      <c r="P25" s="1108">
        <v>103.87016642520132</v>
      </c>
      <c r="Q25" s="1108" t="e">
        <v>#NULL!</v>
      </c>
      <c r="R25" s="1108" t="e">
        <v>#NULL!</v>
      </c>
      <c r="S25" s="1109" t="e">
        <v>#NULL!</v>
      </c>
      <c r="U25" s="1136" t="s">
        <v>424</v>
      </c>
      <c r="V25" s="1137">
        <v>0</v>
      </c>
      <c r="W25" s="1137">
        <v>0</v>
      </c>
      <c r="X25" s="1137">
        <v>0</v>
      </c>
    </row>
    <row r="26" spans="3:24" ht="15">
      <c r="C26" s="367" t="s">
        <v>451</v>
      </c>
      <c r="D26" s="368">
        <v>47.834779695985077</v>
      </c>
      <c r="E26" s="713">
        <f t="shared" ref="E26:E36" si="0">D26*4.1868*10^-5</f>
        <v>2.0027465563115035E-3</v>
      </c>
      <c r="F26" s="682" t="s">
        <v>1092</v>
      </c>
      <c r="J26" s="354"/>
      <c r="K26" s="1103" t="s">
        <v>54</v>
      </c>
      <c r="L26" s="1108"/>
      <c r="M26" s="1108"/>
      <c r="N26" s="1108"/>
      <c r="O26" s="1108"/>
      <c r="P26" s="1108"/>
      <c r="Q26" s="1108"/>
      <c r="R26" s="1108"/>
      <c r="S26" s="1109"/>
      <c r="U26" s="1136" t="s">
        <v>425</v>
      </c>
      <c r="V26" s="1137">
        <v>3110.8316400000003</v>
      </c>
      <c r="W26" s="1137">
        <v>3272.7756600000002</v>
      </c>
      <c r="X26" s="1137">
        <v>3370.0138080000002</v>
      </c>
    </row>
    <row r="27" spans="3:24" ht="15">
      <c r="C27" s="371" t="s">
        <v>452</v>
      </c>
      <c r="D27" s="368">
        <v>19.828199286741391</v>
      </c>
      <c r="E27" s="713">
        <f t="shared" si="0"/>
        <v>8.3016704773728855E-4</v>
      </c>
      <c r="F27" s="682" t="s">
        <v>1092</v>
      </c>
      <c r="J27" s="355"/>
      <c r="K27" s="1111" t="s">
        <v>387</v>
      </c>
      <c r="L27" s="1116">
        <v>48.035107827069247</v>
      </c>
      <c r="M27" s="1116">
        <v>48.035107827069247</v>
      </c>
      <c r="N27" s="1116">
        <v>48.035107827069247</v>
      </c>
      <c r="O27" s="1116">
        <v>48.035107827069247</v>
      </c>
      <c r="P27" s="1116">
        <v>48.035107827069247</v>
      </c>
      <c r="Q27" s="1116" t="e">
        <v>#NULL!</v>
      </c>
      <c r="R27" s="1116" t="e">
        <v>#NULL!</v>
      </c>
      <c r="S27" s="1117" t="e">
        <v>#NULL!</v>
      </c>
      <c r="U27" s="1136" t="s">
        <v>51</v>
      </c>
      <c r="V27" s="1137">
        <v>1422</v>
      </c>
      <c r="W27" s="1137">
        <v>1455.12</v>
      </c>
      <c r="X27" s="1137">
        <v>1428.84</v>
      </c>
    </row>
    <row r="28" spans="3:24">
      <c r="C28" s="371" t="s">
        <v>225</v>
      </c>
      <c r="D28" s="368">
        <v>51.477405456245585</v>
      </c>
      <c r="E28" s="713">
        <f t="shared" si="0"/>
        <v>2.1552560116420904E-3</v>
      </c>
      <c r="F28" s="682" t="s">
        <v>1092</v>
      </c>
    </row>
    <row r="29" spans="3:24">
      <c r="C29" s="371" t="s">
        <v>166</v>
      </c>
      <c r="D29" s="368">
        <v>35.134729248795523</v>
      </c>
      <c r="E29" s="713">
        <f t="shared" si="0"/>
        <v>1.471020844188571E-3</v>
      </c>
      <c r="F29" s="682" t="s">
        <v>1092</v>
      </c>
    </row>
    <row r="30" spans="3:24">
      <c r="C30" s="367" t="s">
        <v>453</v>
      </c>
      <c r="D30" s="368">
        <v>5.2447845375865878</v>
      </c>
      <c r="E30" s="713">
        <f t="shared" si="0"/>
        <v>2.1958863901967528E-4</v>
      </c>
      <c r="F30" s="682" t="s">
        <v>1092</v>
      </c>
    </row>
    <row r="31" spans="3:24" ht="15">
      <c r="C31" s="367" t="s">
        <v>454</v>
      </c>
      <c r="D31" s="372">
        <v>85.654365205712367</v>
      </c>
      <c r="E31" s="713">
        <f t="shared" si="0"/>
        <v>3.5861769624327654E-3</v>
      </c>
      <c r="F31" s="682" t="s">
        <v>1092</v>
      </c>
      <c r="J31" s="1026" t="s">
        <v>1093</v>
      </c>
      <c r="K31" s="1027"/>
      <c r="L31" s="1027"/>
      <c r="M31" s="1027"/>
      <c r="N31" s="1027"/>
      <c r="O31" s="923"/>
      <c r="P31" s="924"/>
    </row>
    <row r="32" spans="3:24" ht="15.75" thickBot="1">
      <c r="C32" s="367" t="s">
        <v>455</v>
      </c>
      <c r="D32" s="373">
        <v>49.253122057548744</v>
      </c>
      <c r="E32" s="713">
        <f t="shared" si="0"/>
        <v>2.0621297143054509E-3</v>
      </c>
      <c r="F32" s="682" t="s">
        <v>1092</v>
      </c>
      <c r="J32" s="1054" t="s">
        <v>1094</v>
      </c>
      <c r="K32" s="1045"/>
      <c r="L32" s="1045"/>
      <c r="M32" s="1045"/>
      <c r="N32" s="1045"/>
      <c r="O32" s="217"/>
      <c r="P32" s="218"/>
    </row>
    <row r="33" spans="3:16" ht="13.5" thickTop="1">
      <c r="C33" s="1138" t="s">
        <v>456</v>
      </c>
      <c r="D33" s="1139">
        <v>68.427685761403794</v>
      </c>
      <c r="E33" s="1140">
        <f t="shared" si="0"/>
        <v>2.8649303474584543E-3</v>
      </c>
      <c r="F33" s="1141" t="s">
        <v>467</v>
      </c>
      <c r="J33" s="1142"/>
      <c r="K33" s="1143"/>
      <c r="L33" s="217"/>
      <c r="M33" s="217"/>
      <c r="N33" s="217"/>
      <c r="O33" s="217"/>
      <c r="P33" s="218"/>
    </row>
    <row r="34" spans="3:16">
      <c r="C34" s="1144" t="s">
        <v>457</v>
      </c>
      <c r="D34" s="1145">
        <v>83.505943171717917</v>
      </c>
      <c r="E34" s="643">
        <f t="shared" si="0"/>
        <v>3.4962268287134857E-3</v>
      </c>
      <c r="F34" s="1146" t="s">
        <v>467</v>
      </c>
      <c r="J34" s="1142"/>
      <c r="K34" s="1143"/>
      <c r="L34" s="217"/>
      <c r="M34" s="217"/>
      <c r="N34" s="217"/>
      <c r="O34" s="217"/>
      <c r="P34" s="218"/>
    </row>
    <row r="35" spans="3:16" ht="15">
      <c r="C35" s="1144" t="s">
        <v>453</v>
      </c>
      <c r="D35" s="1145">
        <v>35.076699137528145</v>
      </c>
      <c r="E35" s="643">
        <f t="shared" si="0"/>
        <v>1.4685912394900283E-3</v>
      </c>
      <c r="F35" s="1146" t="s">
        <v>467</v>
      </c>
      <c r="J35" s="1044"/>
      <c r="K35" s="1045"/>
      <c r="L35" s="1045"/>
      <c r="M35" s="1055" t="s">
        <v>194</v>
      </c>
      <c r="N35" s="1055" t="s">
        <v>1095</v>
      </c>
      <c r="O35" s="217"/>
      <c r="P35" s="218"/>
    </row>
    <row r="36" spans="3:16" ht="15.75" thickBot="1">
      <c r="C36" s="1147" t="s">
        <v>455</v>
      </c>
      <c r="D36" s="1148">
        <v>5.4725691175054179</v>
      </c>
      <c r="E36" s="1149">
        <f t="shared" si="0"/>
        <v>2.2912552381171685E-4</v>
      </c>
      <c r="F36" s="1150" t="s">
        <v>467</v>
      </c>
      <c r="J36" s="1151" t="s">
        <v>1096</v>
      </c>
      <c r="K36" s="1083" t="s">
        <v>1097</v>
      </c>
      <c r="L36" s="1083" t="s">
        <v>486</v>
      </c>
      <c r="M36" s="1152">
        <v>167</v>
      </c>
      <c r="N36" s="1152">
        <v>207</v>
      </c>
      <c r="O36" s="422"/>
      <c r="P36" s="423"/>
    </row>
    <row r="37" spans="3:16" ht="13.5" thickTop="1">
      <c r="J37" s="1153" t="s">
        <v>1098</v>
      </c>
      <c r="K37" s="1154"/>
      <c r="M37" s="713">
        <f>M36*$E$35</f>
        <v>0.24525473699483472</v>
      </c>
      <c r="N37" s="713">
        <f>N36*$E$35</f>
        <v>0.30399838657443584</v>
      </c>
    </row>
    <row r="38" spans="3:16">
      <c r="C38" s="1155" t="s">
        <v>1099</v>
      </c>
      <c r="J38" s="1156"/>
      <c r="K38" s="1157"/>
    </row>
    <row r="39" spans="3:16" ht="15">
      <c r="C39" s="367" t="s">
        <v>1100</v>
      </c>
      <c r="J39" s="1030"/>
      <c r="K39" s="1023"/>
      <c r="L39" s="1023"/>
      <c r="M39" s="1023"/>
      <c r="N39" s="1023"/>
    </row>
    <row r="40" spans="3:16" ht="15">
      <c r="J40" s="1030"/>
      <c r="K40" s="1023"/>
      <c r="L40" s="1023"/>
      <c r="M40" s="1023"/>
      <c r="N40" s="1023"/>
    </row>
    <row r="41" spans="3:16">
      <c r="J41" s="1158"/>
      <c r="K41" s="1157"/>
    </row>
    <row r="42" spans="3:16">
      <c r="J42" s="1156"/>
      <c r="K42" s="1157"/>
    </row>
    <row r="43" spans="3:16">
      <c r="J43" s="1156"/>
      <c r="K43" s="1159"/>
    </row>
    <row r="44" spans="3:16">
      <c r="J44" s="1156"/>
      <c r="K44" s="1160"/>
    </row>
    <row r="45" spans="3:16">
      <c r="J45" s="1153"/>
      <c r="K45" s="1154"/>
    </row>
    <row r="46" spans="3:16">
      <c r="J46" s="1156"/>
      <c r="K46" s="1159"/>
    </row>
    <row r="47" spans="3:16">
      <c r="J47" s="1156"/>
      <c r="K47" s="1159"/>
    </row>
    <row r="48" spans="3:16">
      <c r="J48" s="1156"/>
      <c r="K48" s="1159"/>
    </row>
  </sheetData>
  <pageMargins left="0.7" right="0.7" top="0.75" bottom="0.75" header="0.3" footer="0.3"/>
  <pageSetup paperSize="9" orientation="portrait"/>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3">
    <tabColor rgb="FFFFC000"/>
  </sheetPr>
  <dimension ref="A1:AO87"/>
  <sheetViews>
    <sheetView zoomScale="80" zoomScaleNormal="80" workbookViewId="0">
      <selection activeCell="D10" sqref="D10"/>
    </sheetView>
  </sheetViews>
  <sheetFormatPr defaultRowHeight="12.75"/>
  <cols>
    <col min="1" max="1" width="2.28515625" customWidth="1"/>
    <col min="2" max="2" width="21.85546875" customWidth="1"/>
    <col min="3" max="3" width="13.5703125" customWidth="1"/>
    <col min="4" max="4" width="47.5703125" bestFit="1" customWidth="1"/>
    <col min="5" max="5" width="15.85546875" bestFit="1" customWidth="1"/>
    <col min="6" max="6" width="15.85546875" style="441" customWidth="1"/>
    <col min="7" max="7" width="10.42578125" customWidth="1"/>
    <col min="8" max="8" width="23.28515625" customWidth="1"/>
    <col min="9" max="9" width="12" bestFit="1" customWidth="1"/>
    <col min="10" max="10" width="20" bestFit="1" customWidth="1"/>
    <col min="11" max="11" width="8.5703125" bestFit="1" customWidth="1"/>
    <col min="12" max="12" width="7.7109375" bestFit="1" customWidth="1"/>
    <col min="13" max="13" width="9.28515625" style="549" bestFit="1" customWidth="1"/>
    <col min="14" max="14" width="11" bestFit="1" customWidth="1"/>
    <col min="15" max="15" width="16.7109375" customWidth="1"/>
    <col min="16" max="16" width="9.7109375" customWidth="1"/>
    <col min="17" max="17" width="14" customWidth="1"/>
    <col min="18" max="18" width="15" bestFit="1" customWidth="1"/>
    <col min="19" max="19" width="13.7109375" bestFit="1" customWidth="1"/>
    <col min="20" max="20" width="17.7109375" bestFit="1" customWidth="1"/>
    <col min="21" max="21" width="12.140625" customWidth="1"/>
    <col min="22" max="22" width="26" bestFit="1" customWidth="1"/>
    <col min="23" max="23" width="26.42578125" bestFit="1" customWidth="1"/>
    <col min="24" max="24" width="12.5703125" bestFit="1" customWidth="1"/>
    <col min="25" max="25" width="12" bestFit="1" customWidth="1"/>
    <col min="26" max="26" width="8.85546875" bestFit="1" customWidth="1"/>
    <col min="28" max="28" width="25.28515625" bestFit="1" customWidth="1"/>
    <col min="37" max="37" width="20.5703125" bestFit="1" customWidth="1"/>
  </cols>
  <sheetData>
    <row r="1" spans="1:41" s="441" customFormat="1">
      <c r="M1" s="549"/>
    </row>
    <row r="2" spans="1:41" s="441" customFormat="1">
      <c r="F2" s="6" t="s">
        <v>8</v>
      </c>
      <c r="M2" s="549"/>
      <c r="AI2"/>
      <c r="AJ2"/>
      <c r="AK2"/>
      <c r="AL2"/>
      <c r="AM2"/>
      <c r="AN2"/>
      <c r="AO2"/>
    </row>
    <row r="3" spans="1:41" s="441" customFormat="1" ht="38.450000000000003" customHeight="1" thickBot="1">
      <c r="B3" s="12" t="s">
        <v>1</v>
      </c>
      <c r="C3" s="12" t="s">
        <v>2</v>
      </c>
      <c r="D3" s="12" t="s">
        <v>26</v>
      </c>
      <c r="E3" s="12" t="s">
        <v>14</v>
      </c>
      <c r="F3" s="12" t="s">
        <v>15</v>
      </c>
      <c r="G3" s="24" t="s">
        <v>608</v>
      </c>
      <c r="H3" s="53" t="s">
        <v>157</v>
      </c>
      <c r="I3" s="25" t="s">
        <v>16</v>
      </c>
      <c r="J3" s="12" t="s">
        <v>601</v>
      </c>
      <c r="K3" s="52" t="s">
        <v>700</v>
      </c>
      <c r="L3" s="52" t="s">
        <v>711</v>
      </c>
      <c r="M3" s="51" t="s">
        <v>0</v>
      </c>
      <c r="N3" s="51" t="s">
        <v>55</v>
      </c>
      <c r="O3" s="710" t="s">
        <v>847</v>
      </c>
      <c r="Q3" s="51" t="s">
        <v>691</v>
      </c>
      <c r="T3"/>
      <c r="U3"/>
      <c r="V3"/>
      <c r="AI3"/>
      <c r="AJ3"/>
      <c r="AK3"/>
      <c r="AL3"/>
      <c r="AM3"/>
      <c r="AN3"/>
      <c r="AO3"/>
    </row>
    <row r="4" spans="1:41" s="441" customFormat="1" ht="35.25" thickTop="1" thickBot="1">
      <c r="B4" s="11" t="s">
        <v>27</v>
      </c>
      <c r="C4" s="389" t="s">
        <v>27</v>
      </c>
      <c r="D4" s="389"/>
      <c r="E4" s="389"/>
      <c r="F4" s="389"/>
      <c r="G4" s="389" t="s">
        <v>148</v>
      </c>
      <c r="H4" s="389" t="s">
        <v>697</v>
      </c>
      <c r="I4" s="389" t="s">
        <v>698</v>
      </c>
      <c r="J4" s="389" t="s">
        <v>77</v>
      </c>
      <c r="K4" s="389" t="s">
        <v>78</v>
      </c>
      <c r="L4" s="553" t="s">
        <v>505</v>
      </c>
      <c r="M4" s="389"/>
      <c r="N4" s="389" t="s">
        <v>56</v>
      </c>
      <c r="O4" s="683" t="s">
        <v>848</v>
      </c>
      <c r="S4" s="390" t="s">
        <v>475</v>
      </c>
      <c r="T4" s="68"/>
      <c r="U4" s="68"/>
      <c r="V4" s="280"/>
      <c r="AI4"/>
      <c r="AJ4"/>
      <c r="AK4"/>
      <c r="AL4"/>
      <c r="AM4"/>
      <c r="AN4"/>
      <c r="AO4"/>
    </row>
    <row r="5" spans="1:41" s="441" customFormat="1" ht="15">
      <c r="A5" s="1161"/>
      <c r="B5" s="446" t="s">
        <v>145</v>
      </c>
      <c r="C5" s="3" t="str">
        <f>Processes!D55</f>
        <v>TFAIKEBL1E</v>
      </c>
      <c r="D5" s="3" t="str">
        <f>Processes!E55</f>
        <v>Transport Freight Air International - Blending 1 - Existing</v>
      </c>
      <c r="E5" s="679" t="str">
        <f>Commodities!D80</f>
        <v>TRAKEIN1</v>
      </c>
      <c r="F5" s="3" t="str">
        <f>Commodities!$D$35</f>
        <v>TFAIV</v>
      </c>
      <c r="G5" s="640">
        <f>Q5/(J5*H5*1000)</f>
        <v>2.5866292221035248E-3</v>
      </c>
      <c r="H5" s="712">
        <v>80</v>
      </c>
      <c r="I5" s="451">
        <f>AVI!X74</f>
        <v>12.770632641992611</v>
      </c>
      <c r="J5" s="451">
        <v>2800000</v>
      </c>
      <c r="K5" s="241"/>
      <c r="L5" s="442"/>
      <c r="M5" s="240">
        <v>1E-3</v>
      </c>
      <c r="N5" s="443">
        <v>30</v>
      </c>
      <c r="O5" s="640">
        <v>4.0971295478940781E-2</v>
      </c>
      <c r="P5"/>
      <c r="Q5" s="215">
        <f>Dem!E27*10^6</f>
        <v>579404945.75118959</v>
      </c>
      <c r="R5" s="1161"/>
      <c r="S5" s="391" t="s">
        <v>426</v>
      </c>
      <c r="T5" s="392">
        <v>2009</v>
      </c>
      <c r="U5" s="392">
        <v>2010</v>
      </c>
      <c r="V5" s="393">
        <v>2011</v>
      </c>
      <c r="AI5"/>
      <c r="AJ5"/>
      <c r="AK5"/>
      <c r="AL5"/>
      <c r="AM5"/>
      <c r="AN5"/>
      <c r="AO5"/>
    </row>
    <row r="6" spans="1:41" s="441" customFormat="1" ht="14.25">
      <c r="B6" s="446" t="s">
        <v>146</v>
      </c>
      <c r="C6" s="3" t="str">
        <f>Processes!D55</f>
        <v>TFAIKEBL1E</v>
      </c>
      <c r="D6" s="3" t="s">
        <v>583</v>
      </c>
      <c r="E6" s="679" t="str">
        <f>Commodities!D80</f>
        <v>TRAKEIN1</v>
      </c>
      <c r="F6" s="3" t="str">
        <f>Commodities!D35</f>
        <v>TFAIV</v>
      </c>
      <c r="G6" s="640">
        <f>Q6/(J6*H6*1000)</f>
        <v>2.339279207536176E-4</v>
      </c>
      <c r="H6" s="712">
        <v>80</v>
      </c>
      <c r="I6" s="451">
        <f>I5</f>
        <v>12.770632641992611</v>
      </c>
      <c r="J6" s="451">
        <v>2800000</v>
      </c>
      <c r="K6" s="241"/>
      <c r="L6" s="3"/>
      <c r="M6" s="240">
        <v>1E-3</v>
      </c>
      <c r="N6" s="443">
        <v>30</v>
      </c>
      <c r="O6" s="641">
        <v>4.0971295478940781E-2</v>
      </c>
      <c r="P6"/>
      <c r="Q6" s="215">
        <f>Dem!F27*10^6</f>
        <v>52399854.248810343</v>
      </c>
      <c r="S6" s="394" t="s">
        <v>435</v>
      </c>
      <c r="T6" s="395">
        <v>7534.5078779999994</v>
      </c>
      <c r="U6" s="395">
        <v>6533.0511479999996</v>
      </c>
      <c r="V6" s="396">
        <v>6385.4748</v>
      </c>
      <c r="AI6"/>
      <c r="AJ6"/>
      <c r="AK6"/>
      <c r="AL6"/>
      <c r="AM6"/>
      <c r="AN6"/>
      <c r="AO6"/>
    </row>
    <row r="7" spans="1:41" s="441" customFormat="1" ht="15">
      <c r="G7" s="637"/>
      <c r="S7" s="397" t="s">
        <v>53</v>
      </c>
      <c r="T7" s="398">
        <v>0</v>
      </c>
      <c r="U7" s="398">
        <v>0</v>
      </c>
      <c r="V7" s="399">
        <v>0</v>
      </c>
      <c r="AI7"/>
      <c r="AJ7"/>
      <c r="AK7"/>
      <c r="AL7"/>
      <c r="AM7"/>
      <c r="AN7"/>
      <c r="AO7"/>
    </row>
    <row r="8" spans="1:41" ht="15">
      <c r="A8" s="441"/>
      <c r="B8" s="1340" t="s">
        <v>145</v>
      </c>
      <c r="C8" s="1340" t="e">
        <f>Processes!#REF!</f>
        <v>#REF!</v>
      </c>
      <c r="D8" s="1340" t="e">
        <f>Processes!#REF!</f>
        <v>#REF!</v>
      </c>
      <c r="E8" s="1340" t="str">
        <f xml:space="preserve"> Commodities!$D$70</f>
        <v>TRADSBL1</v>
      </c>
      <c r="F8" s="1340" t="str">
        <f>Commodities!$D$31</f>
        <v>TFSLI</v>
      </c>
      <c r="G8" s="1341" t="e">
        <f>#REF!/1000*'Freight_NAVI-AVI'!E19</f>
        <v>#REF!</v>
      </c>
      <c r="H8" s="712" t="e">
        <f>Q8/(G8*1000*J8)</f>
        <v>#REF!</v>
      </c>
      <c r="I8" s="709" t="e">
        <f>AVI!#REF!</f>
        <v>#REF!</v>
      </c>
      <c r="J8" s="712">
        <v>220565.19204237123</v>
      </c>
      <c r="K8" s="1260">
        <f>AVI!K15</f>
        <v>0</v>
      </c>
      <c r="L8" s="1185">
        <v>5</v>
      </c>
      <c r="M8" s="1342">
        <v>1E-3</v>
      </c>
      <c r="N8" s="737">
        <v>28</v>
      </c>
      <c r="O8" s="1341">
        <v>3.7164522307877547E-3</v>
      </c>
      <c r="P8" s="31"/>
      <c r="Q8" s="31">
        <f>Dem!E23*10^6</f>
        <v>298850000</v>
      </c>
      <c r="R8" s="441"/>
      <c r="S8" s="397" t="s">
        <v>432</v>
      </c>
      <c r="T8" s="398">
        <v>1045.2334499999999</v>
      </c>
      <c r="U8" s="398">
        <v>868.20269999999994</v>
      </c>
      <c r="V8" s="399">
        <v>731.78129999999987</v>
      </c>
    </row>
    <row r="9" spans="1:41" ht="15">
      <c r="B9" s="1340" t="s">
        <v>145</v>
      </c>
      <c r="C9" s="31"/>
      <c r="D9" s="31"/>
      <c r="E9" s="31" t="str">
        <f>Commodities!$D$60</f>
        <v>TRAHFO</v>
      </c>
      <c r="F9" s="31"/>
      <c r="G9" s="1341"/>
      <c r="H9" s="712"/>
      <c r="I9" s="709"/>
      <c r="J9" s="712"/>
      <c r="K9" s="1260">
        <f>AVI!K16</f>
        <v>0</v>
      </c>
      <c r="L9" s="1185">
        <v>5</v>
      </c>
      <c r="M9" s="1185"/>
      <c r="N9" s="737"/>
      <c r="O9" s="31"/>
      <c r="P9" s="31"/>
      <c r="Q9" s="31"/>
      <c r="S9" s="397"/>
      <c r="T9" s="398"/>
      <c r="U9" s="398"/>
      <c r="V9" s="399"/>
    </row>
    <row r="10" spans="1:41" ht="15">
      <c r="B10" s="1340" t="s">
        <v>146</v>
      </c>
      <c r="C10" s="1340" t="e">
        <f>Processes!#REF!</f>
        <v>#REF!</v>
      </c>
      <c r="D10" s="1340" t="s">
        <v>147</v>
      </c>
      <c r="E10" s="1340" t="str">
        <f xml:space="preserve"> Commodities!$D$70</f>
        <v>TRADSBL1</v>
      </c>
      <c r="F10" s="1340" t="str">
        <f>Commodities!D31</f>
        <v>TFSLI</v>
      </c>
      <c r="G10" s="1341" t="e">
        <f>#REF!/1000*'Freight_NAVI-AVI'!F19</f>
        <v>#REF!</v>
      </c>
      <c r="H10" s="712" t="e">
        <f>Q10/(G10*1000*J10)</f>
        <v>#REF!</v>
      </c>
      <c r="I10" s="709" t="e">
        <f>I8</f>
        <v>#REF!</v>
      </c>
      <c r="J10" s="712">
        <v>220565.19204237123</v>
      </c>
      <c r="K10" s="1260">
        <f>AVI!K17</f>
        <v>0</v>
      </c>
      <c r="L10" s="1340">
        <v>5</v>
      </c>
      <c r="M10" s="1342">
        <v>1E-3</v>
      </c>
      <c r="N10" s="737">
        <v>28</v>
      </c>
      <c r="O10" s="1341">
        <v>3.7164522307877547E-3</v>
      </c>
      <c r="P10" s="31"/>
      <c r="Q10" s="31">
        <f>Dem!F23*10^6</f>
        <v>539220000</v>
      </c>
      <c r="S10" s="397" t="s">
        <v>429</v>
      </c>
      <c r="T10" s="402">
        <v>73.391279999999995</v>
      </c>
      <c r="U10" s="402">
        <v>65.678976000000006</v>
      </c>
      <c r="V10" s="403">
        <v>57.438005999999994</v>
      </c>
    </row>
    <row r="11" spans="1:41" ht="15">
      <c r="B11" s="1340" t="s">
        <v>146</v>
      </c>
      <c r="C11" s="31"/>
      <c r="D11" s="31"/>
      <c r="E11" s="31" t="str">
        <f>Commodities!$D$60</f>
        <v>TRAHFO</v>
      </c>
      <c r="F11" s="31"/>
      <c r="G11" s="1341"/>
      <c r="H11" s="1344"/>
      <c r="I11" s="712"/>
      <c r="J11" s="712"/>
      <c r="K11" s="1260">
        <f>AVI!K18</f>
        <v>0</v>
      </c>
      <c r="L11" s="1185">
        <v>5</v>
      </c>
      <c r="M11" s="1185"/>
      <c r="N11" s="737"/>
      <c r="O11" s="31"/>
      <c r="P11" s="31"/>
      <c r="Q11" s="31"/>
      <c r="S11" s="397" t="s">
        <v>423</v>
      </c>
      <c r="T11" s="402">
        <v>1.2811499999999998</v>
      </c>
      <c r="U11" s="402">
        <v>0.88694999999999991</v>
      </c>
      <c r="V11" s="403">
        <v>1.0511999999999997</v>
      </c>
    </row>
    <row r="12" spans="1:41" ht="15">
      <c r="S12" s="397" t="s">
        <v>424</v>
      </c>
      <c r="T12" s="402">
        <v>0</v>
      </c>
      <c r="U12" s="402">
        <v>0</v>
      </c>
      <c r="V12" s="403">
        <v>0</v>
      </c>
    </row>
    <row r="13" spans="1:41" ht="15">
      <c r="I13" s="580"/>
      <c r="M13"/>
      <c r="N13" s="549"/>
      <c r="S13" s="397" t="s">
        <v>431</v>
      </c>
      <c r="T13" s="402">
        <v>1393.9295728872301</v>
      </c>
      <c r="U13" s="402">
        <v>1489.3449910194001</v>
      </c>
      <c r="V13" s="403">
        <v>1411.12184348392</v>
      </c>
    </row>
    <row r="14" spans="1:41" ht="15">
      <c r="I14" s="580"/>
      <c r="J14" s="443"/>
      <c r="K14" s="215"/>
      <c r="M14"/>
      <c r="N14" s="549"/>
      <c r="O14" s="1690" t="s">
        <v>695</v>
      </c>
      <c r="P14" s="1691"/>
      <c r="Q14" s="1692"/>
      <c r="S14" s="397"/>
      <c r="T14" s="398"/>
      <c r="U14" s="398"/>
      <c r="V14" s="399"/>
    </row>
    <row r="15" spans="1:41" ht="14.25">
      <c r="F15"/>
      <c r="M15"/>
      <c r="O15" s="410" t="s">
        <v>476</v>
      </c>
      <c r="P15" s="424" t="s">
        <v>145</v>
      </c>
      <c r="Q15" s="576" t="s">
        <v>146</v>
      </c>
      <c r="R15" s="443"/>
      <c r="S15" s="394" t="s">
        <v>437</v>
      </c>
      <c r="T15" s="400">
        <v>32828.418579112767</v>
      </c>
      <c r="U15" s="400">
        <v>34238.729560980595</v>
      </c>
      <c r="V15" s="401">
        <v>35167.18630851608</v>
      </c>
    </row>
    <row r="16" spans="1:41" ht="15.75" thickBot="1">
      <c r="E16" s="30" t="s">
        <v>490</v>
      </c>
      <c r="F16"/>
      <c r="H16" s="30" t="s">
        <v>650</v>
      </c>
      <c r="I16" s="441"/>
      <c r="M16"/>
      <c r="O16" s="410" t="s">
        <v>477</v>
      </c>
      <c r="P16" s="279">
        <f>SUM(C42:C54)+0.5*SUM(C34:C36)+0.5*C68</f>
        <v>162427.5</v>
      </c>
      <c r="Q16" s="548">
        <f>SUM(C55:C67,C69:C79)+0.5*SUM(C34:C36)+0.5*C68</f>
        <v>101902.5</v>
      </c>
      <c r="R16" s="443"/>
      <c r="S16" s="397" t="s">
        <v>429</v>
      </c>
      <c r="T16" s="398">
        <v>3.8561519999999994</v>
      </c>
      <c r="U16" s="398">
        <v>3.8561519999999994</v>
      </c>
      <c r="V16" s="399">
        <v>3.8561519999999994</v>
      </c>
    </row>
    <row r="17" spans="1:37" ht="16.5" thickTop="1" thickBot="1">
      <c r="E17" s="427" t="s">
        <v>145</v>
      </c>
      <c r="F17" s="428" t="s">
        <v>146</v>
      </c>
      <c r="G17" s="580"/>
      <c r="H17" s="427" t="s">
        <v>145</v>
      </c>
      <c r="I17" s="428" t="s">
        <v>146</v>
      </c>
      <c r="O17" s="411" t="s">
        <v>478</v>
      </c>
      <c r="P17" s="271">
        <f>I39+I43+I50+I65+I71+I73+I75+I67</f>
        <v>293128</v>
      </c>
      <c r="Q17" s="539">
        <f>I45+I48+I51+I58+I60+I62+I79+I82+I83+I84</f>
        <v>612118</v>
      </c>
      <c r="S17" s="404" t="s">
        <v>431</v>
      </c>
      <c r="T17" s="405">
        <v>32824.562427112767</v>
      </c>
      <c r="U17" s="405">
        <v>34234.873408980595</v>
      </c>
      <c r="V17" s="406">
        <v>35163.33015651608</v>
      </c>
    </row>
    <row r="18" spans="1:37" s="549" customFormat="1" ht="13.5" thickBot="1">
      <c r="A18"/>
      <c r="B18"/>
      <c r="C18"/>
      <c r="D18"/>
      <c r="E18" s="530">
        <f>P16/SUM(P16:Q16)</f>
        <v>0.61448757235274087</v>
      </c>
      <c r="F18" s="531">
        <f>1-E18</f>
        <v>0.38551242764725913</v>
      </c>
      <c r="G18" s="580"/>
      <c r="H18" s="530">
        <f>P21/SUM(P21:Q21)</f>
        <v>0.9</v>
      </c>
      <c r="I18" s="531">
        <f>1-H18</f>
        <v>9.9999999999999978E-2</v>
      </c>
      <c r="J18"/>
      <c r="K18"/>
      <c r="L18"/>
      <c r="N18"/>
      <c r="O18"/>
      <c r="P18"/>
      <c r="Q18"/>
      <c r="R18"/>
      <c r="V18"/>
    </row>
    <row r="19" spans="1:37" s="549" customFormat="1" ht="13.5" thickBot="1">
      <c r="E19" s="532">
        <f>P17/SUM(P17:Q17)</f>
        <v>0.32381032338171062</v>
      </c>
      <c r="F19" s="533">
        <f>1-E19</f>
        <v>0.67618967661828933</v>
      </c>
      <c r="H19" s="532">
        <f>P22/SUM(P22:Q22)</f>
        <v>0.91706322229775661</v>
      </c>
      <c r="I19" s="533">
        <f>1-H19</f>
        <v>8.2936777702243392E-2</v>
      </c>
      <c r="O19" s="1690" t="s">
        <v>694</v>
      </c>
      <c r="P19" s="1693"/>
      <c r="Q19" s="1694"/>
      <c r="V19" s="441"/>
    </row>
    <row r="20" spans="1:37" s="549" customFormat="1" ht="13.5" thickTop="1">
      <c r="O20" s="546" t="s">
        <v>652</v>
      </c>
      <c r="P20" s="424" t="s">
        <v>145</v>
      </c>
      <c r="Q20" s="576" t="s">
        <v>146</v>
      </c>
    </row>
    <row r="21" spans="1:37">
      <c r="A21" s="549"/>
      <c r="B21" s="549"/>
      <c r="C21" s="549"/>
      <c r="D21" s="549"/>
      <c r="E21" s="549"/>
      <c r="F21" s="549"/>
      <c r="G21" s="549"/>
      <c r="H21" s="549"/>
      <c r="I21" s="549"/>
      <c r="J21" s="549"/>
      <c r="K21" s="549"/>
      <c r="L21" s="549"/>
      <c r="N21" s="549"/>
      <c r="O21" s="546" t="s">
        <v>649</v>
      </c>
      <c r="P21" s="279">
        <f>P44+P50+P52</f>
        <v>36</v>
      </c>
      <c r="Q21" s="548">
        <f>P45+P46+P47+P48+P49+P51</f>
        <v>4</v>
      </c>
      <c r="R21" s="549"/>
      <c r="U21" s="549"/>
      <c r="V21" s="549"/>
      <c r="W21" s="549"/>
    </row>
    <row r="22" spans="1:37" ht="12.75" customHeight="1" thickBot="1">
      <c r="H22" s="580"/>
      <c r="O22" s="547" t="s">
        <v>493</v>
      </c>
      <c r="P22" s="271">
        <f>P58+P64+P66</f>
        <v>1349</v>
      </c>
      <c r="Q22" s="539">
        <f>P59+P60+P61+P63</f>
        <v>122</v>
      </c>
      <c r="U22" s="413" t="s">
        <v>501</v>
      </c>
      <c r="V22" s="413" t="s">
        <v>145</v>
      </c>
      <c r="W22" s="413" t="s">
        <v>146</v>
      </c>
      <c r="X22" s="441"/>
    </row>
    <row r="23" spans="1:37" ht="16.5" thickTop="1">
      <c r="O23" s="580"/>
      <c r="U23" s="413" t="s">
        <v>479</v>
      </c>
      <c r="V23" s="420">
        <f>'Freight_NAVI-AVI'!X81*E18</f>
        <v>4.9302278275750698E-2</v>
      </c>
      <c r="W23" s="434">
        <f>'Freight_NAVI-AVI'!X81*F18</f>
        <v>3.0930879389233262E-2</v>
      </c>
    </row>
    <row r="24" spans="1:37" ht="15.75">
      <c r="F24"/>
      <c r="O24" s="580"/>
      <c r="U24" s="413" t="s">
        <v>480</v>
      </c>
      <c r="V24" s="420">
        <f>'Freight_NAVI-AVI'!E19*'Freight_NAVI-AVI'!X81</f>
        <v>2.5980324729434227E-2</v>
      </c>
      <c r="W24" s="420">
        <f>'Freight_NAVI-AVI'!X81*'Freight_NAVI-AVI'!F19</f>
        <v>5.4252832935549722E-2</v>
      </c>
    </row>
    <row r="25" spans="1:37" ht="15.75">
      <c r="B25" s="31" t="s">
        <v>448</v>
      </c>
      <c r="F25"/>
      <c r="H25" s="31" t="s">
        <v>448</v>
      </c>
      <c r="O25" s="31" t="s">
        <v>449</v>
      </c>
      <c r="U25" s="413" t="s">
        <v>481</v>
      </c>
      <c r="V25" s="420">
        <f>'Freight_NAVI-AVI'!R78*'Freight_NAVI-AVI'!X80</f>
        <v>7.2209841898485561E-2</v>
      </c>
      <c r="W25" s="420">
        <f>'Freight_NAVI-AVI'!S77*'Freight_NAVI-AVI'!X80</f>
        <v>8.0233157664983956E-3</v>
      </c>
    </row>
    <row r="26" spans="1:37" ht="15.75">
      <c r="B26" s="1682" t="s">
        <v>243</v>
      </c>
      <c r="C26" s="1683"/>
      <c r="D26" s="1683"/>
      <c r="E26" s="1683"/>
      <c r="F26"/>
      <c r="H26" t="s">
        <v>297</v>
      </c>
      <c r="O26" s="1684" t="s">
        <v>220</v>
      </c>
      <c r="P26" s="1685"/>
      <c r="Q26" s="1685"/>
      <c r="R26" s="1686"/>
      <c r="U26" s="413" t="s">
        <v>482</v>
      </c>
      <c r="V26" s="420">
        <f>'Freight_NAVI-AVI'!R79*'Freight_NAVI-AVI'!X80</f>
        <v>7.3578878103374143E-2</v>
      </c>
      <c r="W26" s="420">
        <f>'Freight_NAVI-AVI'!S78*'Freight_NAVI-AVI'!X80</f>
        <v>6.6542795616098185E-3</v>
      </c>
    </row>
    <row r="27" spans="1:37">
      <c r="B27" s="216"/>
      <c r="C27" s="217">
        <v>2010</v>
      </c>
      <c r="D27" s="217">
        <v>2011</v>
      </c>
      <c r="E27" s="217">
        <v>2012</v>
      </c>
      <c r="F27"/>
      <c r="I27">
        <v>2010</v>
      </c>
      <c r="J27">
        <v>2011</v>
      </c>
      <c r="K27">
        <v>2012</v>
      </c>
      <c r="O27" s="216" t="s">
        <v>651</v>
      </c>
      <c r="P27" s="416">
        <v>2010</v>
      </c>
      <c r="Q27" s="217">
        <v>2011</v>
      </c>
      <c r="R27" s="218">
        <v>2012</v>
      </c>
    </row>
    <row r="28" spans="1:37">
      <c r="B28" t="s">
        <v>295</v>
      </c>
      <c r="F28"/>
      <c r="H28" t="s">
        <v>295</v>
      </c>
      <c r="I28" s="458">
        <v>905246</v>
      </c>
      <c r="O28" s="235" t="s">
        <v>120</v>
      </c>
      <c r="P28" s="417"/>
      <c r="Q28" s="217"/>
      <c r="R28" s="218"/>
      <c r="U28" s="381" t="s">
        <v>458</v>
      </c>
      <c r="V28" s="381"/>
      <c r="W28" s="381"/>
      <c r="X28" s="381"/>
      <c r="Y28" s="381"/>
      <c r="Z28" s="381"/>
      <c r="AA28" s="381"/>
      <c r="AB28" s="381"/>
      <c r="AC28" s="381"/>
      <c r="AD28" s="381"/>
      <c r="AE28" s="381"/>
      <c r="AF28" s="381"/>
      <c r="AG28" s="381"/>
      <c r="AH28" s="381"/>
      <c r="AI28" s="381"/>
      <c r="AJ28" s="381"/>
      <c r="AK28" s="381" t="s">
        <v>459</v>
      </c>
    </row>
    <row r="29" spans="1:37">
      <c r="B29" t="s">
        <v>244</v>
      </c>
      <c r="C29">
        <v>264331</v>
      </c>
      <c r="D29">
        <v>245086</v>
      </c>
      <c r="E29">
        <v>181405</v>
      </c>
      <c r="F29"/>
      <c r="O29" s="216" t="s">
        <v>203</v>
      </c>
      <c r="P29" s="417">
        <v>1512</v>
      </c>
      <c r="Q29" s="217">
        <v>1564</v>
      </c>
      <c r="R29" s="218">
        <v>1672</v>
      </c>
      <c r="U29" s="381"/>
      <c r="V29" s="381">
        <v>2000</v>
      </c>
      <c r="W29" s="381">
        <v>2005</v>
      </c>
      <c r="X29" s="381">
        <v>2010</v>
      </c>
      <c r="Y29" s="381">
        <v>2015</v>
      </c>
      <c r="Z29" s="381">
        <v>2020</v>
      </c>
      <c r="AA29" s="381">
        <v>2025</v>
      </c>
      <c r="AB29" s="381">
        <v>2030</v>
      </c>
      <c r="AC29" s="381">
        <v>2035</v>
      </c>
      <c r="AD29" s="381">
        <v>2040</v>
      </c>
      <c r="AE29" s="381">
        <v>2045</v>
      </c>
      <c r="AF29" s="381">
        <v>2050</v>
      </c>
      <c r="AG29" s="381" t="s">
        <v>460</v>
      </c>
      <c r="AH29" s="381" t="s">
        <v>461</v>
      </c>
      <c r="AI29" s="381" t="s">
        <v>462</v>
      </c>
      <c r="AJ29" s="381" t="s">
        <v>463</v>
      </c>
      <c r="AK29" s="381" t="s">
        <v>464</v>
      </c>
    </row>
    <row r="30" spans="1:37">
      <c r="B30" t="s">
        <v>245</v>
      </c>
      <c r="C30">
        <v>0</v>
      </c>
      <c r="D30">
        <v>0</v>
      </c>
      <c r="E30">
        <v>0</v>
      </c>
      <c r="F30"/>
      <c r="H30" t="s">
        <v>298</v>
      </c>
      <c r="I30">
        <v>0</v>
      </c>
      <c r="J30">
        <v>0</v>
      </c>
      <c r="K30">
        <v>0</v>
      </c>
      <c r="O30" s="216" t="s">
        <v>204</v>
      </c>
      <c r="P30" s="417">
        <v>1383</v>
      </c>
      <c r="Q30" s="217">
        <v>1415</v>
      </c>
      <c r="R30" s="218">
        <v>1526</v>
      </c>
      <c r="U30" s="381"/>
      <c r="V30" s="381"/>
      <c r="W30" s="381"/>
      <c r="X30" s="381"/>
      <c r="Y30" s="381"/>
      <c r="Z30" s="381"/>
      <c r="AA30" s="381"/>
      <c r="AB30" s="381"/>
      <c r="AC30" s="381"/>
      <c r="AD30" s="381"/>
      <c r="AE30" s="381"/>
      <c r="AF30" s="381"/>
      <c r="AG30" s="381"/>
      <c r="AH30" s="381"/>
      <c r="AI30" s="381"/>
      <c r="AJ30" s="381"/>
      <c r="AK30" s="381"/>
    </row>
    <row r="31" spans="1:37">
      <c r="B31" t="s">
        <v>246</v>
      </c>
      <c r="C31">
        <v>0</v>
      </c>
      <c r="D31">
        <v>0</v>
      </c>
      <c r="E31">
        <v>0</v>
      </c>
      <c r="F31"/>
      <c r="H31" t="s">
        <v>299</v>
      </c>
      <c r="I31">
        <v>0</v>
      </c>
      <c r="J31">
        <v>0</v>
      </c>
      <c r="K31">
        <v>0</v>
      </c>
      <c r="O31" s="216" t="s">
        <v>205</v>
      </c>
      <c r="P31" s="417">
        <v>102</v>
      </c>
      <c r="Q31" s="217">
        <v>142</v>
      </c>
      <c r="R31" s="218">
        <v>143</v>
      </c>
      <c r="U31" s="382"/>
      <c r="V31" s="383"/>
      <c r="W31" s="383"/>
      <c r="X31" s="383"/>
      <c r="Y31" s="383"/>
      <c r="Z31" s="383"/>
      <c r="AA31" s="383"/>
      <c r="AB31" s="383"/>
      <c r="AC31" s="383"/>
      <c r="AD31" s="383"/>
      <c r="AE31" s="383"/>
      <c r="AF31" s="383"/>
      <c r="AG31" s="384" t="s">
        <v>465</v>
      </c>
      <c r="AH31" s="385"/>
      <c r="AI31" s="385"/>
      <c r="AJ31" s="385"/>
      <c r="AK31" s="385"/>
    </row>
    <row r="32" spans="1:37">
      <c r="B32" t="s">
        <v>247</v>
      </c>
      <c r="C32">
        <v>0</v>
      </c>
      <c r="D32">
        <v>0</v>
      </c>
      <c r="E32">
        <v>0</v>
      </c>
      <c r="F32"/>
      <c r="H32" t="s">
        <v>300</v>
      </c>
      <c r="I32">
        <v>0</v>
      </c>
      <c r="J32">
        <v>0</v>
      </c>
      <c r="K32">
        <v>0</v>
      </c>
      <c r="O32" s="216" t="s">
        <v>206</v>
      </c>
      <c r="P32" s="417">
        <v>20</v>
      </c>
      <c r="Q32" s="217">
        <v>4</v>
      </c>
      <c r="R32" s="218">
        <v>0</v>
      </c>
      <c r="U32" s="365" t="s">
        <v>450</v>
      </c>
      <c r="V32" s="366">
        <v>50.441771038860814</v>
      </c>
      <c r="W32" s="366">
        <v>49.307894579490558</v>
      </c>
      <c r="X32" s="366">
        <v>49.248490423126015</v>
      </c>
      <c r="Y32" s="366">
        <v>47.094003523607803</v>
      </c>
      <c r="Z32" s="366">
        <v>41.748870786749109</v>
      </c>
      <c r="AA32" s="366">
        <v>37.747532294579337</v>
      </c>
      <c r="AB32" s="366">
        <v>35.139346067005725</v>
      </c>
      <c r="AC32" s="366">
        <v>33.692433474486407</v>
      </c>
      <c r="AD32" s="366">
        <v>32.710277715603446</v>
      </c>
      <c r="AE32" s="366">
        <v>32.141762716537237</v>
      </c>
      <c r="AF32" s="366">
        <v>31.779234564705142</v>
      </c>
      <c r="AG32" s="363">
        <v>-0.23912270939003832</v>
      </c>
      <c r="AH32" s="364">
        <v>-1.6384913971749571</v>
      </c>
      <c r="AI32" s="364">
        <v>-1.7087418464127646</v>
      </c>
      <c r="AJ32" s="364">
        <v>-0.71376194787319269</v>
      </c>
      <c r="AK32" s="364">
        <v>-0.2883460456376663</v>
      </c>
    </row>
    <row r="33" spans="2:37">
      <c r="B33" t="s">
        <v>248</v>
      </c>
      <c r="C33">
        <v>0</v>
      </c>
      <c r="D33">
        <v>0</v>
      </c>
      <c r="E33">
        <v>0</v>
      </c>
      <c r="H33" t="s">
        <v>301</v>
      </c>
      <c r="I33">
        <v>0</v>
      </c>
      <c r="J33">
        <v>0</v>
      </c>
      <c r="K33">
        <v>0</v>
      </c>
      <c r="O33" s="216" t="s">
        <v>207</v>
      </c>
      <c r="P33" s="417">
        <v>4</v>
      </c>
      <c r="Q33" s="217">
        <v>0</v>
      </c>
      <c r="R33" s="218">
        <v>1</v>
      </c>
      <c r="U33" s="367" t="s">
        <v>451</v>
      </c>
      <c r="V33" s="368">
        <v>47.033308701752432</v>
      </c>
      <c r="W33" s="368">
        <v>44.797447006838354</v>
      </c>
      <c r="X33" s="368">
        <v>47.834779695985077</v>
      </c>
      <c r="Y33" s="368">
        <v>44.855565022014595</v>
      </c>
      <c r="Z33" s="368">
        <v>38.09510046988224</v>
      </c>
      <c r="AA33" s="368">
        <v>33.454682226189611</v>
      </c>
      <c r="AB33" s="368">
        <v>30.956769180036666</v>
      </c>
      <c r="AC33" s="368">
        <v>29.743834474486025</v>
      </c>
      <c r="AD33" s="368">
        <v>28.758391065095619</v>
      </c>
      <c r="AE33" s="368">
        <v>28.150979148473059</v>
      </c>
      <c r="AF33" s="368">
        <v>27.774609393036481</v>
      </c>
      <c r="AG33" s="369">
        <v>0.16911220503326163</v>
      </c>
      <c r="AH33" s="370">
        <v>-2.2509524236834055</v>
      </c>
      <c r="AI33" s="370">
        <v>-2.0535611295731226</v>
      </c>
      <c r="AJ33" s="370">
        <v>-0.73391460516769591</v>
      </c>
      <c r="AK33" s="370">
        <v>-0.34746808386031391</v>
      </c>
    </row>
    <row r="34" spans="2:37">
      <c r="B34" t="s">
        <v>249</v>
      </c>
      <c r="C34">
        <v>188569</v>
      </c>
      <c r="D34">
        <v>160113</v>
      </c>
      <c r="E34">
        <v>100862</v>
      </c>
      <c r="H34" t="s">
        <v>302</v>
      </c>
      <c r="I34">
        <v>0</v>
      </c>
      <c r="J34">
        <v>0</v>
      </c>
      <c r="K34">
        <v>0</v>
      </c>
      <c r="O34" s="216" t="s">
        <v>208</v>
      </c>
      <c r="P34" s="417">
        <v>0</v>
      </c>
      <c r="Q34" s="217">
        <v>0</v>
      </c>
      <c r="R34" s="218">
        <v>0</v>
      </c>
      <c r="U34" s="371" t="s">
        <v>452</v>
      </c>
      <c r="V34" s="368">
        <v>19.205155623441971</v>
      </c>
      <c r="W34" s="368">
        <v>19.070806388369267</v>
      </c>
      <c r="X34" s="368">
        <v>19.828199286741391</v>
      </c>
      <c r="Y34" s="368">
        <v>19.638796506601565</v>
      </c>
      <c r="Z34" s="368">
        <v>19.190573054536333</v>
      </c>
      <c r="AA34" s="368">
        <v>18.52549430890134</v>
      </c>
      <c r="AB34" s="368">
        <v>17.875491112756162</v>
      </c>
      <c r="AC34" s="368">
        <v>17.431788039993897</v>
      </c>
      <c r="AD34" s="368">
        <v>17.067101580509902</v>
      </c>
      <c r="AE34" s="368">
        <v>16.789731625563988</v>
      </c>
      <c r="AF34" s="368">
        <v>16.583830314625335</v>
      </c>
      <c r="AG34" s="369">
        <v>0.31977384761427974</v>
      </c>
      <c r="AH34" s="370">
        <v>-0.32632598721581418</v>
      </c>
      <c r="AI34" s="370">
        <v>-0.70737234721766074</v>
      </c>
      <c r="AJ34" s="370">
        <v>-0.46170919840782254</v>
      </c>
      <c r="AK34" s="370">
        <v>-0.28683367466268983</v>
      </c>
    </row>
    <row r="35" spans="2:37">
      <c r="B35" t="s">
        <v>250</v>
      </c>
      <c r="C35">
        <v>1</v>
      </c>
      <c r="D35">
        <v>1</v>
      </c>
      <c r="E35">
        <v>11</v>
      </c>
      <c r="H35" t="s">
        <v>303</v>
      </c>
      <c r="I35">
        <v>0</v>
      </c>
      <c r="J35">
        <v>0</v>
      </c>
      <c r="K35">
        <v>0</v>
      </c>
      <c r="O35" s="216" t="s">
        <v>209</v>
      </c>
      <c r="P35" s="417">
        <v>2</v>
      </c>
      <c r="Q35" s="217">
        <v>2</v>
      </c>
      <c r="R35" s="218">
        <v>1</v>
      </c>
      <c r="U35" s="371" t="s">
        <v>225</v>
      </c>
      <c r="V35" s="368">
        <v>50.227332486932717</v>
      </c>
      <c r="W35" s="368">
        <v>48.006323114391208</v>
      </c>
      <c r="X35" s="368">
        <v>51.477405456245585</v>
      </c>
      <c r="Y35" s="368">
        <v>48.163733529160254</v>
      </c>
      <c r="Z35" s="368">
        <v>40.574658944597012</v>
      </c>
      <c r="AA35" s="368">
        <v>35.419771115029342</v>
      </c>
      <c r="AB35" s="368">
        <v>32.697069561191874</v>
      </c>
      <c r="AC35" s="368">
        <v>31.405328751091218</v>
      </c>
      <c r="AD35" s="368">
        <v>30.363326730234764</v>
      </c>
      <c r="AE35" s="368">
        <v>29.73382642198758</v>
      </c>
      <c r="AF35" s="368">
        <v>29.358771045122424</v>
      </c>
      <c r="AG35" s="369">
        <v>0.24613874542556147</v>
      </c>
      <c r="AH35" s="370">
        <v>-2.3518942737716486</v>
      </c>
      <c r="AI35" s="370">
        <v>-2.135451836301816</v>
      </c>
      <c r="AJ35" s="370">
        <v>-0.73776441246544699</v>
      </c>
      <c r="AK35" s="370">
        <v>-0.335876447678507</v>
      </c>
    </row>
    <row r="36" spans="2:37">
      <c r="B36" t="s">
        <v>251</v>
      </c>
      <c r="C36">
        <v>67</v>
      </c>
      <c r="D36">
        <v>55</v>
      </c>
      <c r="E36">
        <v>54</v>
      </c>
      <c r="H36" t="s">
        <v>304</v>
      </c>
      <c r="I36">
        <v>0</v>
      </c>
      <c r="J36">
        <v>0</v>
      </c>
      <c r="K36">
        <v>0</v>
      </c>
      <c r="O36" s="216" t="s">
        <v>210</v>
      </c>
      <c r="P36" s="417">
        <v>1</v>
      </c>
      <c r="Q36" s="217">
        <v>1</v>
      </c>
      <c r="R36" s="218">
        <v>0</v>
      </c>
      <c r="U36" s="371" t="s">
        <v>166</v>
      </c>
      <c r="V36" s="368">
        <v>33.72765980454372</v>
      </c>
      <c r="W36" s="368">
        <v>33.107196490206981</v>
      </c>
      <c r="X36" s="368">
        <v>35.134729248795523</v>
      </c>
      <c r="Y36" s="368">
        <v>34.89012925416278</v>
      </c>
      <c r="Z36" s="368">
        <v>33.775572933043222</v>
      </c>
      <c r="AA36" s="368">
        <v>32.134051739568136</v>
      </c>
      <c r="AB36" s="368">
        <v>31.270210099089599</v>
      </c>
      <c r="AC36" s="368">
        <v>30.464980081673495</v>
      </c>
      <c r="AD36" s="368">
        <v>29.635341228180781</v>
      </c>
      <c r="AE36" s="368">
        <v>29.038673658872924</v>
      </c>
      <c r="AF36" s="368">
        <v>28.66111621090873</v>
      </c>
      <c r="AG36" s="369">
        <v>0.40955451323334557</v>
      </c>
      <c r="AH36" s="370">
        <v>-0.39374509972356364</v>
      </c>
      <c r="AI36" s="370">
        <v>-0.76775713843683091</v>
      </c>
      <c r="AJ36" s="370">
        <v>-0.53554363231792523</v>
      </c>
      <c r="AK36" s="370">
        <v>-0.33370437762617611</v>
      </c>
    </row>
    <row r="37" spans="2:37">
      <c r="B37" t="s">
        <v>252</v>
      </c>
      <c r="C37">
        <v>0</v>
      </c>
      <c r="D37">
        <v>0</v>
      </c>
      <c r="E37">
        <v>0</v>
      </c>
      <c r="H37" t="s">
        <v>305</v>
      </c>
      <c r="I37">
        <v>0</v>
      </c>
      <c r="J37">
        <v>0</v>
      </c>
      <c r="K37">
        <v>0</v>
      </c>
      <c r="O37" s="216" t="s">
        <v>211</v>
      </c>
      <c r="P37" s="417">
        <v>0</v>
      </c>
      <c r="Q37" s="217">
        <v>0</v>
      </c>
      <c r="R37" s="218">
        <v>0</v>
      </c>
      <c r="U37" s="367" t="s">
        <v>453</v>
      </c>
      <c r="V37" s="368">
        <v>5.4051677491734793</v>
      </c>
      <c r="W37" s="368">
        <v>5.3473299978531701</v>
      </c>
      <c r="X37" s="368">
        <v>5.2447845375865878</v>
      </c>
      <c r="Y37" s="368">
        <v>5.1569417152082835</v>
      </c>
      <c r="Z37" s="368">
        <v>5.0971356125534371</v>
      </c>
      <c r="AA37" s="368">
        <v>5.0744502336083253</v>
      </c>
      <c r="AB37" s="368">
        <v>5.0382881633285166</v>
      </c>
      <c r="AC37" s="368">
        <v>4.9890933212968296</v>
      </c>
      <c r="AD37" s="368">
        <v>4.8548780169404635</v>
      </c>
      <c r="AE37" s="368">
        <v>4.6965158911673415</v>
      </c>
      <c r="AF37" s="368">
        <v>4.5530654071761516</v>
      </c>
      <c r="AG37" s="369">
        <v>-0.30076005915561366</v>
      </c>
      <c r="AH37" s="370">
        <v>-0.28514692237379125</v>
      </c>
      <c r="AI37" s="370">
        <v>-0.11605623355860351</v>
      </c>
      <c r="AJ37" s="370">
        <v>-0.3701372776808376</v>
      </c>
      <c r="AK37" s="370">
        <v>-0.63977719660845978</v>
      </c>
    </row>
    <row r="38" spans="2:37">
      <c r="B38" t="s">
        <v>253</v>
      </c>
      <c r="C38">
        <v>0</v>
      </c>
      <c r="D38">
        <v>0</v>
      </c>
      <c r="E38">
        <v>0</v>
      </c>
      <c r="H38" t="s">
        <v>306</v>
      </c>
      <c r="I38">
        <v>0</v>
      </c>
      <c r="J38">
        <v>0</v>
      </c>
      <c r="K38">
        <v>0</v>
      </c>
      <c r="O38" s="216" t="s">
        <v>212</v>
      </c>
      <c r="P38" s="417">
        <v>0</v>
      </c>
      <c r="Q38" s="217">
        <v>0</v>
      </c>
      <c r="R38" s="218">
        <v>0</v>
      </c>
      <c r="U38" s="367" t="s">
        <v>454</v>
      </c>
      <c r="V38" s="372">
        <v>107.9110513320382</v>
      </c>
      <c r="W38" s="372">
        <v>102.6170778712345</v>
      </c>
      <c r="X38" s="372">
        <v>85.654365205712367</v>
      </c>
      <c r="Y38" s="372">
        <v>82.747507931680204</v>
      </c>
      <c r="Z38" s="372">
        <v>76.627432949513178</v>
      </c>
      <c r="AA38" s="372">
        <v>69.28634086848426</v>
      </c>
      <c r="AB38" s="372">
        <v>61.642405329670474</v>
      </c>
      <c r="AC38" s="372">
        <v>57.227597106723472</v>
      </c>
      <c r="AD38" s="372">
        <v>54.532685778434242</v>
      </c>
      <c r="AE38" s="372">
        <v>52.984414344427186</v>
      </c>
      <c r="AF38" s="372">
        <v>51.713452018932863</v>
      </c>
      <c r="AG38" s="369">
        <v>-2.283397703654233</v>
      </c>
      <c r="AH38" s="370">
        <v>-1.1074723086510363</v>
      </c>
      <c r="AI38" s="370">
        <v>-2.1525459432641725</v>
      </c>
      <c r="AJ38" s="370">
        <v>-1.2180190677834379</v>
      </c>
      <c r="AK38" s="370">
        <v>-0.52941681815500408</v>
      </c>
    </row>
    <row r="39" spans="2:37">
      <c r="B39" t="s">
        <v>254</v>
      </c>
      <c r="C39">
        <v>0</v>
      </c>
      <c r="D39">
        <v>0</v>
      </c>
      <c r="E39">
        <v>0</v>
      </c>
      <c r="H39" t="s">
        <v>307</v>
      </c>
      <c r="I39">
        <v>19948</v>
      </c>
      <c r="J39">
        <v>20069</v>
      </c>
      <c r="K39">
        <v>19893</v>
      </c>
      <c r="O39" s="216" t="s">
        <v>213</v>
      </c>
      <c r="P39" s="417">
        <v>0</v>
      </c>
      <c r="Q39" s="217">
        <v>0</v>
      </c>
      <c r="R39" s="218">
        <v>0</v>
      </c>
      <c r="U39" s="367" t="s">
        <v>455</v>
      </c>
      <c r="V39" s="373">
        <v>46.408679597368284</v>
      </c>
      <c r="W39" s="373">
        <v>59.007937740730263</v>
      </c>
      <c r="X39" s="373">
        <v>49.253122057548744</v>
      </c>
      <c r="Y39" s="373">
        <v>49.286610826386124</v>
      </c>
      <c r="Z39" s="373">
        <v>48.995360618081477</v>
      </c>
      <c r="AA39" s="373">
        <v>48.358501123192383</v>
      </c>
      <c r="AB39" s="373">
        <v>47.660748905941944</v>
      </c>
      <c r="AC39" s="373">
        <v>46.88948216943529</v>
      </c>
      <c r="AD39" s="373">
        <v>46.102045272238037</v>
      </c>
      <c r="AE39" s="373">
        <v>45.238388235953963</v>
      </c>
      <c r="AF39" s="373">
        <v>44.330706989482373</v>
      </c>
      <c r="AG39" s="374">
        <v>0.59663537697893787</v>
      </c>
      <c r="AH39" s="374">
        <v>-5.2457688899942845E-2</v>
      </c>
      <c r="AI39" s="374">
        <v>-0.27579326274730365</v>
      </c>
      <c r="AJ39" s="370">
        <v>-0.33195650250243958</v>
      </c>
      <c r="AK39" s="370">
        <v>-0.39103065675148985</v>
      </c>
    </row>
    <row r="40" spans="2:37">
      <c r="B40" t="s">
        <v>255</v>
      </c>
      <c r="C40">
        <v>0</v>
      </c>
      <c r="D40">
        <v>0</v>
      </c>
      <c r="E40">
        <v>0</v>
      </c>
      <c r="H40" t="s">
        <v>308</v>
      </c>
      <c r="I40">
        <v>0</v>
      </c>
      <c r="J40">
        <v>0</v>
      </c>
      <c r="K40">
        <v>0</v>
      </c>
      <c r="O40" s="216" t="s">
        <v>214</v>
      </c>
      <c r="P40" s="417" t="s">
        <v>170</v>
      </c>
      <c r="Q40" s="217" t="s">
        <v>170</v>
      </c>
      <c r="R40" s="218" t="s">
        <v>170</v>
      </c>
      <c r="U40" s="365" t="s">
        <v>456</v>
      </c>
      <c r="V40" s="366">
        <v>40.147725738478073</v>
      </c>
      <c r="W40" s="366">
        <v>59.163881461739571</v>
      </c>
      <c r="X40" s="366">
        <v>68.427685761403794</v>
      </c>
      <c r="Y40" s="366">
        <v>67.003820222181432</v>
      </c>
      <c r="Z40" s="366">
        <v>63.797116707005081</v>
      </c>
      <c r="AA40" s="366">
        <v>60.806700104181694</v>
      </c>
      <c r="AB40" s="366">
        <v>57.973560661342049</v>
      </c>
      <c r="AC40" s="366">
        <v>55.535694078448671</v>
      </c>
      <c r="AD40" s="366">
        <v>53.817437919413976</v>
      </c>
      <c r="AE40" s="366">
        <v>52.846250527305195</v>
      </c>
      <c r="AF40" s="366">
        <v>51.858579291487708</v>
      </c>
      <c r="AG40" s="363">
        <v>5.476835180119366</v>
      </c>
      <c r="AH40" s="364">
        <v>-0.69824594244501936</v>
      </c>
      <c r="AI40" s="364">
        <v>-0.9526427402351989</v>
      </c>
      <c r="AJ40" s="364">
        <v>-0.7411351121456411</v>
      </c>
      <c r="AK40" s="364">
        <v>-0.3700850398651756</v>
      </c>
    </row>
    <row r="41" spans="2:37">
      <c r="B41" t="s">
        <v>256</v>
      </c>
      <c r="C41">
        <v>0</v>
      </c>
      <c r="D41">
        <v>0</v>
      </c>
      <c r="E41">
        <v>0</v>
      </c>
      <c r="H41" t="s">
        <v>309</v>
      </c>
      <c r="I41">
        <v>0</v>
      </c>
      <c r="J41">
        <v>0</v>
      </c>
      <c r="K41">
        <v>0</v>
      </c>
      <c r="O41" s="216" t="s">
        <v>215</v>
      </c>
      <c r="P41" s="417" t="s">
        <v>170</v>
      </c>
      <c r="Q41" s="217" t="s">
        <v>170</v>
      </c>
      <c r="R41" s="218" t="s">
        <v>170</v>
      </c>
      <c r="U41" s="367" t="s">
        <v>457</v>
      </c>
      <c r="V41" s="372">
        <v>42.916053903817691</v>
      </c>
      <c r="W41" s="372">
        <v>66.013617669940459</v>
      </c>
      <c r="X41" s="372">
        <v>83.505943171717917</v>
      </c>
      <c r="Y41" s="372">
        <v>81.066391149735907</v>
      </c>
      <c r="Z41" s="372">
        <v>76.483257911003122</v>
      </c>
      <c r="AA41" s="372">
        <v>73.148069279806904</v>
      </c>
      <c r="AB41" s="372">
        <v>69.986582471271518</v>
      </c>
      <c r="AC41" s="372">
        <v>67.183689916646614</v>
      </c>
      <c r="AD41" s="372">
        <v>65.378772306988012</v>
      </c>
      <c r="AE41" s="372">
        <v>64.283746413756504</v>
      </c>
      <c r="AF41" s="372">
        <v>63.131335071883441</v>
      </c>
      <c r="AG41" s="369">
        <v>6.8832769293236007</v>
      </c>
      <c r="AH41" s="370">
        <v>-0.87461220893642055</v>
      </c>
      <c r="AI41" s="370">
        <v>-0.88375493820074258</v>
      </c>
      <c r="AJ41" s="370">
        <v>-0.67874526166306071</v>
      </c>
      <c r="AK41" s="370">
        <v>-0.34919273094016212</v>
      </c>
    </row>
    <row r="42" spans="2:37">
      <c r="B42" t="s">
        <v>257</v>
      </c>
      <c r="C42">
        <v>59801</v>
      </c>
      <c r="D42">
        <v>68367</v>
      </c>
      <c r="E42">
        <v>63882</v>
      </c>
      <c r="H42" t="s">
        <v>310</v>
      </c>
      <c r="I42">
        <v>0</v>
      </c>
      <c r="J42">
        <v>0</v>
      </c>
      <c r="K42">
        <v>0</v>
      </c>
      <c r="O42" s="235" t="s">
        <v>216</v>
      </c>
      <c r="P42" s="417"/>
      <c r="Q42" s="217"/>
      <c r="R42" s="218"/>
      <c r="U42" s="367" t="s">
        <v>453</v>
      </c>
      <c r="V42" s="372">
        <v>36.174607237028326</v>
      </c>
      <c r="W42" s="372">
        <v>37.301948693939103</v>
      </c>
      <c r="X42" s="372">
        <v>35.076699137528145</v>
      </c>
      <c r="Y42" s="372">
        <v>32.308550566784497</v>
      </c>
      <c r="Z42" s="372">
        <v>29.630184409893168</v>
      </c>
      <c r="AA42" s="372">
        <v>27.33640205163098</v>
      </c>
      <c r="AB42" s="372">
        <v>25.390999103620906</v>
      </c>
      <c r="AC42" s="372">
        <v>23.507875277813106</v>
      </c>
      <c r="AD42" s="372">
        <v>21.183900541498719</v>
      </c>
      <c r="AE42" s="372">
        <v>19.387444432744338</v>
      </c>
      <c r="AF42" s="372">
        <v>17.868624687847468</v>
      </c>
      <c r="AG42" s="369">
        <v>-0.30772901424576116</v>
      </c>
      <c r="AH42" s="370">
        <v>-1.6732773876533047</v>
      </c>
      <c r="AI42" s="370">
        <v>-1.5321300092572376</v>
      </c>
      <c r="AJ42" s="370">
        <v>-1.795222985906586</v>
      </c>
      <c r="AK42" s="370">
        <v>-1.6875498338440265</v>
      </c>
    </row>
    <row r="43" spans="2:37">
      <c r="B43" t="s">
        <v>258</v>
      </c>
      <c r="C43">
        <v>22</v>
      </c>
      <c r="D43">
        <v>25</v>
      </c>
      <c r="E43">
        <v>29</v>
      </c>
      <c r="H43" t="s">
        <v>311</v>
      </c>
      <c r="I43">
        <v>6371</v>
      </c>
      <c r="J43">
        <v>7747</v>
      </c>
      <c r="K43">
        <v>7009</v>
      </c>
      <c r="O43" s="216" t="s">
        <v>203</v>
      </c>
      <c r="P43" s="417">
        <v>41</v>
      </c>
      <c r="Q43" s="217">
        <v>33</v>
      </c>
      <c r="R43" s="218">
        <v>32</v>
      </c>
      <c r="U43" s="367" t="s">
        <v>455</v>
      </c>
      <c r="V43" s="372">
        <v>6.0121753916090741</v>
      </c>
      <c r="W43" s="372">
        <v>6.556437526747807</v>
      </c>
      <c r="X43" s="372">
        <v>5.4725691175054179</v>
      </c>
      <c r="Y43" s="372">
        <v>5.4804605456848785</v>
      </c>
      <c r="Z43" s="372">
        <v>5.457839899883945</v>
      </c>
      <c r="AA43" s="372">
        <v>5.4041005523963284</v>
      </c>
      <c r="AB43" s="372">
        <v>5.3440434328971298</v>
      </c>
      <c r="AC43" s="372">
        <v>5.2783381367372924</v>
      </c>
      <c r="AD43" s="372">
        <v>5.2121795684797263</v>
      </c>
      <c r="AE43" s="372">
        <v>5.1383626035861241</v>
      </c>
      <c r="AF43" s="372">
        <v>5.0582485950550629</v>
      </c>
      <c r="AG43" s="369">
        <v>-0.93597685860512536</v>
      </c>
      <c r="AH43" s="370">
        <v>-2.6947284152190054E-2</v>
      </c>
      <c r="AI43" s="370">
        <v>-0.21048342362269823</v>
      </c>
      <c r="AJ43" s="370">
        <v>-0.24953266886984515</v>
      </c>
      <c r="AK43" s="370">
        <v>-0.29932927033508028</v>
      </c>
    </row>
    <row r="44" spans="2:37">
      <c r="B44" t="s">
        <v>259</v>
      </c>
      <c r="C44">
        <v>213</v>
      </c>
      <c r="D44">
        <v>214</v>
      </c>
      <c r="E44">
        <v>166</v>
      </c>
      <c r="H44" t="s">
        <v>312</v>
      </c>
      <c r="I44">
        <v>0</v>
      </c>
      <c r="J44">
        <v>0</v>
      </c>
      <c r="K44">
        <v>0</v>
      </c>
      <c r="O44" s="216" t="s">
        <v>204</v>
      </c>
      <c r="P44" s="417">
        <v>35</v>
      </c>
      <c r="Q44" s="217">
        <v>31</v>
      </c>
      <c r="R44" s="218">
        <v>30</v>
      </c>
    </row>
    <row r="45" spans="2:37">
      <c r="B45" t="s">
        <v>260</v>
      </c>
      <c r="C45">
        <v>0</v>
      </c>
      <c r="D45">
        <v>0</v>
      </c>
      <c r="E45">
        <v>0</v>
      </c>
      <c r="H45" s="444" t="s">
        <v>313</v>
      </c>
      <c r="I45">
        <v>186526</v>
      </c>
      <c r="J45">
        <v>186654</v>
      </c>
      <c r="K45">
        <v>189825</v>
      </c>
      <c r="O45" s="216" t="s">
        <v>205</v>
      </c>
      <c r="P45" s="417">
        <v>0</v>
      </c>
      <c r="Q45" s="217">
        <v>0</v>
      </c>
      <c r="R45" s="218">
        <v>0</v>
      </c>
    </row>
    <row r="46" spans="2:37">
      <c r="B46" t="s">
        <v>261</v>
      </c>
      <c r="C46">
        <v>5</v>
      </c>
      <c r="D46">
        <v>7</v>
      </c>
      <c r="E46">
        <v>6</v>
      </c>
      <c r="H46" t="s">
        <v>314</v>
      </c>
      <c r="I46">
        <v>0</v>
      </c>
      <c r="J46">
        <v>0</v>
      </c>
      <c r="K46">
        <v>0</v>
      </c>
      <c r="O46" s="216" t="s">
        <v>206</v>
      </c>
      <c r="P46" s="417">
        <v>0</v>
      </c>
      <c r="Q46" s="217">
        <v>0</v>
      </c>
      <c r="R46" s="218">
        <v>0</v>
      </c>
    </row>
    <row r="47" spans="2:37">
      <c r="B47" t="s">
        <v>262</v>
      </c>
      <c r="C47">
        <v>1662</v>
      </c>
      <c r="D47">
        <v>1452</v>
      </c>
      <c r="E47">
        <v>1475</v>
      </c>
      <c r="H47" t="s">
        <v>315</v>
      </c>
      <c r="I47">
        <v>0</v>
      </c>
      <c r="J47">
        <v>0</v>
      </c>
      <c r="K47">
        <v>0</v>
      </c>
      <c r="O47" s="216" t="s">
        <v>207</v>
      </c>
      <c r="P47" s="417">
        <v>3</v>
      </c>
      <c r="Q47" s="217">
        <v>0</v>
      </c>
      <c r="R47" s="218">
        <v>0</v>
      </c>
      <c r="Y47" s="372">
        <v>5.4725691175054179</v>
      </c>
      <c r="Z47" t="s">
        <v>466</v>
      </c>
    </row>
    <row r="48" spans="2:37">
      <c r="B48" t="s">
        <v>263</v>
      </c>
      <c r="C48">
        <v>13</v>
      </c>
      <c r="D48">
        <v>15</v>
      </c>
      <c r="E48">
        <v>25</v>
      </c>
      <c r="H48" s="444" t="s">
        <v>316</v>
      </c>
      <c r="I48">
        <v>64750</v>
      </c>
      <c r="J48">
        <v>68463</v>
      </c>
      <c r="K48">
        <v>70193</v>
      </c>
      <c r="O48" s="216" t="s">
        <v>208</v>
      </c>
      <c r="P48" s="417">
        <v>0</v>
      </c>
      <c r="Q48" s="217">
        <v>0</v>
      </c>
      <c r="R48" s="218">
        <v>0</v>
      </c>
      <c r="Y48">
        <f>Y47*4.1868*10^-5</f>
        <v>2.2912552381171685E-4</v>
      </c>
      <c r="Z48" t="s">
        <v>467</v>
      </c>
    </row>
    <row r="49" spans="2:32" ht="12.75" customHeight="1">
      <c r="B49" t="s">
        <v>264</v>
      </c>
      <c r="C49">
        <v>45</v>
      </c>
      <c r="D49">
        <v>57</v>
      </c>
      <c r="E49">
        <v>34</v>
      </c>
      <c r="H49" t="s">
        <v>317</v>
      </c>
      <c r="I49">
        <v>0</v>
      </c>
      <c r="J49">
        <v>0</v>
      </c>
      <c r="K49">
        <v>0</v>
      </c>
      <c r="O49" s="216" t="s">
        <v>209</v>
      </c>
      <c r="P49" s="417">
        <v>1</v>
      </c>
      <c r="Q49" s="217">
        <v>1</v>
      </c>
      <c r="R49" s="218">
        <v>1</v>
      </c>
      <c r="Y49">
        <f>1/Y48</f>
        <v>4364.4199186719452</v>
      </c>
      <c r="Z49" t="s">
        <v>468</v>
      </c>
    </row>
    <row r="50" spans="2:32">
      <c r="B50" t="s">
        <v>265</v>
      </c>
      <c r="C50">
        <v>0</v>
      </c>
      <c r="D50">
        <v>0</v>
      </c>
      <c r="E50">
        <v>0</v>
      </c>
      <c r="H50" t="s">
        <v>318</v>
      </c>
      <c r="I50">
        <v>84909</v>
      </c>
      <c r="J50">
        <v>75124</v>
      </c>
      <c r="K50">
        <v>80190</v>
      </c>
      <c r="O50" s="216" t="s">
        <v>210</v>
      </c>
      <c r="P50" s="417">
        <v>1</v>
      </c>
      <c r="Q50" s="217">
        <v>1</v>
      </c>
      <c r="R50" s="218">
        <v>0</v>
      </c>
    </row>
    <row r="51" spans="2:32">
      <c r="B51" t="s">
        <v>266</v>
      </c>
      <c r="C51">
        <v>56</v>
      </c>
      <c r="D51">
        <v>70</v>
      </c>
      <c r="E51">
        <v>71</v>
      </c>
      <c r="H51" t="s">
        <v>319</v>
      </c>
      <c r="I51">
        <v>38309</v>
      </c>
      <c r="J51">
        <v>34680</v>
      </c>
      <c r="K51">
        <v>38410</v>
      </c>
      <c r="O51" s="216" t="s">
        <v>211</v>
      </c>
      <c r="P51" s="417">
        <v>0</v>
      </c>
      <c r="Q51" s="217">
        <v>0</v>
      </c>
      <c r="R51" s="218">
        <v>0</v>
      </c>
      <c r="U51" s="362" t="s">
        <v>469</v>
      </c>
      <c r="V51" s="386">
        <v>4820.5919999999996</v>
      </c>
      <c r="W51" s="386">
        <v>5326.5418722018612</v>
      </c>
      <c r="X51" s="386">
        <v>5171.5634780722166</v>
      </c>
      <c r="Y51" s="386">
        <v>5295.2230265838871</v>
      </c>
      <c r="Z51" s="386">
        <v>5108.8535075347554</v>
      </c>
      <c r="AA51" s="386">
        <v>4944.4511693386239</v>
      </c>
      <c r="AB51" s="386">
        <v>4884.8463221586089</v>
      </c>
      <c r="AC51" s="386">
        <v>4877.1663516415729</v>
      </c>
      <c r="AD51" s="386">
        <v>4931.0822355836854</v>
      </c>
      <c r="AE51" s="386">
        <v>5043.3563396069867</v>
      </c>
      <c r="AF51" s="386">
        <v>5177.4742036346715</v>
      </c>
    </row>
    <row r="52" spans="2:32">
      <c r="B52" t="s">
        <v>267</v>
      </c>
      <c r="C52">
        <v>80</v>
      </c>
      <c r="D52">
        <v>78</v>
      </c>
      <c r="E52">
        <v>91</v>
      </c>
      <c r="H52" t="s">
        <v>320</v>
      </c>
      <c r="I52">
        <v>0</v>
      </c>
      <c r="J52">
        <v>0</v>
      </c>
      <c r="K52">
        <v>0</v>
      </c>
      <c r="O52" s="216" t="s">
        <v>212</v>
      </c>
      <c r="P52" s="417">
        <v>0</v>
      </c>
      <c r="Q52" s="217">
        <v>0</v>
      </c>
      <c r="R52" s="218">
        <v>0</v>
      </c>
      <c r="U52" s="365" t="s">
        <v>470</v>
      </c>
      <c r="V52" s="387"/>
      <c r="W52" s="387"/>
      <c r="X52" s="387"/>
      <c r="Y52" s="387"/>
      <c r="Z52" s="387"/>
      <c r="AA52" s="387"/>
      <c r="AB52" s="387"/>
      <c r="AC52" s="387"/>
      <c r="AD52" s="387"/>
      <c r="AE52" s="387"/>
      <c r="AF52" s="387"/>
    </row>
    <row r="53" spans="2:32" ht="51">
      <c r="B53" t="s">
        <v>268</v>
      </c>
      <c r="C53">
        <v>174</v>
      </c>
      <c r="D53">
        <v>179</v>
      </c>
      <c r="E53">
        <v>173</v>
      </c>
      <c r="H53" t="s">
        <v>321</v>
      </c>
      <c r="I53">
        <v>0</v>
      </c>
      <c r="J53">
        <v>0</v>
      </c>
      <c r="K53">
        <v>0</v>
      </c>
      <c r="O53" s="216" t="s">
        <v>213</v>
      </c>
      <c r="P53" s="417" t="s">
        <v>170</v>
      </c>
      <c r="Q53" s="217" t="s">
        <v>170</v>
      </c>
      <c r="R53" s="218" t="s">
        <v>170</v>
      </c>
      <c r="U53" s="380" t="s">
        <v>458</v>
      </c>
      <c r="V53" s="380"/>
      <c r="W53" s="380"/>
      <c r="X53" s="380"/>
      <c r="Y53" s="380"/>
      <c r="Z53" s="380"/>
      <c r="AA53" s="375"/>
      <c r="AB53" s="375"/>
      <c r="AC53" s="375"/>
      <c r="AD53" s="375"/>
      <c r="AE53" s="375"/>
      <c r="AF53" s="375"/>
    </row>
    <row r="54" spans="2:32">
      <c r="B54" t="s">
        <v>269</v>
      </c>
      <c r="C54">
        <v>4898</v>
      </c>
      <c r="D54">
        <v>4504</v>
      </c>
      <c r="E54">
        <v>5031</v>
      </c>
      <c r="H54" t="s">
        <v>322</v>
      </c>
      <c r="I54">
        <v>0</v>
      </c>
      <c r="J54">
        <v>0</v>
      </c>
      <c r="K54">
        <v>0</v>
      </c>
      <c r="O54" s="216" t="s">
        <v>214</v>
      </c>
      <c r="P54" s="417" t="s">
        <v>170</v>
      </c>
      <c r="Q54" s="217" t="s">
        <v>170</v>
      </c>
      <c r="R54" s="218" t="s">
        <v>170</v>
      </c>
      <c r="U54" s="362"/>
      <c r="V54" s="376">
        <v>2000</v>
      </c>
      <c r="W54" s="376">
        <v>2005</v>
      </c>
      <c r="X54" s="376">
        <v>2010</v>
      </c>
      <c r="Y54" s="376">
        <v>2015</v>
      </c>
      <c r="Z54" s="376">
        <v>2020</v>
      </c>
      <c r="AA54" s="376">
        <v>2025</v>
      </c>
      <c r="AB54" s="376">
        <v>2030</v>
      </c>
      <c r="AC54" s="376">
        <v>2035</v>
      </c>
      <c r="AD54" s="376">
        <v>2040</v>
      </c>
      <c r="AE54" s="376">
        <v>2045</v>
      </c>
      <c r="AF54" s="376">
        <v>2050</v>
      </c>
    </row>
    <row r="55" spans="2:32">
      <c r="B55" t="s">
        <v>270</v>
      </c>
      <c r="C55">
        <v>1035</v>
      </c>
      <c r="D55">
        <v>1134</v>
      </c>
      <c r="E55">
        <v>680</v>
      </c>
      <c r="H55" t="s">
        <v>323</v>
      </c>
      <c r="I55">
        <v>0</v>
      </c>
      <c r="J55">
        <v>0</v>
      </c>
      <c r="K55">
        <v>0</v>
      </c>
      <c r="O55" s="216" t="s">
        <v>215</v>
      </c>
      <c r="P55" s="417" t="s">
        <v>170</v>
      </c>
      <c r="Q55" s="217" t="s">
        <v>170</v>
      </c>
      <c r="R55" s="218" t="s">
        <v>170</v>
      </c>
      <c r="U55" s="377"/>
      <c r="V55" s="378"/>
      <c r="W55" s="378"/>
      <c r="X55" s="378"/>
      <c r="Y55" s="378"/>
      <c r="Z55" s="378"/>
      <c r="AA55" s="378"/>
      <c r="AB55" s="378"/>
      <c r="AC55" s="378"/>
      <c r="AD55" s="378"/>
      <c r="AE55" s="378"/>
      <c r="AF55" s="378"/>
    </row>
    <row r="56" spans="2:32">
      <c r="B56" t="s">
        <v>271</v>
      </c>
      <c r="C56">
        <v>67</v>
      </c>
      <c r="D56">
        <v>57</v>
      </c>
      <c r="E56">
        <v>62</v>
      </c>
      <c r="H56" t="s">
        <v>324</v>
      </c>
      <c r="I56">
        <v>0</v>
      </c>
      <c r="J56">
        <v>0</v>
      </c>
      <c r="K56">
        <v>0</v>
      </c>
      <c r="O56" s="235" t="s">
        <v>217</v>
      </c>
      <c r="P56" s="417"/>
      <c r="Q56" s="217"/>
      <c r="R56" s="218"/>
      <c r="U56" s="362"/>
      <c r="V56" s="379"/>
      <c r="W56" s="379"/>
      <c r="X56" s="379"/>
      <c r="Y56" s="379"/>
      <c r="Z56" s="379"/>
      <c r="AA56" s="379"/>
      <c r="AB56" s="379"/>
      <c r="AC56" s="379"/>
      <c r="AD56" s="379"/>
      <c r="AE56" s="379"/>
      <c r="AF56" s="379"/>
    </row>
    <row r="57" spans="2:32">
      <c r="B57" t="s">
        <v>272</v>
      </c>
      <c r="C57">
        <v>1184</v>
      </c>
      <c r="D57">
        <v>1385</v>
      </c>
      <c r="E57">
        <v>1408</v>
      </c>
      <c r="H57" t="s">
        <v>325</v>
      </c>
      <c r="I57">
        <v>0</v>
      </c>
      <c r="J57">
        <v>0</v>
      </c>
      <c r="K57">
        <v>0</v>
      </c>
      <c r="O57" s="216" t="s">
        <v>203</v>
      </c>
      <c r="P57" s="417">
        <v>1471</v>
      </c>
      <c r="Q57" s="217">
        <v>1531</v>
      </c>
      <c r="R57" s="218">
        <v>1640</v>
      </c>
      <c r="U57" s="365" t="s">
        <v>470</v>
      </c>
      <c r="V57" s="387"/>
      <c r="W57" s="387"/>
      <c r="X57" s="387"/>
      <c r="Y57" s="387"/>
      <c r="Z57" s="387"/>
      <c r="AA57" s="387"/>
      <c r="AB57" s="387"/>
      <c r="AC57" s="387"/>
      <c r="AD57" s="387"/>
      <c r="AE57" s="387"/>
      <c r="AF57" s="387"/>
    </row>
    <row r="58" spans="2:32">
      <c r="B58" t="s">
        <v>273</v>
      </c>
      <c r="C58">
        <v>2</v>
      </c>
      <c r="D58">
        <v>9</v>
      </c>
      <c r="E58">
        <v>15</v>
      </c>
      <c r="H58" s="444" t="s">
        <v>326</v>
      </c>
      <c r="I58">
        <v>90828</v>
      </c>
      <c r="J58">
        <v>91340</v>
      </c>
      <c r="K58">
        <v>90029</v>
      </c>
      <c r="O58" s="216" t="s">
        <v>204</v>
      </c>
      <c r="P58" s="417">
        <v>1349</v>
      </c>
      <c r="Q58" s="217">
        <v>1384</v>
      </c>
      <c r="R58" s="218">
        <v>1496</v>
      </c>
      <c r="U58" s="367" t="s">
        <v>451</v>
      </c>
      <c r="V58" s="387">
        <v>3698.7569999999996</v>
      </c>
      <c r="W58" s="387">
        <v>4073.9900023237115</v>
      </c>
      <c r="X58" s="387">
        <v>4028.2703508562945</v>
      </c>
      <c r="Y58" s="387">
        <v>4051.1866207737894</v>
      </c>
      <c r="Z58" s="387">
        <v>3800.484771555447</v>
      </c>
      <c r="AA58" s="387">
        <v>3588.5627538907256</v>
      </c>
      <c r="AB58" s="387">
        <v>3493.6735026346641</v>
      </c>
      <c r="AC58" s="387">
        <v>3459.2744851262423</v>
      </c>
      <c r="AD58" s="387">
        <v>3456.2407935299475</v>
      </c>
      <c r="AE58" s="387">
        <v>3503.1099128586593</v>
      </c>
      <c r="AF58" s="387">
        <v>3562.1634376792617</v>
      </c>
    </row>
    <row r="59" spans="2:32">
      <c r="B59" t="s">
        <v>274</v>
      </c>
      <c r="C59">
        <v>734</v>
      </c>
      <c r="D59">
        <v>777</v>
      </c>
      <c r="E59">
        <v>922</v>
      </c>
      <c r="H59" t="s">
        <v>327</v>
      </c>
      <c r="I59">
        <v>0</v>
      </c>
      <c r="J59">
        <v>0</v>
      </c>
      <c r="K59">
        <v>0</v>
      </c>
      <c r="O59" s="216" t="s">
        <v>205</v>
      </c>
      <c r="P59" s="417">
        <v>102</v>
      </c>
      <c r="Q59" s="217">
        <v>142</v>
      </c>
      <c r="R59" s="218">
        <v>143</v>
      </c>
      <c r="U59" s="371" t="s">
        <v>452</v>
      </c>
      <c r="V59" s="387">
        <v>106.3389467403333</v>
      </c>
      <c r="W59" s="387">
        <v>113.92899757921874</v>
      </c>
      <c r="X59" s="387">
        <v>125.86940907223423</v>
      </c>
      <c r="Y59" s="387">
        <v>129.29274622543264</v>
      </c>
      <c r="Z59" s="387">
        <v>130.92401332337604</v>
      </c>
      <c r="AA59" s="387">
        <v>131.75367092490208</v>
      </c>
      <c r="AB59" s="387">
        <v>132.63614545910886</v>
      </c>
      <c r="AC59" s="387">
        <v>134.43325775154517</v>
      </c>
      <c r="AD59" s="387">
        <v>136.80486441378855</v>
      </c>
      <c r="AE59" s="387">
        <v>139.66048679342464</v>
      </c>
      <c r="AF59" s="387">
        <v>143.13295491180943</v>
      </c>
    </row>
    <row r="60" spans="2:32">
      <c r="B60" t="s">
        <v>275</v>
      </c>
      <c r="C60">
        <v>14</v>
      </c>
      <c r="D60">
        <v>10</v>
      </c>
      <c r="E60">
        <v>11</v>
      </c>
      <c r="H60" t="s">
        <v>328</v>
      </c>
      <c r="I60">
        <v>61232</v>
      </c>
      <c r="J60">
        <v>59004</v>
      </c>
      <c r="K60">
        <v>64483</v>
      </c>
      <c r="O60" s="216" t="s">
        <v>206</v>
      </c>
      <c r="P60" s="417">
        <v>20</v>
      </c>
      <c r="Q60" s="217">
        <v>4</v>
      </c>
      <c r="R60" s="218">
        <v>0</v>
      </c>
      <c r="U60" s="371" t="s">
        <v>166</v>
      </c>
      <c r="V60" s="387">
        <v>19.224786483924802</v>
      </c>
      <c r="W60" s="387">
        <v>19.533265804712162</v>
      </c>
      <c r="X60" s="387">
        <v>22.240304695325122</v>
      </c>
      <c r="Y60" s="387">
        <v>23.01979388017374</v>
      </c>
      <c r="Z60" s="387">
        <v>23.226499615692195</v>
      </c>
      <c r="AA60" s="387">
        <v>23.046220310975407</v>
      </c>
      <c r="AB60" s="387">
        <v>23.388660462632465</v>
      </c>
      <c r="AC60" s="387">
        <v>24.071123353339399</v>
      </c>
      <c r="AD60" s="387">
        <v>24.740227667786296</v>
      </c>
      <c r="AE60" s="387">
        <v>25.209346974886856</v>
      </c>
      <c r="AF60" s="387">
        <v>25.873463756291478</v>
      </c>
    </row>
    <row r="61" spans="2:32">
      <c r="B61" t="s">
        <v>276</v>
      </c>
      <c r="C61">
        <v>20</v>
      </c>
      <c r="D61">
        <v>18</v>
      </c>
      <c r="E61">
        <v>20</v>
      </c>
      <c r="H61" t="s">
        <v>329</v>
      </c>
      <c r="I61">
        <v>0</v>
      </c>
      <c r="J61">
        <v>0</v>
      </c>
      <c r="K61">
        <v>0</v>
      </c>
      <c r="O61" s="216" t="s">
        <v>207</v>
      </c>
      <c r="P61" s="417">
        <v>0</v>
      </c>
      <c r="Q61" s="217">
        <v>0</v>
      </c>
      <c r="R61" s="218">
        <v>1</v>
      </c>
      <c r="U61" s="371" t="s">
        <v>225</v>
      </c>
      <c r="V61" s="387">
        <v>2542.3067190064417</v>
      </c>
      <c r="W61" s="387">
        <v>2402.4764606857311</v>
      </c>
      <c r="X61" s="387">
        <v>2626.0683825358756</v>
      </c>
      <c r="Y61" s="387">
        <v>2512.7510692383471</v>
      </c>
      <c r="Z61" s="387">
        <v>2159.0697512267593</v>
      </c>
      <c r="AA61" s="387">
        <v>1930.8546238484939</v>
      </c>
      <c r="AB61" s="387">
        <v>1819.2336093014951</v>
      </c>
      <c r="AC61" s="387">
        <v>1783.9614880065508</v>
      </c>
      <c r="AD61" s="387">
        <v>1759.0972834209635</v>
      </c>
      <c r="AE61" s="387">
        <v>1760.8066714993408</v>
      </c>
      <c r="AF61" s="387">
        <v>1775.1704994951572</v>
      </c>
    </row>
    <row r="62" spans="2:32">
      <c r="B62" t="s">
        <v>277</v>
      </c>
      <c r="C62">
        <v>0</v>
      </c>
      <c r="D62">
        <v>0</v>
      </c>
      <c r="E62">
        <v>0</v>
      </c>
      <c r="H62" t="s">
        <v>330</v>
      </c>
      <c r="I62">
        <v>64590</v>
      </c>
      <c r="J62">
        <v>67815</v>
      </c>
      <c r="K62">
        <v>67572</v>
      </c>
      <c r="O62" s="216" t="s">
        <v>208</v>
      </c>
      <c r="P62" s="417" t="s">
        <v>170</v>
      </c>
      <c r="Q62" s="217" t="s">
        <v>170</v>
      </c>
      <c r="R62" s="218" t="s">
        <v>170</v>
      </c>
      <c r="U62" s="371" t="s">
        <v>457</v>
      </c>
      <c r="V62" s="387">
        <v>1030.8865477693</v>
      </c>
      <c r="W62" s="387">
        <v>1538.0512782540493</v>
      </c>
      <c r="X62" s="387">
        <v>1254.0922545528597</v>
      </c>
      <c r="Y62" s="387">
        <v>1386.123011429836</v>
      </c>
      <c r="Z62" s="387">
        <v>1487.264507389619</v>
      </c>
      <c r="AA62" s="387">
        <v>1502.9082388063543</v>
      </c>
      <c r="AB62" s="387">
        <v>1518.4150874114275</v>
      </c>
      <c r="AC62" s="387">
        <v>1516.8086160148071</v>
      </c>
      <c r="AD62" s="387">
        <v>1535.598418027409</v>
      </c>
      <c r="AE62" s="387">
        <v>1577.4334075910072</v>
      </c>
      <c r="AF62" s="387">
        <v>1617.9865195160037</v>
      </c>
    </row>
    <row r="63" spans="2:32">
      <c r="B63" t="s">
        <v>278</v>
      </c>
      <c r="C63">
        <v>157</v>
      </c>
      <c r="D63">
        <v>210</v>
      </c>
      <c r="E63">
        <v>247</v>
      </c>
      <c r="H63" t="s">
        <v>331</v>
      </c>
      <c r="I63">
        <v>0</v>
      </c>
      <c r="J63">
        <v>0</v>
      </c>
      <c r="K63">
        <v>0</v>
      </c>
      <c r="O63" s="216" t="s">
        <v>209</v>
      </c>
      <c r="P63" s="417">
        <v>0</v>
      </c>
      <c r="Q63" s="217">
        <v>0</v>
      </c>
      <c r="R63" s="218">
        <v>0</v>
      </c>
      <c r="U63" s="367" t="s">
        <v>453</v>
      </c>
      <c r="V63" s="387">
        <v>103.18199999999999</v>
      </c>
      <c r="W63" s="387">
        <v>106.51986975312417</v>
      </c>
      <c r="X63" s="387">
        <v>113.08412721592222</v>
      </c>
      <c r="Y63" s="387">
        <v>114.3792543141799</v>
      </c>
      <c r="Z63" s="387">
        <v>116.01107771593112</v>
      </c>
      <c r="AA63" s="387">
        <v>118.54067549681531</v>
      </c>
      <c r="AB63" s="387">
        <v>121.79862739812577</v>
      </c>
      <c r="AC63" s="387">
        <v>122.33643861266029</v>
      </c>
      <c r="AD63" s="387">
        <v>120.06573884543917</v>
      </c>
      <c r="AE63" s="387">
        <v>117.80227065169093</v>
      </c>
      <c r="AF63" s="387">
        <v>116.13282636176238</v>
      </c>
    </row>
    <row r="64" spans="2:32">
      <c r="B64" t="s">
        <v>279</v>
      </c>
      <c r="C64">
        <v>518</v>
      </c>
      <c r="D64">
        <v>803</v>
      </c>
      <c r="E64">
        <v>761</v>
      </c>
      <c r="H64" t="s">
        <v>332</v>
      </c>
      <c r="I64">
        <v>0</v>
      </c>
      <c r="J64">
        <v>0</v>
      </c>
      <c r="K64">
        <v>0</v>
      </c>
      <c r="O64" s="216" t="s">
        <v>210</v>
      </c>
      <c r="P64" s="417">
        <v>0</v>
      </c>
      <c r="Q64" s="217">
        <v>0</v>
      </c>
      <c r="R64" s="218">
        <v>0</v>
      </c>
      <c r="U64" s="367" t="s">
        <v>454</v>
      </c>
      <c r="V64" s="388">
        <v>856.11900000000003</v>
      </c>
      <c r="W64" s="388">
        <v>954.82199992960398</v>
      </c>
      <c r="X64" s="388">
        <v>874.82100000000014</v>
      </c>
      <c r="Y64" s="388">
        <v>968.47236910559161</v>
      </c>
      <c r="Z64" s="388">
        <v>1026.1726180260905</v>
      </c>
      <c r="AA64" s="388">
        <v>1067.1340172434061</v>
      </c>
      <c r="AB64" s="388">
        <v>1095.2175324828108</v>
      </c>
      <c r="AC64" s="388">
        <v>1117.9286234546694</v>
      </c>
      <c r="AD64" s="388">
        <v>1173.6876318322625</v>
      </c>
      <c r="AE64" s="388">
        <v>1238.0585387462938</v>
      </c>
      <c r="AF64" s="388">
        <v>1311.7508500803201</v>
      </c>
    </row>
    <row r="65" spans="2:32">
      <c r="B65" t="s">
        <v>280</v>
      </c>
      <c r="C65">
        <v>88</v>
      </c>
      <c r="D65">
        <v>123</v>
      </c>
      <c r="E65">
        <v>88</v>
      </c>
      <c r="H65" t="s">
        <v>333</v>
      </c>
      <c r="I65">
        <v>6427</v>
      </c>
      <c r="J65">
        <v>0</v>
      </c>
      <c r="K65">
        <v>0</v>
      </c>
      <c r="O65" s="216" t="s">
        <v>211</v>
      </c>
      <c r="P65" s="417" t="s">
        <v>170</v>
      </c>
      <c r="Q65" s="217" t="s">
        <v>170</v>
      </c>
      <c r="R65" s="218" t="s">
        <v>170</v>
      </c>
      <c r="U65" s="367" t="s">
        <v>455</v>
      </c>
      <c r="V65" s="387">
        <v>162.53399999999999</v>
      </c>
      <c r="W65" s="387">
        <v>191.21000019542086</v>
      </c>
      <c r="X65" s="387">
        <v>155.38799999999995</v>
      </c>
      <c r="Y65" s="387">
        <v>161.18478239032709</v>
      </c>
      <c r="Z65" s="387">
        <v>166.18504023728605</v>
      </c>
      <c r="AA65" s="387">
        <v>170.21372270767733</v>
      </c>
      <c r="AB65" s="387">
        <v>174.15665964300879</v>
      </c>
      <c r="AC65" s="387">
        <v>177.62680444800131</v>
      </c>
      <c r="AD65" s="387">
        <v>181.08807137603617</v>
      </c>
      <c r="AE65" s="387">
        <v>184.38561735034213</v>
      </c>
      <c r="AF65" s="387">
        <v>187.42708951332708</v>
      </c>
    </row>
    <row r="66" spans="2:32">
      <c r="B66" t="s">
        <v>281</v>
      </c>
      <c r="C66">
        <v>3</v>
      </c>
      <c r="D66">
        <v>6</v>
      </c>
      <c r="E66">
        <v>3</v>
      </c>
      <c r="H66" t="s">
        <v>334</v>
      </c>
      <c r="I66">
        <v>0</v>
      </c>
      <c r="J66">
        <v>0</v>
      </c>
      <c r="K66">
        <v>0</v>
      </c>
      <c r="O66" s="216" t="s">
        <v>212</v>
      </c>
      <c r="P66" s="417">
        <v>0</v>
      </c>
      <c r="Q66" s="217">
        <v>0</v>
      </c>
      <c r="R66" s="218">
        <v>0</v>
      </c>
      <c r="U66" s="365" t="s">
        <v>471</v>
      </c>
      <c r="V66" s="386"/>
      <c r="W66" s="386"/>
      <c r="X66" s="386"/>
      <c r="Y66" s="386"/>
      <c r="Z66" s="386"/>
      <c r="AA66" s="386"/>
      <c r="AB66" s="386"/>
      <c r="AC66" s="386"/>
      <c r="AD66" s="386"/>
      <c r="AE66" s="386"/>
      <c r="AF66" s="386"/>
    </row>
    <row r="67" spans="2:32">
      <c r="B67" t="s">
        <v>282</v>
      </c>
      <c r="C67">
        <v>555</v>
      </c>
      <c r="D67">
        <v>732</v>
      </c>
      <c r="E67">
        <v>672</v>
      </c>
      <c r="H67" t="s">
        <v>335</v>
      </c>
      <c r="I67">
        <v>9</v>
      </c>
      <c r="J67">
        <v>0</v>
      </c>
      <c r="K67">
        <v>0</v>
      </c>
      <c r="O67" s="216" t="s">
        <v>213</v>
      </c>
      <c r="P67" s="417" t="s">
        <v>170</v>
      </c>
      <c r="Q67" s="217" t="s">
        <v>170</v>
      </c>
      <c r="R67" s="218" t="s">
        <v>170</v>
      </c>
      <c r="U67" s="367" t="s">
        <v>472</v>
      </c>
      <c r="V67" s="387">
        <v>3706.1568469769018</v>
      </c>
      <c r="W67" s="387">
        <v>3700.2759679121632</v>
      </c>
      <c r="X67" s="387">
        <v>3825.7412057861493</v>
      </c>
      <c r="Y67" s="387">
        <v>3816.5864889463392</v>
      </c>
      <c r="Z67" s="387">
        <v>3528.2196738922321</v>
      </c>
      <c r="AA67" s="387">
        <v>3346.9073703446929</v>
      </c>
      <c r="AB67" s="387">
        <v>3269.7862277395684</v>
      </c>
      <c r="AC67" s="387">
        <v>3264.7410095553432</v>
      </c>
      <c r="AD67" s="387">
        <v>3303.0208898351011</v>
      </c>
      <c r="AE67" s="387">
        <v>3376.3701223338167</v>
      </c>
      <c r="AF67" s="387">
        <v>3472.3598832607104</v>
      </c>
    </row>
    <row r="68" spans="2:32">
      <c r="B68" t="s">
        <v>283</v>
      </c>
      <c r="C68">
        <v>2280</v>
      </c>
      <c r="D68">
        <v>2506</v>
      </c>
      <c r="E68">
        <v>2498</v>
      </c>
      <c r="H68" t="s">
        <v>336</v>
      </c>
      <c r="I68">
        <v>0</v>
      </c>
      <c r="J68">
        <v>0</v>
      </c>
      <c r="K68">
        <v>0</v>
      </c>
      <c r="O68" s="216" t="s">
        <v>214</v>
      </c>
      <c r="P68" s="417" t="s">
        <v>170</v>
      </c>
      <c r="Q68" s="217" t="s">
        <v>170</v>
      </c>
      <c r="R68" s="218" t="s">
        <v>170</v>
      </c>
      <c r="U68" s="367" t="s">
        <v>473</v>
      </c>
      <c r="V68" s="387">
        <v>1114.4351530230983</v>
      </c>
      <c r="W68" s="387">
        <v>1626.2659042896971</v>
      </c>
      <c r="X68" s="387">
        <v>1345.8222722860673</v>
      </c>
      <c r="Y68" s="387">
        <v>1478.6365376375488</v>
      </c>
      <c r="Z68" s="387">
        <v>1580.6338336425222</v>
      </c>
      <c r="AA68" s="387">
        <v>1597.5437989939312</v>
      </c>
      <c r="AB68" s="387">
        <v>1615.060094419041</v>
      </c>
      <c r="AC68" s="387">
        <v>1612.4253420862301</v>
      </c>
      <c r="AD68" s="387">
        <v>1628.0613457485842</v>
      </c>
      <c r="AE68" s="387">
        <v>1666.9862172731698</v>
      </c>
      <c r="AF68" s="387">
        <v>1705.1143203739609</v>
      </c>
    </row>
    <row r="69" spans="2:32">
      <c r="B69" t="s">
        <v>284</v>
      </c>
      <c r="C69">
        <v>48</v>
      </c>
      <c r="D69">
        <v>45</v>
      </c>
      <c r="E69">
        <v>23</v>
      </c>
      <c r="H69" t="s">
        <v>337</v>
      </c>
      <c r="I69">
        <v>0</v>
      </c>
      <c r="J69">
        <v>0</v>
      </c>
      <c r="K69">
        <v>0</v>
      </c>
      <c r="O69" s="216" t="s">
        <v>215</v>
      </c>
      <c r="P69" s="418" t="s">
        <v>170</v>
      </c>
      <c r="Q69" s="217" t="s">
        <v>170</v>
      </c>
      <c r="R69" s="218" t="s">
        <v>170</v>
      </c>
    </row>
    <row r="70" spans="2:32">
      <c r="B70" t="s">
        <v>285</v>
      </c>
      <c r="C70">
        <v>174</v>
      </c>
      <c r="D70">
        <v>158</v>
      </c>
      <c r="E70">
        <v>157</v>
      </c>
      <c r="H70" t="s">
        <v>338</v>
      </c>
      <c r="I70">
        <v>0</v>
      </c>
      <c r="J70">
        <v>0</v>
      </c>
      <c r="K70">
        <v>0</v>
      </c>
      <c r="O70" s="216"/>
      <c r="P70" s="217"/>
      <c r="Q70" s="217"/>
      <c r="R70" s="218"/>
      <c r="U70" s="367" t="s">
        <v>483</v>
      </c>
    </row>
    <row r="71" spans="2:32">
      <c r="B71" t="s">
        <v>286</v>
      </c>
      <c r="C71">
        <v>13</v>
      </c>
      <c r="D71">
        <v>14</v>
      </c>
      <c r="E71">
        <v>12</v>
      </c>
      <c r="H71" t="s">
        <v>339</v>
      </c>
      <c r="I71">
        <v>64452</v>
      </c>
      <c r="J71">
        <v>70093</v>
      </c>
      <c r="K71">
        <v>69319</v>
      </c>
      <c r="O71" s="1687" t="s">
        <v>218</v>
      </c>
      <c r="P71" s="1688"/>
      <c r="Q71" s="1688"/>
      <c r="R71" s="1689"/>
    </row>
    <row r="72" spans="2:32">
      <c r="B72" t="s">
        <v>287</v>
      </c>
      <c r="C72">
        <v>948</v>
      </c>
      <c r="D72">
        <v>964</v>
      </c>
      <c r="E72">
        <v>1011</v>
      </c>
      <c r="H72" t="s">
        <v>340</v>
      </c>
      <c r="I72">
        <v>0</v>
      </c>
      <c r="J72">
        <v>0</v>
      </c>
      <c r="K72">
        <v>0</v>
      </c>
      <c r="O72" s="216"/>
      <c r="P72" s="217"/>
      <c r="Q72" s="217"/>
      <c r="R72" s="218"/>
    </row>
    <row r="73" spans="2:32">
      <c r="B73" t="s">
        <v>288</v>
      </c>
      <c r="C73">
        <v>32</v>
      </c>
      <c r="D73">
        <v>42</v>
      </c>
      <c r="E73">
        <v>42</v>
      </c>
      <c r="H73" t="s">
        <v>341</v>
      </c>
      <c r="I73">
        <v>110807</v>
      </c>
      <c r="J73">
        <v>115084</v>
      </c>
      <c r="K73">
        <v>116657</v>
      </c>
      <c r="O73" s="1687" t="s">
        <v>177</v>
      </c>
      <c r="P73" s="1688"/>
      <c r="Q73" s="1688"/>
      <c r="R73" s="1689"/>
      <c r="U73" s="365" t="s">
        <v>470</v>
      </c>
      <c r="V73" s="362" t="s">
        <v>469</v>
      </c>
      <c r="W73" s="27" t="s">
        <v>484</v>
      </c>
      <c r="X73" s="433" t="s">
        <v>485</v>
      </c>
    </row>
    <row r="74" spans="2:32">
      <c r="B74" t="s">
        <v>289</v>
      </c>
      <c r="C74">
        <v>30</v>
      </c>
      <c r="D74">
        <v>46</v>
      </c>
      <c r="E74">
        <v>41</v>
      </c>
      <c r="H74" t="s">
        <v>342</v>
      </c>
      <c r="I74">
        <v>0</v>
      </c>
      <c r="J74">
        <v>0</v>
      </c>
      <c r="K74">
        <v>0</v>
      </c>
      <c r="O74" s="216"/>
      <c r="P74" s="217"/>
      <c r="Q74" s="217"/>
      <c r="R74" s="218"/>
      <c r="U74" s="367" t="s">
        <v>451</v>
      </c>
      <c r="V74" s="387">
        <v>4028.2703508562945</v>
      </c>
    </row>
    <row r="75" spans="2:32">
      <c r="B75" t="s">
        <v>290</v>
      </c>
      <c r="C75">
        <v>196</v>
      </c>
      <c r="D75">
        <v>196</v>
      </c>
      <c r="E75">
        <v>216</v>
      </c>
      <c r="H75" t="s">
        <v>343</v>
      </c>
      <c r="I75">
        <v>205</v>
      </c>
      <c r="J75">
        <v>608</v>
      </c>
      <c r="K75">
        <v>278</v>
      </c>
      <c r="O75" s="236" t="s">
        <v>219</v>
      </c>
      <c r="P75" s="224"/>
      <c r="Q75" s="224"/>
      <c r="R75" s="223"/>
      <c r="U75" s="371" t="s">
        <v>452</v>
      </c>
      <c r="V75" s="387">
        <v>125.86940907223423</v>
      </c>
      <c r="W75">
        <v>1</v>
      </c>
      <c r="X75">
        <v>0</v>
      </c>
    </row>
    <row r="76" spans="2:32" ht="13.5" thickBot="1">
      <c r="B76" t="s">
        <v>291</v>
      </c>
      <c r="C76">
        <v>206</v>
      </c>
      <c r="D76">
        <v>187</v>
      </c>
      <c r="E76">
        <v>186</v>
      </c>
      <c r="H76" t="s">
        <v>344</v>
      </c>
      <c r="I76">
        <v>0</v>
      </c>
      <c r="J76">
        <v>0</v>
      </c>
      <c r="K76">
        <v>0</v>
      </c>
      <c r="S76" s="419" t="s">
        <v>495</v>
      </c>
      <c r="U76" s="371" t="s">
        <v>166</v>
      </c>
      <c r="V76" s="387">
        <v>22.240304695325122</v>
      </c>
      <c r="W76">
        <v>1</v>
      </c>
      <c r="X76">
        <v>0</v>
      </c>
    </row>
    <row r="77" spans="2:32" ht="13.5" thickTop="1">
      <c r="B77" t="s">
        <v>292</v>
      </c>
      <c r="C77">
        <v>4</v>
      </c>
      <c r="D77">
        <v>7</v>
      </c>
      <c r="E77">
        <v>3</v>
      </c>
      <c r="H77" t="s">
        <v>345</v>
      </c>
      <c r="I77">
        <v>0</v>
      </c>
      <c r="J77">
        <v>0</v>
      </c>
      <c r="K77">
        <v>0</v>
      </c>
      <c r="O77" s="407" t="s">
        <v>491</v>
      </c>
      <c r="P77" s="408" t="s">
        <v>145</v>
      </c>
      <c r="Q77" s="409" t="s">
        <v>146</v>
      </c>
      <c r="R77" s="419" t="s">
        <v>494</v>
      </c>
      <c r="S77" s="9">
        <f>Q78/SUM(P78,Q78)</f>
        <v>0.1</v>
      </c>
      <c r="U77" s="371" t="s">
        <v>225</v>
      </c>
      <c r="V77" s="387">
        <v>2626.0683825358756</v>
      </c>
      <c r="W77">
        <v>1</v>
      </c>
      <c r="X77">
        <v>0</v>
      </c>
    </row>
    <row r="78" spans="2:32">
      <c r="B78" t="s">
        <v>293</v>
      </c>
      <c r="C78">
        <v>144</v>
      </c>
      <c r="D78">
        <v>177</v>
      </c>
      <c r="E78">
        <v>151</v>
      </c>
      <c r="H78" t="s">
        <v>346</v>
      </c>
      <c r="I78">
        <v>0</v>
      </c>
      <c r="J78">
        <v>0</v>
      </c>
      <c r="K78">
        <v>0</v>
      </c>
      <c r="O78" s="410" t="s">
        <v>492</v>
      </c>
      <c r="P78" s="1">
        <f>P44+P50</f>
        <v>36</v>
      </c>
      <c r="Q78" s="281">
        <f>SUM(P47,P49)</f>
        <v>4</v>
      </c>
      <c r="R78" s="9">
        <f>P78/SUM(P78,Q78)</f>
        <v>0.9</v>
      </c>
      <c r="S78" s="9">
        <f>Q79/SUM(P79,Q79)</f>
        <v>8.2936777702243378E-2</v>
      </c>
      <c r="U78" s="371" t="s">
        <v>457</v>
      </c>
      <c r="V78" s="387">
        <v>1254.0922545528597</v>
      </c>
      <c r="W78" s="215">
        <v>0</v>
      </c>
      <c r="X78" s="215">
        <v>1</v>
      </c>
    </row>
    <row r="79" spans="2:32" ht="13.5" thickBot="1">
      <c r="B79" t="s">
        <v>294</v>
      </c>
      <c r="C79">
        <v>272</v>
      </c>
      <c r="D79">
        <v>347</v>
      </c>
      <c r="E79">
        <v>266</v>
      </c>
      <c r="H79" s="444" t="s">
        <v>347</v>
      </c>
      <c r="I79">
        <v>780</v>
      </c>
      <c r="J79">
        <v>1210</v>
      </c>
      <c r="K79">
        <v>1144</v>
      </c>
      <c r="O79" s="411" t="s">
        <v>493</v>
      </c>
      <c r="P79" s="271">
        <f>SUM(P58)</f>
        <v>1349</v>
      </c>
      <c r="Q79" s="282">
        <f>SUM(P59:P60)</f>
        <v>122</v>
      </c>
      <c r="R79" s="9">
        <f>P79/SUM(P79,Q79)</f>
        <v>0.91706322229775661</v>
      </c>
      <c r="U79" s="367" t="s">
        <v>453</v>
      </c>
      <c r="V79" s="387">
        <v>113.08412721592222</v>
      </c>
      <c r="W79" s="9">
        <f>1-(V84-V78)/SUM(V79:V81)</f>
        <v>0.91976684233501604</v>
      </c>
      <c r="X79" s="9">
        <f>(V84-V78)/SUM(V79:V81)</f>
        <v>8.0233157664983956E-2</v>
      </c>
    </row>
    <row r="80" spans="2:32" ht="13.5" thickTop="1">
      <c r="H80" t="s">
        <v>348</v>
      </c>
      <c r="I80">
        <v>0</v>
      </c>
      <c r="J80">
        <v>0</v>
      </c>
      <c r="K80">
        <v>0</v>
      </c>
      <c r="U80" s="367" t="s">
        <v>454</v>
      </c>
      <c r="V80" s="388">
        <v>874.82100000000014</v>
      </c>
      <c r="W80" s="9">
        <f>1-(V84-V78)/SUM(V79:V81)</f>
        <v>0.91976684233501604</v>
      </c>
      <c r="X80" s="9">
        <f>(V84-V78)/SUM(V79:V81)</f>
        <v>8.0233157664983956E-2</v>
      </c>
    </row>
    <row r="81" spans="2:26">
      <c r="B81" t="s">
        <v>296</v>
      </c>
      <c r="H81" t="s">
        <v>349</v>
      </c>
      <c r="I81">
        <v>0</v>
      </c>
      <c r="J81">
        <v>0</v>
      </c>
      <c r="K81">
        <v>0</v>
      </c>
      <c r="U81" s="367" t="s">
        <v>455</v>
      </c>
      <c r="V81" s="387">
        <v>155.38799999999995</v>
      </c>
      <c r="W81" s="9">
        <f>1-(V84-V78)/SUM(V79:V81)</f>
        <v>0.91976684233501604</v>
      </c>
      <c r="X81" s="9">
        <f>(V84-V78)/SUM(V79:V81)</f>
        <v>8.0233157664983956E-2</v>
      </c>
    </row>
    <row r="82" spans="2:26">
      <c r="H82" s="444" t="s">
        <v>350</v>
      </c>
      <c r="I82">
        <v>25128</v>
      </c>
      <c r="J82">
        <v>100565</v>
      </c>
      <c r="K82">
        <v>117031</v>
      </c>
      <c r="U82" s="365" t="s">
        <v>471</v>
      </c>
      <c r="V82" s="386"/>
    </row>
    <row r="83" spans="2:26">
      <c r="H83" t="s">
        <v>351</v>
      </c>
      <c r="I83">
        <v>19319</v>
      </c>
      <c r="J83">
        <v>0</v>
      </c>
      <c r="K83">
        <v>0</v>
      </c>
      <c r="U83" s="367" t="s">
        <v>472</v>
      </c>
      <c r="V83" s="387">
        <v>3825.7412057861493</v>
      </c>
    </row>
    <row r="84" spans="2:26">
      <c r="H84" t="s">
        <v>352</v>
      </c>
      <c r="I84">
        <v>60656</v>
      </c>
      <c r="J84">
        <v>0</v>
      </c>
      <c r="K84">
        <v>0</v>
      </c>
      <c r="U84" s="367" t="s">
        <v>473</v>
      </c>
      <c r="V84" s="387">
        <v>1345.8222722860673</v>
      </c>
    </row>
    <row r="86" spans="2:26">
      <c r="H86" t="s">
        <v>296</v>
      </c>
      <c r="V86" s="10" t="s">
        <v>488</v>
      </c>
      <c r="W86" s="414">
        <f>SUM(V83:V84)</f>
        <v>5171.5634780722166</v>
      </c>
      <c r="X86" s="10" t="s">
        <v>474</v>
      </c>
      <c r="Z86">
        <v>155</v>
      </c>
    </row>
    <row r="87" spans="2:26">
      <c r="V87" s="10" t="s">
        <v>489</v>
      </c>
      <c r="W87">
        <f>W86*4.1868*10^-2</f>
        <v>216.52301969992757</v>
      </c>
      <c r="X87" s="10" t="s">
        <v>44</v>
      </c>
      <c r="Z87">
        <f>Z86*4.1868*10^-2</f>
        <v>6.4895399999999999</v>
      </c>
    </row>
  </sheetData>
  <mergeCells count="6">
    <mergeCell ref="B26:E26"/>
    <mergeCell ref="O26:R26"/>
    <mergeCell ref="O71:R71"/>
    <mergeCell ref="O73:R73"/>
    <mergeCell ref="O14:Q14"/>
    <mergeCell ref="O19:Q19"/>
  </mergeCells>
  <pageMargins left="0.7" right="0.7" top="0.75" bottom="0.75" header="0.3" footer="0.3"/>
  <pageSetup paperSize="9" orientation="portrait"/>
  <drawing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B1:AP115"/>
  <sheetViews>
    <sheetView workbookViewId="0">
      <selection activeCell="C21" sqref="C21"/>
    </sheetView>
  </sheetViews>
  <sheetFormatPr defaultColWidth="9.140625" defaultRowHeight="12.75"/>
  <cols>
    <col min="1" max="1" width="9.140625" style="512"/>
    <col min="2" max="2" width="24.7109375" style="512" bestFit="1" customWidth="1"/>
    <col min="3" max="3" width="28" style="512" bestFit="1" customWidth="1"/>
    <col min="4" max="4" width="10" style="512" bestFit="1" customWidth="1"/>
    <col min="5" max="6" width="10.140625" style="512" bestFit="1" customWidth="1"/>
    <col min="7" max="10" width="10" style="512" bestFit="1" customWidth="1"/>
    <col min="11" max="15" width="9.140625" style="512"/>
    <col min="16" max="16" width="32.5703125" style="512" bestFit="1" customWidth="1"/>
    <col min="17" max="21" width="9.140625" style="512"/>
    <col min="22" max="22" width="12" style="512" bestFit="1" customWidth="1"/>
    <col min="23" max="16384" width="9.140625" style="512"/>
  </cols>
  <sheetData>
    <row r="1" spans="2:22">
      <c r="B1" s="1331" t="s">
        <v>1454</v>
      </c>
    </row>
    <row r="3" spans="2:22" ht="17.25">
      <c r="B3" s="1308"/>
      <c r="C3" s="1298"/>
      <c r="D3" s="1298">
        <v>2010</v>
      </c>
      <c r="E3" s="1298">
        <v>2011</v>
      </c>
      <c r="F3" s="1298">
        <v>2012</v>
      </c>
      <c r="G3" s="1298">
        <v>2013</v>
      </c>
      <c r="H3" s="1298">
        <v>2014</v>
      </c>
      <c r="I3" s="1298">
        <v>2015</v>
      </c>
      <c r="J3" s="1309">
        <v>2016</v>
      </c>
      <c r="N3" s="1297" t="s">
        <v>617</v>
      </c>
      <c r="O3" s="1298"/>
      <c r="P3" s="1298"/>
      <c r="Q3" s="1298"/>
      <c r="R3" s="1298"/>
      <c r="S3" s="1298"/>
      <c r="T3" s="1298"/>
      <c r="U3" s="1298"/>
      <c r="V3" s="1299"/>
    </row>
    <row r="4" spans="2:22" ht="15">
      <c r="B4" s="1308" t="s">
        <v>1413</v>
      </c>
      <c r="C4" s="1330" t="s">
        <v>1414</v>
      </c>
      <c r="D4" s="1335">
        <v>184.45599999999999</v>
      </c>
      <c r="E4" s="1335">
        <v>175.553</v>
      </c>
      <c r="F4" s="1335">
        <v>176.07900000000001</v>
      </c>
      <c r="G4" s="1335">
        <v>196.59700000000001</v>
      </c>
      <c r="H4" s="1335">
        <v>258.65899999999999</v>
      </c>
      <c r="I4" s="1335">
        <v>271.98</v>
      </c>
      <c r="J4" s="1336">
        <v>283.00799999999998</v>
      </c>
      <c r="N4" s="498" t="s">
        <v>618</v>
      </c>
      <c r="O4" s="499"/>
      <c r="P4" s="499"/>
      <c r="Q4" s="499"/>
      <c r="R4" s="499"/>
      <c r="S4" s="499"/>
      <c r="T4" s="499"/>
      <c r="U4" s="499"/>
      <c r="V4" s="500"/>
    </row>
    <row r="5" spans="2:22" ht="15">
      <c r="B5" s="501" t="s">
        <v>628</v>
      </c>
      <c r="C5" s="1302" t="s">
        <v>1453</v>
      </c>
      <c r="D5" s="1306">
        <v>21.310163588582444</v>
      </c>
      <c r="E5" s="1306">
        <v>21.649011806446534</v>
      </c>
      <c r="F5" s="1306">
        <v>21.442282725620387</v>
      </c>
      <c r="G5" s="1306">
        <v>22.377116214361585</v>
      </c>
      <c r="H5" s="1306">
        <v>22.429196418879698</v>
      </c>
      <c r="I5" s="1306">
        <v>23.519503677469388</v>
      </c>
      <c r="J5" s="1307">
        <v>23.743267722462619</v>
      </c>
      <c r="N5" s="501"/>
      <c r="O5" s="499"/>
      <c r="P5" s="499"/>
      <c r="Q5" s="502" t="s">
        <v>486</v>
      </c>
      <c r="R5" s="502" t="s">
        <v>487</v>
      </c>
      <c r="S5" s="502" t="s">
        <v>612</v>
      </c>
      <c r="T5" s="502" t="s">
        <v>613</v>
      </c>
      <c r="U5" s="502" t="s">
        <v>611</v>
      </c>
      <c r="V5" s="503" t="s">
        <v>619</v>
      </c>
    </row>
    <row r="6" spans="2:22" ht="15">
      <c r="B6" s="501"/>
      <c r="C6" s="1302" t="s">
        <v>1415</v>
      </c>
      <c r="D6" s="1306">
        <v>3.8410000000000002</v>
      </c>
      <c r="E6" s="1306">
        <v>3.6579999999999999</v>
      </c>
      <c r="F6" s="1306">
        <v>2.9350000000000001</v>
      </c>
      <c r="G6" s="1306">
        <v>2.74</v>
      </c>
      <c r="H6" s="1306">
        <v>2.0110000000000001</v>
      </c>
      <c r="I6" s="1306">
        <v>974.5</v>
      </c>
      <c r="J6" s="1307">
        <v>2.0649999999999999</v>
      </c>
      <c r="N6" s="504" t="s">
        <v>620</v>
      </c>
      <c r="O6" s="502" t="s">
        <v>120</v>
      </c>
      <c r="P6" s="502" t="s">
        <v>621</v>
      </c>
      <c r="Q6" s="505">
        <v>1773</v>
      </c>
      <c r="R6" s="505">
        <v>1768</v>
      </c>
      <c r="S6" s="505">
        <v>1772</v>
      </c>
      <c r="T6" s="505">
        <v>1781</v>
      </c>
      <c r="U6" s="505">
        <v>1772</v>
      </c>
      <c r="V6" s="506">
        <v>1742</v>
      </c>
    </row>
    <row r="7" spans="2:22" ht="15">
      <c r="B7" s="501"/>
      <c r="C7" s="1302" t="s">
        <v>1416</v>
      </c>
      <c r="D7" s="1306">
        <v>264.33100000000002</v>
      </c>
      <c r="E7" s="1306">
        <v>245.08600000000001</v>
      </c>
      <c r="F7" s="1306">
        <v>181.40600000000001</v>
      </c>
      <c r="G7" s="1306">
        <v>161.74</v>
      </c>
      <c r="H7" s="1306">
        <v>102.44499999999999</v>
      </c>
      <c r="I7" s="1306">
        <v>103.589</v>
      </c>
      <c r="J7" s="1307">
        <v>108.709</v>
      </c>
      <c r="N7" s="501"/>
      <c r="O7" s="499"/>
      <c r="P7" s="502" t="s">
        <v>622</v>
      </c>
      <c r="Q7" s="505">
        <v>527</v>
      </c>
      <c r="R7" s="505">
        <v>543</v>
      </c>
      <c r="S7" s="505">
        <v>540</v>
      </c>
      <c r="T7" s="505">
        <v>549</v>
      </c>
      <c r="U7" s="505">
        <v>539</v>
      </c>
      <c r="V7" s="506">
        <v>536</v>
      </c>
    </row>
    <row r="8" spans="2:22" ht="15">
      <c r="B8" s="501"/>
      <c r="C8" s="1302" t="s">
        <v>1419</v>
      </c>
      <c r="D8" s="1306">
        <f t="shared" ref="D8:J8" si="0">C54</f>
        <v>3.87</v>
      </c>
      <c r="E8" s="1306">
        <f t="shared" si="0"/>
        <v>4.28</v>
      </c>
      <c r="F8" s="1306">
        <f t="shared" si="0"/>
        <v>4.45</v>
      </c>
      <c r="G8" s="1306">
        <f t="shared" si="0"/>
        <v>4.8099999999999996</v>
      </c>
      <c r="H8" s="1306">
        <f t="shared" si="0"/>
        <v>4.21</v>
      </c>
      <c r="I8" s="1306">
        <f t="shared" si="0"/>
        <v>3.56</v>
      </c>
      <c r="J8" s="1307">
        <f t="shared" si="0"/>
        <v>4.47</v>
      </c>
      <c r="N8" s="501"/>
      <c r="O8" s="499"/>
      <c r="P8" s="502" t="s">
        <v>623</v>
      </c>
      <c r="Q8" s="505">
        <v>113</v>
      </c>
      <c r="R8" s="505">
        <v>113</v>
      </c>
      <c r="S8" s="505">
        <v>108</v>
      </c>
      <c r="T8" s="505">
        <v>111</v>
      </c>
      <c r="U8" s="505">
        <v>110</v>
      </c>
      <c r="V8" s="506">
        <v>107</v>
      </c>
    </row>
    <row r="9" spans="2:22" ht="15">
      <c r="B9" s="1308" t="s">
        <v>1417</v>
      </c>
      <c r="C9" s="1330" t="s">
        <v>1414</v>
      </c>
      <c r="D9" s="1335">
        <v>1481.4010000000001</v>
      </c>
      <c r="E9" s="1335">
        <v>1451.288</v>
      </c>
      <c r="F9" s="1335">
        <v>1462.4780000000001</v>
      </c>
      <c r="G9" s="1335">
        <v>1492.0039999999999</v>
      </c>
      <c r="H9" s="1335">
        <v>1568.3579999999999</v>
      </c>
      <c r="I9" s="1335">
        <v>1587.491</v>
      </c>
      <c r="J9" s="1336">
        <v>1602.0039999999999</v>
      </c>
      <c r="N9" s="501"/>
      <c r="O9" s="499"/>
      <c r="P9" s="502" t="s">
        <v>624</v>
      </c>
      <c r="Q9" s="505">
        <v>633</v>
      </c>
      <c r="R9" s="505">
        <v>589</v>
      </c>
      <c r="S9" s="505">
        <v>576</v>
      </c>
      <c r="T9" s="505">
        <v>564</v>
      </c>
      <c r="U9" s="505">
        <v>548</v>
      </c>
      <c r="V9" s="506">
        <v>519</v>
      </c>
    </row>
    <row r="10" spans="2:22" ht="15">
      <c r="B10" s="501" t="s">
        <v>1455</v>
      </c>
      <c r="C10" s="1302" t="s">
        <v>1453</v>
      </c>
      <c r="D10" s="1306">
        <v>194.12901257584488</v>
      </c>
      <c r="E10" s="1306">
        <v>184.8717991051528</v>
      </c>
      <c r="F10" s="1306">
        <v>185.03079908868449</v>
      </c>
      <c r="G10" s="1306">
        <v>188.31954114334087</v>
      </c>
      <c r="H10" s="1306">
        <v>190.28484143653122</v>
      </c>
      <c r="I10" s="1306">
        <v>195.975248572033</v>
      </c>
      <c r="J10" s="1307">
        <v>189.72088809885997</v>
      </c>
      <c r="N10" s="501"/>
      <c r="O10" s="499"/>
      <c r="P10" s="502" t="s">
        <v>625</v>
      </c>
      <c r="Q10" s="505">
        <v>500</v>
      </c>
      <c r="R10" s="505">
        <v>523</v>
      </c>
      <c r="S10" s="505">
        <v>548</v>
      </c>
      <c r="T10" s="505">
        <v>557</v>
      </c>
      <c r="U10" s="505">
        <v>575</v>
      </c>
      <c r="V10" s="506">
        <v>580</v>
      </c>
    </row>
    <row r="11" spans="2:22" ht="15">
      <c r="B11" s="501"/>
      <c r="C11" s="1302" t="s">
        <v>1415</v>
      </c>
      <c r="D11" s="1306">
        <v>15.53</v>
      </c>
      <c r="E11" s="1306">
        <v>15.917999999999999</v>
      </c>
      <c r="F11" s="1306">
        <v>16.050999999999998</v>
      </c>
      <c r="G11" s="1306">
        <v>15.957000000000001</v>
      </c>
      <c r="H11" s="1306">
        <v>16.969000000000001</v>
      </c>
      <c r="I11" s="1306">
        <v>17.59</v>
      </c>
      <c r="J11" s="1307">
        <v>18.768000000000001</v>
      </c>
      <c r="N11" s="504" t="s">
        <v>626</v>
      </c>
      <c r="O11" s="714"/>
      <c r="P11" s="502" t="s">
        <v>621</v>
      </c>
      <c r="Q11" s="505">
        <v>1215</v>
      </c>
      <c r="R11" s="505">
        <v>1177</v>
      </c>
      <c r="S11" s="505">
        <v>1166</v>
      </c>
      <c r="T11" s="505">
        <v>1157</v>
      </c>
      <c r="U11" s="505">
        <v>1134</v>
      </c>
      <c r="V11" s="506">
        <v>1102</v>
      </c>
    </row>
    <row r="12" spans="2:22" ht="15">
      <c r="B12" s="501"/>
      <c r="C12" s="1302" t="s">
        <v>1416</v>
      </c>
      <c r="D12" s="1306">
        <v>905.245</v>
      </c>
      <c r="E12" s="1306">
        <v>898.45799999999997</v>
      </c>
      <c r="F12" s="1306">
        <v>932.03399999999999</v>
      </c>
      <c r="G12" s="1306">
        <v>968.18100000000004</v>
      </c>
      <c r="H12" s="1306">
        <v>1092.2909999999999</v>
      </c>
      <c r="I12" s="1306">
        <v>1109.721</v>
      </c>
      <c r="J12" s="1307">
        <v>1174.596</v>
      </c>
      <c r="N12" s="501"/>
      <c r="O12" s="714"/>
      <c r="P12" s="513" t="s">
        <v>622</v>
      </c>
      <c r="Q12" s="505">
        <v>147</v>
      </c>
      <c r="R12" s="505">
        <v>142</v>
      </c>
      <c r="S12" s="505">
        <v>139</v>
      </c>
      <c r="T12" s="505">
        <v>136</v>
      </c>
      <c r="U12" s="505">
        <v>130</v>
      </c>
      <c r="V12" s="506">
        <v>123</v>
      </c>
    </row>
    <row r="13" spans="2:22" ht="15">
      <c r="B13" s="501"/>
      <c r="C13" s="1302" t="s">
        <v>1419</v>
      </c>
      <c r="D13" s="1306">
        <f>D8/D4*D9*$L$14</f>
        <v>3.6014432779727317</v>
      </c>
      <c r="E13" s="1306">
        <f t="shared" ref="E13:J13" si="1">E8/E4*E9*$L$14</f>
        <v>4.09991530275998</v>
      </c>
      <c r="F13" s="1306">
        <f t="shared" si="1"/>
        <v>4.282797660872526</v>
      </c>
      <c r="G13" s="1306">
        <f t="shared" si="1"/>
        <v>4.2298400466804189</v>
      </c>
      <c r="H13" s="1306">
        <f t="shared" si="1"/>
        <v>2.9579135192392396</v>
      </c>
      <c r="I13" s="1306">
        <f t="shared" si="1"/>
        <v>2.407742659617278</v>
      </c>
      <c r="J13" s="1307">
        <f t="shared" si="1"/>
        <v>2.9319608990314761</v>
      </c>
      <c r="L13" s="1306"/>
      <c r="N13" s="501"/>
      <c r="O13" s="714"/>
      <c r="P13" s="513" t="s">
        <v>623</v>
      </c>
      <c r="Q13" s="505">
        <v>87</v>
      </c>
      <c r="R13" s="505">
        <v>87</v>
      </c>
      <c r="S13" s="505">
        <v>81</v>
      </c>
      <c r="T13" s="505">
        <v>85</v>
      </c>
      <c r="U13" s="505">
        <v>83</v>
      </c>
      <c r="V13" s="506">
        <v>82</v>
      </c>
    </row>
    <row r="14" spans="2:22" ht="15">
      <c r="B14" s="1308" t="s">
        <v>1418</v>
      </c>
      <c r="C14" s="1330" t="s">
        <v>1414</v>
      </c>
      <c r="D14" s="1335">
        <f>D4+D9</f>
        <v>1665.857</v>
      </c>
      <c r="E14" s="1335">
        <f t="shared" ref="E14:J14" si="2">E4+E9</f>
        <v>1626.8409999999999</v>
      </c>
      <c r="F14" s="1335">
        <f t="shared" si="2"/>
        <v>1638.557</v>
      </c>
      <c r="G14" s="1335">
        <f t="shared" si="2"/>
        <v>1688.6009999999999</v>
      </c>
      <c r="H14" s="1335">
        <f t="shared" si="2"/>
        <v>1827.0169999999998</v>
      </c>
      <c r="I14" s="1335">
        <f t="shared" si="2"/>
        <v>1859.471</v>
      </c>
      <c r="J14" s="1336">
        <f t="shared" si="2"/>
        <v>1885.0119999999999</v>
      </c>
      <c r="L14" s="1388">
        <f>1/((D9/D4)/((D9/D4)^0.6309))/4</f>
        <v>0.11587393809850199</v>
      </c>
      <c r="M14" s="1331" t="s">
        <v>1552</v>
      </c>
      <c r="N14" s="501"/>
      <c r="O14" s="714"/>
      <c r="P14" s="502" t="s">
        <v>624</v>
      </c>
      <c r="Q14" s="505">
        <v>631</v>
      </c>
      <c r="R14" s="505">
        <v>588</v>
      </c>
      <c r="S14" s="505">
        <v>575</v>
      </c>
      <c r="T14" s="505">
        <v>563</v>
      </c>
      <c r="U14" s="505">
        <v>547</v>
      </c>
      <c r="V14" s="506">
        <v>518</v>
      </c>
    </row>
    <row r="15" spans="2:22" ht="15">
      <c r="B15" s="501"/>
      <c r="C15" s="1302" t="s">
        <v>1415</v>
      </c>
      <c r="D15" s="1306">
        <f t="shared" ref="D15:J16" si="3">D6+D11</f>
        <v>19.370999999999999</v>
      </c>
      <c r="E15" s="1306">
        <f t="shared" si="3"/>
        <v>19.576000000000001</v>
      </c>
      <c r="F15" s="1306">
        <f t="shared" si="3"/>
        <v>18.985999999999997</v>
      </c>
      <c r="G15" s="1306">
        <f t="shared" si="3"/>
        <v>18.697000000000003</v>
      </c>
      <c r="H15" s="1306">
        <f t="shared" si="3"/>
        <v>18.98</v>
      </c>
      <c r="I15" s="1306">
        <f t="shared" si="3"/>
        <v>992.09</v>
      </c>
      <c r="J15" s="1307">
        <f t="shared" si="3"/>
        <v>20.833000000000002</v>
      </c>
      <c r="N15" s="501"/>
      <c r="O15" s="714"/>
      <c r="P15" s="502" t="s">
        <v>625</v>
      </c>
      <c r="Q15" s="505">
        <v>350</v>
      </c>
      <c r="R15" s="505">
        <v>360</v>
      </c>
      <c r="S15" s="505">
        <v>371</v>
      </c>
      <c r="T15" s="505">
        <v>373</v>
      </c>
      <c r="U15" s="505">
        <v>374</v>
      </c>
      <c r="V15" s="506">
        <v>379</v>
      </c>
    </row>
    <row r="16" spans="2:22" ht="15">
      <c r="B16" s="501"/>
      <c r="C16" s="1302" t="s">
        <v>1416</v>
      </c>
      <c r="D16" s="1306">
        <f t="shared" si="3"/>
        <v>1169.576</v>
      </c>
      <c r="E16" s="1306">
        <f t="shared" si="3"/>
        <v>1143.5439999999999</v>
      </c>
      <c r="F16" s="1306">
        <f t="shared" si="3"/>
        <v>1113.44</v>
      </c>
      <c r="G16" s="1306">
        <f t="shared" si="3"/>
        <v>1129.921</v>
      </c>
      <c r="H16" s="1306">
        <f t="shared" si="3"/>
        <v>1194.7359999999999</v>
      </c>
      <c r="I16" s="1306">
        <f t="shared" si="3"/>
        <v>1213.31</v>
      </c>
      <c r="J16" s="1307">
        <f t="shared" si="3"/>
        <v>1283.3050000000001</v>
      </c>
      <c r="N16" s="504" t="s">
        <v>627</v>
      </c>
      <c r="O16" s="714"/>
      <c r="P16" s="502" t="s">
        <v>621</v>
      </c>
      <c r="Q16" s="505">
        <v>558</v>
      </c>
      <c r="R16" s="505">
        <v>591</v>
      </c>
      <c r="S16" s="505">
        <v>606</v>
      </c>
      <c r="T16" s="505">
        <v>624</v>
      </c>
      <c r="U16" s="505">
        <v>638</v>
      </c>
      <c r="V16" s="506">
        <v>640</v>
      </c>
    </row>
    <row r="17" spans="2:32" ht="15">
      <c r="B17" s="507"/>
      <c r="C17" s="1303" t="s">
        <v>1419</v>
      </c>
      <c r="D17" s="1310">
        <f>D13+D8</f>
        <v>7.4714432779727318</v>
      </c>
      <c r="E17" s="1310">
        <f t="shared" ref="E17:J17" si="4">E13+E8</f>
        <v>8.3799153027599793</v>
      </c>
      <c r="F17" s="1310">
        <f t="shared" si="4"/>
        <v>8.7327976608725262</v>
      </c>
      <c r="G17" s="1310">
        <f t="shared" si="4"/>
        <v>9.0398400466804176</v>
      </c>
      <c r="H17" s="1310">
        <f t="shared" si="4"/>
        <v>7.1679135192392396</v>
      </c>
      <c r="I17" s="1310">
        <f t="shared" si="4"/>
        <v>5.9677426596172776</v>
      </c>
      <c r="J17" s="1334">
        <f t="shared" si="4"/>
        <v>7.4019608990314758</v>
      </c>
      <c r="N17" s="501"/>
      <c r="O17" s="499"/>
      <c r="P17" s="513" t="s">
        <v>622</v>
      </c>
      <c r="Q17" s="505">
        <v>380</v>
      </c>
      <c r="R17" s="505">
        <v>401</v>
      </c>
      <c r="S17" s="505">
        <v>401</v>
      </c>
      <c r="T17" s="505">
        <v>413</v>
      </c>
      <c r="U17" s="505">
        <v>409</v>
      </c>
      <c r="V17" s="506">
        <v>413</v>
      </c>
    </row>
    <row r="18" spans="2:32" ht="15">
      <c r="B18" s="501" t="s">
        <v>1420</v>
      </c>
      <c r="C18" s="1302" t="s">
        <v>1421</v>
      </c>
      <c r="D18" s="1306">
        <v>351</v>
      </c>
      <c r="E18" s="1306">
        <v>424</v>
      </c>
      <c r="F18" s="1306">
        <v>438</v>
      </c>
      <c r="G18" s="1306">
        <v>410</v>
      </c>
      <c r="H18" s="1306">
        <v>366</v>
      </c>
      <c r="I18" s="1306">
        <v>347</v>
      </c>
      <c r="J18" s="1307">
        <v>405</v>
      </c>
      <c r="N18" s="501"/>
      <c r="O18" s="499"/>
      <c r="P18" s="513" t="s">
        <v>623</v>
      </c>
      <c r="Q18" s="505">
        <v>26</v>
      </c>
      <c r="R18" s="505">
        <v>26</v>
      </c>
      <c r="S18" s="505">
        <v>27</v>
      </c>
      <c r="T18" s="505">
        <v>26</v>
      </c>
      <c r="U18" s="505">
        <v>27</v>
      </c>
      <c r="V18" s="506">
        <v>25</v>
      </c>
    </row>
    <row r="19" spans="2:32" ht="15">
      <c r="B19" s="507" t="s">
        <v>1456</v>
      </c>
      <c r="C19" s="1303" t="s">
        <v>1422</v>
      </c>
      <c r="D19" s="1310">
        <v>338</v>
      </c>
      <c r="E19" s="1310">
        <v>438</v>
      </c>
      <c r="F19" s="1310">
        <v>403</v>
      </c>
      <c r="G19" s="1310">
        <v>562</v>
      </c>
      <c r="H19" s="1310">
        <v>385</v>
      </c>
      <c r="I19" s="1310">
        <v>397</v>
      </c>
      <c r="J19" s="1334">
        <v>498</v>
      </c>
      <c r="N19" s="501"/>
      <c r="O19" s="499"/>
      <c r="P19" s="502" t="s">
        <v>624</v>
      </c>
      <c r="Q19" s="505">
        <v>2</v>
      </c>
      <c r="R19" s="505">
        <v>1</v>
      </c>
      <c r="S19" s="505">
        <v>1</v>
      </c>
      <c r="T19" s="505">
        <v>1</v>
      </c>
      <c r="U19" s="505">
        <v>1</v>
      </c>
      <c r="V19" s="506">
        <v>1</v>
      </c>
    </row>
    <row r="20" spans="2:32">
      <c r="D20" s="1333"/>
      <c r="E20" s="1333"/>
      <c r="F20" s="1333"/>
      <c r="G20" s="1333"/>
      <c r="H20" s="1333"/>
      <c r="I20" s="1333"/>
      <c r="J20" s="1333"/>
      <c r="N20" s="507"/>
      <c r="O20" s="508"/>
      <c r="P20" s="509" t="s">
        <v>625</v>
      </c>
      <c r="Q20" s="510">
        <v>150</v>
      </c>
      <c r="R20" s="510">
        <v>163</v>
      </c>
      <c r="S20" s="510">
        <v>177</v>
      </c>
      <c r="T20" s="510">
        <v>184</v>
      </c>
      <c r="U20" s="510">
        <v>201</v>
      </c>
      <c r="V20" s="511">
        <v>201</v>
      </c>
    </row>
    <row r="21" spans="2:32">
      <c r="B21" s="1300"/>
      <c r="C21" s="1301"/>
      <c r="D21" s="1304">
        <v>2010</v>
      </c>
      <c r="E21" s="1304">
        <v>2011</v>
      </c>
      <c r="F21" s="1304">
        <v>2012</v>
      </c>
      <c r="G21" s="1304">
        <v>2013</v>
      </c>
      <c r="H21" s="1304">
        <v>2014</v>
      </c>
      <c r="I21" s="1304">
        <v>2015</v>
      </c>
      <c r="J21" s="1305">
        <v>2016</v>
      </c>
    </row>
    <row r="22" spans="2:32" ht="15">
      <c r="B22" s="501" t="s">
        <v>1423</v>
      </c>
      <c r="C22" s="1302" t="s">
        <v>1424</v>
      </c>
      <c r="D22" s="1306">
        <v>13.739000000000001</v>
      </c>
      <c r="E22" s="1306">
        <v>14.635999999999999</v>
      </c>
      <c r="F22" s="1306">
        <v>14.427</v>
      </c>
      <c r="G22" s="1306">
        <v>12.756</v>
      </c>
      <c r="H22" s="1306">
        <v>11.56</v>
      </c>
      <c r="I22" s="1306">
        <v>11.839</v>
      </c>
      <c r="J22" s="1307">
        <v>12.79</v>
      </c>
    </row>
    <row r="23" spans="2:32" ht="15">
      <c r="B23" s="501" t="s">
        <v>1457</v>
      </c>
      <c r="C23" s="1302" t="s">
        <v>1425</v>
      </c>
      <c r="D23" s="1306">
        <v>1949</v>
      </c>
      <c r="E23" s="1306">
        <v>2077</v>
      </c>
      <c r="F23" s="1306">
        <v>2038</v>
      </c>
      <c r="G23" s="1306">
        <v>1857</v>
      </c>
      <c r="H23" s="1306">
        <v>2002</v>
      </c>
      <c r="I23" s="1306">
        <v>1936</v>
      </c>
      <c r="J23" s="1307">
        <v>1991</v>
      </c>
      <c r="R23" s="1349" t="s">
        <v>1473</v>
      </c>
    </row>
    <row r="24" spans="2:32" ht="15">
      <c r="B24" s="501"/>
      <c r="C24" s="1302" t="s">
        <v>1470</v>
      </c>
      <c r="D24" s="1306">
        <f>D23-D7</f>
        <v>1684.6689999999999</v>
      </c>
      <c r="E24" s="1306">
        <f t="shared" ref="E24:J24" si="5">E23-E7</f>
        <v>1831.914</v>
      </c>
      <c r="F24" s="1306">
        <f t="shared" si="5"/>
        <v>1856.5940000000001</v>
      </c>
      <c r="G24" s="1306">
        <f t="shared" si="5"/>
        <v>1695.26</v>
      </c>
      <c r="H24" s="1306">
        <f t="shared" si="5"/>
        <v>1899.5550000000001</v>
      </c>
      <c r="I24" s="1306">
        <f t="shared" si="5"/>
        <v>1832.4110000000001</v>
      </c>
      <c r="J24" s="1307">
        <f t="shared" si="5"/>
        <v>1882.2909999999999</v>
      </c>
    </row>
    <row r="25" spans="2:32" ht="15">
      <c r="B25" s="501"/>
      <c r="C25" s="1302" t="s">
        <v>1471</v>
      </c>
      <c r="D25" s="1306">
        <f t="shared" ref="D25:J25" si="6">D23/D22</f>
        <v>141.8589416988136</v>
      </c>
      <c r="E25" s="1306">
        <f t="shared" si="6"/>
        <v>141.91035802131731</v>
      </c>
      <c r="F25" s="1306">
        <f t="shared" si="6"/>
        <v>141.2629098218618</v>
      </c>
      <c r="G25" s="1306">
        <f t="shared" si="6"/>
        <v>145.57855126999058</v>
      </c>
      <c r="H25" s="1306">
        <f t="shared" si="6"/>
        <v>173.1833910034602</v>
      </c>
      <c r="I25" s="1306">
        <f t="shared" si="6"/>
        <v>163.52732494298505</v>
      </c>
      <c r="J25" s="1307">
        <f t="shared" si="6"/>
        <v>155.66849100860048</v>
      </c>
      <c r="L25" s="1306"/>
      <c r="R25" s="682" t="s">
        <v>677</v>
      </c>
      <c r="S25" s="1161"/>
      <c r="T25" s="1161"/>
    </row>
    <row r="26" spans="2:32" ht="15">
      <c r="B26" s="501"/>
      <c r="C26" s="1302" t="s">
        <v>1426</v>
      </c>
      <c r="D26" s="1306">
        <f>C63</f>
        <v>2.66</v>
      </c>
      <c r="E26" s="1306">
        <f t="shared" ref="E26:J26" si="7">D63</f>
        <v>2.1</v>
      </c>
      <c r="F26" s="1306">
        <f t="shared" si="7"/>
        <v>1.77</v>
      </c>
      <c r="G26" s="1306">
        <f t="shared" si="7"/>
        <v>1.48</v>
      </c>
      <c r="H26" s="1306">
        <f t="shared" si="7"/>
        <v>0.81</v>
      </c>
      <c r="I26" s="1306">
        <f t="shared" si="7"/>
        <v>2.08</v>
      </c>
      <c r="J26" s="1307">
        <f t="shared" si="7"/>
        <v>1.93</v>
      </c>
      <c r="L26" s="1385" t="s">
        <v>1479</v>
      </c>
      <c r="R26" s="554" t="s">
        <v>671</v>
      </c>
      <c r="S26" s="421" t="s">
        <v>672</v>
      </c>
      <c r="T26" s="557">
        <v>0.62655553476850034</v>
      </c>
    </row>
    <row r="27" spans="2:32" ht="15">
      <c r="B27" s="1308" t="s">
        <v>1095</v>
      </c>
      <c r="C27" s="1330" t="s">
        <v>1424</v>
      </c>
      <c r="D27" s="1335">
        <v>62.787999999999997</v>
      </c>
      <c r="E27" s="1335">
        <v>66.192999999999998</v>
      </c>
      <c r="F27" s="1335">
        <v>62.396000000000001</v>
      </c>
      <c r="G27" s="1335">
        <v>66.13</v>
      </c>
      <c r="H27" s="1335">
        <v>71.804000000000002</v>
      </c>
      <c r="I27" s="1335">
        <v>74.418999999999997</v>
      </c>
      <c r="J27" s="1336">
        <v>75.492999999999995</v>
      </c>
      <c r="L27" s="1386">
        <f>1/R42/4</f>
        <v>0.13962394455080371</v>
      </c>
      <c r="M27" s="512" t="s">
        <v>90</v>
      </c>
      <c r="R27" s="555" t="s">
        <v>673</v>
      </c>
      <c r="S27" s="217" t="s">
        <v>674</v>
      </c>
      <c r="T27" s="558">
        <v>22</v>
      </c>
    </row>
    <row r="28" spans="2:32" ht="15">
      <c r="B28" s="501" t="s">
        <v>1458</v>
      </c>
      <c r="C28" s="1302" t="s">
        <v>1425</v>
      </c>
      <c r="D28" s="1306">
        <f t="shared" ref="D28:J28" si="8">D27*D30</f>
        <v>149968.59630312276</v>
      </c>
      <c r="E28" s="1306">
        <f t="shared" si="8"/>
        <v>158101.40942684279</v>
      </c>
      <c r="F28" s="1306">
        <f t="shared" si="8"/>
        <v>149032.30768506162</v>
      </c>
      <c r="G28" s="1306">
        <f t="shared" si="8"/>
        <v>157950.93447036867</v>
      </c>
      <c r="H28" s="1306">
        <f t="shared" si="8"/>
        <v>171503.23451852944</v>
      </c>
      <c r="I28" s="1306">
        <f t="shared" si="8"/>
        <v>177749.13945789152</v>
      </c>
      <c r="J28" s="1307">
        <f t="shared" si="8"/>
        <v>180314.37919206929</v>
      </c>
      <c r="L28" s="1387" t="s">
        <v>1550</v>
      </c>
      <c r="R28" s="555" t="s">
        <v>675</v>
      </c>
      <c r="S28" s="217" t="s">
        <v>676</v>
      </c>
      <c r="T28" s="559">
        <v>1.8520000000000001</v>
      </c>
      <c r="V28" s="1331" t="s">
        <v>1475</v>
      </c>
    </row>
    <row r="29" spans="2:32" ht="15">
      <c r="B29" s="501"/>
      <c r="C29" s="1302" t="s">
        <v>1470</v>
      </c>
      <c r="D29" s="1306">
        <f>D28-D12</f>
        <v>149063.35130312276</v>
      </c>
      <c r="E29" s="1306">
        <f t="shared" ref="E29:J29" si="9">E28-E12</f>
        <v>157202.95142684277</v>
      </c>
      <c r="F29" s="1306">
        <f t="shared" si="9"/>
        <v>148100.27368506161</v>
      </c>
      <c r="G29" s="1306">
        <f t="shared" si="9"/>
        <v>156982.75347036865</v>
      </c>
      <c r="H29" s="1306">
        <f t="shared" si="9"/>
        <v>170410.94351852944</v>
      </c>
      <c r="I29" s="1306">
        <f t="shared" si="9"/>
        <v>176639.41845789153</v>
      </c>
      <c r="J29" s="1307">
        <f t="shared" si="9"/>
        <v>179139.7831920693</v>
      </c>
      <c r="L29" s="512" t="s">
        <v>1480</v>
      </c>
      <c r="R29" s="556" t="s">
        <v>77</v>
      </c>
      <c r="S29" s="560" t="s">
        <v>373</v>
      </c>
      <c r="T29" s="561">
        <f>T27*T28*24*T26*360</f>
        <v>220565.19204237123</v>
      </c>
      <c r="V29" s="1350">
        <v>99555.006368801944</v>
      </c>
    </row>
    <row r="30" spans="2:32" ht="15">
      <c r="B30" s="501"/>
      <c r="C30" s="1302" t="s">
        <v>1427</v>
      </c>
      <c r="D30" s="1306">
        <f t="shared" ref="D30:J30" si="10">$D$88</f>
        <v>2388.4913726050004</v>
      </c>
      <c r="E30" s="1306">
        <f t="shared" si="10"/>
        <v>2388.4913726050004</v>
      </c>
      <c r="F30" s="1306">
        <f t="shared" si="10"/>
        <v>2388.4913726050004</v>
      </c>
      <c r="G30" s="1306">
        <f t="shared" si="10"/>
        <v>2388.4913726050004</v>
      </c>
      <c r="H30" s="1306">
        <f t="shared" si="10"/>
        <v>2388.4913726050004</v>
      </c>
      <c r="I30" s="1306">
        <f t="shared" si="10"/>
        <v>2388.4913726050004</v>
      </c>
      <c r="J30" s="1307">
        <f t="shared" si="10"/>
        <v>2388.4913726050004</v>
      </c>
    </row>
    <row r="31" spans="2:32" ht="15">
      <c r="B31" s="501"/>
      <c r="C31" s="1302" t="s">
        <v>1551</v>
      </c>
      <c r="D31" s="1385">
        <f t="shared" ref="D31:J31" si="11">D26/D23*D28*$L$27</f>
        <v>28.577881248028195</v>
      </c>
      <c r="E31" s="1385">
        <f t="shared" si="11"/>
        <v>22.319190702338261</v>
      </c>
      <c r="F31" s="1385">
        <f t="shared" si="11"/>
        <v>18.072133089381907</v>
      </c>
      <c r="G31" s="1385">
        <f t="shared" si="11"/>
        <v>17.576480411433931</v>
      </c>
      <c r="H31" s="1385">
        <f t="shared" si="11"/>
        <v>9.6884246086043433</v>
      </c>
      <c r="I31" s="1385">
        <f t="shared" si="11"/>
        <v>26.664005610833254</v>
      </c>
      <c r="J31" s="1385">
        <f t="shared" si="11"/>
        <v>24.404859579261842</v>
      </c>
      <c r="L31" s="1308" t="s">
        <v>1461</v>
      </c>
      <c r="M31" s="1309"/>
    </row>
    <row r="32" spans="2:32" ht="15">
      <c r="B32" s="507"/>
      <c r="C32" s="1303" t="s">
        <v>1463</v>
      </c>
      <c r="D32" s="1310">
        <f>$L$34*D28</f>
        <v>13.480671461184194</v>
      </c>
      <c r="E32" s="1310">
        <f t="shared" ref="E32:J32" si="12">$L$34*E28</f>
        <v>14.211729725905672</v>
      </c>
      <c r="F32" s="1310">
        <f t="shared" si="12"/>
        <v>13.396508512646509</v>
      </c>
      <c r="G32" s="1310">
        <f t="shared" si="12"/>
        <v>14.19820353774783</v>
      </c>
      <c r="H32" s="1310">
        <f t="shared" si="12"/>
        <v>15.416419277550963</v>
      </c>
      <c r="I32" s="1310">
        <f t="shared" si="12"/>
        <v>15.977863436801085</v>
      </c>
      <c r="J32" s="1334">
        <f t="shared" si="12"/>
        <v>16.208452739682397</v>
      </c>
      <c r="L32" s="1352">
        <f>S110-AVERAGE(D13:J13)</f>
        <v>14.698549813074091</v>
      </c>
      <c r="M32" s="500" t="s">
        <v>1465</v>
      </c>
      <c r="Q32" s="1356"/>
      <c r="R32" s="1372" t="s">
        <v>1542</v>
      </c>
      <c r="S32" s="1373"/>
      <c r="T32" s="1374"/>
      <c r="U32" s="1356"/>
      <c r="V32" s="1371" t="s">
        <v>1474</v>
      </c>
      <c r="W32" s="1356"/>
      <c r="X32" s="1356"/>
      <c r="Y32" s="1356"/>
      <c r="Z32" s="1356"/>
      <c r="AA32" s="1356"/>
      <c r="AB32" s="1356"/>
      <c r="AC32" s="1356"/>
      <c r="AD32" s="1356"/>
      <c r="AE32" s="1356"/>
      <c r="AF32" s="1356"/>
    </row>
    <row r="33" spans="2:42" ht="15">
      <c r="B33" s="501" t="s">
        <v>1429</v>
      </c>
      <c r="C33" s="1302" t="s">
        <v>1424</v>
      </c>
      <c r="D33" s="1306">
        <f t="shared" ref="D33:J34" si="13">D22+D27</f>
        <v>76.527000000000001</v>
      </c>
      <c r="E33" s="1306">
        <f t="shared" si="13"/>
        <v>80.828999999999994</v>
      </c>
      <c r="F33" s="1306">
        <f t="shared" si="13"/>
        <v>76.823000000000008</v>
      </c>
      <c r="G33" s="1306">
        <f t="shared" si="13"/>
        <v>78.885999999999996</v>
      </c>
      <c r="H33" s="1306">
        <f t="shared" si="13"/>
        <v>83.364000000000004</v>
      </c>
      <c r="I33" s="1306">
        <f t="shared" si="13"/>
        <v>86.257999999999996</v>
      </c>
      <c r="J33" s="1307">
        <f t="shared" si="13"/>
        <v>88.282999999999987</v>
      </c>
      <c r="L33" s="1352">
        <f>AVERAGE(D28:J28)</f>
        <v>163517.143007698</v>
      </c>
      <c r="M33" s="500" t="s">
        <v>1464</v>
      </c>
      <c r="Q33" s="1356"/>
      <c r="R33" s="1375" t="s">
        <v>692</v>
      </c>
      <c r="S33" s="1376">
        <v>145</v>
      </c>
      <c r="T33" s="1377">
        <v>3563465</v>
      </c>
      <c r="U33" s="1356"/>
      <c r="V33" s="1378">
        <f>T39</f>
        <v>0.20634920634920637</v>
      </c>
      <c r="W33" s="1356"/>
      <c r="X33" s="1356"/>
      <c r="Y33" s="1356"/>
      <c r="Z33" s="1356"/>
      <c r="AA33" s="1356"/>
      <c r="AB33" s="1356"/>
      <c r="AC33" s="1356"/>
      <c r="AD33" s="1356"/>
      <c r="AE33" s="1356"/>
      <c r="AF33" s="1356"/>
    </row>
    <row r="34" spans="2:42" ht="15">
      <c r="B34" s="501"/>
      <c r="C34" s="1302" t="s">
        <v>1425</v>
      </c>
      <c r="D34" s="1306">
        <f t="shared" si="13"/>
        <v>151917.59630312276</v>
      </c>
      <c r="E34" s="1306">
        <f t="shared" si="13"/>
        <v>160178.40942684279</v>
      </c>
      <c r="F34" s="1306">
        <f t="shared" si="13"/>
        <v>151070.30768506162</v>
      </c>
      <c r="G34" s="1306">
        <f t="shared" si="13"/>
        <v>159807.93447036867</v>
      </c>
      <c r="H34" s="1306">
        <f t="shared" si="13"/>
        <v>173505.23451852944</v>
      </c>
      <c r="I34" s="1306">
        <f t="shared" si="13"/>
        <v>179685.13945789152</v>
      </c>
      <c r="J34" s="1307">
        <f t="shared" si="13"/>
        <v>182305.37919206929</v>
      </c>
      <c r="L34" s="507">
        <f>L32/L33</f>
        <v>8.9889962255407794E-5</v>
      </c>
      <c r="M34" s="1348" t="s">
        <v>1462</v>
      </c>
      <c r="Q34" s="1356"/>
      <c r="R34" s="1375" t="s">
        <v>693</v>
      </c>
      <c r="S34" s="1376">
        <v>382</v>
      </c>
      <c r="T34" s="1377">
        <v>6667122</v>
      </c>
      <c r="U34" s="1356"/>
      <c r="V34" s="1356"/>
      <c r="W34" s="1356"/>
      <c r="X34" s="1356"/>
      <c r="Y34" s="1356"/>
      <c r="Z34" s="1356"/>
      <c r="AA34" s="1356"/>
      <c r="AB34" s="1356"/>
      <c r="AC34" s="1356"/>
      <c r="AD34" s="1356"/>
      <c r="AE34" s="1356"/>
      <c r="AF34" s="1356"/>
    </row>
    <row r="35" spans="2:42" ht="15">
      <c r="B35" s="507"/>
      <c r="C35" s="1303" t="s">
        <v>1428</v>
      </c>
      <c r="D35" s="1310">
        <f>D26+D32</f>
        <v>16.140671461184194</v>
      </c>
      <c r="E35" s="1310">
        <f t="shared" ref="E35:J35" si="14">E26+E32</f>
        <v>16.311729725905671</v>
      </c>
      <c r="F35" s="1310">
        <f t="shared" si="14"/>
        <v>15.166508512646509</v>
      </c>
      <c r="G35" s="1310">
        <f t="shared" si="14"/>
        <v>15.67820353774783</v>
      </c>
      <c r="H35" s="1310">
        <f t="shared" si="14"/>
        <v>16.226419277550963</v>
      </c>
      <c r="I35" s="1310">
        <f t="shared" si="14"/>
        <v>18.057863436801085</v>
      </c>
      <c r="J35" s="1334">
        <f t="shared" si="14"/>
        <v>18.138452739682396</v>
      </c>
      <c r="Q35" s="1356"/>
      <c r="R35" s="1379" t="s">
        <v>1472</v>
      </c>
      <c r="S35" s="1380"/>
      <c r="T35" s="1381">
        <f>(T33+T34)/(S33+S34)</f>
        <v>19412.878557874763</v>
      </c>
      <c r="U35" s="1356"/>
      <c r="V35" s="1371"/>
      <c r="W35" s="1356"/>
      <c r="X35" s="1356"/>
      <c r="Y35" s="1356"/>
      <c r="Z35" s="1356"/>
      <c r="AA35" s="1356"/>
      <c r="AB35" s="1356"/>
      <c r="AC35" s="1356"/>
      <c r="AD35" s="1356"/>
      <c r="AE35" s="1356"/>
      <c r="AF35" s="1356"/>
    </row>
    <row r="36" spans="2:42" ht="15">
      <c r="C36" s="1302"/>
      <c r="D36" s="1333"/>
      <c r="E36" s="1333"/>
      <c r="F36" s="1333"/>
      <c r="G36" s="1333"/>
      <c r="H36" s="1333"/>
      <c r="I36" s="1333"/>
      <c r="J36" s="1333"/>
      <c r="Q36" s="1356"/>
      <c r="R36" s="1356"/>
      <c r="S36" s="1356"/>
      <c r="T36" s="1356"/>
      <c r="U36" s="1356"/>
      <c r="V36" s="1356"/>
      <c r="W36" s="1356"/>
      <c r="X36" s="1356"/>
      <c r="Y36" s="1356"/>
      <c r="Z36" s="1356"/>
      <c r="AA36" s="1356"/>
      <c r="AB36" s="1356"/>
      <c r="AC36" s="1356"/>
      <c r="AD36" s="1356"/>
      <c r="AE36" s="1356"/>
      <c r="AF36" s="1356"/>
    </row>
    <row r="37" spans="2:42">
      <c r="B37" s="1332" t="s">
        <v>1457</v>
      </c>
      <c r="C37" s="1301" t="s">
        <v>1481</v>
      </c>
      <c r="D37" s="1304">
        <v>2010</v>
      </c>
      <c r="E37" s="1304">
        <v>2011</v>
      </c>
      <c r="F37" s="1304">
        <v>2012</v>
      </c>
      <c r="G37" s="1304">
        <v>2013</v>
      </c>
      <c r="H37" s="1304">
        <v>2014</v>
      </c>
      <c r="I37" s="1304">
        <v>2015</v>
      </c>
      <c r="J37" s="1305">
        <v>2016</v>
      </c>
      <c r="Q37" s="1356"/>
      <c r="R37" s="1356"/>
      <c r="S37" s="1356"/>
      <c r="T37" s="1356"/>
      <c r="U37" s="1356"/>
      <c r="V37" s="1356"/>
      <c r="W37" s="1356"/>
      <c r="X37" s="1356"/>
      <c r="Y37" s="1356"/>
      <c r="Z37" s="1356"/>
      <c r="AA37" s="1356"/>
      <c r="AB37" s="1356"/>
      <c r="AC37" s="1356"/>
      <c r="AD37" s="1356"/>
      <c r="AE37" s="1356"/>
      <c r="AF37" s="1356"/>
    </row>
    <row r="38" spans="2:42" ht="15">
      <c r="B38" s="501" t="s">
        <v>1482</v>
      </c>
      <c r="C38" s="1302" t="s">
        <v>1424</v>
      </c>
      <c r="D38" s="1306">
        <v>24.814</v>
      </c>
      <c r="E38" s="1306">
        <v>25.869</v>
      </c>
      <c r="F38" s="1306">
        <v>25.236999999999998</v>
      </c>
      <c r="G38" s="1306">
        <v>25.785</v>
      </c>
      <c r="H38" s="1306">
        <v>26.1</v>
      </c>
      <c r="I38" s="1306">
        <v>27.388999999999999</v>
      </c>
      <c r="J38" s="1307">
        <v>29.552</v>
      </c>
      <c r="N38" s="1312"/>
      <c r="O38" s="1312"/>
      <c r="P38" s="1312"/>
      <c r="Q38" s="1382"/>
      <c r="R38" s="1356"/>
      <c r="S38" s="1356"/>
      <c r="T38" s="1356">
        <f>T35*9/1.3*0.7</f>
        <v>94077.7960881623</v>
      </c>
      <c r="U38" s="1356" t="s">
        <v>1543</v>
      </c>
      <c r="V38" s="1356"/>
      <c r="W38" s="1382"/>
      <c r="X38" s="1371"/>
      <c r="Y38" s="1371"/>
      <c r="Z38" s="1371"/>
      <c r="AA38" s="1371"/>
      <c r="AB38" s="1383"/>
      <c r="AC38" s="1383"/>
      <c r="AD38" s="1383"/>
      <c r="AE38" s="1383"/>
      <c r="AF38" s="1383"/>
      <c r="AG38" s="1315"/>
      <c r="AH38" s="1315"/>
      <c r="AI38" s="1316"/>
      <c r="AJ38" s="1316"/>
      <c r="AK38" s="1316"/>
      <c r="AL38" s="1316"/>
      <c r="AM38" s="1316"/>
      <c r="AN38" s="1316"/>
      <c r="AO38" s="1316"/>
      <c r="AP38" s="1316"/>
    </row>
    <row r="39" spans="2:42" ht="15">
      <c r="B39" s="501" t="s">
        <v>1483</v>
      </c>
      <c r="C39" s="1302" t="s">
        <v>1424</v>
      </c>
      <c r="D39" s="1306">
        <v>15.53</v>
      </c>
      <c r="E39" s="1306">
        <v>15.917999999999999</v>
      </c>
      <c r="F39" s="1306">
        <v>16.036999999999999</v>
      </c>
      <c r="G39" s="1306">
        <v>16.425000000000001</v>
      </c>
      <c r="H39" s="1306">
        <v>16.969000000000001</v>
      </c>
      <c r="I39" s="1306">
        <v>17.588999999999999</v>
      </c>
      <c r="J39" s="1307">
        <v>18.768000000000001</v>
      </c>
      <c r="N39" s="1312"/>
      <c r="O39" s="1312"/>
      <c r="P39" s="1312"/>
      <c r="Q39" s="1382"/>
      <c r="R39" s="1356"/>
      <c r="S39" s="1382"/>
      <c r="T39" s="1384">
        <f>T35/T38</f>
        <v>0.20634920634920637</v>
      </c>
      <c r="U39" s="1382" t="s">
        <v>1544</v>
      </c>
      <c r="V39" s="1356"/>
      <c r="W39" s="1382"/>
      <c r="X39" s="1384"/>
      <c r="Y39" s="1382"/>
      <c r="Z39" s="1382"/>
      <c r="AA39" s="1382"/>
      <c r="AB39" s="1371"/>
      <c r="AC39" s="1371"/>
      <c r="AD39" s="1371"/>
      <c r="AE39" s="1371"/>
      <c r="AF39" s="1371"/>
      <c r="AG39" s="1316"/>
      <c r="AH39" s="1316"/>
      <c r="AI39" s="1316"/>
      <c r="AJ39" s="1316"/>
      <c r="AK39" s="1316"/>
      <c r="AL39" s="1316"/>
      <c r="AM39" s="1316"/>
    </row>
    <row r="40" spans="2:42" ht="15">
      <c r="B40" s="501" t="s">
        <v>1484</v>
      </c>
      <c r="C40" s="1302" t="s">
        <v>1424</v>
      </c>
      <c r="D40" s="1306">
        <v>20.774000000000001</v>
      </c>
      <c r="E40" s="1306">
        <v>22.591000000000001</v>
      </c>
      <c r="F40" s="1306">
        <v>19.114000000000001</v>
      </c>
      <c r="G40" s="1306">
        <v>22.106999999999999</v>
      </c>
      <c r="H40" s="1306">
        <v>26.867000000000001</v>
      </c>
      <c r="I40" s="1306">
        <v>28.309000000000001</v>
      </c>
      <c r="J40" s="1307">
        <v>26.071999999999999</v>
      </c>
      <c r="Q40" s="1356"/>
      <c r="R40" s="1356"/>
      <c r="S40" s="1356"/>
      <c r="T40" s="1356"/>
      <c r="U40" s="1356"/>
      <c r="V40" s="1356">
        <f t="shared" ref="V40:AF40" si="15">V44^0.6309</f>
        <v>1</v>
      </c>
      <c r="W40" s="1356">
        <f t="shared" si="15"/>
        <v>1.9999346257900004</v>
      </c>
      <c r="X40" s="1356">
        <f t="shared" si="15"/>
        <v>3.999738507433789</v>
      </c>
      <c r="Y40" s="1356">
        <f t="shared" si="15"/>
        <v>7.9992155351224499</v>
      </c>
      <c r="Z40" s="1356">
        <f t="shared" si="15"/>
        <v>15.997908127848675</v>
      </c>
      <c r="AA40" s="1356">
        <f t="shared" si="15"/>
        <v>31.994770405091835</v>
      </c>
      <c r="AB40" s="1356">
        <f t="shared" si="15"/>
        <v>63.987449177344345</v>
      </c>
      <c r="AC40" s="1356">
        <f t="shared" si="15"/>
        <v>127.97071522574878</v>
      </c>
      <c r="AD40" s="1356">
        <f t="shared" si="15"/>
        <v>255.93306446708672</v>
      </c>
      <c r="AE40" s="1356">
        <f t="shared" si="15"/>
        <v>511.84939751227091</v>
      </c>
      <c r="AF40" s="1356">
        <f t="shared" si="15"/>
        <v>1023.6653332745402</v>
      </c>
    </row>
    <row r="41" spans="2:42" ht="15">
      <c r="B41" s="507" t="s">
        <v>1485</v>
      </c>
      <c r="C41" s="1303" t="s">
        <v>1424</v>
      </c>
      <c r="D41" s="1310">
        <v>1.6719999999999999</v>
      </c>
      <c r="E41" s="1310">
        <v>1.8149999999999999</v>
      </c>
      <c r="F41" s="1310">
        <v>2.0110000000000001</v>
      </c>
      <c r="G41" s="1310">
        <v>1.8129999999999999</v>
      </c>
      <c r="H41" s="1310">
        <v>1.8660000000000001</v>
      </c>
      <c r="I41" s="1310">
        <v>1.131</v>
      </c>
      <c r="J41" s="1334">
        <v>1.099</v>
      </c>
      <c r="Q41" s="1356"/>
      <c r="R41" s="1356"/>
      <c r="S41" s="1356"/>
      <c r="T41" s="1356"/>
      <c r="U41" s="1356"/>
      <c r="V41" s="1356">
        <f t="shared" ref="V41:AF41" si="16">V43^1.585</f>
        <v>1</v>
      </c>
      <c r="W41" s="1356">
        <f t="shared" si="16"/>
        <v>3.0000779785716363</v>
      </c>
      <c r="X41" s="1356">
        <f t="shared" si="16"/>
        <v>9.0004678775104736</v>
      </c>
      <c r="Y41" s="1356">
        <f t="shared" si="16"/>
        <v>27.002105476160562</v>
      </c>
      <c r="Z41" s="1356">
        <f t="shared" si="16"/>
        <v>81.008422014097903</v>
      </c>
      <c r="AA41" s="1356">
        <f t="shared" si="16"/>
        <v>243.03158296333294</v>
      </c>
      <c r="AB41" s="1356">
        <f t="shared" si="16"/>
        <v>729.11370014570025</v>
      </c>
      <c r="AC41" s="1356">
        <f t="shared" si="16"/>
        <v>2187.3979556819991</v>
      </c>
      <c r="AD41" s="1356">
        <f t="shared" si="16"/>
        <v>6562.3644372141816</v>
      </c>
      <c r="AE41" s="1356">
        <f t="shared" si="16"/>
        <v>19687.605035447919</v>
      </c>
      <c r="AF41" s="1356">
        <f t="shared" si="16"/>
        <v>59064.350317663375</v>
      </c>
    </row>
    <row r="42" spans="2:42" ht="15">
      <c r="C42" s="1302"/>
      <c r="Q42" s="1356"/>
      <c r="R42" s="1356">
        <f>R44/Q44</f>
        <v>1.7905238303093118</v>
      </c>
      <c r="S42" s="1356"/>
      <c r="T42" s="1356"/>
      <c r="U42" s="1356"/>
      <c r="V42" s="1356"/>
      <c r="W42" s="1356"/>
      <c r="X42" s="1356"/>
      <c r="Y42" s="1356"/>
      <c r="Z42" s="1356"/>
      <c r="AA42" s="1356"/>
      <c r="AB42" s="1356"/>
      <c r="AC42" s="1356"/>
      <c r="AD42" s="1356"/>
      <c r="AE42" s="1356"/>
      <c r="AF42" s="1356"/>
    </row>
    <row r="43" spans="2:42">
      <c r="Q43" s="1356"/>
      <c r="R43" s="1356"/>
      <c r="S43" s="1356"/>
      <c r="T43" s="1356"/>
      <c r="U43" s="1356" t="s">
        <v>1545</v>
      </c>
      <c r="V43" s="1356">
        <v>1</v>
      </c>
      <c r="W43" s="1356">
        <f t="shared" ref="W43:AF43" si="17">V43*2</f>
        <v>2</v>
      </c>
      <c r="X43" s="1356">
        <f t="shared" si="17"/>
        <v>4</v>
      </c>
      <c r="Y43" s="1356">
        <f t="shared" si="17"/>
        <v>8</v>
      </c>
      <c r="Z43" s="1356">
        <f t="shared" si="17"/>
        <v>16</v>
      </c>
      <c r="AA43" s="1356">
        <f t="shared" si="17"/>
        <v>32</v>
      </c>
      <c r="AB43" s="1356">
        <f t="shared" si="17"/>
        <v>64</v>
      </c>
      <c r="AC43" s="1356">
        <f t="shared" si="17"/>
        <v>128</v>
      </c>
      <c r="AD43" s="1356">
        <f t="shared" si="17"/>
        <v>256</v>
      </c>
      <c r="AE43" s="1356">
        <f t="shared" si="17"/>
        <v>512</v>
      </c>
      <c r="AF43" s="1356">
        <f t="shared" si="17"/>
        <v>1024</v>
      </c>
    </row>
    <row r="44" spans="2:42">
      <c r="B44" s="512" t="s">
        <v>1430</v>
      </c>
      <c r="M44" s="1312"/>
      <c r="Q44" s="1356">
        <f>R44^0.6309</f>
        <v>2.7065564636001946</v>
      </c>
      <c r="R44" s="1356">
        <f>1/T39</f>
        <v>4.8461538461538458</v>
      </c>
      <c r="S44" s="1356" t="s">
        <v>1546</v>
      </c>
      <c r="T44" s="1356"/>
      <c r="U44" s="1356" t="s">
        <v>1547</v>
      </c>
      <c r="V44" s="1356">
        <v>1</v>
      </c>
      <c r="W44" s="1356">
        <f t="shared" ref="W44:AF44" si="18">V44*3</f>
        <v>3</v>
      </c>
      <c r="X44" s="1356">
        <f t="shared" si="18"/>
        <v>9</v>
      </c>
      <c r="Y44" s="1356">
        <f t="shared" si="18"/>
        <v>27</v>
      </c>
      <c r="Z44" s="1356">
        <f t="shared" si="18"/>
        <v>81</v>
      </c>
      <c r="AA44" s="1356">
        <f t="shared" si="18"/>
        <v>243</v>
      </c>
      <c r="AB44" s="1356">
        <f t="shared" si="18"/>
        <v>729</v>
      </c>
      <c r="AC44" s="1356">
        <f t="shared" si="18"/>
        <v>2187</v>
      </c>
      <c r="AD44" s="1356">
        <f t="shared" si="18"/>
        <v>6561</v>
      </c>
      <c r="AE44" s="1356">
        <f t="shared" si="18"/>
        <v>19683</v>
      </c>
      <c r="AF44" s="1356">
        <f t="shared" si="18"/>
        <v>59049</v>
      </c>
    </row>
    <row r="45" spans="2:42" ht="15.75">
      <c r="B45" s="1311" t="s">
        <v>1431</v>
      </c>
      <c r="C45" s="1312"/>
      <c r="D45" s="1313"/>
      <c r="E45" s="1313"/>
      <c r="F45" s="1313"/>
      <c r="G45" s="1313"/>
      <c r="H45" s="1312"/>
      <c r="I45" s="1312"/>
      <c r="J45" s="1312"/>
      <c r="K45" s="1312"/>
      <c r="L45" s="1312"/>
      <c r="M45" s="1312"/>
      <c r="Q45" s="1356"/>
      <c r="R45" s="1382"/>
      <c r="S45" s="1356"/>
      <c r="T45" s="1356"/>
      <c r="U45" s="1356"/>
      <c r="V45" s="1356"/>
      <c r="W45" s="1356"/>
      <c r="X45" s="1356"/>
      <c r="Y45" s="1356"/>
      <c r="Z45" s="1356"/>
      <c r="AA45" s="1356"/>
      <c r="AB45" s="1356"/>
      <c r="AC45" s="1356"/>
      <c r="AD45" s="1356"/>
      <c r="AE45" s="1356"/>
      <c r="AF45" s="1356"/>
    </row>
    <row r="46" spans="2:42" ht="15">
      <c r="B46" s="1317"/>
      <c r="C46" s="1312"/>
      <c r="D46" s="1313"/>
      <c r="E46" s="1313"/>
      <c r="F46" s="1313"/>
      <c r="G46" s="1313"/>
      <c r="H46" s="1312"/>
      <c r="I46" s="1312"/>
      <c r="J46" s="1312"/>
      <c r="K46" s="1312"/>
      <c r="L46" s="1312"/>
      <c r="Q46" s="1356"/>
      <c r="R46" s="1356">
        <f>R44/3*2</f>
        <v>3.2307692307692304</v>
      </c>
      <c r="S46" s="1356" t="s">
        <v>1548</v>
      </c>
      <c r="T46" s="1356"/>
      <c r="U46" s="1356"/>
      <c r="V46" s="1356"/>
      <c r="W46" s="1356"/>
      <c r="X46" s="1356"/>
      <c r="Y46" s="1356"/>
      <c r="Z46" s="1356"/>
      <c r="AA46" s="1356"/>
      <c r="AB46" s="1356"/>
      <c r="AC46" s="1356"/>
      <c r="AD46" s="1356"/>
      <c r="AE46" s="1356"/>
      <c r="AF46" s="1356"/>
    </row>
    <row r="47" spans="2:42">
      <c r="B47" s="1318" t="s">
        <v>1433</v>
      </c>
      <c r="C47" s="495" t="s">
        <v>1434</v>
      </c>
      <c r="D47" s="495"/>
      <c r="E47" s="495"/>
      <c r="F47" s="495"/>
      <c r="G47" s="495"/>
      <c r="H47" s="495" t="s">
        <v>1435</v>
      </c>
      <c r="I47" s="495" t="s">
        <v>1436</v>
      </c>
      <c r="J47" s="1319" t="s">
        <v>1437</v>
      </c>
      <c r="K47" s="1319" t="s">
        <v>1438</v>
      </c>
      <c r="L47" s="1319" t="s">
        <v>1439</v>
      </c>
      <c r="Q47" s="1356"/>
      <c r="R47" s="1356"/>
      <c r="S47" s="1356"/>
      <c r="T47" s="1356"/>
      <c r="U47" s="1356"/>
      <c r="V47" s="1356"/>
      <c r="W47" s="1356"/>
      <c r="X47" s="1356"/>
      <c r="Y47" s="1356"/>
      <c r="Z47" s="1356"/>
      <c r="AA47" s="1356"/>
      <c r="AB47" s="1356"/>
      <c r="AC47" s="1356"/>
      <c r="AD47" s="1356"/>
      <c r="AE47" s="1356"/>
      <c r="AF47" s="1356"/>
    </row>
    <row r="48" spans="2:42">
      <c r="B48" s="1316" t="s">
        <v>1440</v>
      </c>
      <c r="C48" s="1320">
        <v>98.13</v>
      </c>
      <c r="D48" s="1320">
        <v>99.26</v>
      </c>
      <c r="E48" s="1320">
        <v>101.13</v>
      </c>
      <c r="F48" s="1320">
        <v>101.72</v>
      </c>
      <c r="G48" s="1320">
        <v>103.92</v>
      </c>
      <c r="H48" s="1320">
        <v>105.05</v>
      </c>
      <c r="I48" s="1320">
        <v>104.88</v>
      </c>
      <c r="J48" s="1321">
        <v>62.11</v>
      </c>
      <c r="K48" s="1321">
        <v>33.229999999999997</v>
      </c>
      <c r="L48" s="1321">
        <v>-0.17</v>
      </c>
      <c r="Q48" s="1356"/>
      <c r="R48" s="1356">
        <f>R46/R44</f>
        <v>0.66666666666666663</v>
      </c>
      <c r="S48" s="1356" t="s">
        <v>1549</v>
      </c>
      <c r="T48" s="1356"/>
      <c r="U48" s="1356"/>
      <c r="V48" s="1356"/>
      <c r="W48" s="1356"/>
      <c r="X48" s="1356"/>
      <c r="Y48" s="1356"/>
      <c r="Z48" s="1356"/>
      <c r="AA48" s="1356"/>
      <c r="AB48" s="1356"/>
      <c r="AC48" s="1356"/>
      <c r="AD48" s="1356"/>
      <c r="AE48" s="1356"/>
      <c r="AF48" s="1356"/>
    </row>
    <row r="49" spans="2:32">
      <c r="B49" s="1316" t="s">
        <v>389</v>
      </c>
      <c r="C49" s="1320">
        <v>7.59</v>
      </c>
      <c r="D49" s="1320">
        <v>7.33</v>
      </c>
      <c r="E49" s="1320">
        <v>7.12</v>
      </c>
      <c r="F49" s="1320">
        <v>7.04</v>
      </c>
      <c r="G49" s="1320">
        <v>6.96</v>
      </c>
      <c r="H49" s="1320">
        <v>7.72</v>
      </c>
      <c r="I49" s="1320">
        <v>7.84</v>
      </c>
      <c r="J49" s="1321">
        <v>32.11</v>
      </c>
      <c r="K49" s="1321">
        <v>-6.07</v>
      </c>
      <c r="L49" s="1321">
        <v>1.61</v>
      </c>
      <c r="Q49" s="1356"/>
      <c r="R49" s="1356"/>
      <c r="S49" s="1356"/>
      <c r="T49" s="1356"/>
      <c r="U49" s="1356"/>
      <c r="V49" s="1356"/>
      <c r="W49" s="1356"/>
      <c r="X49" s="1356"/>
      <c r="Y49" s="1356"/>
      <c r="Z49" s="1356"/>
      <c r="AA49" s="1356"/>
      <c r="AB49" s="1356"/>
      <c r="AC49" s="1356"/>
      <c r="AD49" s="1356"/>
      <c r="AE49" s="1356"/>
      <c r="AF49" s="1356"/>
    </row>
    <row r="50" spans="2:32">
      <c r="B50" s="1316" t="s">
        <v>1441</v>
      </c>
      <c r="C50" s="1320">
        <v>0.77</v>
      </c>
      <c r="D50" s="1320">
        <v>0.77</v>
      </c>
      <c r="E50" s="1320">
        <v>0.79</v>
      </c>
      <c r="F50" s="1320">
        <v>0.77</v>
      </c>
      <c r="G50" s="1320">
        <v>0.79</v>
      </c>
      <c r="H50" s="1320">
        <v>0.82</v>
      </c>
      <c r="I50" s="1320">
        <v>0.8</v>
      </c>
      <c r="J50" s="1321">
        <v>68.66</v>
      </c>
      <c r="K50" s="1321">
        <v>40.51</v>
      </c>
      <c r="L50" s="1321">
        <v>-2.81</v>
      </c>
      <c r="Q50" s="1356"/>
      <c r="R50" s="1356">
        <f>1/R48</f>
        <v>1.5</v>
      </c>
      <c r="S50" s="1356"/>
      <c r="T50" s="1356"/>
      <c r="U50" s="1356"/>
      <c r="V50" s="1356"/>
      <c r="W50" s="1356"/>
      <c r="X50" s="1356"/>
      <c r="Y50" s="1356"/>
      <c r="Z50" s="1356"/>
      <c r="AA50" s="1356"/>
      <c r="AB50" s="1356"/>
      <c r="AC50" s="1356"/>
      <c r="AD50" s="1356"/>
      <c r="AE50" s="1356"/>
      <c r="AF50" s="1356"/>
    </row>
    <row r="51" spans="2:32">
      <c r="B51" s="1316" t="s">
        <v>1442</v>
      </c>
      <c r="C51" s="1320">
        <v>4.26</v>
      </c>
      <c r="D51" s="1320">
        <v>4.25</v>
      </c>
      <c r="E51" s="1320">
        <v>4.2699999999999996</v>
      </c>
      <c r="F51" s="1320">
        <v>4.28</v>
      </c>
      <c r="G51" s="1320">
        <v>4.34</v>
      </c>
      <c r="H51" s="1320">
        <v>4.34</v>
      </c>
      <c r="I51" s="1320">
        <v>4.4400000000000004</v>
      </c>
      <c r="J51" s="1321">
        <v>9.35</v>
      </c>
      <c r="K51" s="1321">
        <v>14.96</v>
      </c>
      <c r="L51" s="1321">
        <v>2.19</v>
      </c>
    </row>
    <row r="52" spans="2:32">
      <c r="B52" s="1316" t="s">
        <v>1443</v>
      </c>
      <c r="C52" s="1320">
        <v>1.85</v>
      </c>
      <c r="D52" s="1320">
        <v>1.75</v>
      </c>
      <c r="E52" s="1320">
        <v>1.54</v>
      </c>
      <c r="F52" s="1320">
        <v>1.48</v>
      </c>
      <c r="G52" s="1320">
        <v>1.37</v>
      </c>
      <c r="H52" s="1320">
        <v>1.27</v>
      </c>
      <c r="I52" s="1320">
        <v>1.31</v>
      </c>
      <c r="J52" s="1321">
        <v>-35.07</v>
      </c>
      <c r="K52" s="1321">
        <v>-56.43</v>
      </c>
      <c r="L52" s="1321">
        <v>3.87</v>
      </c>
    </row>
    <row r="53" spans="2:32">
      <c r="B53" s="1316" t="s">
        <v>1444</v>
      </c>
      <c r="C53" s="1320">
        <v>30.86</v>
      </c>
      <c r="D53" s="1320">
        <v>31.81</v>
      </c>
      <c r="E53" s="1320">
        <v>32.01</v>
      </c>
      <c r="F53" s="1320">
        <v>32.03</v>
      </c>
      <c r="G53" s="1320">
        <v>33.630000000000003</v>
      </c>
      <c r="H53" s="1320">
        <v>33.090000000000003</v>
      </c>
      <c r="I53" s="1320">
        <v>35.700000000000003</v>
      </c>
      <c r="J53" s="1321">
        <v>81.3</v>
      </c>
      <c r="K53" s="1321">
        <v>60.17</v>
      </c>
      <c r="L53" s="1321">
        <v>7.86</v>
      </c>
    </row>
    <row r="54" spans="2:32">
      <c r="B54" s="1326" t="s">
        <v>1445</v>
      </c>
      <c r="C54" s="1327">
        <v>3.87</v>
      </c>
      <c r="D54" s="1327">
        <v>4.28</v>
      </c>
      <c r="E54" s="1327">
        <v>4.45</v>
      </c>
      <c r="F54" s="1327">
        <v>4.8099999999999996</v>
      </c>
      <c r="G54" s="1327">
        <v>4.21</v>
      </c>
      <c r="H54" s="1327">
        <v>3.56</v>
      </c>
      <c r="I54" s="1327">
        <v>4.47</v>
      </c>
      <c r="J54" s="1328">
        <v>11.38</v>
      </c>
      <c r="K54" s="1328">
        <v>-1.9</v>
      </c>
      <c r="L54" s="1328">
        <v>25.68</v>
      </c>
    </row>
    <row r="55" spans="2:32">
      <c r="B55" s="1314"/>
      <c r="C55" s="1320"/>
      <c r="D55" s="1320"/>
      <c r="E55" s="1320"/>
      <c r="F55" s="1320"/>
      <c r="G55" s="1320"/>
      <c r="H55" s="1320"/>
      <c r="I55" s="1320"/>
      <c r="J55" s="1322"/>
      <c r="K55" s="1320"/>
      <c r="L55" s="1320"/>
    </row>
    <row r="56" spans="2:32">
      <c r="B56" s="1314"/>
      <c r="C56" s="1320"/>
      <c r="D56" s="1320"/>
      <c r="E56" s="1320"/>
      <c r="F56" s="1320"/>
      <c r="G56" s="1320"/>
      <c r="H56" s="1320"/>
      <c r="I56" s="1320"/>
      <c r="J56" s="1322"/>
      <c r="K56" s="1320"/>
      <c r="L56" s="1320"/>
    </row>
    <row r="57" spans="2:32">
      <c r="B57" s="1316"/>
      <c r="C57" s="1323"/>
      <c r="D57" s="1323"/>
      <c r="E57" s="1324"/>
      <c r="F57" s="1316"/>
      <c r="G57" s="1314"/>
      <c r="H57" s="1314"/>
      <c r="I57" s="1314"/>
      <c r="J57" s="1314"/>
      <c r="K57" s="1316"/>
      <c r="L57" s="1316"/>
    </row>
    <row r="58" spans="2:32" ht="15.75">
      <c r="B58" s="1311" t="s">
        <v>1446</v>
      </c>
      <c r="C58" s="1323"/>
      <c r="D58" s="1323"/>
      <c r="E58" s="1316"/>
      <c r="F58" s="1316"/>
      <c r="G58" s="1316"/>
      <c r="H58" s="1316"/>
      <c r="I58" s="1316"/>
      <c r="J58" s="1316"/>
      <c r="K58" s="1316"/>
      <c r="L58" s="1316"/>
    </row>
    <row r="59" spans="2:32" ht="15">
      <c r="B59" s="1317"/>
      <c r="C59" s="1316"/>
      <c r="D59" s="1316"/>
      <c r="E59" s="1316"/>
      <c r="F59" s="1316"/>
      <c r="G59" s="1316"/>
      <c r="H59" s="1316"/>
      <c r="I59" s="1316"/>
      <c r="J59" s="1695" t="s">
        <v>1432</v>
      </c>
      <c r="K59" s="1695"/>
      <c r="L59" s="1695"/>
    </row>
    <row r="60" spans="2:32">
      <c r="B60" s="1318" t="s">
        <v>1433</v>
      </c>
      <c r="C60" s="495" t="s">
        <v>1434</v>
      </c>
      <c r="D60" s="495"/>
      <c r="E60" s="495"/>
      <c r="F60" s="495"/>
      <c r="G60" s="495"/>
      <c r="H60" s="495" t="s">
        <v>1435</v>
      </c>
      <c r="I60" s="495" t="s">
        <v>1436</v>
      </c>
      <c r="J60" s="1319" t="s">
        <v>1437</v>
      </c>
      <c r="K60" s="1319" t="s">
        <v>1438</v>
      </c>
      <c r="L60" s="1319" t="s">
        <v>1439</v>
      </c>
    </row>
    <row r="61" spans="2:32">
      <c r="B61" s="1316" t="s">
        <v>1447</v>
      </c>
      <c r="C61" s="1320">
        <v>23.64</v>
      </c>
      <c r="D61" s="1320">
        <v>23.97</v>
      </c>
      <c r="E61" s="1320">
        <v>22.58</v>
      </c>
      <c r="F61" s="1320">
        <v>22.1</v>
      </c>
      <c r="G61" s="1320">
        <v>21.99</v>
      </c>
      <c r="H61" s="1320">
        <v>22.2</v>
      </c>
      <c r="I61" s="1320">
        <v>22.78</v>
      </c>
      <c r="J61" s="1321">
        <v>18.8</v>
      </c>
      <c r="K61" s="1321">
        <v>-1.86</v>
      </c>
      <c r="L61" s="1321">
        <v>2.58</v>
      </c>
    </row>
    <row r="62" spans="2:32">
      <c r="B62" s="1316" t="s">
        <v>1448</v>
      </c>
      <c r="C62" s="1320">
        <v>31.08</v>
      </c>
      <c r="D62" s="1320">
        <v>28.43</v>
      </c>
      <c r="E62" s="1320">
        <v>26.38</v>
      </c>
      <c r="F62" s="1320">
        <v>24.36</v>
      </c>
      <c r="G62" s="1320">
        <v>22.84</v>
      </c>
      <c r="H62" s="1320">
        <v>23.45</v>
      </c>
      <c r="I62" s="1320">
        <v>23.66</v>
      </c>
      <c r="J62" s="1321">
        <v>121.83</v>
      </c>
      <c r="K62" s="1321">
        <v>23.91</v>
      </c>
      <c r="L62" s="1321">
        <v>0.91</v>
      </c>
    </row>
    <row r="63" spans="2:32">
      <c r="B63" s="1326" t="s">
        <v>1449</v>
      </c>
      <c r="C63" s="1327">
        <v>2.66</v>
      </c>
      <c r="D63" s="1327">
        <v>2.1</v>
      </c>
      <c r="E63" s="1327">
        <v>1.77</v>
      </c>
      <c r="F63" s="1327">
        <v>1.48</v>
      </c>
      <c r="G63" s="1327">
        <v>0.81</v>
      </c>
      <c r="H63" s="1327">
        <v>2.08</v>
      </c>
      <c r="I63" s="1329">
        <v>1.93</v>
      </c>
      <c r="J63" s="1328">
        <v>22.46</v>
      </c>
      <c r="K63" s="1328">
        <v>7.87</v>
      </c>
      <c r="L63" s="1328">
        <v>-7.42</v>
      </c>
    </row>
    <row r="64" spans="2:32">
      <c r="B64" s="1316" t="s">
        <v>1450</v>
      </c>
      <c r="C64" s="1320">
        <v>0.47</v>
      </c>
      <c r="D64" s="1320">
        <v>0.55000000000000004</v>
      </c>
      <c r="E64" s="1320">
        <v>0.48</v>
      </c>
      <c r="F64" s="1320">
        <v>0.46</v>
      </c>
      <c r="G64" s="1320">
        <v>0.45</v>
      </c>
      <c r="H64" s="1320">
        <v>0.44</v>
      </c>
      <c r="I64" s="1325">
        <v>0.49</v>
      </c>
      <c r="J64" s="1321">
        <v>-49.01</v>
      </c>
      <c r="K64" s="1321">
        <v>-46</v>
      </c>
      <c r="L64" s="1321">
        <v>10.63</v>
      </c>
    </row>
    <row r="65" spans="2:12">
      <c r="B65" s="1316" t="s">
        <v>1451</v>
      </c>
      <c r="C65" s="1320">
        <v>3.07</v>
      </c>
      <c r="D65" s="1320">
        <v>3.07</v>
      </c>
      <c r="E65" s="1320">
        <v>3.15</v>
      </c>
      <c r="F65" s="1320">
        <v>2.79</v>
      </c>
      <c r="G65" s="1320">
        <v>4.13</v>
      </c>
      <c r="H65" s="1320">
        <v>3.89</v>
      </c>
      <c r="I65" s="1325">
        <v>4.0599999999999996</v>
      </c>
      <c r="J65" s="1321">
        <v>110.25</v>
      </c>
      <c r="K65" s="1321">
        <v>83.41</v>
      </c>
      <c r="L65" s="1321">
        <v>4.38</v>
      </c>
    </row>
    <row r="67" spans="2:12">
      <c r="B67" s="1337" t="s">
        <v>1468</v>
      </c>
      <c r="C67" s="1298"/>
      <c r="D67" s="1298"/>
      <c r="E67" s="1298"/>
      <c r="F67" s="1298"/>
      <c r="G67" s="1298"/>
      <c r="H67" s="1298"/>
      <c r="I67" s="1309"/>
    </row>
    <row r="68" spans="2:12">
      <c r="B68" s="1339" t="s">
        <v>1469</v>
      </c>
      <c r="C68" s="1335">
        <f t="shared" ref="C68:I68" si="19">D7/D23*C63</f>
        <v>0.36075959979476657</v>
      </c>
      <c r="D68" s="1335">
        <f t="shared" si="19"/>
        <v>0.24780000000000002</v>
      </c>
      <c r="E68" s="1335">
        <f t="shared" si="19"/>
        <v>0.15755084396467126</v>
      </c>
      <c r="F68" s="1335">
        <f t="shared" si="19"/>
        <v>0.12890425417339796</v>
      </c>
      <c r="G68" s="1335">
        <f t="shared" si="19"/>
        <v>4.1448776223776226E-2</v>
      </c>
      <c r="H68" s="1335">
        <f t="shared" si="19"/>
        <v>0.11129396694214876</v>
      </c>
      <c r="I68" s="1336">
        <f t="shared" si="19"/>
        <v>0.10537838774485184</v>
      </c>
    </row>
    <row r="69" spans="2:12">
      <c r="B69" s="501" t="s">
        <v>1459</v>
      </c>
      <c r="C69" s="1306">
        <f>C63-C68</f>
        <v>2.2992404002052336</v>
      </c>
      <c r="D69" s="1306">
        <f t="shared" ref="D69:I69" si="20">D63-D68</f>
        <v>1.8522000000000001</v>
      </c>
      <c r="E69" s="1306">
        <f t="shared" si="20"/>
        <v>1.6124491560353287</v>
      </c>
      <c r="F69" s="1306">
        <f t="shared" si="20"/>
        <v>1.351095745826602</v>
      </c>
      <c r="G69" s="1306">
        <f t="shared" si="20"/>
        <v>0.76855122377622387</v>
      </c>
      <c r="H69" s="1306">
        <f t="shared" si="20"/>
        <v>1.9687060330578514</v>
      </c>
      <c r="I69" s="1307">
        <f t="shared" si="20"/>
        <v>1.8246216122551482</v>
      </c>
    </row>
    <row r="70" spans="2:12">
      <c r="B70" s="501" t="s">
        <v>1467</v>
      </c>
      <c r="C70" s="1306">
        <f>C68+C54</f>
        <v>4.2307595997947667</v>
      </c>
      <c r="D70" s="1306">
        <f t="shared" ref="D70:I70" si="21">D68+D54</f>
        <v>4.5278</v>
      </c>
      <c r="E70" s="1306">
        <f t="shared" si="21"/>
        <v>4.6075508439646713</v>
      </c>
      <c r="F70" s="1306">
        <f t="shared" si="21"/>
        <v>4.9389042541733978</v>
      </c>
      <c r="G70" s="1306">
        <f t="shared" si="21"/>
        <v>4.2514487762237758</v>
      </c>
      <c r="H70" s="1306">
        <f t="shared" si="21"/>
        <v>3.6712939669421489</v>
      </c>
      <c r="I70" s="1307">
        <f t="shared" si="21"/>
        <v>4.5753783877448519</v>
      </c>
    </row>
    <row r="71" spans="2:12">
      <c r="B71" s="1338" t="s">
        <v>1553</v>
      </c>
      <c r="C71" s="1306">
        <f>D12/D28*$L$32</f>
        <v>8.8723833212668357E-2</v>
      </c>
      <c r="D71" s="1306">
        <f t="shared" ref="D71:I71" si="22">E12/E28*$L$32</f>
        <v>8.3528854776374784E-2</v>
      </c>
      <c r="E71" s="1306">
        <f t="shared" si="22"/>
        <v>9.1923344604103466E-2</v>
      </c>
      <c r="F71" s="1306">
        <f t="shared" si="22"/>
        <v>9.0096691762476241E-2</v>
      </c>
      <c r="G71" s="1306">
        <f t="shared" si="22"/>
        <v>9.3613940978692731E-2</v>
      </c>
      <c r="H71" s="1306">
        <f t="shared" si="22"/>
        <v>9.1765785459560614E-2</v>
      </c>
      <c r="I71" s="1307">
        <f t="shared" si="22"/>
        <v>9.5748646855541131E-2</v>
      </c>
    </row>
    <row r="72" spans="2:12">
      <c r="B72" s="1338" t="s">
        <v>1554</v>
      </c>
      <c r="C72" s="1306">
        <f>D13</f>
        <v>3.6014432779727317</v>
      </c>
      <c r="D72" s="1306">
        <f t="shared" ref="D72:I72" si="23">E13</f>
        <v>4.09991530275998</v>
      </c>
      <c r="E72" s="1306">
        <f t="shared" si="23"/>
        <v>4.282797660872526</v>
      </c>
      <c r="F72" s="1306">
        <f t="shared" si="23"/>
        <v>4.2298400466804189</v>
      </c>
      <c r="G72" s="1306">
        <f t="shared" si="23"/>
        <v>2.9579135192392396</v>
      </c>
      <c r="H72" s="1306">
        <f t="shared" si="23"/>
        <v>2.407742659617278</v>
      </c>
      <c r="I72" s="1307">
        <f t="shared" si="23"/>
        <v>2.9319608990314761</v>
      </c>
    </row>
    <row r="73" spans="2:12">
      <c r="B73" s="501" t="s">
        <v>1466</v>
      </c>
      <c r="C73" s="1306">
        <f t="shared" ref="C73:I73" si="24">C71+D13</f>
        <v>3.6901671111854002</v>
      </c>
      <c r="D73" s="1306">
        <f t="shared" si="24"/>
        <v>4.1834441575363543</v>
      </c>
      <c r="E73" s="1306">
        <f t="shared" si="24"/>
        <v>4.3747210054766299</v>
      </c>
      <c r="F73" s="1306">
        <f t="shared" si="24"/>
        <v>4.3199367384428955</v>
      </c>
      <c r="G73" s="1306">
        <f t="shared" si="24"/>
        <v>3.0515274602179323</v>
      </c>
      <c r="H73" s="1306">
        <f t="shared" si="24"/>
        <v>2.4995084450768386</v>
      </c>
      <c r="I73" s="1307">
        <f t="shared" si="24"/>
        <v>3.0277095458870171</v>
      </c>
    </row>
    <row r="74" spans="2:12">
      <c r="B74" s="507" t="s">
        <v>1460</v>
      </c>
      <c r="C74" s="1310">
        <f t="shared" ref="C74:I74" si="25">D32-C71</f>
        <v>13.391947627971525</v>
      </c>
      <c r="D74" s="1310">
        <f t="shared" si="25"/>
        <v>14.128200871129296</v>
      </c>
      <c r="E74" s="1310">
        <f t="shared" si="25"/>
        <v>13.304585168042406</v>
      </c>
      <c r="F74" s="1310">
        <f t="shared" si="25"/>
        <v>14.108106845985354</v>
      </c>
      <c r="G74" s="1310">
        <f t="shared" si="25"/>
        <v>15.322805336572269</v>
      </c>
      <c r="H74" s="1310">
        <f t="shared" si="25"/>
        <v>15.886097651341524</v>
      </c>
      <c r="I74" s="1334">
        <f t="shared" si="25"/>
        <v>16.112704092826856</v>
      </c>
    </row>
    <row r="79" spans="2:12">
      <c r="B79" s="512" t="s">
        <v>1493</v>
      </c>
    </row>
    <row r="80" spans="2:12">
      <c r="B80" s="512" t="s">
        <v>1486</v>
      </c>
      <c r="C80" s="512" t="s">
        <v>1494</v>
      </c>
      <c r="D80" s="512" t="s">
        <v>1495</v>
      </c>
      <c r="E80" s="512" t="s">
        <v>1496</v>
      </c>
      <c r="F80" s="512" t="s">
        <v>1497</v>
      </c>
    </row>
    <row r="81" spans="2:6">
      <c r="B81" s="512" t="s">
        <v>1487</v>
      </c>
      <c r="C81" s="512">
        <v>2903.23</v>
      </c>
      <c r="D81" s="512">
        <v>22592</v>
      </c>
      <c r="E81" s="1353">
        <v>50131758.829999998</v>
      </c>
      <c r="F81" s="1354">
        <v>0.25997998</v>
      </c>
    </row>
    <row r="82" spans="2:6">
      <c r="B82" s="512" t="s">
        <v>1488</v>
      </c>
      <c r="C82" s="512">
        <v>2863.52</v>
      </c>
      <c r="D82" s="512">
        <v>33787</v>
      </c>
      <c r="E82" s="1353">
        <v>68611997.780000001</v>
      </c>
      <c r="F82" s="1354">
        <v>0.38880769999999998</v>
      </c>
    </row>
    <row r="83" spans="2:6">
      <c r="B83" s="512" t="s">
        <v>1489</v>
      </c>
      <c r="C83" s="512">
        <v>3893.5</v>
      </c>
      <c r="D83" s="512">
        <v>5666.5</v>
      </c>
      <c r="E83" s="1353">
        <v>20996695.34</v>
      </c>
      <c r="F83" s="1354">
        <v>6.5207890000000004E-2</v>
      </c>
    </row>
    <row r="84" spans="2:6">
      <c r="B84" s="512" t="s">
        <v>1490</v>
      </c>
      <c r="C84" s="512">
        <v>3158.95</v>
      </c>
      <c r="D84" s="512">
        <v>3117.5</v>
      </c>
      <c r="E84" s="1353">
        <v>5339308.59</v>
      </c>
      <c r="F84" s="1354">
        <v>3.5874980000000001E-2</v>
      </c>
    </row>
    <row r="85" spans="2:6">
      <c r="B85" s="512" t="s">
        <v>1491</v>
      </c>
      <c r="C85" s="512">
        <v>661.94</v>
      </c>
      <c r="D85" s="512">
        <v>3741</v>
      </c>
      <c r="E85" s="1353">
        <v>2342681.84</v>
      </c>
      <c r="F85" s="1354">
        <v>4.3049980000000002E-2</v>
      </c>
    </row>
    <row r="86" spans="2:6">
      <c r="B86" s="512" t="s">
        <v>1492</v>
      </c>
      <c r="C86" s="512">
        <v>599.58000000000004</v>
      </c>
      <c r="D86" s="512">
        <v>17995</v>
      </c>
      <c r="E86" s="1353">
        <v>5084521.54</v>
      </c>
      <c r="F86" s="1354">
        <v>0.20787948000000001</v>
      </c>
    </row>
    <row r="88" spans="2:6">
      <c r="B88" s="512" t="s">
        <v>1498</v>
      </c>
      <c r="D88" s="512">
        <f>SUMPRODUCT(C81:C86,F81:F86)</f>
        <v>2388.4913726050004</v>
      </c>
      <c r="E88" s="512" t="s">
        <v>373</v>
      </c>
    </row>
    <row r="95" spans="2:6">
      <c r="B95" s="512" t="s">
        <v>1539</v>
      </c>
    </row>
    <row r="97" spans="2:20">
      <c r="B97" s="1358" t="s">
        <v>1520</v>
      </c>
      <c r="C97" s="1358"/>
      <c r="D97" s="1356"/>
      <c r="E97" s="1356"/>
      <c r="F97" s="1356"/>
      <c r="G97" s="1356"/>
      <c r="H97" s="1356"/>
      <c r="I97" s="1356"/>
      <c r="J97" s="1356"/>
      <c r="K97" s="1356"/>
      <c r="L97" s="1356"/>
      <c r="M97" s="1356"/>
      <c r="N97" s="1356"/>
      <c r="O97" s="1359" t="s">
        <v>1521</v>
      </c>
      <c r="P97" s="1359"/>
      <c r="Q97" s="1356"/>
    </row>
    <row r="98" spans="2:20">
      <c r="B98" s="1358" t="s">
        <v>1522</v>
      </c>
      <c r="C98" s="1358"/>
      <c r="D98" s="1356"/>
      <c r="E98" s="1356"/>
      <c r="F98" s="1356"/>
      <c r="G98" s="1356"/>
      <c r="H98" s="1356"/>
      <c r="I98" s="1356"/>
      <c r="J98" s="1356"/>
      <c r="K98" s="1356"/>
      <c r="L98" s="1356"/>
      <c r="M98" s="1356"/>
      <c r="N98" s="1356"/>
      <c r="O98" s="1359" t="s">
        <v>1523</v>
      </c>
      <c r="P98" s="1359"/>
      <c r="Q98" s="1356"/>
    </row>
    <row r="99" spans="2:20">
      <c r="B99" s="1356"/>
      <c r="C99" s="1356"/>
      <c r="D99" s="1357"/>
      <c r="E99" s="1357"/>
      <c r="F99" s="1357"/>
      <c r="G99" s="1357"/>
      <c r="H99" s="1357"/>
      <c r="I99" s="1357"/>
      <c r="J99" s="1357"/>
      <c r="K99" s="1356"/>
      <c r="L99" s="1356"/>
      <c r="M99" s="1356"/>
      <c r="N99" s="1356"/>
      <c r="O99" s="1356"/>
      <c r="P99" s="1356"/>
      <c r="Q99" s="1356"/>
    </row>
    <row r="100" spans="2:20" ht="13.5" thickBot="1">
      <c r="B100" s="1360"/>
      <c r="C100" s="1356"/>
      <c r="D100" s="1361" t="s">
        <v>1524</v>
      </c>
      <c r="E100" s="1361" t="s">
        <v>1525</v>
      </c>
      <c r="F100" s="1361" t="s">
        <v>1526</v>
      </c>
      <c r="G100" s="1361" t="s">
        <v>1527</v>
      </c>
      <c r="H100" s="1361" t="s">
        <v>1528</v>
      </c>
      <c r="I100" s="1361" t="s">
        <v>1529</v>
      </c>
      <c r="J100" s="1361" t="s">
        <v>1530</v>
      </c>
      <c r="K100" s="1362"/>
      <c r="L100" s="1362"/>
      <c r="M100" s="1363" t="s">
        <v>1531</v>
      </c>
      <c r="N100" s="1356"/>
      <c r="O100" s="1360"/>
      <c r="P100" s="1356"/>
      <c r="Q100" s="1356"/>
    </row>
    <row r="101" spans="2:20" ht="13.5" thickBot="1">
      <c r="B101" s="1364"/>
      <c r="C101" s="1356"/>
      <c r="D101" s="1365" t="s">
        <v>1532</v>
      </c>
      <c r="E101" s="1365" t="s">
        <v>1533</v>
      </c>
      <c r="F101" s="1365" t="s">
        <v>1534</v>
      </c>
      <c r="G101" s="1366" t="s">
        <v>1535</v>
      </c>
      <c r="H101" s="1365" t="s">
        <v>1536</v>
      </c>
      <c r="I101" s="1366" t="s">
        <v>1537</v>
      </c>
      <c r="J101" s="1365" t="s">
        <v>1538</v>
      </c>
      <c r="K101" s="1362"/>
      <c r="L101" s="1362"/>
      <c r="M101" s="1363" t="s">
        <v>1537</v>
      </c>
      <c r="N101" s="1356"/>
      <c r="O101" s="1364"/>
      <c r="P101" s="1356"/>
      <c r="Q101" s="1356" t="s">
        <v>1540</v>
      </c>
    </row>
    <row r="102" spans="2:20">
      <c r="B102" s="1367"/>
      <c r="C102" s="1356"/>
      <c r="D102" s="1368"/>
      <c r="E102" s="1368"/>
      <c r="F102" s="1368"/>
      <c r="G102" s="1368"/>
      <c r="H102" s="1368"/>
      <c r="I102" s="1368"/>
      <c r="J102" s="1368"/>
      <c r="K102" s="1356"/>
      <c r="L102" s="1356"/>
      <c r="M102" s="1356"/>
      <c r="N102" s="1356"/>
      <c r="O102" s="1356"/>
      <c r="P102" s="1356"/>
      <c r="Q102" s="1356"/>
    </row>
    <row r="103" spans="2:20">
      <c r="B103" s="1369">
        <v>2005</v>
      </c>
      <c r="C103" s="1356"/>
      <c r="D103" s="1357">
        <v>1405310</v>
      </c>
      <c r="E103" s="1357">
        <v>1199252</v>
      </c>
      <c r="F103" s="1357">
        <v>1544844</v>
      </c>
      <c r="G103" s="1357">
        <v>506534</v>
      </c>
      <c r="H103" s="1357">
        <v>-90167</v>
      </c>
      <c r="I103" s="1357">
        <v>586811</v>
      </c>
      <c r="J103" s="1357">
        <v>544805</v>
      </c>
      <c r="K103" s="1357"/>
      <c r="L103" s="1357"/>
      <c r="M103" s="1357">
        <v>24974.221799999999</v>
      </c>
      <c r="N103" s="1356"/>
      <c r="O103" s="1369">
        <v>2005</v>
      </c>
      <c r="P103" s="1357"/>
      <c r="Q103" s="1356">
        <f t="shared" ref="Q103:Q115" si="26">G103*40.65/1000</f>
        <v>20590.607099999997</v>
      </c>
    </row>
    <row r="104" spans="2:20">
      <c r="B104" s="1369">
        <v>2006</v>
      </c>
      <c r="C104" s="1356"/>
      <c r="D104" s="1357">
        <v>1473736</v>
      </c>
      <c r="E104" s="1357">
        <v>1109619</v>
      </c>
      <c r="F104" s="1357">
        <v>1152748</v>
      </c>
      <c r="G104" s="1357">
        <v>776499</v>
      </c>
      <c r="H104" s="1357">
        <v>-30840</v>
      </c>
      <c r="I104" s="1357">
        <v>652425</v>
      </c>
      <c r="J104" s="1357">
        <v>575645</v>
      </c>
      <c r="K104" s="1357"/>
      <c r="L104" s="1357"/>
      <c r="M104" s="1357">
        <v>26521.076250000002</v>
      </c>
      <c r="N104" s="1356"/>
      <c r="O104" s="1369">
        <v>2006</v>
      </c>
      <c r="P104" s="1357"/>
      <c r="Q104" s="1356">
        <f t="shared" si="26"/>
        <v>31564.68435</v>
      </c>
    </row>
    <row r="105" spans="2:20">
      <c r="B105" s="1369">
        <v>2007</v>
      </c>
      <c r="C105" s="1356"/>
      <c r="D105" s="1357">
        <v>1414941</v>
      </c>
      <c r="E105" s="1357">
        <v>1490854</v>
      </c>
      <c r="F105" s="1357">
        <v>1684634</v>
      </c>
      <c r="G105" s="1357">
        <v>866990</v>
      </c>
      <c r="H105" s="1357">
        <v>57356</v>
      </c>
      <c r="I105" s="1357">
        <v>478162</v>
      </c>
      <c r="J105" s="1357">
        <v>518289</v>
      </c>
      <c r="K105" s="1357"/>
      <c r="L105" s="1357"/>
      <c r="M105" s="1357">
        <v>19437.2853</v>
      </c>
      <c r="N105" s="1356"/>
      <c r="O105" s="1369">
        <v>2007</v>
      </c>
      <c r="P105" s="1357"/>
      <c r="Q105" s="1356">
        <f t="shared" si="26"/>
        <v>35243.143499999998</v>
      </c>
    </row>
    <row r="106" spans="2:20">
      <c r="B106" s="1369">
        <v>2008</v>
      </c>
      <c r="C106" s="1356"/>
      <c r="D106" s="1357">
        <v>1378734</v>
      </c>
      <c r="E106" s="1357">
        <v>1983787</v>
      </c>
      <c r="F106" s="1357">
        <v>2243897</v>
      </c>
      <c r="G106" s="1357">
        <v>668231</v>
      </c>
      <c r="H106" s="1357">
        <v>37951</v>
      </c>
      <c r="I106" s="1357">
        <v>378589</v>
      </c>
      <c r="J106" s="1357">
        <v>480338</v>
      </c>
      <c r="K106" s="1357"/>
      <c r="L106" s="1357"/>
      <c r="M106" s="1357">
        <v>15389.64285</v>
      </c>
      <c r="N106" s="1356"/>
      <c r="O106" s="1369">
        <v>2008</v>
      </c>
      <c r="P106" s="1357"/>
      <c r="Q106" s="1356">
        <f t="shared" si="26"/>
        <v>27163.59015</v>
      </c>
    </row>
    <row r="107" spans="2:20">
      <c r="B107" s="1369">
        <v>2009</v>
      </c>
      <c r="C107" s="1356"/>
      <c r="D107" s="1357">
        <v>1264955</v>
      </c>
      <c r="E107" s="1357">
        <v>1212733</v>
      </c>
      <c r="F107" s="1357">
        <v>1887604</v>
      </c>
      <c r="G107" s="1357">
        <v>272845</v>
      </c>
      <c r="H107" s="1357">
        <v>-110122</v>
      </c>
      <c r="I107" s="1357">
        <v>366534</v>
      </c>
      <c r="J107" s="1357">
        <v>590460</v>
      </c>
      <c r="K107" s="1357"/>
      <c r="L107" s="1357"/>
      <c r="M107" s="1357">
        <v>14899.607099999999</v>
      </c>
      <c r="N107" s="1356"/>
      <c r="O107" s="1369">
        <v>2009</v>
      </c>
      <c r="P107" s="1357"/>
      <c r="Q107" s="1356">
        <f t="shared" si="26"/>
        <v>11091.14925</v>
      </c>
    </row>
    <row r="108" spans="2:20">
      <c r="B108" s="1369">
        <v>2010</v>
      </c>
      <c r="C108" s="1356"/>
      <c r="D108" s="1357">
        <v>1191709</v>
      </c>
      <c r="E108" s="1357">
        <v>2534699</v>
      </c>
      <c r="F108" s="1357">
        <v>2802507</v>
      </c>
      <c r="G108" s="1357">
        <v>430342</v>
      </c>
      <c r="H108" s="1357">
        <v>-279793</v>
      </c>
      <c r="I108" s="1357">
        <v>339955</v>
      </c>
      <c r="J108" s="1357">
        <v>870253</v>
      </c>
      <c r="K108" s="1357"/>
      <c r="L108" s="1357"/>
      <c r="M108" s="1357">
        <v>13819.170749999997</v>
      </c>
      <c r="N108" s="1356"/>
      <c r="O108" s="1369">
        <v>2010</v>
      </c>
      <c r="P108" s="1357"/>
      <c r="Q108" s="1356">
        <f t="shared" si="26"/>
        <v>17493.402300000002</v>
      </c>
    </row>
    <row r="109" spans="2:20">
      <c r="B109" s="1369">
        <v>2011</v>
      </c>
      <c r="C109" s="1356"/>
      <c r="D109" s="1357">
        <v>1146521</v>
      </c>
      <c r="E109" s="1357">
        <v>2039818</v>
      </c>
      <c r="F109" s="1357">
        <v>2891147</v>
      </c>
      <c r="G109" s="1357">
        <v>465164</v>
      </c>
      <c r="H109" s="1357">
        <v>333919</v>
      </c>
      <c r="I109" s="1357">
        <v>199413</v>
      </c>
      <c r="J109" s="1357">
        <v>536334</v>
      </c>
      <c r="K109" s="1357"/>
      <c r="L109" s="1357"/>
      <c r="M109" s="1357">
        <v>8106.1384499999995</v>
      </c>
      <c r="N109" s="1356"/>
      <c r="O109" s="1369">
        <v>2011</v>
      </c>
      <c r="P109" s="1357"/>
      <c r="Q109" s="1356">
        <f t="shared" si="26"/>
        <v>18908.916599999997</v>
      </c>
      <c r="S109" s="512" t="s">
        <v>1541</v>
      </c>
    </row>
    <row r="110" spans="2:20">
      <c r="B110" s="1369">
        <v>2012</v>
      </c>
      <c r="C110" s="1356"/>
      <c r="D110" s="1357">
        <v>1311520</v>
      </c>
      <c r="E110" s="1357">
        <v>1724769</v>
      </c>
      <c r="F110" s="1357">
        <v>2642802</v>
      </c>
      <c r="G110" s="1357">
        <v>277452</v>
      </c>
      <c r="H110" s="1357">
        <v>74932</v>
      </c>
      <c r="I110" s="1357">
        <v>212827</v>
      </c>
      <c r="J110" s="1357">
        <v>461402</v>
      </c>
      <c r="K110" s="1357"/>
      <c r="L110" s="1357"/>
      <c r="M110" s="1357">
        <v>8651.4175500000001</v>
      </c>
      <c r="N110" s="1356"/>
      <c r="O110" s="1369">
        <v>2012</v>
      </c>
      <c r="P110" s="1357"/>
      <c r="Q110" s="1356">
        <f t="shared" si="26"/>
        <v>11278.423799999999</v>
      </c>
      <c r="S110" s="512">
        <f>AVERAGE(Q103:Q115)/1000</f>
        <v>18.200208865384614</v>
      </c>
      <c r="T110" s="512" t="s">
        <v>44</v>
      </c>
    </row>
    <row r="111" spans="2:20">
      <c r="B111" s="1369">
        <v>2013</v>
      </c>
      <c r="C111" s="1356"/>
      <c r="D111" s="1357">
        <v>1212797</v>
      </c>
      <c r="E111" s="1357">
        <v>2952853</v>
      </c>
      <c r="F111" s="1357">
        <v>3446192</v>
      </c>
      <c r="G111" s="1357">
        <v>374085</v>
      </c>
      <c r="H111" s="1357">
        <v>-192413</v>
      </c>
      <c r="I111" s="1357">
        <v>201973</v>
      </c>
      <c r="J111" s="1357">
        <v>653815</v>
      </c>
      <c r="K111" s="1357"/>
      <c r="L111" s="1369"/>
      <c r="M111" s="1357">
        <v>8210.2024499999989</v>
      </c>
      <c r="N111" s="1357"/>
      <c r="O111" s="1369">
        <v>2013</v>
      </c>
      <c r="P111" s="1357"/>
      <c r="Q111" s="1356">
        <f t="shared" si="26"/>
        <v>15206.555249999999</v>
      </c>
    </row>
    <row r="112" spans="2:20">
      <c r="B112" s="1369">
        <v>2014</v>
      </c>
      <c r="C112" s="1356"/>
      <c r="D112" s="1357">
        <v>1242319</v>
      </c>
      <c r="E112" s="1357">
        <v>3316164</v>
      </c>
      <c r="F112" s="1357">
        <v>3858641</v>
      </c>
      <c r="G112" s="1357">
        <v>448802</v>
      </c>
      <c r="H112" s="1357">
        <v>-137673</v>
      </c>
      <c r="I112" s="1357">
        <v>115453</v>
      </c>
      <c r="J112" s="1357">
        <v>791488</v>
      </c>
      <c r="K112" s="1357"/>
      <c r="L112" s="1369"/>
      <c r="M112" s="1357">
        <v>4693.1644500000002</v>
      </c>
      <c r="N112" s="1357"/>
      <c r="O112" s="1369">
        <v>2014</v>
      </c>
      <c r="P112" s="1357"/>
      <c r="Q112" s="1356">
        <f t="shared" si="26"/>
        <v>18243.801299999999</v>
      </c>
    </row>
    <row r="113" spans="2:17">
      <c r="B113" s="1369">
        <v>2015</v>
      </c>
      <c r="C113" s="1356"/>
      <c r="D113" s="1357">
        <v>1329802</v>
      </c>
      <c r="E113" s="1357">
        <v>3873277</v>
      </c>
      <c r="F113" s="1357">
        <v>4551660</v>
      </c>
      <c r="G113" s="1357">
        <v>334088</v>
      </c>
      <c r="H113" s="1357">
        <v>-284198</v>
      </c>
      <c r="I113" s="1357">
        <v>80527</v>
      </c>
      <c r="J113" s="1357">
        <v>1075686</v>
      </c>
      <c r="K113" s="1357"/>
      <c r="L113" s="1357"/>
      <c r="M113" s="1357">
        <v>3273.4225500000002</v>
      </c>
      <c r="N113" s="1357"/>
      <c r="O113" s="1369">
        <v>2015</v>
      </c>
      <c r="P113" s="1357"/>
      <c r="Q113" s="1356">
        <f t="shared" si="26"/>
        <v>13580.6772</v>
      </c>
    </row>
    <row r="114" spans="2:17">
      <c r="B114" s="1369">
        <v>2016</v>
      </c>
      <c r="C114" s="1356"/>
      <c r="D114" s="1357">
        <v>1189942</v>
      </c>
      <c r="E114" s="1357">
        <v>3412173</v>
      </c>
      <c r="F114" s="1357">
        <v>4526569</v>
      </c>
      <c r="G114" s="1357">
        <v>260450</v>
      </c>
      <c r="H114" s="1357">
        <v>194136</v>
      </c>
      <c r="I114" s="1357">
        <v>77517</v>
      </c>
      <c r="J114" s="1357">
        <v>881550</v>
      </c>
      <c r="K114" s="1357"/>
      <c r="L114" s="1357"/>
      <c r="M114" s="1357">
        <v>3151.0660500000004</v>
      </c>
      <c r="N114" s="1357"/>
      <c r="O114" s="1369">
        <v>2016</v>
      </c>
      <c r="P114" s="1356"/>
      <c r="Q114" s="1356">
        <f t="shared" si="26"/>
        <v>10587.2925</v>
      </c>
    </row>
    <row r="115" spans="2:17">
      <c r="B115" s="1369">
        <v>2017</v>
      </c>
      <c r="C115" s="1356"/>
      <c r="D115" s="1357">
        <v>1176668</v>
      </c>
      <c r="E115" s="1357">
        <v>980498</v>
      </c>
      <c r="F115" s="1357">
        <v>2444920</v>
      </c>
      <c r="G115" s="1357">
        <v>139003</v>
      </c>
      <c r="H115" s="1357">
        <v>483261</v>
      </c>
      <c r="I115" s="1357">
        <v>61297</v>
      </c>
      <c r="J115" s="1357">
        <v>398289</v>
      </c>
      <c r="K115" s="1357"/>
      <c r="L115" s="1370"/>
      <c r="M115" s="1357">
        <v>2491.7230500000001</v>
      </c>
      <c r="N115" s="1371"/>
      <c r="O115" s="1369">
        <v>2017</v>
      </c>
      <c r="P115" s="1356"/>
      <c r="Q115" s="1356">
        <f t="shared" si="26"/>
        <v>5650.4719500000001</v>
      </c>
    </row>
  </sheetData>
  <mergeCells count="1">
    <mergeCell ref="J59:L59"/>
  </mergeCells>
  <pageMargins left="0.7" right="0.7" top="0.75" bottom="0.75" header="0.3" footer="0.3"/>
  <pageSetup orientation="portrait" horizontalDpi="1200" verticalDpi="1200"/>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theme="0" tint="-0.14999847407452621"/>
  </sheetPr>
  <dimension ref="A1:X76"/>
  <sheetViews>
    <sheetView zoomScale="70" zoomScaleNormal="70" workbookViewId="0">
      <selection activeCell="J42" sqref="J42"/>
    </sheetView>
  </sheetViews>
  <sheetFormatPr defaultRowHeight="12.75"/>
  <cols>
    <col min="1" max="1" width="35" customWidth="1"/>
    <col min="2" max="2" width="7.28515625" bestFit="1" customWidth="1"/>
    <col min="7" max="7" width="12.140625" customWidth="1"/>
    <col min="8" max="8" width="12.5703125" bestFit="1" customWidth="1"/>
    <col min="9" max="9" width="13" customWidth="1"/>
    <col min="10" max="10" width="12" bestFit="1" customWidth="1"/>
    <col min="11" max="11" width="9.5703125" bestFit="1" customWidth="1"/>
    <col min="12" max="12" width="10.85546875" bestFit="1" customWidth="1"/>
    <col min="14" max="14" width="10" bestFit="1" customWidth="1"/>
    <col min="17" max="17" width="12" bestFit="1" customWidth="1"/>
    <col min="18" max="18" width="22.7109375" bestFit="1" customWidth="1"/>
    <col min="19" max="19" width="10" bestFit="1" customWidth="1"/>
    <col min="21" max="21" width="13" customWidth="1"/>
    <col min="22" max="22" width="9.5703125" bestFit="1" customWidth="1"/>
  </cols>
  <sheetData>
    <row r="1" spans="1:13">
      <c r="A1" t="s">
        <v>154</v>
      </c>
    </row>
    <row r="3" spans="1:13">
      <c r="A3" s="1696" t="s">
        <v>179</v>
      </c>
      <c r="B3" s="1697"/>
      <c r="C3" s="1697"/>
      <c r="D3" s="1697"/>
      <c r="E3" s="1697"/>
      <c r="F3" s="1697"/>
      <c r="G3" s="1697"/>
      <c r="H3" s="1697"/>
      <c r="I3" s="1697"/>
      <c r="J3" s="1697"/>
      <c r="K3" s="1697"/>
      <c r="L3" s="1697"/>
      <c r="M3" s="1698"/>
    </row>
    <row r="4" spans="1:13">
      <c r="A4" s="216"/>
      <c r="B4" s="217" t="s">
        <v>180</v>
      </c>
      <c r="C4" s="217" t="s">
        <v>181</v>
      </c>
      <c r="D4" s="217" t="s">
        <v>182</v>
      </c>
      <c r="E4" s="217" t="s">
        <v>183</v>
      </c>
      <c r="F4" s="217" t="s">
        <v>184</v>
      </c>
      <c r="G4" s="217" t="s">
        <v>185</v>
      </c>
      <c r="H4" s="217" t="s">
        <v>186</v>
      </c>
      <c r="I4" s="217" t="s">
        <v>187</v>
      </c>
      <c r="J4" s="217" t="s">
        <v>188</v>
      </c>
      <c r="K4" s="217" t="s">
        <v>189</v>
      </c>
      <c r="L4" s="217" t="s">
        <v>190</v>
      </c>
      <c r="M4" s="218" t="s">
        <v>191</v>
      </c>
    </row>
    <row r="5" spans="1:13">
      <c r="A5" s="528" t="s">
        <v>192</v>
      </c>
      <c r="B5" s="217"/>
      <c r="C5" s="217"/>
      <c r="D5" s="217"/>
      <c r="E5" s="217"/>
      <c r="F5" s="217"/>
      <c r="G5" s="217"/>
      <c r="H5" s="217"/>
      <c r="I5" s="217"/>
      <c r="J5" s="217"/>
      <c r="K5" s="217"/>
      <c r="L5" s="217"/>
      <c r="M5" s="218"/>
    </row>
    <row r="6" spans="1:13">
      <c r="A6" s="216" t="s">
        <v>193</v>
      </c>
      <c r="B6" s="217">
        <v>34856</v>
      </c>
      <c r="C6" s="217">
        <v>43714</v>
      </c>
      <c r="D6" s="217">
        <v>44766</v>
      </c>
      <c r="E6" s="217">
        <v>42344</v>
      </c>
      <c r="F6" s="217">
        <v>38141</v>
      </c>
      <c r="G6" s="217">
        <v>48220</v>
      </c>
      <c r="H6" s="217">
        <v>42508</v>
      </c>
      <c r="I6" s="217">
        <v>49113</v>
      </c>
      <c r="J6" s="217">
        <v>38664</v>
      </c>
      <c r="K6" s="217">
        <v>45981</v>
      </c>
      <c r="L6" s="217">
        <v>45365</v>
      </c>
      <c r="M6" s="218">
        <v>46347</v>
      </c>
    </row>
    <row r="7" spans="1:13">
      <c r="A7" s="216" t="s">
        <v>194</v>
      </c>
      <c r="B7" s="217">
        <v>32578</v>
      </c>
      <c r="C7" s="217">
        <v>41627</v>
      </c>
      <c r="D7" s="217">
        <v>42867</v>
      </c>
      <c r="E7" s="217">
        <v>39657</v>
      </c>
      <c r="F7" s="217">
        <v>35803</v>
      </c>
      <c r="G7" s="217">
        <v>46053</v>
      </c>
      <c r="H7" s="217">
        <v>40548</v>
      </c>
      <c r="I7" s="217">
        <v>46981</v>
      </c>
      <c r="J7" s="217">
        <v>36171</v>
      </c>
      <c r="K7" s="217">
        <v>43760</v>
      </c>
      <c r="L7" s="217">
        <v>43223</v>
      </c>
      <c r="M7" s="218">
        <v>44044</v>
      </c>
    </row>
    <row r="8" spans="1:13">
      <c r="A8" s="216" t="s">
        <v>195</v>
      </c>
      <c r="B8" s="217">
        <v>25155</v>
      </c>
      <c r="C8" s="217">
        <v>34288</v>
      </c>
      <c r="D8" s="217">
        <v>34640</v>
      </c>
      <c r="E8" s="217">
        <v>30872</v>
      </c>
      <c r="F8" s="217">
        <v>28736</v>
      </c>
      <c r="G8" s="217">
        <v>36048</v>
      </c>
      <c r="H8" s="217">
        <v>31415</v>
      </c>
      <c r="I8" s="217">
        <v>40227</v>
      </c>
      <c r="J8" s="217">
        <v>29849</v>
      </c>
      <c r="K8" s="217">
        <v>34290</v>
      </c>
      <c r="L8" s="217">
        <v>36325</v>
      </c>
      <c r="M8" s="218">
        <v>34262</v>
      </c>
    </row>
    <row r="9" spans="1:13">
      <c r="A9" s="216" t="s">
        <v>196</v>
      </c>
      <c r="B9" s="217">
        <v>7423</v>
      </c>
      <c r="C9" s="217">
        <v>7339</v>
      </c>
      <c r="D9" s="217">
        <v>8227</v>
      </c>
      <c r="E9" s="217">
        <v>8786</v>
      </c>
      <c r="F9" s="217">
        <v>7067</v>
      </c>
      <c r="G9" s="217">
        <v>10006</v>
      </c>
      <c r="H9" s="217">
        <v>9133</v>
      </c>
      <c r="I9" s="217">
        <v>6754</v>
      </c>
      <c r="J9" s="217">
        <v>6321</v>
      </c>
      <c r="K9" s="217">
        <v>9470</v>
      </c>
      <c r="L9" s="217">
        <v>6898</v>
      </c>
      <c r="M9" s="218">
        <v>9782</v>
      </c>
    </row>
    <row r="10" spans="1:13">
      <c r="A10" s="216" t="s">
        <v>197</v>
      </c>
      <c r="B10" s="217">
        <v>2278</v>
      </c>
      <c r="C10" s="217">
        <v>2087</v>
      </c>
      <c r="D10" s="217">
        <v>1899</v>
      </c>
      <c r="E10" s="217">
        <v>2687</v>
      </c>
      <c r="F10" s="217">
        <v>2338</v>
      </c>
      <c r="G10" s="217">
        <v>2167</v>
      </c>
      <c r="H10" s="217">
        <v>1960</v>
      </c>
      <c r="I10" s="217">
        <v>2132</v>
      </c>
      <c r="J10" s="217">
        <v>2493</v>
      </c>
      <c r="K10" s="217">
        <v>2221</v>
      </c>
      <c r="L10" s="217">
        <v>2142</v>
      </c>
      <c r="M10" s="218">
        <v>2304</v>
      </c>
    </row>
    <row r="11" spans="1:13">
      <c r="A11" s="216" t="s">
        <v>198</v>
      </c>
      <c r="B11" s="217">
        <v>709</v>
      </c>
      <c r="C11" s="217">
        <v>696</v>
      </c>
      <c r="D11" s="217">
        <v>565</v>
      </c>
      <c r="E11" s="217">
        <v>879</v>
      </c>
      <c r="F11" s="217">
        <v>709</v>
      </c>
      <c r="G11" s="217">
        <v>738</v>
      </c>
      <c r="H11" s="217">
        <v>587</v>
      </c>
      <c r="I11" s="217">
        <v>624</v>
      </c>
      <c r="J11" s="217">
        <v>863</v>
      </c>
      <c r="K11" s="217">
        <v>585</v>
      </c>
      <c r="L11" s="217">
        <v>591</v>
      </c>
      <c r="M11" s="218">
        <v>660</v>
      </c>
    </row>
    <row r="12" spans="1:13">
      <c r="A12" s="216" t="s">
        <v>199</v>
      </c>
      <c r="B12" s="217">
        <v>1007</v>
      </c>
      <c r="C12" s="217">
        <v>1018</v>
      </c>
      <c r="D12" s="217">
        <v>853</v>
      </c>
      <c r="E12" s="217">
        <v>1166</v>
      </c>
      <c r="F12" s="217">
        <v>1098</v>
      </c>
      <c r="G12" s="217">
        <v>836</v>
      </c>
      <c r="H12" s="217">
        <v>816</v>
      </c>
      <c r="I12" s="217">
        <v>1001</v>
      </c>
      <c r="J12" s="217">
        <v>968</v>
      </c>
      <c r="K12" s="217">
        <v>1140</v>
      </c>
      <c r="L12" s="217">
        <v>882</v>
      </c>
      <c r="M12" s="218">
        <v>789</v>
      </c>
    </row>
    <row r="13" spans="1:13">
      <c r="A13" s="216" t="s">
        <v>200</v>
      </c>
      <c r="B13" s="217">
        <v>562</v>
      </c>
      <c r="C13" s="217">
        <v>373</v>
      </c>
      <c r="D13" s="217">
        <v>481</v>
      </c>
      <c r="E13" s="217">
        <v>642</v>
      </c>
      <c r="F13" s="217">
        <v>531</v>
      </c>
      <c r="G13" s="217">
        <v>593</v>
      </c>
      <c r="H13" s="217">
        <v>557</v>
      </c>
      <c r="I13" s="217">
        <v>507</v>
      </c>
      <c r="J13" s="217">
        <v>662</v>
      </c>
      <c r="K13" s="217">
        <v>496</v>
      </c>
      <c r="L13" s="217">
        <v>670</v>
      </c>
      <c r="M13" s="218">
        <v>855</v>
      </c>
    </row>
    <row r="14" spans="1:13">
      <c r="A14" s="528" t="s">
        <v>201</v>
      </c>
      <c r="B14" s="217"/>
      <c r="C14" s="217"/>
      <c r="D14" s="217"/>
      <c r="E14" s="217"/>
      <c r="F14" s="217"/>
      <c r="G14" s="217"/>
      <c r="H14" s="217"/>
      <c r="I14" s="217"/>
      <c r="J14" s="217"/>
      <c r="K14" s="217"/>
      <c r="L14" s="217"/>
      <c r="M14" s="218"/>
    </row>
    <row r="15" spans="1:13">
      <c r="A15" s="216" t="s">
        <v>193</v>
      </c>
      <c r="B15" s="217">
        <v>3380</v>
      </c>
      <c r="C15" s="217">
        <v>3857</v>
      </c>
      <c r="D15" s="217">
        <v>3826</v>
      </c>
      <c r="E15" s="217">
        <v>3955</v>
      </c>
      <c r="F15" s="217">
        <v>3713</v>
      </c>
      <c r="G15" s="217">
        <v>4419</v>
      </c>
      <c r="H15" s="217">
        <v>3776</v>
      </c>
      <c r="I15" s="217">
        <v>4212</v>
      </c>
      <c r="J15" s="217">
        <v>4158</v>
      </c>
      <c r="K15" s="217">
        <v>3899</v>
      </c>
      <c r="L15" s="217">
        <v>4291</v>
      </c>
      <c r="M15" s="218">
        <v>4331</v>
      </c>
    </row>
    <row r="16" spans="1:13">
      <c r="A16" s="216" t="s">
        <v>194</v>
      </c>
      <c r="B16" s="217">
        <v>2332</v>
      </c>
      <c r="C16" s="217">
        <v>2740</v>
      </c>
      <c r="D16" s="217">
        <v>2732</v>
      </c>
      <c r="E16" s="217">
        <v>2769</v>
      </c>
      <c r="F16" s="217">
        <v>2696</v>
      </c>
      <c r="G16" s="217">
        <v>3367</v>
      </c>
      <c r="H16" s="217">
        <v>2777</v>
      </c>
      <c r="I16" s="217">
        <v>3185</v>
      </c>
      <c r="J16" s="217">
        <v>2881</v>
      </c>
      <c r="K16" s="217">
        <v>2971</v>
      </c>
      <c r="L16" s="217">
        <v>3227</v>
      </c>
      <c r="M16" s="218">
        <v>3212</v>
      </c>
    </row>
    <row r="17" spans="1:24">
      <c r="A17" s="216" t="s">
        <v>195</v>
      </c>
      <c r="B17" s="217">
        <v>1896</v>
      </c>
      <c r="C17" s="217">
        <v>2299</v>
      </c>
      <c r="D17" s="217">
        <v>2288</v>
      </c>
      <c r="E17" s="217">
        <v>2237</v>
      </c>
      <c r="F17" s="217">
        <v>2271</v>
      </c>
      <c r="G17" s="217">
        <v>2822</v>
      </c>
      <c r="H17" s="217">
        <v>2351</v>
      </c>
      <c r="I17" s="217">
        <v>2749</v>
      </c>
      <c r="J17" s="217">
        <v>2476</v>
      </c>
      <c r="K17" s="217">
        <v>2501</v>
      </c>
      <c r="L17" s="217">
        <v>2744</v>
      </c>
      <c r="M17" s="218">
        <v>2618</v>
      </c>
    </row>
    <row r="18" spans="1:24">
      <c r="A18" s="216" t="s">
        <v>196</v>
      </c>
      <c r="B18" s="217">
        <v>436</v>
      </c>
      <c r="C18" s="217">
        <v>441</v>
      </c>
      <c r="D18" s="217">
        <v>444</v>
      </c>
      <c r="E18" s="217">
        <v>532</v>
      </c>
      <c r="F18" s="217">
        <v>425</v>
      </c>
      <c r="G18" s="217">
        <v>545</v>
      </c>
      <c r="H18" s="217">
        <v>426</v>
      </c>
      <c r="I18" s="217">
        <v>436</v>
      </c>
      <c r="J18" s="217">
        <v>405</v>
      </c>
      <c r="K18" s="217">
        <v>470</v>
      </c>
      <c r="L18" s="217">
        <v>483</v>
      </c>
      <c r="M18" s="218">
        <v>594</v>
      </c>
      <c r="O18" s="515" t="s">
        <v>642</v>
      </c>
      <c r="P18" s="217" t="s">
        <v>498</v>
      </c>
      <c r="Q18" s="516">
        <v>100.27</v>
      </c>
      <c r="R18" s="444" t="s">
        <v>644</v>
      </c>
    </row>
    <row r="19" spans="1:24">
      <c r="A19" s="216" t="s">
        <v>197</v>
      </c>
      <c r="B19" s="217">
        <v>1048</v>
      </c>
      <c r="C19" s="217">
        <v>1117</v>
      </c>
      <c r="D19" s="217">
        <v>1095</v>
      </c>
      <c r="E19" s="217">
        <v>1185</v>
      </c>
      <c r="F19" s="217">
        <v>1017</v>
      </c>
      <c r="G19" s="217">
        <v>1053</v>
      </c>
      <c r="H19" s="217">
        <v>999</v>
      </c>
      <c r="I19" s="217">
        <v>1026</v>
      </c>
      <c r="J19" s="217">
        <v>1276</v>
      </c>
      <c r="K19" s="217">
        <v>928</v>
      </c>
      <c r="L19" s="217">
        <v>1064</v>
      </c>
      <c r="M19" s="218">
        <v>1119</v>
      </c>
      <c r="O19" s="444" t="s">
        <v>646</v>
      </c>
      <c r="Q19" s="215">
        <v>88.3</v>
      </c>
    </row>
    <row r="20" spans="1:24">
      <c r="A20" s="216" t="s">
        <v>198</v>
      </c>
      <c r="B20" s="217">
        <v>380</v>
      </c>
      <c r="C20" s="217">
        <v>348</v>
      </c>
      <c r="D20" s="217">
        <v>338</v>
      </c>
      <c r="E20" s="217">
        <v>403</v>
      </c>
      <c r="F20" s="217">
        <v>341</v>
      </c>
      <c r="G20" s="217">
        <v>374</v>
      </c>
      <c r="H20" s="217">
        <v>331</v>
      </c>
      <c r="I20" s="217">
        <v>342</v>
      </c>
      <c r="J20" s="217">
        <v>455</v>
      </c>
      <c r="K20" s="217">
        <v>283</v>
      </c>
      <c r="L20" s="217">
        <v>360</v>
      </c>
      <c r="M20" s="218">
        <v>355</v>
      </c>
      <c r="O20" s="515" t="s">
        <v>643</v>
      </c>
      <c r="P20" s="217" t="s">
        <v>498</v>
      </c>
      <c r="Q20" s="9">
        <f>Q18/88.3</f>
        <v>1.1355605889014722</v>
      </c>
      <c r="R20" s="444" t="s">
        <v>645</v>
      </c>
    </row>
    <row r="21" spans="1:24">
      <c r="A21" s="216" t="s">
        <v>199</v>
      </c>
      <c r="B21" s="217">
        <v>456</v>
      </c>
      <c r="C21" s="217">
        <v>535</v>
      </c>
      <c r="D21" s="217">
        <v>539</v>
      </c>
      <c r="E21" s="217">
        <v>503</v>
      </c>
      <c r="F21" s="217">
        <v>448</v>
      </c>
      <c r="G21" s="217">
        <v>451</v>
      </c>
      <c r="H21" s="217">
        <v>432</v>
      </c>
      <c r="I21" s="217">
        <v>460</v>
      </c>
      <c r="J21" s="217">
        <v>547</v>
      </c>
      <c r="K21" s="217">
        <v>456</v>
      </c>
      <c r="L21" s="217">
        <v>427</v>
      </c>
      <c r="M21" s="218">
        <v>449</v>
      </c>
      <c r="O21" s="444" t="s">
        <v>654</v>
      </c>
      <c r="Q21" s="9">
        <v>0.74885844748858443</v>
      </c>
      <c r="R21" t="s">
        <v>653</v>
      </c>
    </row>
    <row r="22" spans="1:24">
      <c r="A22" s="216" t="s">
        <v>200</v>
      </c>
      <c r="B22" s="217">
        <v>212</v>
      </c>
      <c r="C22" s="217">
        <v>234</v>
      </c>
      <c r="D22" s="217">
        <v>218</v>
      </c>
      <c r="E22" s="217">
        <v>279</v>
      </c>
      <c r="F22" s="217">
        <v>229</v>
      </c>
      <c r="G22" s="217">
        <v>228</v>
      </c>
      <c r="H22" s="217">
        <v>236</v>
      </c>
      <c r="I22" s="217">
        <v>225</v>
      </c>
      <c r="J22" s="217">
        <v>275</v>
      </c>
      <c r="K22" s="217">
        <v>188</v>
      </c>
      <c r="L22" s="217">
        <v>277</v>
      </c>
      <c r="M22" s="218">
        <v>315</v>
      </c>
      <c r="O22" s="515" t="s">
        <v>709</v>
      </c>
      <c r="Q22">
        <v>0.6</v>
      </c>
    </row>
    <row r="23" spans="1:24">
      <c r="A23" s="216"/>
      <c r="B23" s="217"/>
      <c r="C23" s="217"/>
      <c r="D23" s="217"/>
      <c r="E23" s="217"/>
      <c r="F23" s="217"/>
      <c r="G23" s="217"/>
      <c r="H23" s="217"/>
      <c r="I23" s="217"/>
      <c r="J23" s="217"/>
      <c r="K23" s="217"/>
      <c r="L23" s="217"/>
      <c r="M23" s="218"/>
      <c r="O23" s="444" t="s">
        <v>710</v>
      </c>
      <c r="Q23" s="9">
        <f>(AVI!H6*AVI!S6+AVI!H9*AVI!S9)/(AVI!S6+AVI!S9)</f>
        <v>23.224030575641571</v>
      </c>
    </row>
    <row r="24" spans="1:24">
      <c r="A24" s="221" t="s">
        <v>202</v>
      </c>
      <c r="B24" s="224"/>
      <c r="C24" s="224"/>
      <c r="D24" s="224"/>
      <c r="E24" s="224"/>
      <c r="F24" s="224"/>
      <c r="G24" s="224"/>
      <c r="H24" s="224"/>
      <c r="I24" s="224"/>
      <c r="J24" s="224"/>
      <c r="K24" s="224"/>
      <c r="L24" s="224"/>
      <c r="M24" s="223"/>
      <c r="T24" s="444" t="s">
        <v>641</v>
      </c>
    </row>
    <row r="25" spans="1:24">
      <c r="T25" s="9">
        <f>T28/S28</f>
        <v>18.104166666666668</v>
      </c>
    </row>
    <row r="27" spans="1:24" ht="15">
      <c r="A27" s="1699" t="s">
        <v>220</v>
      </c>
      <c r="B27" s="1700"/>
      <c r="C27" s="1700"/>
      <c r="D27" s="1700"/>
      <c r="E27" s="1700"/>
      <c r="F27" s="1701"/>
      <c r="H27" s="524" t="s">
        <v>639</v>
      </c>
      <c r="I27" s="497"/>
      <c r="J27" s="525" t="s">
        <v>120</v>
      </c>
      <c r="K27" s="525" t="s">
        <v>216</v>
      </c>
      <c r="L27" s="526" t="s">
        <v>217</v>
      </c>
      <c r="R27" s="524"/>
      <c r="S27" s="525" t="s">
        <v>629</v>
      </c>
      <c r="T27" s="526" t="s">
        <v>630</v>
      </c>
      <c r="U27" s="585" t="s">
        <v>487</v>
      </c>
      <c r="V27" s="585" t="s">
        <v>612</v>
      </c>
      <c r="W27" s="585" t="s">
        <v>613</v>
      </c>
    </row>
    <row r="28" spans="1:24" ht="15">
      <c r="A28" s="216" t="s">
        <v>616</v>
      </c>
      <c r="B28" s="217">
        <v>2010</v>
      </c>
      <c r="C28" s="217">
        <v>2011</v>
      </c>
      <c r="D28" s="217">
        <v>2012</v>
      </c>
      <c r="E28" s="479" t="s">
        <v>613</v>
      </c>
      <c r="F28" s="477" t="s">
        <v>611</v>
      </c>
      <c r="H28" s="529" t="s">
        <v>640</v>
      </c>
      <c r="I28" s="509" t="s">
        <v>486</v>
      </c>
      <c r="J28" s="510">
        <v>13353000</v>
      </c>
      <c r="K28" s="510">
        <v>2374000</v>
      </c>
      <c r="L28" s="511">
        <v>10979000</v>
      </c>
      <c r="Q28" s="486"/>
      <c r="R28" s="504" t="s">
        <v>631</v>
      </c>
      <c r="S28" s="505">
        <f>SUM(S29:S35)</f>
        <v>1152</v>
      </c>
      <c r="T28" s="505">
        <f>SUM(T29:T35)</f>
        <v>20856</v>
      </c>
      <c r="U28" s="586">
        <v>1132</v>
      </c>
      <c r="V28" s="586">
        <v>1111</v>
      </c>
      <c r="W28" s="586">
        <v>1069</v>
      </c>
    </row>
    <row r="29" spans="1:24" ht="15">
      <c r="A29" s="235" t="s">
        <v>120</v>
      </c>
      <c r="B29" s="217"/>
      <c r="C29" s="217"/>
      <c r="D29" s="217"/>
      <c r="E29" s="217"/>
      <c r="F29" s="218"/>
      <c r="K29" s="426">
        <f>K28/$J$28</f>
        <v>0.17778776304950197</v>
      </c>
      <c r="L29" s="426">
        <f>L28/$J$28</f>
        <v>0.82221223695049805</v>
      </c>
      <c r="Q29" s="480"/>
      <c r="R29" s="504" t="s">
        <v>632</v>
      </c>
      <c r="S29" s="505">
        <v>161</v>
      </c>
      <c r="T29" s="506">
        <v>13392</v>
      </c>
      <c r="U29" s="586">
        <v>158</v>
      </c>
      <c r="V29" s="586">
        <v>156</v>
      </c>
      <c r="W29" s="586">
        <v>154</v>
      </c>
    </row>
    <row r="30" spans="1:24" ht="15">
      <c r="A30" s="216" t="s">
        <v>203</v>
      </c>
      <c r="B30" s="217">
        <v>1512</v>
      </c>
      <c r="C30" s="217">
        <v>1564</v>
      </c>
      <c r="D30" s="217">
        <v>1672</v>
      </c>
      <c r="E30" s="478">
        <v>1503</v>
      </c>
      <c r="F30" s="476">
        <v>2102</v>
      </c>
      <c r="H30" s="549" t="s">
        <v>661</v>
      </c>
      <c r="I30" s="549"/>
      <c r="J30" s="549">
        <v>13275000</v>
      </c>
      <c r="K30" s="426"/>
      <c r="L30" s="426"/>
      <c r="Q30" s="480"/>
      <c r="R30" s="504" t="s">
        <v>633</v>
      </c>
      <c r="S30" s="505">
        <v>13</v>
      </c>
      <c r="T30" s="506">
        <v>1898</v>
      </c>
      <c r="U30" s="586">
        <v>12</v>
      </c>
      <c r="V30" s="586">
        <v>14</v>
      </c>
      <c r="W30" s="586">
        <v>16</v>
      </c>
      <c r="X30" s="215"/>
    </row>
    <row r="31" spans="1:24" ht="15">
      <c r="A31" s="216" t="s">
        <v>204</v>
      </c>
      <c r="B31" s="217">
        <v>1383</v>
      </c>
      <c r="C31" s="217">
        <v>1415</v>
      </c>
      <c r="D31" s="217">
        <v>1526</v>
      </c>
      <c r="E31" s="478">
        <v>1370</v>
      </c>
      <c r="F31" s="476">
        <v>2002</v>
      </c>
      <c r="H31" t="s">
        <v>657</v>
      </c>
      <c r="K31">
        <f>26628*1000</f>
        <v>26628000</v>
      </c>
      <c r="Q31" s="480"/>
      <c r="R31" s="504" t="s">
        <v>634</v>
      </c>
      <c r="S31" s="505">
        <v>58</v>
      </c>
      <c r="T31" s="506">
        <v>1808</v>
      </c>
      <c r="U31" s="586">
        <v>54</v>
      </c>
      <c r="V31" s="586">
        <v>50</v>
      </c>
      <c r="W31" s="586">
        <v>49</v>
      </c>
    </row>
    <row r="32" spans="1:24" ht="15">
      <c r="A32" s="216" t="s">
        <v>205</v>
      </c>
      <c r="B32" s="217">
        <v>102</v>
      </c>
      <c r="C32" s="217">
        <v>142</v>
      </c>
      <c r="D32" s="217">
        <v>143</v>
      </c>
      <c r="E32" s="478">
        <v>132</v>
      </c>
      <c r="F32" s="476">
        <v>98</v>
      </c>
      <c r="H32" s="549" t="s">
        <v>658</v>
      </c>
      <c r="K32">
        <v>1512000</v>
      </c>
      <c r="Q32" s="480"/>
      <c r="R32" s="504" t="s">
        <v>635</v>
      </c>
      <c r="S32" s="505">
        <v>6</v>
      </c>
      <c r="T32" s="506">
        <v>309</v>
      </c>
      <c r="U32" s="586">
        <v>6</v>
      </c>
      <c r="V32" s="586">
        <v>5</v>
      </c>
      <c r="W32" s="586">
        <v>3</v>
      </c>
      <c r="X32" s="215"/>
    </row>
    <row r="33" spans="1:23" ht="15">
      <c r="A33" s="216" t="s">
        <v>206</v>
      </c>
      <c r="B33" s="217">
        <v>20</v>
      </c>
      <c r="C33" s="217">
        <v>4</v>
      </c>
      <c r="D33" s="217">
        <v>0</v>
      </c>
      <c r="E33" s="478">
        <v>0</v>
      </c>
      <c r="F33" s="476">
        <v>0</v>
      </c>
      <c r="Q33" s="480"/>
      <c r="R33" s="504" t="s">
        <v>636</v>
      </c>
      <c r="S33" s="505">
        <v>726</v>
      </c>
      <c r="T33" s="506">
        <v>2427</v>
      </c>
      <c r="U33" s="586">
        <v>717</v>
      </c>
      <c r="V33" s="586">
        <v>701</v>
      </c>
      <c r="W33" s="586">
        <v>668</v>
      </c>
    </row>
    <row r="34" spans="1:23" ht="15">
      <c r="A34" s="216" t="s">
        <v>207</v>
      </c>
      <c r="B34" s="217">
        <v>4</v>
      </c>
      <c r="C34" s="217">
        <v>0</v>
      </c>
      <c r="D34" s="217">
        <v>1</v>
      </c>
      <c r="E34" s="478">
        <v>0</v>
      </c>
      <c r="F34" s="476">
        <v>0</v>
      </c>
      <c r="Q34" s="480"/>
      <c r="R34" s="504" t="s">
        <v>637</v>
      </c>
      <c r="S34" s="505">
        <v>54</v>
      </c>
      <c r="T34" s="506">
        <v>327</v>
      </c>
      <c r="U34" s="586">
        <v>53</v>
      </c>
      <c r="V34" s="586">
        <v>55</v>
      </c>
      <c r="W34" s="586">
        <v>53</v>
      </c>
    </row>
    <row r="35" spans="1:23" ht="15">
      <c r="A35" s="216" t="s">
        <v>208</v>
      </c>
      <c r="B35" s="217">
        <v>0</v>
      </c>
      <c r="C35" s="217">
        <v>0</v>
      </c>
      <c r="D35" s="217">
        <v>0</v>
      </c>
      <c r="E35" s="478">
        <v>0</v>
      </c>
      <c r="F35" s="476">
        <v>0</v>
      </c>
      <c r="H35" s="542" t="s">
        <v>648</v>
      </c>
      <c r="I35" s="543"/>
      <c r="J35" s="543"/>
      <c r="K35" s="26"/>
      <c r="L35" s="26"/>
      <c r="M35" s="543" t="s">
        <v>216</v>
      </c>
      <c r="N35" s="453" t="s">
        <v>217</v>
      </c>
      <c r="Q35" s="480"/>
      <c r="R35" s="527" t="s">
        <v>638</v>
      </c>
      <c r="S35" s="510">
        <v>134</v>
      </c>
      <c r="T35" s="511">
        <v>695</v>
      </c>
      <c r="U35" s="586">
        <v>132</v>
      </c>
      <c r="V35" s="586">
        <v>130</v>
      </c>
      <c r="W35" s="586">
        <v>126</v>
      </c>
    </row>
    <row r="36" spans="1:23" ht="15">
      <c r="A36" s="216" t="s">
        <v>209</v>
      </c>
      <c r="B36" s="217">
        <v>2</v>
      </c>
      <c r="C36" s="217">
        <v>2</v>
      </c>
      <c r="D36" s="217">
        <v>1</v>
      </c>
      <c r="E36" s="478">
        <v>1</v>
      </c>
      <c r="F36" s="476">
        <v>1</v>
      </c>
      <c r="H36" s="544" t="s">
        <v>647</v>
      </c>
      <c r="I36" s="22"/>
      <c r="J36" s="22"/>
      <c r="K36" s="22"/>
      <c r="L36" s="22"/>
      <c r="M36" s="22">
        <v>470</v>
      </c>
      <c r="N36" s="425">
        <v>36388</v>
      </c>
      <c r="Q36" s="480"/>
      <c r="R36" s="480"/>
      <c r="S36" s="480"/>
      <c r="T36" s="480"/>
      <c r="U36" s="584"/>
      <c r="V36" s="584"/>
      <c r="W36" s="584"/>
    </row>
    <row r="37" spans="1:23" ht="17.100000000000001" customHeight="1">
      <c r="A37" s="216" t="s">
        <v>210</v>
      </c>
      <c r="B37" s="217">
        <v>1</v>
      </c>
      <c r="C37" s="217">
        <v>1</v>
      </c>
      <c r="D37" s="217">
        <v>0</v>
      </c>
      <c r="E37" s="478">
        <v>0</v>
      </c>
      <c r="F37" s="476">
        <v>0</v>
      </c>
      <c r="Q37" s="480"/>
      <c r="R37" s="480"/>
      <c r="S37" s="480" t="s">
        <v>705</v>
      </c>
      <c r="T37" s="514" t="s">
        <v>706</v>
      </c>
      <c r="U37" s="584"/>
      <c r="V37" s="583">
        <f>AVERAGE(U33:W33)</f>
        <v>695.33333333333337</v>
      </c>
      <c r="W37" s="584"/>
    </row>
    <row r="38" spans="1:23" ht="15">
      <c r="A38" s="216" t="s">
        <v>211</v>
      </c>
      <c r="B38" s="217">
        <v>0</v>
      </c>
      <c r="C38" s="217">
        <v>0</v>
      </c>
      <c r="D38" s="217">
        <v>0</v>
      </c>
      <c r="E38" s="478">
        <v>0</v>
      </c>
      <c r="F38" s="476">
        <v>0</v>
      </c>
      <c r="H38" s="524" t="s">
        <v>656</v>
      </c>
      <c r="I38" s="525" t="s">
        <v>216</v>
      </c>
      <c r="J38" s="526" t="s">
        <v>217</v>
      </c>
      <c r="Q38" s="480"/>
      <c r="R38" s="480" t="s">
        <v>703</v>
      </c>
      <c r="S38" s="480">
        <f>SUM(S33:S35)</f>
        <v>914</v>
      </c>
      <c r="T38" s="583">
        <f>SUM(T33:T35)/SUM(S33:S35)</f>
        <v>3.773522975929978</v>
      </c>
      <c r="U38" s="584"/>
      <c r="V38" s="583">
        <f t="shared" ref="V38:V39" si="0">AVERAGE(U34:W34)</f>
        <v>53.666666666666664</v>
      </c>
      <c r="W38" s="584"/>
    </row>
    <row r="39" spans="1:23" ht="15">
      <c r="A39" s="216" t="s">
        <v>212</v>
      </c>
      <c r="B39" s="217">
        <v>0</v>
      </c>
      <c r="C39" s="217">
        <v>0</v>
      </c>
      <c r="D39" s="217">
        <v>0</v>
      </c>
      <c r="E39" s="478">
        <v>0</v>
      </c>
      <c r="F39" s="476">
        <v>0</v>
      </c>
      <c r="H39" s="527" t="s">
        <v>203</v>
      </c>
      <c r="I39" s="510">
        <v>210000</v>
      </c>
      <c r="J39" s="511">
        <v>256000</v>
      </c>
      <c r="L39" t="s">
        <v>655</v>
      </c>
      <c r="O39">
        <f>I39+J39</f>
        <v>466000</v>
      </c>
      <c r="Q39" s="480"/>
      <c r="R39" s="480" t="s">
        <v>704</v>
      </c>
      <c r="S39" s="480">
        <f>SUM(S29:S32)</f>
        <v>238</v>
      </c>
      <c r="T39" s="583">
        <f>SUM(T29:T32)/SUM(S29:S32)</f>
        <v>73.138655462184872</v>
      </c>
      <c r="U39" s="584"/>
      <c r="V39" s="583">
        <f t="shared" si="0"/>
        <v>129.33333333333334</v>
      </c>
      <c r="W39" s="584"/>
    </row>
    <row r="40" spans="1:23" ht="15">
      <c r="A40" s="216" t="s">
        <v>213</v>
      </c>
      <c r="B40" s="217">
        <v>0</v>
      </c>
      <c r="C40" s="217">
        <v>0</v>
      </c>
      <c r="D40" s="217">
        <v>0</v>
      </c>
      <c r="E40" s="478">
        <v>0</v>
      </c>
      <c r="F40" s="476">
        <v>0</v>
      </c>
      <c r="L40" t="s">
        <v>669</v>
      </c>
      <c r="O40">
        <v>3500</v>
      </c>
      <c r="Q40" s="480"/>
      <c r="R40" s="480"/>
      <c r="S40" s="480"/>
      <c r="T40" s="480"/>
      <c r="U40" s="584"/>
      <c r="V40" s="584"/>
      <c r="W40" s="584"/>
    </row>
    <row r="41" spans="1:23" ht="15">
      <c r="A41" s="216" t="s">
        <v>214</v>
      </c>
      <c r="B41" s="217" t="s">
        <v>170</v>
      </c>
      <c r="C41" s="217" t="s">
        <v>170</v>
      </c>
      <c r="D41" s="217" t="s">
        <v>170</v>
      </c>
      <c r="E41" s="478" t="s">
        <v>170</v>
      </c>
      <c r="F41" s="476" t="s">
        <v>170</v>
      </c>
      <c r="H41" s="179" t="s">
        <v>662</v>
      </c>
      <c r="I41" s="26"/>
      <c r="J41" s="277"/>
      <c r="L41" t="s">
        <v>670</v>
      </c>
      <c r="O41">
        <v>500</v>
      </c>
      <c r="U41" s="584"/>
      <c r="V41" s="584"/>
      <c r="W41" s="584"/>
    </row>
    <row r="42" spans="1:23" ht="15">
      <c r="A42" s="216" t="s">
        <v>215</v>
      </c>
      <c r="B42" s="217" t="s">
        <v>170</v>
      </c>
      <c r="C42" s="217" t="s">
        <v>170</v>
      </c>
      <c r="D42" s="217" t="s">
        <v>170</v>
      </c>
      <c r="E42" s="478" t="s">
        <v>170</v>
      </c>
      <c r="F42" s="476" t="s">
        <v>170</v>
      </c>
      <c r="H42" s="21" t="s">
        <v>664</v>
      </c>
      <c r="I42" s="442"/>
      <c r="J42" s="551">
        <f>(J30+J28)*K29/I39</f>
        <v>22.54348835467685</v>
      </c>
    </row>
    <row r="43" spans="1:23">
      <c r="A43" s="235" t="s">
        <v>216</v>
      </c>
      <c r="B43" s="217"/>
      <c r="C43" s="217"/>
      <c r="D43" s="217"/>
      <c r="E43" s="217"/>
      <c r="F43" s="218"/>
      <c r="H43" s="436" t="s">
        <v>663</v>
      </c>
      <c r="I43" s="22"/>
      <c r="J43" s="455">
        <f>(J30+J28)/J39*L29</f>
        <v>85.52291970905415</v>
      </c>
      <c r="L43" s="270" t="s">
        <v>659</v>
      </c>
      <c r="M43" s="270">
        <f>K29*K31</f>
        <v>4734132.5544821387</v>
      </c>
    </row>
    <row r="44" spans="1:23" ht="15">
      <c r="A44" s="216" t="s">
        <v>203</v>
      </c>
      <c r="B44" s="217">
        <v>41</v>
      </c>
      <c r="C44" s="217">
        <v>33</v>
      </c>
      <c r="D44" s="217">
        <v>32</v>
      </c>
      <c r="E44" s="478">
        <v>28</v>
      </c>
      <c r="F44" s="476">
        <v>28</v>
      </c>
      <c r="L44" s="270" t="s">
        <v>660</v>
      </c>
      <c r="M44" s="270">
        <f>L29*K31</f>
        <v>21893867.44551786</v>
      </c>
    </row>
    <row r="45" spans="1:23" ht="15">
      <c r="A45" s="216" t="s">
        <v>204</v>
      </c>
      <c r="B45" s="217">
        <v>35</v>
      </c>
      <c r="C45" s="217">
        <v>31</v>
      </c>
      <c r="D45" s="217">
        <v>30</v>
      </c>
      <c r="E45" s="478">
        <v>26</v>
      </c>
      <c r="F45" s="476">
        <v>26</v>
      </c>
      <c r="H45" s="179" t="s">
        <v>216</v>
      </c>
      <c r="I45" s="26" t="s">
        <v>665</v>
      </c>
      <c r="J45" s="277">
        <f>M36*10^6</f>
        <v>470000000</v>
      </c>
    </row>
    <row r="46" spans="1:23" ht="15">
      <c r="A46" s="216" t="s">
        <v>205</v>
      </c>
      <c r="B46" s="217">
        <v>0</v>
      </c>
      <c r="C46" s="217">
        <v>0</v>
      </c>
      <c r="D46" s="217">
        <v>0</v>
      </c>
      <c r="E46" s="478">
        <v>1</v>
      </c>
      <c r="F46" s="476">
        <v>1</v>
      </c>
      <c r="H46" s="21"/>
      <c r="I46" s="442" t="s">
        <v>666</v>
      </c>
      <c r="J46" s="278">
        <f>J45/I39</f>
        <v>2238.0952380952381</v>
      </c>
    </row>
    <row r="47" spans="1:23" ht="15">
      <c r="A47" s="216" t="s">
        <v>206</v>
      </c>
      <c r="B47" s="217">
        <v>0</v>
      </c>
      <c r="C47" s="217">
        <v>0</v>
      </c>
      <c r="D47" s="217">
        <v>0</v>
      </c>
      <c r="E47" s="478">
        <v>0</v>
      </c>
      <c r="F47" s="476">
        <v>0</v>
      </c>
      <c r="H47" s="21"/>
      <c r="I47" s="442" t="s">
        <v>667</v>
      </c>
      <c r="J47" s="278">
        <f>J46/J42</f>
        <v>99.279011432626177</v>
      </c>
      <c r="R47" s="549"/>
    </row>
    <row r="48" spans="1:23" ht="15">
      <c r="A48" s="216" t="s">
        <v>207</v>
      </c>
      <c r="B48" s="217">
        <v>3</v>
      </c>
      <c r="C48" s="217">
        <v>0</v>
      </c>
      <c r="D48" s="217">
        <v>0</v>
      </c>
      <c r="E48" s="478">
        <v>0</v>
      </c>
      <c r="F48" s="476">
        <v>0</v>
      </c>
      <c r="H48" s="436"/>
      <c r="I48" s="22" t="s">
        <v>668</v>
      </c>
      <c r="J48" s="561">
        <f>I39*J47</f>
        <v>20848592.400851496</v>
      </c>
      <c r="O48">
        <f>6*48</f>
        <v>288</v>
      </c>
    </row>
    <row r="49" spans="1:16" ht="15">
      <c r="A49" s="216" t="s">
        <v>208</v>
      </c>
      <c r="B49" s="217">
        <v>0</v>
      </c>
      <c r="C49" s="217">
        <v>0</v>
      </c>
      <c r="D49" s="217">
        <v>0</v>
      </c>
      <c r="E49" s="478">
        <v>0</v>
      </c>
      <c r="F49" s="476">
        <v>0</v>
      </c>
      <c r="O49">
        <f>12*500</f>
        <v>6000</v>
      </c>
      <c r="P49">
        <f>O49*O48</f>
        <v>1728000</v>
      </c>
    </row>
    <row r="50" spans="1:16" ht="15">
      <c r="A50" s="216" t="s">
        <v>209</v>
      </c>
      <c r="B50" s="217">
        <v>1</v>
      </c>
      <c r="C50" s="217">
        <v>1</v>
      </c>
      <c r="D50" s="217">
        <v>1</v>
      </c>
      <c r="E50" s="478">
        <v>1</v>
      </c>
      <c r="F50" s="476">
        <v>1</v>
      </c>
    </row>
    <row r="51" spans="1:16" ht="15">
      <c r="A51" s="216" t="s">
        <v>210</v>
      </c>
      <c r="B51" s="217">
        <v>1</v>
      </c>
      <c r="C51" s="217">
        <v>1</v>
      </c>
      <c r="D51" s="217">
        <v>0</v>
      </c>
      <c r="E51" s="478">
        <v>0</v>
      </c>
      <c r="F51" s="476">
        <v>0</v>
      </c>
      <c r="H51" s="179" t="s">
        <v>217</v>
      </c>
      <c r="I51" s="26" t="s">
        <v>665</v>
      </c>
      <c r="J51" s="565">
        <f>N36*10^6</f>
        <v>36388000000</v>
      </c>
    </row>
    <row r="52" spans="1:16" ht="15">
      <c r="A52" s="216" t="s">
        <v>211</v>
      </c>
      <c r="B52" s="217">
        <v>0</v>
      </c>
      <c r="C52" s="217">
        <v>0</v>
      </c>
      <c r="D52" s="217">
        <v>0</v>
      </c>
      <c r="E52" s="478">
        <v>0</v>
      </c>
      <c r="F52" s="476">
        <v>0</v>
      </c>
      <c r="H52" s="21"/>
      <c r="I52" s="442" t="s">
        <v>666</v>
      </c>
      <c r="J52" s="278">
        <f>J51/J39</f>
        <v>142140.625</v>
      </c>
    </row>
    <row r="53" spans="1:16" ht="15">
      <c r="A53" s="216" t="s">
        <v>212</v>
      </c>
      <c r="B53" s="217">
        <v>0</v>
      </c>
      <c r="C53" s="217">
        <v>0</v>
      </c>
      <c r="D53" s="217">
        <v>0</v>
      </c>
      <c r="E53" s="478">
        <v>0</v>
      </c>
      <c r="F53" s="476">
        <v>0</v>
      </c>
      <c r="H53" s="21"/>
      <c r="I53" s="442" t="s">
        <v>667</v>
      </c>
      <c r="J53" s="278">
        <f>J52/J43</f>
        <v>1662.0179185130398</v>
      </c>
    </row>
    <row r="54" spans="1:16" ht="15">
      <c r="A54" s="216" t="s">
        <v>213</v>
      </c>
      <c r="B54" s="217" t="s">
        <v>170</v>
      </c>
      <c r="C54" s="217" t="s">
        <v>170</v>
      </c>
      <c r="D54" s="217" t="s">
        <v>170</v>
      </c>
      <c r="E54" s="478" t="s">
        <v>170</v>
      </c>
      <c r="F54" s="476" t="s">
        <v>170</v>
      </c>
      <c r="H54" s="436"/>
      <c r="I54" s="22" t="s">
        <v>668</v>
      </c>
      <c r="J54" s="561">
        <f>J53*J39</f>
        <v>425476587.1393382</v>
      </c>
    </row>
    <row r="55" spans="1:16" ht="15">
      <c r="A55" s="216" t="s">
        <v>214</v>
      </c>
      <c r="B55" s="217" t="s">
        <v>170</v>
      </c>
      <c r="C55" s="217" t="s">
        <v>170</v>
      </c>
      <c r="D55" s="217" t="s">
        <v>170</v>
      </c>
      <c r="E55" s="478" t="s">
        <v>170</v>
      </c>
      <c r="F55" s="476" t="s">
        <v>170</v>
      </c>
      <c r="J55" s="215"/>
      <c r="K55" s="215"/>
    </row>
    <row r="56" spans="1:16" ht="15">
      <c r="A56" s="216" t="s">
        <v>215</v>
      </c>
      <c r="B56" s="217" t="s">
        <v>170</v>
      </c>
      <c r="C56" s="217" t="s">
        <v>170</v>
      </c>
      <c r="D56" s="217" t="s">
        <v>170</v>
      </c>
      <c r="E56" s="478" t="s">
        <v>170</v>
      </c>
      <c r="F56" s="476" t="s">
        <v>170</v>
      </c>
      <c r="H56" s="562" t="s">
        <v>678</v>
      </c>
      <c r="I56" s="26"/>
      <c r="J56" s="277"/>
    </row>
    <row r="57" spans="1:16">
      <c r="A57" s="235" t="s">
        <v>217</v>
      </c>
      <c r="B57" s="217"/>
      <c r="C57" s="217"/>
      <c r="D57" s="217"/>
      <c r="E57" s="217"/>
      <c r="F57" s="218"/>
      <c r="H57" s="563" t="s">
        <v>679</v>
      </c>
      <c r="I57" s="442">
        <v>3500</v>
      </c>
      <c r="J57" s="564" t="s">
        <v>683</v>
      </c>
    </row>
    <row r="58" spans="1:16" ht="15">
      <c r="A58" s="216" t="s">
        <v>203</v>
      </c>
      <c r="B58" s="217">
        <v>1471</v>
      </c>
      <c r="C58" s="217">
        <v>1531</v>
      </c>
      <c r="D58" s="217">
        <v>1640</v>
      </c>
      <c r="E58" s="478">
        <v>1475</v>
      </c>
      <c r="F58" s="476">
        <v>2074</v>
      </c>
      <c r="H58" s="563" t="s">
        <v>680</v>
      </c>
      <c r="I58" s="442">
        <v>500</v>
      </c>
      <c r="J58" s="564" t="s">
        <v>681</v>
      </c>
    </row>
    <row r="59" spans="1:16" ht="15">
      <c r="A59" s="216" t="s">
        <v>204</v>
      </c>
      <c r="B59" s="217">
        <v>1349</v>
      </c>
      <c r="C59" s="217">
        <v>1384</v>
      </c>
      <c r="D59" s="217">
        <v>1496</v>
      </c>
      <c r="E59" s="478">
        <v>1344</v>
      </c>
      <c r="F59" s="476">
        <v>1976</v>
      </c>
      <c r="H59" s="563" t="s">
        <v>682</v>
      </c>
      <c r="I59" s="442">
        <v>800</v>
      </c>
      <c r="J59" s="564" t="s">
        <v>681</v>
      </c>
      <c r="K59" s="215"/>
    </row>
    <row r="60" spans="1:16" ht="15">
      <c r="A60" s="216" t="s">
        <v>205</v>
      </c>
      <c r="B60" s="217">
        <v>102</v>
      </c>
      <c r="C60" s="217">
        <v>142</v>
      </c>
      <c r="D60" s="217">
        <v>143</v>
      </c>
      <c r="E60" s="478">
        <v>131</v>
      </c>
      <c r="F60" s="476">
        <v>97</v>
      </c>
      <c r="H60" s="452" t="s">
        <v>684</v>
      </c>
      <c r="I60" s="442">
        <f>$I$57*I58</f>
        <v>1750000</v>
      </c>
      <c r="J60" s="566" t="s">
        <v>686</v>
      </c>
    </row>
    <row r="61" spans="1:16" ht="15">
      <c r="A61" s="216" t="s">
        <v>206</v>
      </c>
      <c r="B61" s="217">
        <v>20</v>
      </c>
      <c r="C61" s="217">
        <v>4</v>
      </c>
      <c r="D61" s="217">
        <v>0</v>
      </c>
      <c r="E61" s="478">
        <v>0</v>
      </c>
      <c r="F61" s="476">
        <v>0</v>
      </c>
      <c r="H61" s="567" t="s">
        <v>685</v>
      </c>
      <c r="I61" s="22">
        <f>$I$57*I59</f>
        <v>2800000</v>
      </c>
      <c r="J61" s="568" t="s">
        <v>686</v>
      </c>
    </row>
    <row r="62" spans="1:16" ht="15">
      <c r="A62" s="216" t="s">
        <v>207</v>
      </c>
      <c r="B62" s="217">
        <v>0</v>
      </c>
      <c r="C62" s="217">
        <v>0</v>
      </c>
      <c r="D62" s="217">
        <v>1</v>
      </c>
      <c r="E62" s="478">
        <v>0</v>
      </c>
      <c r="F62" s="476">
        <v>0</v>
      </c>
    </row>
    <row r="63" spans="1:16" ht="15">
      <c r="A63" s="216" t="s">
        <v>208</v>
      </c>
      <c r="B63" s="217" t="s">
        <v>170</v>
      </c>
      <c r="C63" s="217" t="s">
        <v>170</v>
      </c>
      <c r="D63" s="217" t="s">
        <v>170</v>
      </c>
      <c r="E63" s="478" t="s">
        <v>170</v>
      </c>
      <c r="F63" s="476" t="s">
        <v>170</v>
      </c>
    </row>
    <row r="64" spans="1:16" ht="15">
      <c r="A64" s="216" t="s">
        <v>209</v>
      </c>
      <c r="B64" s="217">
        <v>0</v>
      </c>
      <c r="C64" s="217">
        <v>0</v>
      </c>
      <c r="D64" s="217">
        <v>0</v>
      </c>
      <c r="E64" s="478">
        <v>0</v>
      </c>
      <c r="F64" s="476">
        <v>0</v>
      </c>
    </row>
    <row r="65" spans="1:6" ht="15">
      <c r="A65" s="216" t="s">
        <v>210</v>
      </c>
      <c r="B65" s="217">
        <v>0</v>
      </c>
      <c r="C65" s="217">
        <v>0</v>
      </c>
      <c r="D65" s="217">
        <v>0</v>
      </c>
      <c r="E65" s="478">
        <v>0</v>
      </c>
      <c r="F65" s="476">
        <v>0</v>
      </c>
    </row>
    <row r="66" spans="1:6" ht="15">
      <c r="A66" s="216" t="s">
        <v>211</v>
      </c>
      <c r="B66" s="217" t="s">
        <v>170</v>
      </c>
      <c r="C66" s="217" t="s">
        <v>170</v>
      </c>
      <c r="D66" s="217" t="s">
        <v>170</v>
      </c>
      <c r="E66" s="478" t="s">
        <v>170</v>
      </c>
      <c r="F66" s="476" t="s">
        <v>170</v>
      </c>
    </row>
    <row r="67" spans="1:6" ht="15">
      <c r="A67" s="216" t="s">
        <v>212</v>
      </c>
      <c r="B67" s="217">
        <v>0</v>
      </c>
      <c r="C67" s="217">
        <v>0</v>
      </c>
      <c r="D67" s="217">
        <v>0</v>
      </c>
      <c r="E67" s="478">
        <v>0</v>
      </c>
      <c r="F67" s="476">
        <v>0</v>
      </c>
    </row>
    <row r="68" spans="1:6" ht="15">
      <c r="A68" s="216" t="s">
        <v>213</v>
      </c>
      <c r="B68" s="217" t="s">
        <v>170</v>
      </c>
      <c r="C68" s="217" t="s">
        <v>170</v>
      </c>
      <c r="D68" s="217" t="s">
        <v>170</v>
      </c>
      <c r="E68" s="478" t="s">
        <v>170</v>
      </c>
      <c r="F68" s="476" t="s">
        <v>170</v>
      </c>
    </row>
    <row r="69" spans="1:6" ht="15">
      <c r="A69" s="216" t="s">
        <v>214</v>
      </c>
      <c r="B69" s="217" t="s">
        <v>170</v>
      </c>
      <c r="C69" s="217" t="s">
        <v>170</v>
      </c>
      <c r="D69" s="217" t="s">
        <v>170</v>
      </c>
      <c r="E69" s="478" t="s">
        <v>170</v>
      </c>
      <c r="F69" s="476" t="s">
        <v>170</v>
      </c>
    </row>
    <row r="70" spans="1:6" ht="15">
      <c r="A70" s="216" t="s">
        <v>215</v>
      </c>
      <c r="B70" s="217" t="s">
        <v>170</v>
      </c>
      <c r="C70" s="217" t="s">
        <v>170</v>
      </c>
      <c r="D70" s="217" t="s">
        <v>170</v>
      </c>
      <c r="E70" s="478" t="s">
        <v>170</v>
      </c>
      <c r="F70" s="476" t="s">
        <v>170</v>
      </c>
    </row>
    <row r="71" spans="1:6">
      <c r="A71" s="216"/>
      <c r="B71" s="217"/>
      <c r="C71" s="217"/>
      <c r="D71" s="217"/>
      <c r="E71" s="217"/>
      <c r="F71" s="218"/>
    </row>
    <row r="72" spans="1:6">
      <c r="A72" s="1687" t="s">
        <v>218</v>
      </c>
      <c r="B72" s="1688"/>
      <c r="C72" s="1688"/>
      <c r="D72" s="1688"/>
      <c r="E72" s="217"/>
      <c r="F72" s="218"/>
    </row>
    <row r="73" spans="1:6">
      <c r="A73" s="216"/>
      <c r="B73" s="217"/>
      <c r="C73" s="217"/>
      <c r="D73" s="217"/>
      <c r="E73" s="217"/>
      <c r="F73" s="218"/>
    </row>
    <row r="74" spans="1:6">
      <c r="A74" s="1687" t="s">
        <v>177</v>
      </c>
      <c r="B74" s="1688"/>
      <c r="C74" s="1688"/>
      <c r="D74" s="1688"/>
      <c r="E74" s="217"/>
      <c r="F74" s="218"/>
    </row>
    <row r="75" spans="1:6">
      <c r="A75" s="216"/>
      <c r="B75" s="217"/>
      <c r="C75" s="217"/>
      <c r="D75" s="217"/>
      <c r="E75" s="217"/>
      <c r="F75" s="218"/>
    </row>
    <row r="76" spans="1:6">
      <c r="A76" s="236" t="s">
        <v>219</v>
      </c>
      <c r="B76" s="422"/>
      <c r="C76" s="422"/>
      <c r="D76" s="422"/>
      <c r="E76" s="422"/>
      <c r="F76" s="423"/>
    </row>
  </sheetData>
  <mergeCells count="4">
    <mergeCell ref="A3:M3"/>
    <mergeCell ref="A72:D72"/>
    <mergeCell ref="A74:D74"/>
    <mergeCell ref="A27:F27"/>
  </mergeCells>
  <pageMargins left="0.7" right="0.7" top="0.75" bottom="0.75" header="0.3" footer="0.3"/>
  <pageSetup paperSize="9" orientation="portrait"/>
  <drawing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4"/>
  <dimension ref="A3:AO100"/>
  <sheetViews>
    <sheetView zoomScale="80" zoomScaleNormal="80" workbookViewId="0">
      <selection activeCell="E10" sqref="E10:F10"/>
    </sheetView>
  </sheetViews>
  <sheetFormatPr defaultColWidth="9.140625" defaultRowHeight="12.75"/>
  <cols>
    <col min="1" max="1" width="9" style="1356" customWidth="1"/>
    <col min="2" max="2" width="10.28515625" style="1356" bestFit="1" customWidth="1"/>
    <col min="3" max="3" width="49.140625" style="1356" customWidth="1"/>
    <col min="4" max="4" width="10.28515625" style="1376" bestFit="1" customWidth="1"/>
    <col min="5" max="5" width="12.42578125" style="1356" bestFit="1" customWidth="1"/>
    <col min="6" max="6" width="13.5703125" style="1356" bestFit="1" customWidth="1"/>
    <col min="7" max="7" width="12.5703125" style="1356" bestFit="1" customWidth="1"/>
    <col min="8" max="8" width="8.5703125" style="1356" bestFit="1" customWidth="1"/>
    <col min="9" max="9" width="9.140625" style="1356" bestFit="1" customWidth="1"/>
    <col min="10" max="10" width="51.7109375" style="1356" bestFit="1" customWidth="1"/>
    <col min="11" max="11" width="12.140625" style="1356" bestFit="1" customWidth="1"/>
    <col min="12" max="12" width="12.7109375" style="1356" bestFit="1" customWidth="1"/>
    <col min="13" max="14" width="12.5703125" style="1356" bestFit="1" customWidth="1"/>
    <col min="15" max="15" width="38.85546875" style="1356" bestFit="1" customWidth="1"/>
    <col min="16" max="16" width="24" style="1356" bestFit="1" customWidth="1"/>
    <col min="17" max="17" width="18.85546875" style="1356" bestFit="1" customWidth="1"/>
    <col min="18" max="18" width="19.42578125" style="1356" bestFit="1" customWidth="1"/>
    <col min="19" max="19" width="11.5703125" style="1356" bestFit="1" customWidth="1"/>
    <col min="20" max="23" width="7.7109375" style="1356" bestFit="1" customWidth="1"/>
    <col min="24" max="24" width="12" style="1356" bestFit="1" customWidth="1"/>
    <col min="25" max="27" width="7.7109375" style="1356" bestFit="1" customWidth="1"/>
    <col min="28" max="29" width="6.42578125" style="1356" bestFit="1" customWidth="1"/>
    <col min="30" max="30" width="21.28515625" style="1356" bestFit="1" customWidth="1"/>
    <col min="31" max="32" width="6.5703125" style="1356" bestFit="1" customWidth="1"/>
    <col min="33" max="34" width="6.140625" style="1356" bestFit="1" customWidth="1"/>
    <col min="35" max="37" width="6" style="1356" bestFit="1" customWidth="1"/>
    <col min="38" max="38" width="5.28515625" style="1356" bestFit="1" customWidth="1"/>
    <col min="39" max="40" width="5.85546875" style="1356" bestFit="1" customWidth="1"/>
    <col min="41" max="16384" width="9.140625" style="1356"/>
  </cols>
  <sheetData>
    <row r="3" spans="2:11">
      <c r="B3" s="1578" t="s">
        <v>8</v>
      </c>
      <c r="C3" s="1578"/>
    </row>
    <row r="4" spans="2:11">
      <c r="B4" s="1579" t="s">
        <v>4</v>
      </c>
      <c r="C4" s="1580" t="s">
        <v>506</v>
      </c>
      <c r="D4" s="1581" t="s">
        <v>27</v>
      </c>
      <c r="E4" s="1579" t="s">
        <v>46</v>
      </c>
      <c r="F4" s="1579" t="s">
        <v>47</v>
      </c>
      <c r="H4" s="1356" t="s">
        <v>120</v>
      </c>
      <c r="K4" s="1582"/>
    </row>
    <row r="5" spans="2:11">
      <c r="B5" s="1583" t="s">
        <v>1623</v>
      </c>
      <c r="C5" s="1584" t="s">
        <v>1624</v>
      </c>
      <c r="D5" s="1585" t="s">
        <v>72</v>
      </c>
      <c r="E5" s="1586">
        <v>10.15</v>
      </c>
      <c r="F5" s="1586">
        <v>9.2200000000000006</v>
      </c>
      <c r="H5" s="1495">
        <f>E5+F5</f>
        <v>19.37</v>
      </c>
      <c r="K5" s="1582"/>
    </row>
    <row r="6" spans="2:11">
      <c r="B6" s="1587" t="s">
        <v>1625</v>
      </c>
      <c r="C6" s="1588" t="s">
        <v>1626</v>
      </c>
      <c r="D6" s="1589" t="s">
        <v>72</v>
      </c>
      <c r="E6" s="1590">
        <v>11.44</v>
      </c>
      <c r="F6" s="1590">
        <v>3.5</v>
      </c>
      <c r="H6" s="1495">
        <f t="shared" ref="H6:H31" si="0">E6+F6</f>
        <v>14.94</v>
      </c>
      <c r="K6" s="1582"/>
    </row>
    <row r="7" spans="2:11">
      <c r="B7" s="1587" t="s">
        <v>1627</v>
      </c>
      <c r="C7" s="1588" t="s">
        <v>1628</v>
      </c>
      <c r="D7" s="1589" t="s">
        <v>72</v>
      </c>
      <c r="E7" s="1590">
        <v>14.02</v>
      </c>
      <c r="F7" s="1590">
        <v>16.23</v>
      </c>
      <c r="H7" s="1495">
        <f t="shared" si="0"/>
        <v>30.25</v>
      </c>
      <c r="K7" s="1582"/>
    </row>
    <row r="8" spans="2:11">
      <c r="B8" s="1587" t="s">
        <v>1629</v>
      </c>
      <c r="C8" s="1588" t="s">
        <v>1630</v>
      </c>
      <c r="D8" s="1589" t="s">
        <v>72</v>
      </c>
      <c r="E8" s="1590">
        <v>119.9</v>
      </c>
      <c r="F8" s="1590">
        <v>0</v>
      </c>
      <c r="H8" s="1495">
        <f t="shared" si="0"/>
        <v>119.9</v>
      </c>
      <c r="K8" s="1582"/>
    </row>
    <row r="9" spans="2:11" ht="13.5" thickBot="1">
      <c r="B9" s="1591" t="s">
        <v>1921</v>
      </c>
      <c r="C9" s="1592" t="s">
        <v>603</v>
      </c>
      <c r="D9" s="1593" t="s">
        <v>72</v>
      </c>
      <c r="E9" s="1594">
        <v>254.51513029871001</v>
      </c>
      <c r="F9" s="1594">
        <v>1226.88486970129</v>
      </c>
      <c r="H9" s="1495">
        <f t="shared" si="0"/>
        <v>1481.4</v>
      </c>
      <c r="K9" s="1582"/>
    </row>
    <row r="10" spans="2:11">
      <c r="B10" s="1595" t="s">
        <v>1882</v>
      </c>
      <c r="C10" s="1596" t="s">
        <v>604</v>
      </c>
      <c r="D10" s="1593" t="s">
        <v>72</v>
      </c>
      <c r="E10" s="1597">
        <v>268.49172965459138</v>
      </c>
      <c r="F10" s="1597">
        <v>203.06324844144905</v>
      </c>
      <c r="H10" s="1495">
        <f t="shared" si="0"/>
        <v>471.55497809604043</v>
      </c>
    </row>
    <row r="11" spans="2:11">
      <c r="B11" s="1598" t="s">
        <v>1916</v>
      </c>
      <c r="C11" s="1592" t="s">
        <v>605</v>
      </c>
      <c r="D11" s="1593" t="s">
        <v>72</v>
      </c>
      <c r="E11" s="1594">
        <f>31598.7969760452*J11</f>
        <v>9479.6390928135588</v>
      </c>
      <c r="F11" s="1594">
        <f>4789.20302395482*J11</f>
        <v>1436.760907186446</v>
      </c>
      <c r="H11" s="1495">
        <f t="shared" ref="H11" si="1">E11+F11</f>
        <v>10916.400000000005</v>
      </c>
      <c r="J11" s="1356">
        <v>0.3</v>
      </c>
      <c r="K11" s="1371" t="s">
        <v>1918</v>
      </c>
    </row>
    <row r="12" spans="2:11">
      <c r="B12" s="1598" t="s">
        <v>1917</v>
      </c>
      <c r="C12" s="1592" t="s">
        <v>605</v>
      </c>
      <c r="D12" s="1593" t="s">
        <v>72</v>
      </c>
      <c r="E12" s="1594">
        <f>31598.7969760452*J12</f>
        <v>22119.157883231637</v>
      </c>
      <c r="F12" s="1594">
        <f>4789.20302395482*J12</f>
        <v>3352.442116768374</v>
      </c>
      <c r="H12" s="1495">
        <f>E12+F12</f>
        <v>25471.600000000013</v>
      </c>
      <c r="J12" s="1356">
        <v>0.7</v>
      </c>
      <c r="K12" s="1371" t="s">
        <v>1919</v>
      </c>
    </row>
    <row r="13" spans="2:11">
      <c r="B13" s="1587" t="s">
        <v>223</v>
      </c>
      <c r="C13" s="1588" t="s">
        <v>222</v>
      </c>
      <c r="D13" s="1589" t="s">
        <v>73</v>
      </c>
      <c r="E13" s="1599">
        <v>620.32905000000005</v>
      </c>
      <c r="F13" s="1599">
        <v>620.32905000000005</v>
      </c>
      <c r="H13" s="1495">
        <f t="shared" si="0"/>
        <v>1240.6581000000001</v>
      </c>
    </row>
    <row r="14" spans="2:11">
      <c r="B14" s="1587" t="s">
        <v>82</v>
      </c>
      <c r="C14" s="1588" t="s">
        <v>85</v>
      </c>
      <c r="D14" s="1589" t="s">
        <v>73</v>
      </c>
      <c r="E14" s="1599">
        <v>1211.1709499999999</v>
      </c>
      <c r="F14" s="1599">
        <v>1211.1709499999999</v>
      </c>
      <c r="H14" s="1495">
        <f t="shared" si="0"/>
        <v>2422.3418999999999</v>
      </c>
    </row>
    <row r="15" spans="2:11">
      <c r="B15" s="1587" t="s">
        <v>1192</v>
      </c>
      <c r="C15" s="1588" t="s">
        <v>1825</v>
      </c>
      <c r="D15" s="1589" t="s">
        <v>73</v>
      </c>
      <c r="E15" s="1599">
        <v>2449.56</v>
      </c>
      <c r="F15" s="1599">
        <v>2449.56</v>
      </c>
      <c r="H15" s="1495">
        <f t="shared" si="0"/>
        <v>4899.12</v>
      </c>
    </row>
    <row r="16" spans="2:11">
      <c r="B16" s="1587" t="s">
        <v>1814</v>
      </c>
      <c r="C16" s="1588" t="s">
        <v>1826</v>
      </c>
      <c r="D16" s="1589" t="s">
        <v>73</v>
      </c>
      <c r="E16" s="1599">
        <v>1575.29</v>
      </c>
      <c r="F16" s="1599">
        <v>1575.29</v>
      </c>
      <c r="H16" s="1495">
        <f t="shared" si="0"/>
        <v>3150.58</v>
      </c>
    </row>
    <row r="17" spans="2:14">
      <c r="B17" s="1587" t="s">
        <v>1815</v>
      </c>
      <c r="C17" s="1588" t="s">
        <v>1827</v>
      </c>
      <c r="D17" s="1589" t="s">
        <v>73</v>
      </c>
      <c r="E17" s="1599">
        <v>1261.58</v>
      </c>
      <c r="F17" s="1599">
        <v>1261.58</v>
      </c>
      <c r="H17" s="1495">
        <f t="shared" si="0"/>
        <v>2523.16</v>
      </c>
    </row>
    <row r="18" spans="2:14">
      <c r="B18" s="1587" t="s">
        <v>1817</v>
      </c>
      <c r="C18" s="1588" t="s">
        <v>1828</v>
      </c>
      <c r="D18" s="1589" t="s">
        <v>73</v>
      </c>
      <c r="E18" s="1599">
        <v>1358.48</v>
      </c>
      <c r="F18" s="1599">
        <v>1358.48</v>
      </c>
      <c r="H18" s="1495">
        <f t="shared" si="0"/>
        <v>2716.96</v>
      </c>
    </row>
    <row r="19" spans="2:14">
      <c r="B19" s="1587" t="s">
        <v>1818</v>
      </c>
      <c r="C19" s="1588" t="s">
        <v>1829</v>
      </c>
      <c r="D19" s="1589" t="s">
        <v>73</v>
      </c>
      <c r="E19" s="1599">
        <v>842.34</v>
      </c>
      <c r="F19" s="1599">
        <v>842.34</v>
      </c>
      <c r="H19" s="1495">
        <f t="shared" si="0"/>
        <v>1684.68</v>
      </c>
    </row>
    <row r="20" spans="2:14">
      <c r="B20" s="1587" t="s">
        <v>1819</v>
      </c>
      <c r="C20" s="1588" t="s">
        <v>1830</v>
      </c>
      <c r="D20" s="1589" t="s">
        <v>73</v>
      </c>
      <c r="E20" s="1600">
        <v>135.41</v>
      </c>
      <c r="F20" s="1600">
        <v>135.41</v>
      </c>
      <c r="H20" s="1495">
        <f t="shared" si="0"/>
        <v>270.82</v>
      </c>
    </row>
    <row r="21" spans="2:14">
      <c r="B21" s="1595" t="s">
        <v>1195</v>
      </c>
      <c r="C21" s="1596" t="s">
        <v>221</v>
      </c>
      <c r="D21" s="1593" t="s">
        <v>73</v>
      </c>
      <c r="E21" s="1601">
        <v>223.22513089005236</v>
      </c>
      <c r="F21" s="1601">
        <v>150.77486910994764</v>
      </c>
      <c r="H21" s="1495">
        <f t="shared" si="0"/>
        <v>374</v>
      </c>
    </row>
    <row r="22" spans="2:14">
      <c r="B22" s="1587" t="s">
        <v>1631</v>
      </c>
      <c r="C22" s="1588" t="s">
        <v>1632</v>
      </c>
      <c r="D22" s="1589" t="s">
        <v>73</v>
      </c>
      <c r="E22" s="1590">
        <v>298.85000000000002</v>
      </c>
      <c r="F22" s="1590">
        <v>539.22</v>
      </c>
      <c r="H22" s="1495">
        <f t="shared" si="0"/>
        <v>838.07</v>
      </c>
    </row>
    <row r="23" spans="2:14">
      <c r="B23" s="1587" t="s">
        <v>1633</v>
      </c>
      <c r="C23" s="1588" t="s">
        <v>1634</v>
      </c>
      <c r="D23" s="1589" t="s">
        <v>73</v>
      </c>
      <c r="E23" s="1590">
        <v>298.85000000000002</v>
      </c>
      <c r="F23" s="1590">
        <v>539.22</v>
      </c>
      <c r="H23" s="1495">
        <f t="shared" si="0"/>
        <v>838.07</v>
      </c>
    </row>
    <row r="24" spans="2:14">
      <c r="B24" s="1587" t="s">
        <v>1635</v>
      </c>
      <c r="C24" s="1588" t="s">
        <v>1636</v>
      </c>
      <c r="D24" s="1589" t="s">
        <v>73</v>
      </c>
      <c r="E24" s="1590">
        <v>13.9</v>
      </c>
      <c r="F24" s="1590">
        <v>25.08</v>
      </c>
      <c r="H24" s="1495">
        <f t="shared" si="0"/>
        <v>38.979999999999997</v>
      </c>
    </row>
    <row r="25" spans="2:14">
      <c r="B25" s="1602" t="s">
        <v>1637</v>
      </c>
      <c r="C25" s="1603" t="s">
        <v>1638</v>
      </c>
      <c r="D25" s="1604" t="s">
        <v>73</v>
      </c>
      <c r="E25" s="1605">
        <v>83.4</v>
      </c>
      <c r="F25" s="1605">
        <v>150.47999999999999</v>
      </c>
      <c r="H25" s="1495">
        <f t="shared" si="0"/>
        <v>233.88</v>
      </c>
    </row>
    <row r="26" spans="2:14">
      <c r="B26" s="1595" t="s">
        <v>1555</v>
      </c>
      <c r="C26" s="1596" t="s">
        <v>83</v>
      </c>
      <c r="D26" s="1593" t="s">
        <v>73</v>
      </c>
      <c r="E26" s="1606">
        <v>0</v>
      </c>
      <c r="F26" s="1606">
        <v>0</v>
      </c>
      <c r="H26" s="1495">
        <f t="shared" si="0"/>
        <v>0</v>
      </c>
    </row>
    <row r="27" spans="2:14">
      <c r="B27" s="1595" t="s">
        <v>1556</v>
      </c>
      <c r="C27" s="1596" t="s">
        <v>158</v>
      </c>
      <c r="D27" s="1593" t="s">
        <v>73</v>
      </c>
      <c r="E27" s="1606">
        <v>579.40494575118964</v>
      </c>
      <c r="F27" s="1606">
        <v>52.399854248810342</v>
      </c>
      <c r="H27" s="1495">
        <f t="shared" si="0"/>
        <v>631.8048</v>
      </c>
    </row>
    <row r="28" spans="2:14">
      <c r="B28" s="1356" t="s">
        <v>1180</v>
      </c>
      <c r="C28" s="1596" t="s">
        <v>1344</v>
      </c>
      <c r="D28" s="1593" t="s">
        <v>72</v>
      </c>
      <c r="E28" s="1606">
        <v>2790.5138916302199</v>
      </c>
      <c r="F28" s="1606">
        <v>3210.8199846973971</v>
      </c>
      <c r="G28" s="1607"/>
      <c r="H28" s="1495">
        <f t="shared" si="0"/>
        <v>6001.333876327617</v>
      </c>
    </row>
    <row r="29" spans="2:14">
      <c r="B29" s="1356" t="s">
        <v>1182</v>
      </c>
      <c r="C29" s="1596" t="s">
        <v>1345</v>
      </c>
      <c r="D29" s="1593" t="s">
        <v>72</v>
      </c>
      <c r="E29" s="1606">
        <v>9280.4766045957385</v>
      </c>
      <c r="F29" s="1606">
        <v>11217.435771110901</v>
      </c>
      <c r="H29" s="1495">
        <f t="shared" si="0"/>
        <v>20497.912375706641</v>
      </c>
    </row>
    <row r="30" spans="2:14">
      <c r="B30" s="1371" t="s">
        <v>1184</v>
      </c>
      <c r="C30" s="1596" t="s">
        <v>1346</v>
      </c>
      <c r="D30" s="1593" t="s">
        <v>72</v>
      </c>
      <c r="E30" s="1606">
        <v>6103.3982025866098</v>
      </c>
      <c r="F30" s="1606">
        <v>7678.7084803661783</v>
      </c>
      <c r="H30" s="1495">
        <f t="shared" si="0"/>
        <v>13782.106682952788</v>
      </c>
    </row>
    <row r="31" spans="2:14">
      <c r="B31" s="1371" t="s">
        <v>1186</v>
      </c>
      <c r="C31" s="1596" t="s">
        <v>1347</v>
      </c>
      <c r="D31" s="1593" t="s">
        <v>72</v>
      </c>
      <c r="E31" s="1606">
        <v>12724.816576454727</v>
      </c>
      <c r="F31" s="1606">
        <v>15897.995251449742</v>
      </c>
      <c r="H31" s="1495">
        <f t="shared" si="0"/>
        <v>28622.811827904468</v>
      </c>
      <c r="K31" s="1534"/>
      <c r="L31" s="1534"/>
    </row>
    <row r="32" spans="2:14">
      <c r="D32" s="1356"/>
      <c r="M32" s="1391"/>
      <c r="N32" s="1391"/>
    </row>
    <row r="33" spans="1:41">
      <c r="D33" s="1356"/>
      <c r="E33" s="1495"/>
      <c r="F33" s="1495"/>
      <c r="N33" s="1608"/>
    </row>
    <row r="34" spans="1:41">
      <c r="D34" s="1356"/>
      <c r="N34" s="1608"/>
    </row>
    <row r="35" spans="1:41">
      <c r="B35" s="1356" t="s">
        <v>1351</v>
      </c>
      <c r="N35" s="1608"/>
    </row>
    <row r="36" spans="1:41">
      <c r="B36" s="1578"/>
      <c r="C36" s="1578"/>
      <c r="G36" s="1608"/>
      <c r="N36" s="1608"/>
    </row>
    <row r="37" spans="1:41" s="1391" customFormat="1">
      <c r="B37" s="1579" t="s">
        <v>4</v>
      </c>
      <c r="C37" s="1580" t="s">
        <v>506</v>
      </c>
      <c r="D37" s="1581" t="s">
        <v>27</v>
      </c>
      <c r="E37" s="1579" t="s">
        <v>46</v>
      </c>
      <c r="F37" s="1579" t="s">
        <v>47</v>
      </c>
      <c r="G37" s="1608"/>
      <c r="H37" s="1356"/>
      <c r="I37" s="1356"/>
      <c r="N37" s="1356"/>
      <c r="O37" s="1609"/>
      <c r="P37" s="1609"/>
      <c r="AB37" s="1356"/>
      <c r="AC37" s="1356"/>
      <c r="AD37" s="1356"/>
      <c r="AE37" s="1356"/>
      <c r="AF37" s="1356"/>
      <c r="AG37" s="1356"/>
      <c r="AH37" s="1356"/>
      <c r="AI37" s="1356"/>
      <c r="AJ37" s="1356"/>
      <c r="AK37" s="1356"/>
      <c r="AL37" s="1356"/>
      <c r="AM37" s="1356"/>
      <c r="AN37" s="1356"/>
      <c r="AO37" s="1356"/>
    </row>
    <row r="38" spans="1:41" s="1391" customFormat="1">
      <c r="A38" s="1356">
        <v>37</v>
      </c>
      <c r="B38" s="1595" t="s">
        <v>1188</v>
      </c>
      <c r="C38" s="1596" t="s">
        <v>602</v>
      </c>
      <c r="D38" s="1593" t="s">
        <v>72</v>
      </c>
      <c r="E38" s="1597">
        <v>89</v>
      </c>
      <c r="F38" s="1597">
        <v>95</v>
      </c>
      <c r="G38" s="1495"/>
      <c r="H38" s="1495">
        <f>Dem!E38+Dem!F38</f>
        <v>184</v>
      </c>
      <c r="N38" s="1356"/>
      <c r="AB38" s="1356"/>
      <c r="AC38" s="1356"/>
      <c r="AD38" s="1356"/>
      <c r="AE38" s="1356"/>
      <c r="AF38" s="1356"/>
      <c r="AG38" s="1356"/>
      <c r="AH38" s="1356"/>
      <c r="AI38" s="1356"/>
      <c r="AJ38" s="1356"/>
      <c r="AK38" s="1356"/>
      <c r="AL38" s="1356"/>
      <c r="AM38" s="1356"/>
      <c r="AN38" s="1356"/>
      <c r="AO38" s="1356"/>
    </row>
    <row r="39" spans="1:41">
      <c r="A39" s="1356">
        <v>38</v>
      </c>
      <c r="B39" s="1595" t="s">
        <v>1189</v>
      </c>
      <c r="C39" s="1596" t="s">
        <v>603</v>
      </c>
      <c r="D39" s="1593" t="s">
        <v>72</v>
      </c>
      <c r="E39" s="1597">
        <v>255</v>
      </c>
      <c r="F39" s="1597">
        <v>1227</v>
      </c>
      <c r="H39" s="1495">
        <f>Dem!E39+Dem!F39</f>
        <v>1482</v>
      </c>
      <c r="O39" s="1391"/>
      <c r="P39" s="1391"/>
    </row>
    <row r="40" spans="1:41">
      <c r="A40" s="1356">
        <v>39</v>
      </c>
      <c r="B40" s="1595" t="s">
        <v>1190</v>
      </c>
      <c r="C40" s="1596" t="s">
        <v>604</v>
      </c>
      <c r="D40" s="1593" t="s">
        <v>72</v>
      </c>
      <c r="E40" s="1597">
        <v>268</v>
      </c>
      <c r="F40" s="1597">
        <v>203</v>
      </c>
      <c r="G40" s="1495"/>
      <c r="H40" s="1495">
        <f>Dem!E40+Dem!F40</f>
        <v>471</v>
      </c>
      <c r="O40" s="1391"/>
      <c r="P40" s="1391"/>
    </row>
    <row r="41" spans="1:41">
      <c r="A41" s="1356">
        <v>40</v>
      </c>
      <c r="B41" s="1595" t="s">
        <v>1191</v>
      </c>
      <c r="C41" s="1596" t="s">
        <v>605</v>
      </c>
      <c r="D41" s="1593" t="s">
        <v>72</v>
      </c>
      <c r="E41" s="1597">
        <v>31599</v>
      </c>
      <c r="F41" s="1597">
        <v>4789</v>
      </c>
      <c r="G41" s="1608"/>
      <c r="H41" s="1495">
        <f>Dem!E41+Dem!F41</f>
        <v>36388</v>
      </c>
      <c r="O41" s="1391"/>
      <c r="P41" s="1391"/>
    </row>
    <row r="42" spans="1:41">
      <c r="A42" s="1356">
        <v>41</v>
      </c>
      <c r="B42" s="1356" t="s">
        <v>1357</v>
      </c>
      <c r="C42" s="1596" t="s">
        <v>1358</v>
      </c>
      <c r="D42" s="1593" t="s">
        <v>72</v>
      </c>
      <c r="E42" s="1597">
        <v>59</v>
      </c>
      <c r="F42" s="1597">
        <v>101</v>
      </c>
      <c r="H42" s="1495">
        <f>Dem!E42+Dem!F42</f>
        <v>160</v>
      </c>
    </row>
    <row r="43" spans="1:41">
      <c r="A43" s="1356">
        <v>42</v>
      </c>
      <c r="B43" s="1356" t="s">
        <v>1359</v>
      </c>
      <c r="C43" s="1596" t="s">
        <v>1360</v>
      </c>
      <c r="D43" s="1593" t="s">
        <v>72</v>
      </c>
      <c r="E43" s="1597">
        <v>46</v>
      </c>
      <c r="F43" s="1597">
        <v>80</v>
      </c>
      <c r="H43" s="1495">
        <f>Dem!E43+Dem!F43</f>
        <v>126</v>
      </c>
    </row>
    <row r="44" spans="1:41">
      <c r="A44" s="1356">
        <v>43</v>
      </c>
      <c r="B44" s="1356" t="s">
        <v>1361</v>
      </c>
      <c r="C44" s="1596" t="s">
        <v>1362</v>
      </c>
      <c r="D44" s="1593" t="s">
        <v>72</v>
      </c>
      <c r="E44" s="1597">
        <v>66</v>
      </c>
      <c r="F44" s="1597">
        <v>114</v>
      </c>
      <c r="H44" s="1495">
        <f>Dem!E44+Dem!F44</f>
        <v>180</v>
      </c>
      <c r="J44" s="1495"/>
    </row>
    <row r="45" spans="1:41">
      <c r="A45" s="1356">
        <v>44</v>
      </c>
      <c r="B45" s="1356" t="s">
        <v>1363</v>
      </c>
      <c r="C45" s="1596" t="s">
        <v>1364</v>
      </c>
      <c r="D45" s="1593" t="s">
        <v>72</v>
      </c>
      <c r="E45" s="1597">
        <v>5</v>
      </c>
      <c r="F45" s="1597">
        <v>11</v>
      </c>
      <c r="H45" s="1495">
        <f>Dem!E45+Dem!F45</f>
        <v>16</v>
      </c>
    </row>
    <row r="46" spans="1:41">
      <c r="A46" s="1356">
        <v>45</v>
      </c>
      <c r="B46" s="1356" t="s">
        <v>1365</v>
      </c>
      <c r="C46" s="1596" t="s">
        <v>1366</v>
      </c>
      <c r="D46" s="1593" t="s">
        <v>72</v>
      </c>
      <c r="E46" s="1597">
        <v>17</v>
      </c>
      <c r="F46" s="1597">
        <v>35</v>
      </c>
      <c r="H46" s="1495">
        <f>Dem!E46+Dem!F46</f>
        <v>52</v>
      </c>
    </row>
    <row r="47" spans="1:41">
      <c r="A47" s="1356">
        <v>46</v>
      </c>
      <c r="B47" s="1356" t="s">
        <v>1367</v>
      </c>
      <c r="C47" s="1596" t="s">
        <v>1368</v>
      </c>
      <c r="D47" s="1593" t="s">
        <v>72</v>
      </c>
      <c r="E47" s="1597">
        <v>2</v>
      </c>
      <c r="F47" s="1597">
        <v>5</v>
      </c>
      <c r="H47" s="1495">
        <f>Dem!E47+Dem!F47</f>
        <v>7</v>
      </c>
      <c r="J47" s="1495"/>
    </row>
    <row r="48" spans="1:41">
      <c r="A48" s="1356">
        <v>47</v>
      </c>
      <c r="B48" s="1356" t="s">
        <v>1369</v>
      </c>
      <c r="C48" s="1596" t="s">
        <v>1370</v>
      </c>
      <c r="D48" s="1593" t="s">
        <v>72</v>
      </c>
      <c r="E48" s="1597">
        <v>1</v>
      </c>
      <c r="F48" s="1597">
        <v>2</v>
      </c>
      <c r="H48" s="1495">
        <f>Dem!E48+Dem!F48</f>
        <v>3</v>
      </c>
      <c r="L48" s="1577"/>
      <c r="M48" s="1541"/>
    </row>
    <row r="49" spans="1:11">
      <c r="A49" s="1356">
        <v>48</v>
      </c>
      <c r="B49" s="1610" t="s">
        <v>1371</v>
      </c>
      <c r="C49" s="1596" t="s">
        <v>1372</v>
      </c>
      <c r="D49" s="1593" t="s">
        <v>72</v>
      </c>
      <c r="E49" s="1597">
        <v>617</v>
      </c>
      <c r="F49" s="1597">
        <v>757</v>
      </c>
      <c r="H49" s="1495">
        <f>Dem!E49+Dem!F49</f>
        <v>1374</v>
      </c>
    </row>
    <row r="50" spans="1:11" ht="12.6" customHeight="1">
      <c r="A50" s="1356">
        <v>49</v>
      </c>
      <c r="B50" s="1610" t="s">
        <v>732</v>
      </c>
      <c r="C50" s="1596" t="s">
        <v>1373</v>
      </c>
      <c r="D50" s="1593" t="s">
        <v>72</v>
      </c>
      <c r="E50" s="1597">
        <v>442</v>
      </c>
      <c r="F50" s="1597">
        <v>542</v>
      </c>
      <c r="H50" s="1495">
        <f>Dem!E50+Dem!F50</f>
        <v>984</v>
      </c>
    </row>
    <row r="51" spans="1:11" ht="12.6" customHeight="1">
      <c r="A51" s="1356">
        <v>50</v>
      </c>
      <c r="B51" s="1610" t="s">
        <v>1374</v>
      </c>
      <c r="C51" s="1596" t="s">
        <v>1375</v>
      </c>
      <c r="D51" s="1593" t="s">
        <v>72</v>
      </c>
      <c r="E51" s="1597">
        <v>316</v>
      </c>
      <c r="F51" s="1597">
        <v>222</v>
      </c>
      <c r="H51" s="1495">
        <f>Dem!E51+Dem!F51</f>
        <v>538</v>
      </c>
    </row>
    <row r="52" spans="1:11">
      <c r="A52" s="1356">
        <v>51</v>
      </c>
      <c r="B52" s="1610" t="s">
        <v>733</v>
      </c>
      <c r="C52" s="1596" t="s">
        <v>1376</v>
      </c>
      <c r="D52" s="1593" t="s">
        <v>72</v>
      </c>
      <c r="E52" s="1597">
        <v>25</v>
      </c>
      <c r="F52" s="1597">
        <v>17</v>
      </c>
      <c r="H52" s="1495">
        <f>Dem!E52+Dem!F52</f>
        <v>42</v>
      </c>
    </row>
    <row r="53" spans="1:11">
      <c r="A53" s="1356">
        <v>52</v>
      </c>
      <c r="B53" s="1610" t="s">
        <v>1196</v>
      </c>
      <c r="C53" s="1596" t="s">
        <v>84</v>
      </c>
      <c r="D53" s="1593" t="s">
        <v>73</v>
      </c>
      <c r="E53" s="1597">
        <v>1198</v>
      </c>
      <c r="F53" s="1597">
        <v>751</v>
      </c>
      <c r="H53" s="1495">
        <f>Dem!E53+Dem!F53</f>
        <v>1949</v>
      </c>
    </row>
    <row r="54" spans="1:11">
      <c r="A54" s="1356">
        <v>53</v>
      </c>
      <c r="B54" s="1595" t="s">
        <v>1197</v>
      </c>
      <c r="C54" s="1596" t="s">
        <v>83</v>
      </c>
      <c r="D54" s="1593" t="s">
        <v>73</v>
      </c>
      <c r="E54" s="1597">
        <v>15588</v>
      </c>
      <c r="F54" s="1597">
        <v>32552</v>
      </c>
      <c r="H54" s="1495">
        <f>Dem!E54+Dem!F54</f>
        <v>48140</v>
      </c>
    </row>
    <row r="55" spans="1:11">
      <c r="A55" s="1356">
        <v>54</v>
      </c>
      <c r="B55" s="1595" t="s">
        <v>1198</v>
      </c>
      <c r="C55" s="1596" t="s">
        <v>158</v>
      </c>
      <c r="D55" s="1593" t="s">
        <v>73</v>
      </c>
      <c r="E55" s="1597">
        <v>579</v>
      </c>
      <c r="F55" s="1597">
        <v>52</v>
      </c>
      <c r="H55" s="1495">
        <f>Dem!E55+Dem!F55</f>
        <v>631</v>
      </c>
    </row>
    <row r="56" spans="1:11">
      <c r="A56" s="1356">
        <v>55</v>
      </c>
      <c r="B56" s="1595" t="s">
        <v>1117</v>
      </c>
      <c r="C56" s="1596" t="s">
        <v>1377</v>
      </c>
      <c r="D56" s="1593" t="s">
        <v>72</v>
      </c>
      <c r="E56" s="1597">
        <v>353</v>
      </c>
      <c r="F56" s="1597">
        <v>237</v>
      </c>
      <c r="H56" s="1495">
        <f>Dem!E56+Dem!F56</f>
        <v>590</v>
      </c>
    </row>
    <row r="57" spans="1:11">
      <c r="A57" s="1356">
        <v>56</v>
      </c>
      <c r="B57" s="1595" t="s">
        <v>780</v>
      </c>
      <c r="C57" s="1596" t="s">
        <v>1378</v>
      </c>
      <c r="D57" s="1593" t="s">
        <v>72</v>
      </c>
      <c r="E57" s="1597">
        <v>1013</v>
      </c>
      <c r="F57" s="1597">
        <v>681</v>
      </c>
      <c r="H57" s="1495">
        <f>Dem!E57+Dem!F57</f>
        <v>1694</v>
      </c>
    </row>
    <row r="58" spans="1:11">
      <c r="A58" s="1356">
        <v>57</v>
      </c>
      <c r="B58" s="1595" t="s">
        <v>779</v>
      </c>
      <c r="C58" s="1596" t="s">
        <v>1379</v>
      </c>
      <c r="D58" s="1593" t="s">
        <v>72</v>
      </c>
      <c r="E58" s="1606">
        <v>291</v>
      </c>
      <c r="F58" s="1606">
        <v>196</v>
      </c>
      <c r="H58" s="1495">
        <f>Dem!E58+Dem!F58</f>
        <v>487</v>
      </c>
      <c r="K58" s="1495"/>
    </row>
    <row r="59" spans="1:11">
      <c r="A59" s="1356">
        <v>58</v>
      </c>
      <c r="B59" s="1595" t="s">
        <v>781</v>
      </c>
      <c r="C59" s="1596" t="s">
        <v>1380</v>
      </c>
      <c r="D59" s="1593" t="s">
        <v>72</v>
      </c>
      <c r="E59" s="1606">
        <v>167</v>
      </c>
      <c r="F59" s="1606">
        <v>112</v>
      </c>
      <c r="H59" s="1495">
        <f>Dem!E59+Dem!F59</f>
        <v>279</v>
      </c>
      <c r="J59" s="1495"/>
      <c r="K59" s="1495"/>
    </row>
    <row r="60" spans="1:11">
      <c r="A60" s="1356">
        <v>59</v>
      </c>
      <c r="B60" s="1598" t="s">
        <v>1381</v>
      </c>
      <c r="C60" s="1592" t="s">
        <v>1382</v>
      </c>
      <c r="D60" s="1611" t="s">
        <v>72</v>
      </c>
      <c r="E60" s="1606">
        <v>236</v>
      </c>
      <c r="F60" s="1606">
        <v>159</v>
      </c>
      <c r="H60" s="1495">
        <f>Dem!E60+Dem!F60</f>
        <v>395</v>
      </c>
      <c r="K60" s="1495"/>
    </row>
    <row r="61" spans="1:11">
      <c r="A61" s="1356">
        <v>60</v>
      </c>
      <c r="B61" s="1595" t="s">
        <v>1383</v>
      </c>
      <c r="C61" s="1596" t="s">
        <v>1384</v>
      </c>
      <c r="D61" s="1593" t="s">
        <v>72</v>
      </c>
      <c r="E61" s="1606">
        <v>233</v>
      </c>
      <c r="F61" s="1606">
        <v>157</v>
      </c>
      <c r="H61" s="1495">
        <f>Dem!E61+Dem!F61</f>
        <v>390</v>
      </c>
      <c r="J61" s="1495"/>
    </row>
    <row r="62" spans="1:11">
      <c r="A62" s="1356">
        <v>61</v>
      </c>
      <c r="B62" s="1595" t="s">
        <v>1385</v>
      </c>
      <c r="C62" s="1596" t="s">
        <v>1386</v>
      </c>
      <c r="D62" s="1593" t="s">
        <v>72</v>
      </c>
      <c r="E62" s="1606">
        <v>1825</v>
      </c>
      <c r="F62" s="1606">
        <v>1226</v>
      </c>
      <c r="H62" s="1495">
        <f>Dem!E62+Dem!F62</f>
        <v>3051</v>
      </c>
      <c r="J62" s="1495"/>
    </row>
    <row r="63" spans="1:11">
      <c r="A63" s="1356">
        <v>62</v>
      </c>
      <c r="B63" s="1595" t="s">
        <v>1387</v>
      </c>
      <c r="C63" s="1596" t="s">
        <v>1388</v>
      </c>
      <c r="D63" s="1593" t="s">
        <v>72</v>
      </c>
      <c r="E63" s="1606">
        <v>92</v>
      </c>
      <c r="F63" s="1606">
        <v>0</v>
      </c>
      <c r="H63" s="1495">
        <f>Dem!E63+Dem!F63</f>
        <v>92</v>
      </c>
      <c r="J63" s="1495"/>
    </row>
    <row r="64" spans="1:11">
      <c r="A64" s="1356">
        <v>63</v>
      </c>
      <c r="B64" s="1595" t="s">
        <v>1389</v>
      </c>
      <c r="C64" s="1596" t="s">
        <v>1390</v>
      </c>
      <c r="D64" s="1593" t="s">
        <v>72</v>
      </c>
      <c r="E64" s="1606">
        <v>157</v>
      </c>
      <c r="F64" s="1606">
        <v>0</v>
      </c>
      <c r="H64" s="1495">
        <f>Dem!E64+Dem!F64</f>
        <v>157</v>
      </c>
      <c r="J64" s="1495"/>
    </row>
    <row r="65" spans="1:10">
      <c r="A65" s="1356">
        <v>64</v>
      </c>
      <c r="B65" s="1595" t="s">
        <v>1391</v>
      </c>
      <c r="C65" s="1596" t="s">
        <v>1392</v>
      </c>
      <c r="D65" s="1593" t="s">
        <v>72</v>
      </c>
      <c r="E65" s="1606">
        <v>91</v>
      </c>
      <c r="F65" s="1606">
        <v>0</v>
      </c>
      <c r="H65" s="1495">
        <f>Dem!E65+Dem!F65</f>
        <v>91</v>
      </c>
      <c r="J65" s="1495"/>
    </row>
    <row r="66" spans="1:10">
      <c r="A66" s="1356">
        <v>65</v>
      </c>
      <c r="B66" s="1595" t="s">
        <v>1393</v>
      </c>
      <c r="C66" s="1596" t="s">
        <v>1394</v>
      </c>
      <c r="D66" s="1593" t="s">
        <v>72</v>
      </c>
      <c r="E66" s="1606">
        <v>772</v>
      </c>
      <c r="F66" s="1606">
        <v>0</v>
      </c>
      <c r="H66" s="1495">
        <f>Dem!E66+Dem!F66</f>
        <v>772</v>
      </c>
    </row>
    <row r="67" spans="1:10">
      <c r="A67" s="1356">
        <v>66</v>
      </c>
      <c r="B67" s="1595" t="s">
        <v>1395</v>
      </c>
      <c r="C67" s="1596" t="s">
        <v>1396</v>
      </c>
      <c r="D67" s="1593" t="s">
        <v>72</v>
      </c>
      <c r="E67" s="1606">
        <v>416</v>
      </c>
      <c r="F67" s="1606">
        <v>0</v>
      </c>
      <c r="H67" s="1495">
        <f>Dem!E67+Dem!F67</f>
        <v>416</v>
      </c>
    </row>
    <row r="68" spans="1:10">
      <c r="A68" s="1356">
        <v>67</v>
      </c>
      <c r="B68" s="1595" t="s">
        <v>1397</v>
      </c>
      <c r="C68" s="1596" t="s">
        <v>1398</v>
      </c>
      <c r="D68" s="1593" t="s">
        <v>72</v>
      </c>
      <c r="E68" s="1606">
        <v>249</v>
      </c>
      <c r="F68" s="1606">
        <v>164</v>
      </c>
      <c r="H68" s="1495">
        <f>Dem!E68+Dem!F68</f>
        <v>413</v>
      </c>
    </row>
    <row r="69" spans="1:10">
      <c r="A69" s="1356">
        <v>68</v>
      </c>
      <c r="B69" s="1595" t="s">
        <v>1399</v>
      </c>
      <c r="C69" s="1596" t="s">
        <v>1400</v>
      </c>
      <c r="D69" s="1593" t="s">
        <v>72</v>
      </c>
      <c r="E69" s="1597">
        <v>556</v>
      </c>
      <c r="F69" s="1597">
        <v>367</v>
      </c>
      <c r="H69" s="1495">
        <f>Dem!E69+Dem!F69</f>
        <v>923</v>
      </c>
    </row>
    <row r="70" spans="1:10">
      <c r="A70" s="1356">
        <v>69</v>
      </c>
      <c r="B70" s="1595" t="s">
        <v>1401</v>
      </c>
      <c r="C70" s="1596" t="s">
        <v>1402</v>
      </c>
      <c r="D70" s="1593" t="s">
        <v>72</v>
      </c>
      <c r="E70" s="1597">
        <v>1935</v>
      </c>
      <c r="F70" s="1597">
        <v>1276</v>
      </c>
      <c r="H70" s="1495">
        <f>Dem!E70+Dem!F70</f>
        <v>3211</v>
      </c>
    </row>
    <row r="71" spans="1:10">
      <c r="A71" s="1356">
        <v>70</v>
      </c>
      <c r="B71" s="1356" t="s">
        <v>1352</v>
      </c>
      <c r="C71" s="1356" t="s">
        <v>1353</v>
      </c>
      <c r="D71" s="1391" t="s">
        <v>72</v>
      </c>
      <c r="E71" s="1495">
        <v>1315.39</v>
      </c>
      <c r="F71" s="1495">
        <v>1983.85</v>
      </c>
      <c r="H71" s="1495">
        <f>Dem!E71+Dem!F71</f>
        <v>3299.24</v>
      </c>
    </row>
    <row r="72" spans="1:10">
      <c r="A72" s="1356">
        <v>71</v>
      </c>
      <c r="B72" s="1356" t="s">
        <v>74</v>
      </c>
      <c r="C72" s="1495" t="s">
        <v>1354</v>
      </c>
      <c r="D72" s="1356" t="s">
        <v>72</v>
      </c>
      <c r="E72" s="1495">
        <v>6311.38</v>
      </c>
      <c r="F72" s="1495">
        <v>9518.7099999999991</v>
      </c>
      <c r="H72" s="1495">
        <f>Dem!E72+Dem!F72</f>
        <v>15830.09</v>
      </c>
    </row>
    <row r="73" spans="1:10">
      <c r="A73" s="1356">
        <v>72</v>
      </c>
      <c r="B73" s="1356" t="s">
        <v>75</v>
      </c>
      <c r="C73" s="1356" t="s">
        <v>1355</v>
      </c>
      <c r="D73" s="1356" t="s">
        <v>72</v>
      </c>
      <c r="E73" s="1495">
        <v>4558.76</v>
      </c>
      <c r="F73" s="1495">
        <v>6875.39</v>
      </c>
      <c r="H73" s="1495">
        <f>Dem!E73+Dem!F73</f>
        <v>11434.150000000001</v>
      </c>
    </row>
    <row r="74" spans="1:10">
      <c r="A74" s="1356">
        <v>73</v>
      </c>
      <c r="B74" s="1356" t="s">
        <v>76</v>
      </c>
      <c r="C74" s="1356" t="s">
        <v>1356</v>
      </c>
      <c r="D74" s="1356" t="s">
        <v>72</v>
      </c>
      <c r="E74" s="1495">
        <v>8730.9500000000007</v>
      </c>
      <c r="F74" s="1495">
        <v>13168.03</v>
      </c>
      <c r="H74" s="1495">
        <f>Dem!E74+Dem!F74</f>
        <v>21898.980000000003</v>
      </c>
    </row>
    <row r="75" spans="1:10">
      <c r="A75" s="1356">
        <v>74</v>
      </c>
      <c r="B75" s="1356" t="s">
        <v>223</v>
      </c>
      <c r="C75" s="1356" t="s">
        <v>222</v>
      </c>
      <c r="D75" s="1356" t="s">
        <v>73</v>
      </c>
      <c r="E75" s="1495">
        <v>620.33000000000004</v>
      </c>
      <c r="F75" s="1495">
        <v>620.33000000000004</v>
      </c>
      <c r="H75" s="1495">
        <f>Dem!E75+Dem!F75</f>
        <v>1240.6600000000001</v>
      </c>
    </row>
    <row r="76" spans="1:10">
      <c r="A76" s="1356">
        <v>75</v>
      </c>
      <c r="B76" s="1356" t="s">
        <v>82</v>
      </c>
      <c r="C76" s="1495" t="s">
        <v>85</v>
      </c>
      <c r="D76" s="1356" t="s">
        <v>73</v>
      </c>
      <c r="E76" s="1495">
        <v>1211.17</v>
      </c>
      <c r="F76" s="1495">
        <v>1211.17</v>
      </c>
      <c r="H76" s="1495">
        <f>Dem!E76+Dem!F76</f>
        <v>2422.34</v>
      </c>
    </row>
    <row r="77" spans="1:10">
      <c r="A77" s="1356">
        <v>76</v>
      </c>
      <c r="B77" s="1495" t="s">
        <v>1192</v>
      </c>
      <c r="C77" s="1356" t="s">
        <v>353</v>
      </c>
      <c r="D77" s="1356" t="s">
        <v>73</v>
      </c>
      <c r="E77" s="1495">
        <v>606.13</v>
      </c>
      <c r="F77" s="1495">
        <v>606.13</v>
      </c>
      <c r="H77" s="1495">
        <f>Dem!E77+Dem!F77</f>
        <v>1212.26</v>
      </c>
    </row>
    <row r="78" spans="1:10">
      <c r="A78" s="1356">
        <v>77</v>
      </c>
      <c r="B78" s="1495" t="s">
        <v>1193</v>
      </c>
      <c r="C78" s="1356" t="s">
        <v>354</v>
      </c>
      <c r="D78" s="1356" t="s">
        <v>73</v>
      </c>
      <c r="E78" s="1495">
        <v>4395.21</v>
      </c>
      <c r="F78" s="1495">
        <v>4395.21</v>
      </c>
      <c r="H78" s="1495">
        <f>Dem!E78+Dem!F78</f>
        <v>8790.42</v>
      </c>
    </row>
    <row r="79" spans="1:10">
      <c r="A79" s="1356">
        <v>78</v>
      </c>
      <c r="B79" s="1356" t="s">
        <v>1194</v>
      </c>
      <c r="C79" s="1356" t="s">
        <v>355</v>
      </c>
      <c r="D79" s="1356" t="s">
        <v>73</v>
      </c>
      <c r="E79" s="1495">
        <v>4874.09</v>
      </c>
      <c r="F79" s="1495">
        <v>4874.09</v>
      </c>
      <c r="H79" s="1495">
        <f>Dem!E79+Dem!F79</f>
        <v>9748.18</v>
      </c>
    </row>
    <row r="80" spans="1:10">
      <c r="A80" s="1356">
        <v>79</v>
      </c>
      <c r="B80" s="1356" t="s">
        <v>1195</v>
      </c>
      <c r="C80" s="1495" t="s">
        <v>221</v>
      </c>
      <c r="D80" s="1356" t="s">
        <v>73</v>
      </c>
      <c r="E80" s="1495">
        <v>223</v>
      </c>
      <c r="F80" s="1495">
        <v>151</v>
      </c>
      <c r="H80" s="1495">
        <f>Dem!E80+Dem!F80</f>
        <v>374</v>
      </c>
    </row>
    <row r="81" spans="4:9">
      <c r="D81" s="1356"/>
    </row>
    <row r="82" spans="4:9">
      <c r="D82" s="1356"/>
    </row>
    <row r="83" spans="4:9">
      <c r="D83" s="1356"/>
    </row>
    <row r="84" spans="4:9">
      <c r="D84" s="1356"/>
    </row>
    <row r="85" spans="4:9">
      <c r="D85" s="1356"/>
    </row>
    <row r="86" spans="4:9">
      <c r="D86" s="1356"/>
      <c r="G86" s="1577"/>
      <c r="I86" s="1608"/>
    </row>
    <row r="87" spans="4:9">
      <c r="D87" s="1356"/>
      <c r="G87" s="1577"/>
      <c r="I87" s="1608"/>
    </row>
    <row r="88" spans="4:9">
      <c r="D88" s="1356"/>
      <c r="G88" s="1577"/>
      <c r="I88" s="1608"/>
    </row>
    <row r="89" spans="4:9">
      <c r="D89" s="1356"/>
      <c r="G89" s="1577"/>
      <c r="I89" s="1608"/>
    </row>
    <row r="90" spans="4:9">
      <c r="D90" s="1356"/>
      <c r="G90" s="1577"/>
      <c r="I90" s="1608"/>
    </row>
    <row r="91" spans="4:9">
      <c r="D91" s="1356"/>
      <c r="G91" s="1577"/>
      <c r="I91" s="1608"/>
    </row>
    <row r="92" spans="4:9">
      <c r="D92" s="1356"/>
      <c r="G92" s="1577"/>
      <c r="I92" s="1608"/>
    </row>
    <row r="93" spans="4:9">
      <c r="D93" s="1356"/>
      <c r="G93" s="1577"/>
      <c r="I93" s="1608"/>
    </row>
    <row r="94" spans="4:9">
      <c r="D94" s="1356"/>
      <c r="G94" s="1577"/>
      <c r="I94" s="1608"/>
    </row>
    <row r="95" spans="4:9">
      <c r="D95" s="1356"/>
      <c r="G95" s="1577"/>
      <c r="I95" s="1608"/>
    </row>
    <row r="96" spans="4:9">
      <c r="D96" s="1356"/>
      <c r="G96" s="1577"/>
      <c r="I96" s="1608"/>
    </row>
    <row r="97" spans="4:9">
      <c r="D97" s="1356"/>
    </row>
    <row r="98" spans="4:9">
      <c r="D98" s="1356"/>
    </row>
    <row r="99" spans="4:9">
      <c r="G99" s="1608"/>
      <c r="I99" s="1608"/>
    </row>
    <row r="100" spans="4:9">
      <c r="H100" s="1608"/>
    </row>
  </sheetData>
  <phoneticPr fontId="42" type="noConversion"/>
  <pageMargins left="0.75" right="0.75" top="1" bottom="1" header="0.5" footer="0.5"/>
  <pageSetup paperSize="9" orientation="portrait"/>
  <headerFooter alignWithMargins="0"/>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7"/>
  <dimension ref="A1:AG192"/>
  <sheetViews>
    <sheetView topLeftCell="H1" workbookViewId="0">
      <selection activeCell="B129" sqref="B129"/>
    </sheetView>
  </sheetViews>
  <sheetFormatPr defaultColWidth="27.42578125" defaultRowHeight="12.75"/>
  <cols>
    <col min="1" max="1" width="49" customWidth="1"/>
    <col min="2" max="2" width="14.5703125" bestFit="1" customWidth="1"/>
    <col min="3" max="3" width="10.7109375" bestFit="1" customWidth="1"/>
    <col min="4" max="4" width="7.140625" bestFit="1" customWidth="1"/>
    <col min="5" max="5" width="5.5703125" customWidth="1"/>
    <col min="6" max="6" width="9.28515625" bestFit="1" customWidth="1"/>
    <col min="7" max="7" width="9.28515625" customWidth="1"/>
    <col min="8" max="8" width="11.28515625" bestFit="1" customWidth="1"/>
    <col min="9" max="9" width="11.28515625" customWidth="1"/>
    <col min="10" max="10" width="10.140625" bestFit="1" customWidth="1"/>
    <col min="11" max="12" width="9.140625" customWidth="1"/>
    <col min="13" max="13" width="0" hidden="1" customWidth="1"/>
    <col min="14" max="14" width="14.85546875" customWidth="1"/>
    <col min="15" max="15" width="16.85546875" customWidth="1"/>
    <col min="16" max="16" width="9.140625" customWidth="1"/>
    <col min="17" max="17" width="11.5703125" bestFit="1" customWidth="1"/>
    <col min="18" max="18" width="9.140625" customWidth="1"/>
    <col min="19" max="19" width="11.5703125" bestFit="1" customWidth="1"/>
    <col min="20" max="20" width="9.140625" customWidth="1"/>
    <col min="21" max="21" width="13.42578125" bestFit="1" customWidth="1"/>
    <col min="22" max="22" width="9.140625" customWidth="1"/>
    <col min="23" max="23" width="12.42578125" bestFit="1" customWidth="1"/>
    <col min="24" max="25" width="9.140625" customWidth="1"/>
    <col min="26" max="26" width="13.85546875" bestFit="1" customWidth="1"/>
    <col min="27" max="27" width="9.140625" customWidth="1"/>
    <col min="28" max="28" width="10.140625" bestFit="1" customWidth="1"/>
    <col min="29" max="29" width="9.140625" customWidth="1"/>
    <col min="30" max="30" width="10.140625" bestFit="1" customWidth="1"/>
    <col min="31" max="31" width="9.140625" customWidth="1"/>
    <col min="32" max="32" width="10.140625" bestFit="1" customWidth="1"/>
    <col min="33" max="255" width="9.140625" customWidth="1"/>
  </cols>
  <sheetData>
    <row r="1" spans="1:32" ht="13.5" thickBot="1">
      <c r="A1" t="s">
        <v>609</v>
      </c>
    </row>
    <row r="2" spans="1:32">
      <c r="A2" s="54" t="s">
        <v>414</v>
      </c>
      <c r="B2" s="55"/>
      <c r="C2" s="55"/>
      <c r="D2" s="56"/>
      <c r="E2" s="56"/>
      <c r="F2" s="56"/>
      <c r="G2" s="56"/>
      <c r="H2" s="56"/>
      <c r="I2" s="56"/>
      <c r="J2" s="57"/>
    </row>
    <row r="3" spans="1:32" ht="13.5" thickBot="1">
      <c r="A3" s="58"/>
      <c r="B3" s="1"/>
      <c r="C3" s="1"/>
      <c r="D3" s="59"/>
      <c r="E3" s="59"/>
      <c r="F3" s="59"/>
      <c r="G3" s="59"/>
      <c r="H3" s="59"/>
      <c r="I3" s="59"/>
      <c r="J3" s="60"/>
    </row>
    <row r="4" spans="1:32" ht="14.25" thickTop="1" thickBot="1">
      <c r="A4" s="61" t="s">
        <v>86</v>
      </c>
      <c r="B4" s="62" t="s">
        <v>87</v>
      </c>
      <c r="C4" s="62" t="s">
        <v>88</v>
      </c>
      <c r="D4" s="63" t="s">
        <v>89</v>
      </c>
      <c r="E4" s="63" t="s">
        <v>90</v>
      </c>
      <c r="F4" s="63" t="s">
        <v>91</v>
      </c>
      <c r="G4" s="63" t="s">
        <v>90</v>
      </c>
      <c r="H4" s="63" t="s">
        <v>92</v>
      </c>
      <c r="I4" s="64" t="s">
        <v>90</v>
      </c>
      <c r="J4" s="65" t="s">
        <v>93</v>
      </c>
      <c r="K4" s="66" t="s">
        <v>90</v>
      </c>
      <c r="N4" s="67"/>
      <c r="O4" s="68"/>
      <c r="P4" s="68"/>
      <c r="Q4" s="69" t="s">
        <v>89</v>
      </c>
      <c r="R4" s="69" t="s">
        <v>90</v>
      </c>
      <c r="S4" s="69" t="s">
        <v>91</v>
      </c>
      <c r="T4" s="69" t="s">
        <v>90</v>
      </c>
      <c r="U4" s="69" t="s">
        <v>92</v>
      </c>
      <c r="V4" s="70" t="s">
        <v>90</v>
      </c>
      <c r="W4" s="71" t="s">
        <v>93</v>
      </c>
      <c r="X4" s="72" t="s">
        <v>90</v>
      </c>
      <c r="AB4" s="447" t="s">
        <v>606</v>
      </c>
      <c r="AC4" s="23"/>
      <c r="AD4" s="23"/>
    </row>
    <row r="5" spans="1:32">
      <c r="A5" s="73" t="s">
        <v>405</v>
      </c>
      <c r="B5" s="74" t="s">
        <v>95</v>
      </c>
      <c r="C5" s="275" t="s">
        <v>419</v>
      </c>
      <c r="D5" s="75"/>
      <c r="E5" s="76">
        <f>D5/$L$24</f>
        <v>0</v>
      </c>
      <c r="F5" s="77"/>
      <c r="G5" s="76">
        <f>F5/$L$24</f>
        <v>0</v>
      </c>
      <c r="H5" s="77"/>
      <c r="I5" s="76">
        <f>H5/$L$24</f>
        <v>0</v>
      </c>
      <c r="J5" s="77"/>
      <c r="K5" s="78">
        <f>J5/$L$24</f>
        <v>0</v>
      </c>
      <c r="N5" s="79" t="s">
        <v>405</v>
      </c>
      <c r="O5" s="80" t="s">
        <v>95</v>
      </c>
      <c r="P5" s="276" t="s">
        <v>419</v>
      </c>
      <c r="Q5" s="82">
        <f t="shared" ref="Q5:X8" si="0">D5+D9+D17</f>
        <v>0</v>
      </c>
      <c r="R5" s="83">
        <f t="shared" si="0"/>
        <v>0</v>
      </c>
      <c r="S5" s="82">
        <f t="shared" si="0"/>
        <v>0</v>
      </c>
      <c r="T5" s="83">
        <f t="shared" si="0"/>
        <v>0</v>
      </c>
      <c r="U5" s="82">
        <f t="shared" si="0"/>
        <v>0</v>
      </c>
      <c r="V5" s="83">
        <f t="shared" si="0"/>
        <v>0</v>
      </c>
      <c r="W5" s="82">
        <f t="shared" si="0"/>
        <v>0</v>
      </c>
      <c r="X5" s="84">
        <f t="shared" si="0"/>
        <v>0</v>
      </c>
      <c r="AB5" s="229"/>
      <c r="AC5" s="227" t="s">
        <v>116</v>
      </c>
      <c r="AD5" s="228" t="s">
        <v>117</v>
      </c>
      <c r="AE5" s="227" t="s">
        <v>120</v>
      </c>
    </row>
    <row r="6" spans="1:32">
      <c r="A6" s="85" t="s">
        <v>405</v>
      </c>
      <c r="B6" s="86" t="s">
        <v>96</v>
      </c>
      <c r="C6" s="87" t="s">
        <v>419</v>
      </c>
      <c r="D6" s="88">
        <v>0.50065246901044158</v>
      </c>
      <c r="E6" s="89">
        <f t="shared" ref="E6:E23" si="1">D6/$L$24</f>
        <v>2.4524425178628203E-3</v>
      </c>
      <c r="F6" s="90"/>
      <c r="G6" s="89">
        <f t="shared" ref="G6:G24" si="2">F6/$L$24</f>
        <v>0</v>
      </c>
      <c r="H6" s="90"/>
      <c r="I6" s="89">
        <f t="shared" ref="I6:I24" si="3">H6/$L$24</f>
        <v>0</v>
      </c>
      <c r="J6" s="90"/>
      <c r="K6" s="91">
        <f t="shared" ref="K6:K24" si="4">J6/$L$24</f>
        <v>0</v>
      </c>
      <c r="N6" s="92" t="s">
        <v>405</v>
      </c>
      <c r="O6" s="86" t="s">
        <v>96</v>
      </c>
      <c r="P6" s="93" t="s">
        <v>419</v>
      </c>
      <c r="Q6" s="94">
        <f t="shared" si="0"/>
        <v>0.50065246901044158</v>
      </c>
      <c r="R6" s="95">
        <f t="shared" si="0"/>
        <v>2.4524425178628203E-3</v>
      </c>
      <c r="S6" s="94">
        <f t="shared" si="0"/>
        <v>0</v>
      </c>
      <c r="T6" s="95">
        <f t="shared" si="0"/>
        <v>0</v>
      </c>
      <c r="U6" s="94">
        <f t="shared" si="0"/>
        <v>0</v>
      </c>
      <c r="V6" s="95">
        <f t="shared" si="0"/>
        <v>0</v>
      </c>
      <c r="W6" s="94">
        <f t="shared" si="0"/>
        <v>0</v>
      </c>
      <c r="X6" s="96">
        <f t="shared" si="0"/>
        <v>0</v>
      </c>
      <c r="AB6" s="269" t="s">
        <v>403</v>
      </c>
      <c r="AC6" s="227"/>
      <c r="AD6" s="228"/>
      <c r="AE6" s="225"/>
    </row>
    <row r="7" spans="1:32">
      <c r="A7" s="85" t="s">
        <v>405</v>
      </c>
      <c r="B7" s="86" t="s">
        <v>97</v>
      </c>
      <c r="C7" s="87" t="s">
        <v>419</v>
      </c>
      <c r="D7" s="88"/>
      <c r="E7" s="89">
        <f t="shared" si="1"/>
        <v>0</v>
      </c>
      <c r="F7" s="97"/>
      <c r="G7" s="89">
        <f t="shared" si="2"/>
        <v>0</v>
      </c>
      <c r="H7" s="97"/>
      <c r="I7" s="89">
        <f t="shared" si="3"/>
        <v>0</v>
      </c>
      <c r="J7" s="97"/>
      <c r="K7" s="91">
        <f t="shared" si="4"/>
        <v>0</v>
      </c>
      <c r="N7" s="92" t="s">
        <v>405</v>
      </c>
      <c r="O7" s="86" t="s">
        <v>97</v>
      </c>
      <c r="P7" s="93" t="s">
        <v>419</v>
      </c>
      <c r="Q7" s="94">
        <f t="shared" si="0"/>
        <v>0</v>
      </c>
      <c r="R7" s="95">
        <f t="shared" si="0"/>
        <v>0</v>
      </c>
      <c r="S7" s="94">
        <f t="shared" si="0"/>
        <v>0</v>
      </c>
      <c r="T7" s="95">
        <f t="shared" si="0"/>
        <v>0</v>
      </c>
      <c r="U7" s="94">
        <f t="shared" si="0"/>
        <v>0</v>
      </c>
      <c r="V7" s="95">
        <f t="shared" si="0"/>
        <v>0</v>
      </c>
      <c r="W7" s="94">
        <f t="shared" si="0"/>
        <v>0</v>
      </c>
      <c r="X7" s="96">
        <f t="shared" si="0"/>
        <v>0</v>
      </c>
      <c r="AB7" s="229" t="s">
        <v>401</v>
      </c>
      <c r="AC7" s="265">
        <f>Data!Q13+Data!U13</f>
        <v>114.38030021815342</v>
      </c>
      <c r="AD7" s="266">
        <f>Data!S13+Data!W13</f>
        <v>221.66873833792764</v>
      </c>
      <c r="AE7" s="448">
        <f>AC7+AD7</f>
        <v>336.04903855608109</v>
      </c>
      <c r="AF7" s="3"/>
    </row>
    <row r="8" spans="1:32">
      <c r="A8" s="85" t="s">
        <v>405</v>
      </c>
      <c r="B8" s="86" t="s">
        <v>98</v>
      </c>
      <c r="C8" s="87" t="s">
        <v>419</v>
      </c>
      <c r="D8" s="88">
        <v>30.709202327521751</v>
      </c>
      <c r="E8" s="89">
        <f t="shared" si="1"/>
        <v>0.15042880668605174</v>
      </c>
      <c r="F8" s="97">
        <v>18.39140605862703</v>
      </c>
      <c r="G8" s="89">
        <f>F8/$L$24</f>
        <v>9.0090170274414683E-2</v>
      </c>
      <c r="H8" s="90"/>
      <c r="I8" s="89">
        <f t="shared" si="3"/>
        <v>0</v>
      </c>
      <c r="J8" s="97">
        <v>35.214014705040434</v>
      </c>
      <c r="K8" s="91">
        <f t="shared" si="4"/>
        <v>0.17249559771068781</v>
      </c>
      <c r="N8" s="92" t="s">
        <v>405</v>
      </c>
      <c r="O8" s="86" t="s">
        <v>98</v>
      </c>
      <c r="P8" s="93" t="s">
        <v>419</v>
      </c>
      <c r="Q8" s="94">
        <f t="shared" si="0"/>
        <v>30.709202327521751</v>
      </c>
      <c r="R8" s="95">
        <f t="shared" si="0"/>
        <v>0.15042880668605174</v>
      </c>
      <c r="S8" s="94">
        <f t="shared" si="0"/>
        <v>29.237707489942036</v>
      </c>
      <c r="T8" s="95">
        <f t="shared" si="0"/>
        <v>0.14322069980978089</v>
      </c>
      <c r="U8" s="94">
        <f t="shared" si="0"/>
        <v>3.1486607295803064</v>
      </c>
      <c r="V8" s="95">
        <f t="shared" si="0"/>
        <v>1.5423691933069571E-2</v>
      </c>
      <c r="W8" s="94">
        <f t="shared" si="0"/>
        <v>62.894385683875697</v>
      </c>
      <c r="X8" s="96">
        <f t="shared" si="0"/>
        <v>0.30808769582395185</v>
      </c>
      <c r="AB8" s="229" t="s">
        <v>109</v>
      </c>
      <c r="AC8" s="265">
        <f>Data!Q14+Data!U14</f>
        <v>2054.5282000579514</v>
      </c>
      <c r="AD8" s="266">
        <f>Data!S14+Data!W14</f>
        <v>2963.4891675493518</v>
      </c>
      <c r="AE8" s="448">
        <f>AC8+AD8</f>
        <v>5018.0173676073027</v>
      </c>
    </row>
    <row r="9" spans="1:32">
      <c r="A9" s="85" t="s">
        <v>416</v>
      </c>
      <c r="B9" s="98" t="s">
        <v>95</v>
      </c>
      <c r="C9" s="1" t="s">
        <v>419</v>
      </c>
      <c r="D9" s="88"/>
      <c r="E9" s="89">
        <f t="shared" si="1"/>
        <v>0</v>
      </c>
      <c r="F9" s="97"/>
      <c r="G9" s="89">
        <f t="shared" si="2"/>
        <v>0</v>
      </c>
      <c r="H9" s="90"/>
      <c r="I9" s="89">
        <f t="shared" si="3"/>
        <v>0</v>
      </c>
      <c r="J9" s="97"/>
      <c r="K9" s="91">
        <f t="shared" si="4"/>
        <v>0</v>
      </c>
      <c r="N9" s="92" t="s">
        <v>406</v>
      </c>
      <c r="O9" s="98" t="s">
        <v>95</v>
      </c>
      <c r="P9" s="99" t="s">
        <v>419</v>
      </c>
      <c r="Q9" s="94">
        <f t="shared" ref="Q9:X12" si="5">D13+D21</f>
        <v>0.40128855725511281</v>
      </c>
      <c r="R9" s="95">
        <f t="shared" si="5"/>
        <v>1.9657091109316835E-3</v>
      </c>
      <c r="S9" s="94">
        <f t="shared" si="5"/>
        <v>0.66620842308378525</v>
      </c>
      <c r="T9" s="95">
        <f t="shared" si="5"/>
        <v>3.2634171679176158E-3</v>
      </c>
      <c r="U9" s="94">
        <f t="shared" si="5"/>
        <v>0.6091470200979483</v>
      </c>
      <c r="V9" s="95">
        <f t="shared" si="5"/>
        <v>2.9839022958787998E-3</v>
      </c>
      <c r="W9" s="94">
        <f t="shared" si="5"/>
        <v>0.57146012868700657</v>
      </c>
      <c r="X9" s="96">
        <f t="shared" si="5"/>
        <v>2.7992933294135906E-3</v>
      </c>
      <c r="AB9" s="229" t="s">
        <v>402</v>
      </c>
      <c r="AC9" s="265">
        <f>Data!Q15+Data!U15</f>
        <v>2609.5722170175313</v>
      </c>
      <c r="AD9" s="266">
        <f>Data!S15+Data!W15</f>
        <v>3206.2096485715656</v>
      </c>
      <c r="AE9" s="448">
        <f>AC9+AD9</f>
        <v>5815.7818655890969</v>
      </c>
    </row>
    <row r="10" spans="1:32">
      <c r="A10" s="85" t="s">
        <v>416</v>
      </c>
      <c r="B10" s="86" t="s">
        <v>96</v>
      </c>
      <c r="C10" s="87" t="s">
        <v>419</v>
      </c>
      <c r="D10" s="88"/>
      <c r="E10" s="89">
        <f t="shared" si="1"/>
        <v>0</v>
      </c>
      <c r="F10" s="97"/>
      <c r="G10" s="89">
        <f t="shared" si="2"/>
        <v>0</v>
      </c>
      <c r="H10" s="97"/>
      <c r="I10" s="89">
        <f t="shared" si="3"/>
        <v>0</v>
      </c>
      <c r="J10" s="97"/>
      <c r="K10" s="91">
        <f t="shared" si="4"/>
        <v>0</v>
      </c>
      <c r="N10" s="92" t="s">
        <v>406</v>
      </c>
      <c r="O10" s="86" t="s">
        <v>96</v>
      </c>
      <c r="P10" s="93" t="s">
        <v>419</v>
      </c>
      <c r="Q10" s="94">
        <f t="shared" si="5"/>
        <v>0.35925645836604381</v>
      </c>
      <c r="R10" s="95">
        <f t="shared" si="5"/>
        <v>1.7598151768933445E-3</v>
      </c>
      <c r="S10" s="94">
        <f t="shared" si="5"/>
        <v>0.27018246833685089</v>
      </c>
      <c r="T10" s="95">
        <f t="shared" si="5"/>
        <v>1.3234868775142282E-3</v>
      </c>
      <c r="U10" s="94">
        <f t="shared" si="5"/>
        <v>0.68232881301176673</v>
      </c>
      <c r="V10" s="95">
        <f t="shared" si="5"/>
        <v>3.3423827820132589E-3</v>
      </c>
      <c r="W10" s="94">
        <f t="shared" si="5"/>
        <v>2.5183057602805246</v>
      </c>
      <c r="X10" s="96">
        <f t="shared" si="5"/>
        <v>1.2335902650590955E-2</v>
      </c>
      <c r="AB10" s="229" t="s">
        <v>111</v>
      </c>
      <c r="AC10" s="265">
        <f>Data!Q16+Data!U16</f>
        <v>4130.8025589280851</v>
      </c>
      <c r="AD10" s="266">
        <f>Data!S16+Data!W16</f>
        <v>6109.5133535061013</v>
      </c>
      <c r="AE10" s="448">
        <f>AC10+AD10</f>
        <v>10240.315912434187</v>
      </c>
    </row>
    <row r="11" spans="1:32">
      <c r="A11" s="85" t="s">
        <v>416</v>
      </c>
      <c r="B11" s="86" t="s">
        <v>97</v>
      </c>
      <c r="C11" s="87" t="s">
        <v>419</v>
      </c>
      <c r="D11" s="88"/>
      <c r="E11" s="89">
        <f t="shared" si="1"/>
        <v>0</v>
      </c>
      <c r="F11" s="97"/>
      <c r="G11" s="89">
        <f t="shared" si="2"/>
        <v>0</v>
      </c>
      <c r="H11" s="97"/>
      <c r="I11" s="89">
        <f t="shared" si="3"/>
        <v>0</v>
      </c>
      <c r="J11" s="97"/>
      <c r="K11" s="91">
        <f t="shared" si="4"/>
        <v>0</v>
      </c>
      <c r="N11" s="92" t="s">
        <v>406</v>
      </c>
      <c r="O11" s="86" t="s">
        <v>97</v>
      </c>
      <c r="P11" s="93" t="s">
        <v>419</v>
      </c>
      <c r="Q11" s="94">
        <f t="shared" si="5"/>
        <v>0</v>
      </c>
      <c r="R11" s="95">
        <f t="shared" si="5"/>
        <v>0</v>
      </c>
      <c r="S11" s="94">
        <f t="shared" si="5"/>
        <v>0</v>
      </c>
      <c r="T11" s="95">
        <f t="shared" si="5"/>
        <v>0</v>
      </c>
      <c r="U11" s="94">
        <f t="shared" si="5"/>
        <v>0</v>
      </c>
      <c r="V11" s="95">
        <f t="shared" si="5"/>
        <v>0</v>
      </c>
      <c r="W11" s="94">
        <f t="shared" si="5"/>
        <v>0</v>
      </c>
      <c r="X11" s="96">
        <f t="shared" si="5"/>
        <v>0</v>
      </c>
      <c r="AB11" s="269" t="s">
        <v>404</v>
      </c>
      <c r="AC11" s="227"/>
      <c r="AD11" s="228"/>
      <c r="AE11" s="225"/>
    </row>
    <row r="12" spans="1:32" ht="13.5" thickBot="1">
      <c r="A12" s="85" t="s">
        <v>416</v>
      </c>
      <c r="B12" s="86" t="s">
        <v>98</v>
      </c>
      <c r="C12" s="87" t="s">
        <v>419</v>
      </c>
      <c r="D12" s="100"/>
      <c r="E12" s="89">
        <f t="shared" si="1"/>
        <v>0</v>
      </c>
      <c r="F12" s="97">
        <v>10.846301431315005</v>
      </c>
      <c r="G12" s="89">
        <f t="shared" si="2"/>
        <v>5.3130529535366205E-2</v>
      </c>
      <c r="H12" s="97">
        <v>3.1486607295803064</v>
      </c>
      <c r="I12" s="89">
        <f t="shared" si="3"/>
        <v>1.5423691933069571E-2</v>
      </c>
      <c r="J12" s="97">
        <v>27.68037097883526</v>
      </c>
      <c r="K12" s="91">
        <f t="shared" si="4"/>
        <v>0.13559209811326403</v>
      </c>
      <c r="N12" s="92" t="s">
        <v>406</v>
      </c>
      <c r="O12" s="101" t="s">
        <v>98</v>
      </c>
      <c r="P12" s="102" t="s">
        <v>419</v>
      </c>
      <c r="Q12" s="94">
        <f t="shared" si="5"/>
        <v>30.450697301123597</v>
      </c>
      <c r="R12" s="95">
        <f t="shared" si="5"/>
        <v>0.14916252167386923</v>
      </c>
      <c r="S12" s="103">
        <f t="shared" si="5"/>
        <v>0</v>
      </c>
      <c r="T12" s="104">
        <f t="shared" si="5"/>
        <v>0</v>
      </c>
      <c r="U12" s="103">
        <f t="shared" si="5"/>
        <v>30.521442180387382</v>
      </c>
      <c r="V12" s="104">
        <f t="shared" si="5"/>
        <v>0.14950906495601962</v>
      </c>
      <c r="W12" s="103">
        <f t="shared" si="5"/>
        <v>10.603499742269815</v>
      </c>
      <c r="X12" s="105">
        <f t="shared" si="5"/>
        <v>5.1941167208240817E-2</v>
      </c>
      <c r="Y12" s="106">
        <f>SUM(R5:R12,T5:T12,V5:V12,X5:X12)</f>
        <v>1</v>
      </c>
      <c r="Z12" s="107">
        <f>SUM(Q5:Q12,S5:S12,U5:U12,W5:W12)</f>
        <v>204.14442555283003</v>
      </c>
      <c r="AB12" s="229" t="s">
        <v>401</v>
      </c>
      <c r="AC12" s="265">
        <f>Data!U17+Data!Q17</f>
        <v>623.70182765743573</v>
      </c>
      <c r="AD12" s="266">
        <f>Data!W17+Data!S17</f>
        <v>851.28529415403625</v>
      </c>
      <c r="AE12" s="448">
        <f>AC12+AD12</f>
        <v>1474.987121811472</v>
      </c>
    </row>
    <row r="13" spans="1:32">
      <c r="A13" s="85" t="s">
        <v>406</v>
      </c>
      <c r="B13" s="98" t="s">
        <v>95</v>
      </c>
      <c r="C13" s="1" t="s">
        <v>419</v>
      </c>
      <c r="D13" s="88">
        <v>0.40128855725511281</v>
      </c>
      <c r="E13" s="89">
        <f t="shared" si="1"/>
        <v>1.9657091109316835E-3</v>
      </c>
      <c r="F13" s="97">
        <v>0.66620842308378525</v>
      </c>
      <c r="G13" s="89">
        <f t="shared" si="2"/>
        <v>3.2634171679176158E-3</v>
      </c>
      <c r="H13" s="97">
        <v>0.6091470200979483</v>
      </c>
      <c r="I13" s="89">
        <f t="shared" si="3"/>
        <v>2.9839022958787998E-3</v>
      </c>
      <c r="J13" s="97">
        <v>0.57146012868700657</v>
      </c>
      <c r="K13" s="91">
        <f t="shared" si="4"/>
        <v>2.7992933294135906E-3</v>
      </c>
      <c r="N13" s="79" t="s">
        <v>405</v>
      </c>
      <c r="O13" s="80" t="s">
        <v>95</v>
      </c>
      <c r="P13" s="108" t="s">
        <v>420</v>
      </c>
      <c r="Q13" s="109">
        <f>D25+D29+D37</f>
        <v>71.379259694191305</v>
      </c>
      <c r="R13" s="110">
        <f t="shared" ref="R13:X16" si="6">E25+E29+E37</f>
        <v>1.3607317468341061E-3</v>
      </c>
      <c r="S13" s="109">
        <f>F25+F29+F37</f>
        <v>89.149981026795018</v>
      </c>
      <c r="T13" s="110">
        <f t="shared" si="6"/>
        <v>1.6995022073994707E-3</v>
      </c>
      <c r="U13" s="109">
        <f>H25+H29+H37</f>
        <v>43.001040523962118</v>
      </c>
      <c r="V13" s="110">
        <f t="shared" si="6"/>
        <v>8.1974625736580455E-4</v>
      </c>
      <c r="W13" s="111">
        <f t="shared" si="6"/>
        <v>132.51875731113262</v>
      </c>
      <c r="X13" s="112">
        <f t="shared" si="6"/>
        <v>2.5262587605533369E-3</v>
      </c>
      <c r="AB13" s="229" t="s">
        <v>109</v>
      </c>
      <c r="AC13" s="265">
        <f>Data!U18+Data!Q18</f>
        <v>3640.8160518043255</v>
      </c>
      <c r="AD13" s="266">
        <f>Data!W18+Data!S18</f>
        <v>5337.4209673482947</v>
      </c>
      <c r="AE13" s="448">
        <f>AC13+AD13</f>
        <v>8978.2370191526206</v>
      </c>
    </row>
    <row r="14" spans="1:32">
      <c r="A14" s="85" t="s">
        <v>406</v>
      </c>
      <c r="B14" s="86" t="s">
        <v>96</v>
      </c>
      <c r="C14" s="87" t="s">
        <v>419</v>
      </c>
      <c r="D14" s="88">
        <v>0.35925645836604381</v>
      </c>
      <c r="E14" s="89">
        <f>D14/$L$24</f>
        <v>1.7598151768933445E-3</v>
      </c>
      <c r="F14" s="97">
        <v>0.27018246833685089</v>
      </c>
      <c r="G14" s="89">
        <f t="shared" si="2"/>
        <v>1.3234868775142282E-3</v>
      </c>
      <c r="H14" s="97">
        <v>0.68232881301176673</v>
      </c>
      <c r="I14" s="89">
        <f t="shared" si="3"/>
        <v>3.3423827820132589E-3</v>
      </c>
      <c r="J14" s="97">
        <v>1.3404781314395759</v>
      </c>
      <c r="K14" s="91">
        <f t="shared" si="4"/>
        <v>6.5663224837490203E-3</v>
      </c>
      <c r="N14" s="92" t="s">
        <v>405</v>
      </c>
      <c r="O14" s="86" t="s">
        <v>96</v>
      </c>
      <c r="P14" s="113" t="s">
        <v>420</v>
      </c>
      <c r="Q14" s="114">
        <f>D26+D30+D38</f>
        <v>1437.9422427886063</v>
      </c>
      <c r="R14" s="115">
        <f t="shared" si="6"/>
        <v>2.7412075556108924E-2</v>
      </c>
      <c r="S14" s="114">
        <f>F26+F30+F38</f>
        <v>1184.3517590066306</v>
      </c>
      <c r="T14" s="115">
        <f t="shared" si="6"/>
        <v>2.2577777421671497E-2</v>
      </c>
      <c r="U14" s="114">
        <f>H26+H30+H38</f>
        <v>616.58595726934516</v>
      </c>
      <c r="V14" s="115">
        <f t="shared" si="6"/>
        <v>1.1754227913024606E-2</v>
      </c>
      <c r="W14" s="116">
        <f t="shared" si="6"/>
        <v>1779.1374085427212</v>
      </c>
      <c r="X14" s="117">
        <f t="shared" si="6"/>
        <v>3.3916417235989517E-2</v>
      </c>
      <c r="Z14" s="107"/>
      <c r="AB14" s="229" t="s">
        <v>402</v>
      </c>
      <c r="AC14" s="265">
        <f>Data!U19+Data!Q19</f>
        <v>2623.099935521308</v>
      </c>
      <c r="AD14" s="266">
        <f>Data!W19+Data!S19</f>
        <v>3815.1384279409308</v>
      </c>
      <c r="AE14" s="448">
        <f>AC14+AD14</f>
        <v>6438.2383634622383</v>
      </c>
    </row>
    <row r="15" spans="1:32">
      <c r="A15" s="85" t="s">
        <v>406</v>
      </c>
      <c r="B15" s="86" t="s">
        <v>97</v>
      </c>
      <c r="C15" s="87" t="s">
        <v>419</v>
      </c>
      <c r="D15" s="88"/>
      <c r="E15" s="89">
        <f t="shared" si="1"/>
        <v>0</v>
      </c>
      <c r="F15" s="97"/>
      <c r="G15" s="89">
        <f t="shared" si="2"/>
        <v>0</v>
      </c>
      <c r="H15" s="97"/>
      <c r="I15" s="89">
        <f t="shared" si="3"/>
        <v>0</v>
      </c>
      <c r="J15" s="97"/>
      <c r="K15" s="91">
        <f t="shared" si="4"/>
        <v>0</v>
      </c>
      <c r="N15" s="92" t="s">
        <v>405</v>
      </c>
      <c r="O15" s="86" t="s">
        <v>97</v>
      </c>
      <c r="P15" s="113" t="s">
        <v>420</v>
      </c>
      <c r="Q15" s="114">
        <f>D27+D31+D39</f>
        <v>1846.3254368960497</v>
      </c>
      <c r="R15" s="115">
        <f t="shared" si="6"/>
        <v>3.5197249841696754E-2</v>
      </c>
      <c r="S15" s="114">
        <f>F27+F31+F39</f>
        <v>1313.6428475239231</v>
      </c>
      <c r="T15" s="115">
        <f t="shared" si="6"/>
        <v>2.5042505824318901E-2</v>
      </c>
      <c r="U15" s="114">
        <f t="shared" si="6"/>
        <v>763.24678012148149</v>
      </c>
      <c r="V15" s="115">
        <f t="shared" si="6"/>
        <v>1.4550082598639328E-2</v>
      </c>
      <c r="W15" s="116">
        <f t="shared" si="6"/>
        <v>1892.5668010476427</v>
      </c>
      <c r="X15" s="117">
        <f t="shared" si="6"/>
        <v>3.607876770119213E-2</v>
      </c>
      <c r="Z15" s="107"/>
      <c r="AB15" s="231" t="s">
        <v>111</v>
      </c>
      <c r="AC15" s="267">
        <f>Data!U20+Data!Q20</f>
        <v>5117.0669548521028</v>
      </c>
      <c r="AD15" s="268">
        <f>Data!W20+Data!S20</f>
        <v>9037.8319430534357</v>
      </c>
      <c r="AE15" s="448">
        <f>AC15+AD15</f>
        <v>14154.898897905539</v>
      </c>
    </row>
    <row r="16" spans="1:32">
      <c r="A16" s="85" t="s">
        <v>406</v>
      </c>
      <c r="B16" s="86" t="s">
        <v>98</v>
      </c>
      <c r="C16" s="87" t="s">
        <v>419</v>
      </c>
      <c r="D16" s="88">
        <v>30.450697301123597</v>
      </c>
      <c r="E16" s="89">
        <f t="shared" si="1"/>
        <v>0.14916252167386923</v>
      </c>
      <c r="F16" s="90"/>
      <c r="G16" s="89">
        <f t="shared" si="2"/>
        <v>0</v>
      </c>
      <c r="H16" s="97">
        <v>30.521442180387382</v>
      </c>
      <c r="I16" s="89">
        <f t="shared" si="3"/>
        <v>0.14950906495601962</v>
      </c>
      <c r="J16" s="97">
        <v>10.603499742269815</v>
      </c>
      <c r="K16" s="91">
        <f t="shared" si="4"/>
        <v>5.1941167208240817E-2</v>
      </c>
      <c r="N16" s="92" t="s">
        <v>405</v>
      </c>
      <c r="O16" s="86" t="s">
        <v>98</v>
      </c>
      <c r="P16" s="113" t="s">
        <v>420</v>
      </c>
      <c r="Q16" s="114">
        <f>D28+D32+D40</f>
        <v>1874.9189468108798</v>
      </c>
      <c r="R16" s="115">
        <f t="shared" si="6"/>
        <v>3.5742339505854349E-2</v>
      </c>
      <c r="S16" s="114">
        <f t="shared" si="6"/>
        <v>2419.6029774349117</v>
      </c>
      <c r="T16" s="115">
        <f t="shared" si="6"/>
        <v>4.6125871860197266E-2</v>
      </c>
      <c r="U16" s="114">
        <f t="shared" si="6"/>
        <v>2255.8836121172053</v>
      </c>
      <c r="V16" s="115">
        <f t="shared" si="6"/>
        <v>4.3004823268298478E-2</v>
      </c>
      <c r="W16" s="116">
        <f t="shared" si="6"/>
        <v>3689.9103760711896</v>
      </c>
      <c r="X16" s="117">
        <f t="shared" si="6"/>
        <v>7.0342256465028022E-2</v>
      </c>
      <c r="Z16" s="107"/>
      <c r="AB16" s="449" t="s">
        <v>120</v>
      </c>
      <c r="AC16" s="230"/>
      <c r="AD16" s="226"/>
      <c r="AE16" s="225"/>
    </row>
    <row r="17" spans="1:33">
      <c r="A17" s="85" t="s">
        <v>415</v>
      </c>
      <c r="B17" s="98" t="s">
        <v>95</v>
      </c>
      <c r="C17" s="1" t="s">
        <v>419</v>
      </c>
      <c r="D17" s="100"/>
      <c r="E17" s="89">
        <f t="shared" si="1"/>
        <v>0</v>
      </c>
      <c r="F17" s="97"/>
      <c r="G17" s="89">
        <f t="shared" si="2"/>
        <v>0</v>
      </c>
      <c r="H17" s="90"/>
      <c r="I17" s="89">
        <f t="shared" si="3"/>
        <v>0</v>
      </c>
      <c r="J17" s="90"/>
      <c r="K17" s="91">
        <f t="shared" si="4"/>
        <v>0</v>
      </c>
      <c r="N17" s="92" t="s">
        <v>406</v>
      </c>
      <c r="O17" s="98" t="s">
        <v>95</v>
      </c>
      <c r="P17" s="118" t="s">
        <v>420</v>
      </c>
      <c r="Q17" s="114">
        <f>D33+D41</f>
        <v>420.31701965636523</v>
      </c>
      <c r="R17" s="115">
        <f>E33+E41</f>
        <v>8.012673637012439E-3</v>
      </c>
      <c r="S17" s="114">
        <f t="shared" ref="Q17:X20" si="7">F33+F41</f>
        <v>323.84071001677592</v>
      </c>
      <c r="T17" s="115">
        <f t="shared" si="7"/>
        <v>6.1735066590076259E-3</v>
      </c>
      <c r="U17" s="114">
        <f t="shared" si="7"/>
        <v>203.38480800107047</v>
      </c>
      <c r="V17" s="115">
        <f t="shared" si="7"/>
        <v>3.8772069962128989E-3</v>
      </c>
      <c r="W17" s="116">
        <f t="shared" si="7"/>
        <v>527.44458413726034</v>
      </c>
      <c r="X17" s="117">
        <f t="shared" si="7"/>
        <v>1.005488980140948E-2</v>
      </c>
      <c r="Z17" s="107"/>
      <c r="AB17" s="229" t="s">
        <v>401</v>
      </c>
      <c r="AC17" s="265">
        <f>AC7+AC12</f>
        <v>738.08212787558909</v>
      </c>
      <c r="AD17" s="266">
        <f>AD7+AD12</f>
        <v>1072.954032491964</v>
      </c>
      <c r="AE17" s="448">
        <f>AC17+AD17</f>
        <v>1811.0361603675531</v>
      </c>
    </row>
    <row r="18" spans="1:33">
      <c r="A18" s="85" t="s">
        <v>415</v>
      </c>
      <c r="B18" s="86" t="s">
        <v>96</v>
      </c>
      <c r="C18" s="87" t="s">
        <v>419</v>
      </c>
      <c r="D18" s="88"/>
      <c r="E18" s="89">
        <f t="shared" si="1"/>
        <v>0</v>
      </c>
      <c r="F18" s="97"/>
      <c r="G18" s="89">
        <f t="shared" si="2"/>
        <v>0</v>
      </c>
      <c r="H18" s="97"/>
      <c r="I18" s="89">
        <f t="shared" si="3"/>
        <v>0</v>
      </c>
      <c r="J18" s="97"/>
      <c r="K18" s="91">
        <f t="shared" si="4"/>
        <v>0</v>
      </c>
      <c r="N18" s="92" t="s">
        <v>406</v>
      </c>
      <c r="O18" s="86" t="s">
        <v>96</v>
      </c>
      <c r="P18" s="113" t="s">
        <v>420</v>
      </c>
      <c r="Q18" s="114">
        <f>D34+D42</f>
        <v>2399.2436759700595</v>
      </c>
      <c r="R18" s="115">
        <f t="shared" si="7"/>
        <v>4.5737754247808446E-2</v>
      </c>
      <c r="S18" s="114">
        <f t="shared" si="7"/>
        <v>1995.6761791012282</v>
      </c>
      <c r="T18" s="115">
        <f t="shared" si="7"/>
        <v>3.8044383549758462E-2</v>
      </c>
      <c r="U18" s="114">
        <f t="shared" si="7"/>
        <v>1241.572375834266</v>
      </c>
      <c r="V18" s="115">
        <f t="shared" si="7"/>
        <v>2.3668597223170919E-2</v>
      </c>
      <c r="W18" s="116">
        <f t="shared" si="7"/>
        <v>3341.7447882470669</v>
      </c>
      <c r="X18" s="117">
        <f t="shared" si="7"/>
        <v>6.3705034805162652E-2</v>
      </c>
      <c r="Z18" s="107"/>
      <c r="AB18" s="229" t="s">
        <v>109</v>
      </c>
      <c r="AC18" s="265">
        <f>AC8+AC13</f>
        <v>5695.3442518622769</v>
      </c>
      <c r="AD18" s="266">
        <f t="shared" ref="AC18:AD20" si="8">AD8+AD13</f>
        <v>8300.9101348976474</v>
      </c>
      <c r="AE18" s="448">
        <f>AC18+AD18</f>
        <v>13996.254386759923</v>
      </c>
    </row>
    <row r="19" spans="1:33">
      <c r="A19" s="85" t="s">
        <v>415</v>
      </c>
      <c r="B19" s="86" t="s">
        <v>97</v>
      </c>
      <c r="C19" s="87" t="s">
        <v>419</v>
      </c>
      <c r="D19" s="88"/>
      <c r="E19" s="89">
        <f t="shared" si="1"/>
        <v>0</v>
      </c>
      <c r="F19" s="97"/>
      <c r="G19" s="89">
        <f t="shared" si="2"/>
        <v>0</v>
      </c>
      <c r="H19" s="97"/>
      <c r="I19" s="89">
        <f t="shared" si="3"/>
        <v>0</v>
      </c>
      <c r="J19" s="97"/>
      <c r="K19" s="91">
        <f t="shared" si="4"/>
        <v>0</v>
      </c>
      <c r="N19" s="92" t="s">
        <v>406</v>
      </c>
      <c r="O19" s="86" t="s">
        <v>97</v>
      </c>
      <c r="P19" s="113" t="s">
        <v>420</v>
      </c>
      <c r="Q19" s="114">
        <f>D35+D43</f>
        <v>1743.4235933802397</v>
      </c>
      <c r="R19" s="115">
        <f t="shared" si="7"/>
        <v>3.3235590308106591E-2</v>
      </c>
      <c r="S19" s="114">
        <f t="shared" si="7"/>
        <v>1442.7224525976048</v>
      </c>
      <c r="T19" s="115">
        <f t="shared" si="7"/>
        <v>2.7503202632398305E-2</v>
      </c>
      <c r="U19" s="114">
        <f t="shared" si="7"/>
        <v>879.67634214106829</v>
      </c>
      <c r="V19" s="115">
        <f t="shared" si="7"/>
        <v>1.676962651081771E-2</v>
      </c>
      <c r="W19" s="116">
        <f t="shared" si="7"/>
        <v>2372.415975343326</v>
      </c>
      <c r="X19" s="117">
        <f t="shared" si="7"/>
        <v>4.5226326921526887E-2</v>
      </c>
      <c r="Z19" s="107"/>
      <c r="AB19" s="229" t="s">
        <v>402</v>
      </c>
      <c r="AC19" s="265">
        <f t="shared" si="8"/>
        <v>5232.6721525388393</v>
      </c>
      <c r="AD19" s="266">
        <f t="shared" si="8"/>
        <v>7021.3480765124968</v>
      </c>
      <c r="AE19" s="448">
        <f>AC19+AD19</f>
        <v>12254.020229051337</v>
      </c>
    </row>
    <row r="20" spans="1:33">
      <c r="A20" s="85" t="s">
        <v>415</v>
      </c>
      <c r="B20" s="86" t="s">
        <v>98</v>
      </c>
      <c r="C20" s="87" t="s">
        <v>419</v>
      </c>
      <c r="D20" s="100"/>
      <c r="E20" s="89">
        <f t="shared" si="1"/>
        <v>0</v>
      </c>
      <c r="F20" s="97"/>
      <c r="G20" s="89">
        <f t="shared" si="2"/>
        <v>0</v>
      </c>
      <c r="H20" s="90"/>
      <c r="I20" s="89">
        <f t="shared" si="3"/>
        <v>0</v>
      </c>
      <c r="J20" s="97"/>
      <c r="K20" s="91">
        <f t="shared" si="4"/>
        <v>0</v>
      </c>
      <c r="N20" s="92" t="s">
        <v>406</v>
      </c>
      <c r="O20" s="119" t="s">
        <v>98</v>
      </c>
      <c r="P20" s="120" t="s">
        <v>420</v>
      </c>
      <c r="Q20" s="114">
        <f t="shared" si="7"/>
        <v>2996.7192675791957</v>
      </c>
      <c r="R20" s="115">
        <f t="shared" si="7"/>
        <v>5.71276735176941E-2</v>
      </c>
      <c r="S20" s="114">
        <f t="shared" si="7"/>
        <v>3573.764754500904</v>
      </c>
      <c r="T20" s="115">
        <f t="shared" si="7"/>
        <v>6.8128125424673058E-2</v>
      </c>
      <c r="U20" s="114">
        <f t="shared" si="7"/>
        <v>2120.347687272907</v>
      </c>
      <c r="V20" s="115">
        <f t="shared" si="7"/>
        <v>4.0421047020655965E-2</v>
      </c>
      <c r="W20" s="116">
        <f t="shared" si="7"/>
        <v>5464.0671885525317</v>
      </c>
      <c r="X20" s="117">
        <f t="shared" si="7"/>
        <v>0.10416372658041262</v>
      </c>
      <c r="Z20" s="107"/>
      <c r="AB20" s="231" t="s">
        <v>111</v>
      </c>
      <c r="AC20" s="267">
        <f t="shared" si="8"/>
        <v>9247.8695137801878</v>
      </c>
      <c r="AD20" s="268">
        <f t="shared" si="8"/>
        <v>15147.345296559537</v>
      </c>
      <c r="AE20" s="448">
        <f>AC20+AD20</f>
        <v>24395.214810339727</v>
      </c>
    </row>
    <row r="21" spans="1:33" ht="13.5" thickBot="1">
      <c r="A21" s="85" t="s">
        <v>417</v>
      </c>
      <c r="B21" s="98" t="s">
        <v>95</v>
      </c>
      <c r="C21" s="1" t="s">
        <v>419</v>
      </c>
      <c r="D21" s="88"/>
      <c r="E21" s="89">
        <f t="shared" si="1"/>
        <v>0</v>
      </c>
      <c r="F21" s="97"/>
      <c r="G21" s="89">
        <f t="shared" si="2"/>
        <v>0</v>
      </c>
      <c r="H21" s="97"/>
      <c r="I21" s="89">
        <f t="shared" si="3"/>
        <v>0</v>
      </c>
      <c r="J21" s="97"/>
      <c r="K21" s="91">
        <f t="shared" si="4"/>
        <v>0</v>
      </c>
      <c r="N21" s="121" t="s">
        <v>103</v>
      </c>
      <c r="O21" s="122"/>
      <c r="P21" s="123" t="s">
        <v>420</v>
      </c>
      <c r="Q21" s="124">
        <f>SUM(Q13:Q20)</f>
        <v>12790.269442775587</v>
      </c>
      <c r="R21" s="125">
        <f t="shared" ref="R21:X21" si="9">SUM(R13:R20)</f>
        <v>0.24382608836111569</v>
      </c>
      <c r="S21" s="124">
        <f t="shared" si="9"/>
        <v>12342.751661208775</v>
      </c>
      <c r="T21" s="125">
        <f t="shared" si="9"/>
        <v>0.23529487557942458</v>
      </c>
      <c r="U21" s="124">
        <f t="shared" si="9"/>
        <v>8123.6986032813065</v>
      </c>
      <c r="V21" s="125">
        <f t="shared" si="9"/>
        <v>0.15486535778818569</v>
      </c>
      <c r="W21" s="126">
        <f t="shared" si="9"/>
        <v>19199.805879252875</v>
      </c>
      <c r="X21" s="127">
        <f t="shared" si="9"/>
        <v>0.36601367827127462</v>
      </c>
      <c r="Y21" s="106">
        <f>SUM(R13:R20,T13:T20,V13:V20,X13:X20)</f>
        <v>1.0000000000000004</v>
      </c>
      <c r="Z21" s="107">
        <f>SUM(Q13:Q20,S13:S20,U13:U20,W13:W20)</f>
        <v>52456.525586518539</v>
      </c>
      <c r="AB21" s="450" t="s">
        <v>120</v>
      </c>
      <c r="AC21" s="448">
        <f>SUM(AC17:AC20)</f>
        <v>20913.968046056892</v>
      </c>
      <c r="AD21" s="448">
        <f>SUM(AD17:AD20)</f>
        <v>31542.557540461647</v>
      </c>
      <c r="AE21" s="448">
        <f>SUM(AE17:AE20)</f>
        <v>52456.525586518539</v>
      </c>
    </row>
    <row r="22" spans="1:33">
      <c r="A22" s="85" t="s">
        <v>417</v>
      </c>
      <c r="B22" s="86" t="s">
        <v>96</v>
      </c>
      <c r="C22" s="87" t="s">
        <v>419</v>
      </c>
      <c r="D22" s="100"/>
      <c r="E22" s="89">
        <f t="shared" si="1"/>
        <v>0</v>
      </c>
      <c r="F22" s="90"/>
      <c r="G22" s="89">
        <f t="shared" si="2"/>
        <v>0</v>
      </c>
      <c r="H22" s="90"/>
      <c r="I22" s="89">
        <f t="shared" si="3"/>
        <v>0</v>
      </c>
      <c r="J22" s="97">
        <v>1.1778276288409484</v>
      </c>
      <c r="K22" s="91">
        <f t="shared" si="4"/>
        <v>5.7695801668419359E-3</v>
      </c>
      <c r="N22" s="79" t="s">
        <v>405</v>
      </c>
      <c r="O22" s="80" t="s">
        <v>95</v>
      </c>
      <c r="P22" s="108" t="s">
        <v>421</v>
      </c>
      <c r="Q22" s="109">
        <f t="shared" ref="Q22:X25" si="10">D45+D49+D57</f>
        <v>35.203703851879339</v>
      </c>
      <c r="R22" s="110">
        <f t="shared" si="10"/>
        <v>4.1035910912861177E-3</v>
      </c>
      <c r="S22" s="109">
        <f t="shared" si="10"/>
        <v>14.96790721066383</v>
      </c>
      <c r="T22" s="110">
        <f t="shared" si="10"/>
        <v>1.7447644413585853E-3</v>
      </c>
      <c r="U22" s="109">
        <f t="shared" si="10"/>
        <v>5.0721108828005113</v>
      </c>
      <c r="V22" s="110">
        <f t="shared" si="10"/>
        <v>5.912408853412281E-4</v>
      </c>
      <c r="W22" s="111">
        <f t="shared" si="10"/>
        <v>13.622283674891097</v>
      </c>
      <c r="X22" s="112">
        <f t="shared" si="10"/>
        <v>1.5879091065661038E-3</v>
      </c>
      <c r="Z22" s="107"/>
    </row>
    <row r="23" spans="1:33">
      <c r="A23" s="85" t="s">
        <v>417</v>
      </c>
      <c r="B23" s="86" t="s">
        <v>97</v>
      </c>
      <c r="C23" s="87" t="s">
        <v>419</v>
      </c>
      <c r="D23" s="88"/>
      <c r="E23" s="89">
        <f t="shared" si="1"/>
        <v>0</v>
      </c>
      <c r="F23" s="97"/>
      <c r="G23" s="89">
        <f t="shared" si="2"/>
        <v>0</v>
      </c>
      <c r="H23" s="97"/>
      <c r="I23" s="89">
        <f t="shared" si="3"/>
        <v>0</v>
      </c>
      <c r="J23" s="97"/>
      <c r="K23" s="91">
        <f t="shared" si="4"/>
        <v>0</v>
      </c>
      <c r="L23" s="106">
        <f>SUM(E5:E24,G5:G24,I5:I24,K5:K24)</f>
        <v>1</v>
      </c>
      <c r="N23" s="92" t="s">
        <v>405</v>
      </c>
      <c r="O23" s="86" t="s">
        <v>96</v>
      </c>
      <c r="P23" s="113" t="s">
        <v>421</v>
      </c>
      <c r="Q23" s="114">
        <f t="shared" si="10"/>
        <v>750.38419848384433</v>
      </c>
      <c r="R23" s="115">
        <f t="shared" si="10"/>
        <v>8.7470054994676111E-2</v>
      </c>
      <c r="S23" s="114">
        <f t="shared" si="10"/>
        <v>286.53299966645665</v>
      </c>
      <c r="T23" s="115">
        <f t="shared" si="10"/>
        <v>3.3400299858731747E-2</v>
      </c>
      <c r="U23" s="114">
        <f t="shared" si="10"/>
        <v>116.9116541751027</v>
      </c>
      <c r="V23" s="115">
        <f t="shared" si="10"/>
        <v>1.3628043928532911E-2</v>
      </c>
      <c r="W23" s="116">
        <f t="shared" si="10"/>
        <v>326.34769812611171</v>
      </c>
      <c r="X23" s="117">
        <f t="shared" si="10"/>
        <v>3.8041380882158249E-2</v>
      </c>
      <c r="Z23" s="107"/>
    </row>
    <row r="24" spans="1:33">
      <c r="A24" s="85" t="s">
        <v>417</v>
      </c>
      <c r="B24" s="129" t="s">
        <v>98</v>
      </c>
      <c r="C24" s="130" t="s">
        <v>419</v>
      </c>
      <c r="D24" s="100"/>
      <c r="E24" s="89">
        <f>D24/$L$24</f>
        <v>0</v>
      </c>
      <c r="F24" s="97"/>
      <c r="G24" s="89">
        <f t="shared" si="2"/>
        <v>0</v>
      </c>
      <c r="H24" s="90"/>
      <c r="I24" s="89">
        <f t="shared" si="3"/>
        <v>0</v>
      </c>
      <c r="J24" s="97"/>
      <c r="K24" s="91">
        <f t="shared" si="4"/>
        <v>0</v>
      </c>
      <c r="L24">
        <v>204.14442555283006</v>
      </c>
      <c r="N24" s="92" t="s">
        <v>405</v>
      </c>
      <c r="O24" s="86" t="s">
        <v>97</v>
      </c>
      <c r="P24" s="113" t="s">
        <v>421</v>
      </c>
      <c r="Q24" s="114">
        <f>D47+D51+D59</f>
        <v>654.22093795882461</v>
      </c>
      <c r="R24" s="115">
        <f t="shared" si="10"/>
        <v>7.6260589625354466E-2</v>
      </c>
      <c r="S24" s="114">
        <f t="shared" si="10"/>
        <v>150.12253110996835</v>
      </c>
      <c r="T24" s="115">
        <f t="shared" si="10"/>
        <v>1.7499337111123378E-2</v>
      </c>
      <c r="U24" s="114">
        <f t="shared" si="10"/>
        <v>144.88450760320609</v>
      </c>
      <c r="V24" s="115">
        <f t="shared" si="10"/>
        <v>1.6888756284493989E-2</v>
      </c>
      <c r="W24" s="116">
        <f t="shared" si="10"/>
        <v>206.66417538340539</v>
      </c>
      <c r="X24" s="117">
        <f t="shared" si="10"/>
        <v>2.4090228475946586E-2</v>
      </c>
      <c r="Z24" s="107"/>
    </row>
    <row r="25" spans="1:33">
      <c r="A25" s="73" t="s">
        <v>405</v>
      </c>
      <c r="B25" s="74" t="s">
        <v>95</v>
      </c>
      <c r="C25" s="131" t="s">
        <v>420</v>
      </c>
      <c r="D25" s="132">
        <v>53.273504808240048</v>
      </c>
      <c r="E25" s="133">
        <f>D25/$L$44</f>
        <v>1.0155744059025425E-3</v>
      </c>
      <c r="F25" s="134">
        <v>68.825229068011225</v>
      </c>
      <c r="G25" s="133">
        <f>F25/$L$44</f>
        <v>1.3120432262425617E-3</v>
      </c>
      <c r="H25" s="134">
        <v>33.239956146421193</v>
      </c>
      <c r="I25" s="133">
        <f>H25/$L$44</f>
        <v>6.3366675117659658E-4</v>
      </c>
      <c r="J25" s="134">
        <v>103.55072853028773</v>
      </c>
      <c r="K25" s="135">
        <f>J25/$L$44</f>
        <v>1.9740294915166971E-3</v>
      </c>
      <c r="N25" s="92" t="s">
        <v>405</v>
      </c>
      <c r="O25" s="86" t="s">
        <v>98</v>
      </c>
      <c r="P25" s="113" t="s">
        <v>421</v>
      </c>
      <c r="Q25" s="114">
        <f t="shared" si="10"/>
        <v>585.42753361352948</v>
      </c>
      <c r="R25" s="115">
        <f t="shared" si="10"/>
        <v>6.8241547015565951E-2</v>
      </c>
      <c r="S25" s="114">
        <f t="shared" si="10"/>
        <v>326.31182797502817</v>
      </c>
      <c r="T25" s="115">
        <f t="shared" si="10"/>
        <v>3.8037199605294628E-2</v>
      </c>
      <c r="U25" s="114">
        <f t="shared" si="10"/>
        <v>556.33272727617305</v>
      </c>
      <c r="V25" s="115">
        <f t="shared" si="10"/>
        <v>6.4850051944734158E-2</v>
      </c>
      <c r="W25" s="116">
        <f t="shared" si="10"/>
        <v>556.67950170674703</v>
      </c>
      <c r="X25" s="117">
        <f t="shared" si="10"/>
        <v>6.4890474409085547E-2</v>
      </c>
      <c r="Z25" s="107"/>
    </row>
    <row r="26" spans="1:33">
      <c r="A26" s="85" t="s">
        <v>405</v>
      </c>
      <c r="B26" s="86" t="s">
        <v>96</v>
      </c>
      <c r="C26" s="136" t="s">
        <v>420</v>
      </c>
      <c r="D26" s="88">
        <v>1256.3685434104082</v>
      </c>
      <c r="E26" s="137">
        <f t="shared" ref="E26:E44" si="11">D26/$L$44</f>
        <v>2.3950662560337375E-2</v>
      </c>
      <c r="F26" s="97">
        <v>1024.1673457827983</v>
      </c>
      <c r="G26" s="137">
        <f t="shared" ref="G26:G44" si="12">F26/$L$44</f>
        <v>1.9524117053722916E-2</v>
      </c>
      <c r="H26" s="97">
        <v>508.12236124594153</v>
      </c>
      <c r="I26" s="137">
        <f t="shared" ref="I26:I44" si="13">H26/$L$44</f>
        <v>9.6865424380399804E-3</v>
      </c>
      <c r="J26" s="97">
        <v>1517.2483537170497</v>
      </c>
      <c r="K26" s="138">
        <f t="shared" ref="K26:K44" si="14">J26/$L$44</f>
        <v>2.8923920079582766E-2</v>
      </c>
      <c r="N26" s="92" t="s">
        <v>406</v>
      </c>
      <c r="O26" s="98" t="s">
        <v>95</v>
      </c>
      <c r="P26" s="118" t="s">
        <v>421</v>
      </c>
      <c r="Q26" s="114">
        <f t="shared" ref="Q26:X29" si="15">D53+D61</f>
        <v>72.492492632490553</v>
      </c>
      <c r="R26" s="115">
        <f t="shared" si="15"/>
        <v>8.4502343333947762E-3</v>
      </c>
      <c r="S26" s="114">
        <f t="shared" si="15"/>
        <v>26.867763415344669</v>
      </c>
      <c r="T26" s="115">
        <f t="shared" si="15"/>
        <v>3.1318952987983845E-3</v>
      </c>
      <c r="U26" s="114">
        <f t="shared" si="15"/>
        <v>5.5075856527571601</v>
      </c>
      <c r="V26" s="115">
        <f t="shared" si="15"/>
        <v>6.4200288453292891E-4</v>
      </c>
      <c r="W26" s="116">
        <f t="shared" si="15"/>
        <v>17.71198144144293</v>
      </c>
      <c r="X26" s="117">
        <f t="shared" si="15"/>
        <v>2.0646330158310918E-3</v>
      </c>
      <c r="Z26" s="107"/>
      <c r="AB26" s="170" t="s">
        <v>607</v>
      </c>
    </row>
    <row r="27" spans="1:33">
      <c r="A27" s="85" t="s">
        <v>405</v>
      </c>
      <c r="B27" s="86" t="s">
        <v>97</v>
      </c>
      <c r="C27" s="136" t="s">
        <v>420</v>
      </c>
      <c r="D27" s="88">
        <v>1602.7886686477225</v>
      </c>
      <c r="E27" s="137">
        <f t="shared" si="11"/>
        <v>3.0554609759736822E-2</v>
      </c>
      <c r="F27" s="97">
        <v>1126.5889946792929</v>
      </c>
      <c r="G27" s="137">
        <f t="shared" si="12"/>
        <v>2.1476622442734367E-2</v>
      </c>
      <c r="H27" s="97">
        <v>630.50701302913421</v>
      </c>
      <c r="I27" s="137">
        <f t="shared" si="13"/>
        <v>1.2019610639084655E-2</v>
      </c>
      <c r="J27" s="97">
        <v>1586.5120131041217</v>
      </c>
      <c r="K27" s="138">
        <f t="shared" si="14"/>
        <v>3.0244321280627484E-2</v>
      </c>
      <c r="N27" s="92" t="s">
        <v>406</v>
      </c>
      <c r="O27" s="86" t="s">
        <v>96</v>
      </c>
      <c r="P27" s="113" t="s">
        <v>421</v>
      </c>
      <c r="Q27" s="114">
        <f t="shared" si="15"/>
        <v>629.81370784207115</v>
      </c>
      <c r="R27" s="115">
        <f t="shared" si="15"/>
        <v>7.3415511377579901E-2</v>
      </c>
      <c r="S27" s="114">
        <f t="shared" si="15"/>
        <v>158.98960299421699</v>
      </c>
      <c r="T27" s="115">
        <f t="shared" si="15"/>
        <v>1.8532945317325064E-2</v>
      </c>
      <c r="U27" s="114">
        <f t="shared" si="15"/>
        <v>67.946682060452787</v>
      </c>
      <c r="V27" s="115">
        <f t="shared" si="15"/>
        <v>7.9203427104969065E-3</v>
      </c>
      <c r="W27" s="116">
        <f t="shared" si="15"/>
        <v>150.96073138263384</v>
      </c>
      <c r="X27" s="117">
        <f t="shared" si="15"/>
        <v>1.7597043624792967E-2</v>
      </c>
      <c r="Z27" s="107"/>
      <c r="AB27" s="179"/>
      <c r="AC27" s="180" t="s">
        <v>116</v>
      </c>
      <c r="AD27" s="180" t="s">
        <v>90</v>
      </c>
      <c r="AE27" s="180" t="s">
        <v>117</v>
      </c>
      <c r="AF27" s="181" t="s">
        <v>90</v>
      </c>
      <c r="AG27" s="186" t="s">
        <v>120</v>
      </c>
    </row>
    <row r="28" spans="1:33">
      <c r="A28" s="85" t="s">
        <v>405</v>
      </c>
      <c r="B28" s="86" t="s">
        <v>98</v>
      </c>
      <c r="C28" s="136" t="s">
        <v>420</v>
      </c>
      <c r="D28" s="88">
        <v>1107.3006386922386</v>
      </c>
      <c r="E28" s="137">
        <f t="shared" si="11"/>
        <v>2.110892069788203E-2</v>
      </c>
      <c r="F28" s="97">
        <v>1505.9077210571638</v>
      </c>
      <c r="G28" s="137">
        <f t="shared" si="12"/>
        <v>2.8707729004533746E-2</v>
      </c>
      <c r="H28" s="97">
        <v>1767.5917790886947</v>
      </c>
      <c r="I28" s="137">
        <f t="shared" si="13"/>
        <v>3.3696318223999405E-2</v>
      </c>
      <c r="J28" s="97">
        <v>2065.800392967853</v>
      </c>
      <c r="K28" s="138">
        <f t="shared" si="14"/>
        <v>3.9381189849500259E-2</v>
      </c>
      <c r="N28" s="92" t="s">
        <v>406</v>
      </c>
      <c r="O28" s="86" t="s">
        <v>97</v>
      </c>
      <c r="P28" s="113" t="s">
        <v>421</v>
      </c>
      <c r="Q28" s="114">
        <f t="shared" si="15"/>
        <v>355.12867923593882</v>
      </c>
      <c r="R28" s="115">
        <f t="shared" si="15"/>
        <v>4.1396294279273861E-2</v>
      </c>
      <c r="S28" s="114">
        <f t="shared" si="15"/>
        <v>94.092513097215658</v>
      </c>
      <c r="T28" s="115">
        <f t="shared" si="15"/>
        <v>1.096808449835439E-2</v>
      </c>
      <c r="U28" s="114">
        <f t="shared" si="15"/>
        <v>71.797369067323714</v>
      </c>
      <c r="V28" s="115">
        <f t="shared" si="15"/>
        <v>8.3692058461264009E-3</v>
      </c>
      <c r="W28" s="116">
        <f t="shared" si="15"/>
        <v>99.208438198739415</v>
      </c>
      <c r="X28" s="117">
        <f t="shared" si="15"/>
        <v>1.1564432676904905E-2</v>
      </c>
      <c r="Z28" s="107"/>
      <c r="AB28" s="182" t="s">
        <v>118</v>
      </c>
      <c r="AC28" s="184">
        <f>Q22+U22+Q23+U23+Q24+U24+Q26+U26+Q27+U27+Q28+U28</f>
        <v>2909.3636294466924</v>
      </c>
      <c r="AD28" s="89">
        <f>AC28/AG28</f>
        <v>0.6529895199943494</v>
      </c>
      <c r="AE28" s="184">
        <f>S22+W22+S23+W23+S24+W24+S26+W26+S27+W27+S28+W28</f>
        <v>1546.0886257010907</v>
      </c>
      <c r="AF28" s="91">
        <f>AE28/AG28</f>
        <v>0.3470104800056506</v>
      </c>
      <c r="AG28" s="187">
        <f>AC28+AE28</f>
        <v>4455.452255147783</v>
      </c>
    </row>
    <row r="29" spans="1:33">
      <c r="A29" s="85" t="s">
        <v>416</v>
      </c>
      <c r="B29" s="98" t="s">
        <v>95</v>
      </c>
      <c r="C29" s="139" t="s">
        <v>420</v>
      </c>
      <c r="D29" s="88">
        <v>5.1840580257346343</v>
      </c>
      <c r="E29" s="137">
        <f t="shared" si="11"/>
        <v>9.8825798463994226E-5</v>
      </c>
      <c r="F29" s="97">
        <v>4.804371154625021</v>
      </c>
      <c r="G29" s="137">
        <f t="shared" si="12"/>
        <v>9.1587673810019935E-5</v>
      </c>
      <c r="H29" s="97">
        <v>2.5653123192614697</v>
      </c>
      <c r="I29" s="137">
        <f t="shared" si="13"/>
        <v>4.890358807752916E-5</v>
      </c>
      <c r="J29" s="97">
        <v>7.4835746757739301</v>
      </c>
      <c r="K29" s="138">
        <f t="shared" si="14"/>
        <v>1.4266241601211256E-4</v>
      </c>
      <c r="N29" s="92" t="s">
        <v>406</v>
      </c>
      <c r="O29" s="119" t="s">
        <v>98</v>
      </c>
      <c r="P29" s="120" t="s">
        <v>421</v>
      </c>
      <c r="Q29" s="114">
        <f t="shared" si="15"/>
        <v>786.73216448348978</v>
      </c>
      <c r="R29" s="115">
        <f t="shared" si="15"/>
        <v>9.1707029322437184E-2</v>
      </c>
      <c r="S29" s="114">
        <f t="shared" si="15"/>
        <v>471.52399027405653</v>
      </c>
      <c r="T29" s="115">
        <f t="shared" si="15"/>
        <v>5.4964149623506278E-2</v>
      </c>
      <c r="U29" s="114">
        <f t="shared" si="15"/>
        <v>293.29991992682835</v>
      </c>
      <c r="V29" s="115">
        <f t="shared" si="15"/>
        <v>3.4189099634253733E-2</v>
      </c>
      <c r="W29" s="116">
        <f t="shared" si="15"/>
        <v>546.99538653559796</v>
      </c>
      <c r="X29" s="117">
        <f t="shared" si="15"/>
        <v>6.3761625896141511E-2</v>
      </c>
      <c r="AB29" s="182" t="s">
        <v>119</v>
      </c>
      <c r="AC29" s="184">
        <f>Q25+U25+Q29+U29</f>
        <v>2221.7923453000208</v>
      </c>
      <c r="AD29" s="89">
        <f>AC29/AG29</f>
        <v>0.5388379940530249</v>
      </c>
      <c r="AE29" s="184">
        <f>S25+W25+S29+W29</f>
        <v>1901.5107064914296</v>
      </c>
      <c r="AF29" s="91">
        <f>AE29/AG29</f>
        <v>0.46116200594697515</v>
      </c>
      <c r="AG29" s="187">
        <f>AC29+AE29</f>
        <v>4123.3030517914503</v>
      </c>
    </row>
    <row r="30" spans="1:33" ht="13.5" thickBot="1">
      <c r="A30" s="85" t="s">
        <v>416</v>
      </c>
      <c r="B30" s="86" t="s">
        <v>96</v>
      </c>
      <c r="C30" s="136" t="s">
        <v>420</v>
      </c>
      <c r="D30" s="88">
        <v>101.92550061870968</v>
      </c>
      <c r="E30" s="137">
        <f t="shared" si="11"/>
        <v>1.9430471133777274E-3</v>
      </c>
      <c r="F30" s="97">
        <v>60.878256362641096</v>
      </c>
      <c r="G30" s="137">
        <f t="shared" si="12"/>
        <v>1.1605468658466966E-3</v>
      </c>
      <c r="H30" s="97">
        <v>52.658759101898568</v>
      </c>
      <c r="I30" s="137">
        <f t="shared" si="13"/>
        <v>1.0038552594385328E-3</v>
      </c>
      <c r="J30" s="97">
        <v>105.83578383614615</v>
      </c>
      <c r="K30" s="138">
        <f t="shared" si="14"/>
        <v>2.0175904266016864E-3</v>
      </c>
      <c r="N30" s="121" t="s">
        <v>103</v>
      </c>
      <c r="O30" s="122"/>
      <c r="P30" s="123" t="s">
        <v>421</v>
      </c>
      <c r="Q30" s="124">
        <f t="shared" ref="Q30:X30" si="16">SUM(Q22:Q29)</f>
        <v>3869.4034181020675</v>
      </c>
      <c r="R30" s="125">
        <f t="shared" si="16"/>
        <v>0.4510448520395684</v>
      </c>
      <c r="S30" s="124">
        <f t="shared" si="16"/>
        <v>1529.4091357429509</v>
      </c>
      <c r="T30" s="125">
        <f t="shared" si="16"/>
        <v>0.17827867575449247</v>
      </c>
      <c r="U30" s="124">
        <f t="shared" si="16"/>
        <v>1261.7525566446443</v>
      </c>
      <c r="V30" s="125">
        <f t="shared" si="16"/>
        <v>0.14707874411851227</v>
      </c>
      <c r="W30" s="126">
        <f t="shared" si="16"/>
        <v>1918.1901964495696</v>
      </c>
      <c r="X30" s="127">
        <f t="shared" si="16"/>
        <v>0.22359772808742698</v>
      </c>
      <c r="Y30" s="106">
        <f>SUM(R22:R29,T22:T29,V22:V29,X22:X29)</f>
        <v>1</v>
      </c>
      <c r="Z30" s="107">
        <f>SUM(Q22:Q29,S22:S29,U22:U29,W22:W29)</f>
        <v>8578.7553069392325</v>
      </c>
      <c r="AB30" s="183" t="s">
        <v>120</v>
      </c>
      <c r="AC30" s="185">
        <f>SUM(AC28:AC29)</f>
        <v>5131.1559747467127</v>
      </c>
      <c r="AD30" s="189">
        <f>AC30/AG30</f>
        <v>0.59812359615808064</v>
      </c>
      <c r="AE30" s="185">
        <f>SUM(AE28:AE29)</f>
        <v>3447.5993321925203</v>
      </c>
      <c r="AF30" s="190">
        <f>AE30/AG30</f>
        <v>0.40187640384191942</v>
      </c>
      <c r="AG30" s="188">
        <f>AC30+AE30</f>
        <v>8578.7553069392325</v>
      </c>
    </row>
    <row r="31" spans="1:33">
      <c r="A31" s="85" t="s">
        <v>416</v>
      </c>
      <c r="B31" s="86" t="s">
        <v>97</v>
      </c>
      <c r="C31" s="136" t="s">
        <v>420</v>
      </c>
      <c r="D31" s="88">
        <v>193.40784623839062</v>
      </c>
      <c r="E31" s="137">
        <f t="shared" si="11"/>
        <v>3.6870121319681351E-3</v>
      </c>
      <c r="F31" s="97">
        <v>106.83021658718138</v>
      </c>
      <c r="G31" s="137">
        <f t="shared" si="12"/>
        <v>2.0365477010287751E-3</v>
      </c>
      <c r="H31" s="97">
        <v>83.031852520889487</v>
      </c>
      <c r="I31" s="137">
        <f t="shared" si="13"/>
        <v>1.5828698449336291E-3</v>
      </c>
      <c r="J31" s="97">
        <v>153.8018701119415</v>
      </c>
      <c r="K31" s="138">
        <f t="shared" si="14"/>
        <v>2.9319873627213517E-3</v>
      </c>
      <c r="N31" s="79" t="s">
        <v>405</v>
      </c>
      <c r="O31" s="80" t="s">
        <v>95</v>
      </c>
      <c r="P31" s="108" t="s">
        <v>418</v>
      </c>
      <c r="Q31" s="109">
        <f t="shared" ref="Q31:X34" si="17">D65+D69+D77</f>
        <v>216.60153844158751</v>
      </c>
      <c r="R31" s="110">
        <f t="shared" si="17"/>
        <v>6.6681047080246109E-2</v>
      </c>
      <c r="S31" s="109">
        <f t="shared" si="17"/>
        <v>117.31128161944481</v>
      </c>
      <c r="T31" s="110">
        <f t="shared" si="17"/>
        <v>3.6114420742305781E-2</v>
      </c>
      <c r="U31" s="109">
        <f t="shared" si="17"/>
        <v>50.315670309787777</v>
      </c>
      <c r="V31" s="110">
        <f t="shared" si="17"/>
        <v>1.5489740308127562E-2</v>
      </c>
      <c r="W31" s="111">
        <f t="shared" si="17"/>
        <v>184.23137534073516</v>
      </c>
      <c r="X31" s="112">
        <f t="shared" si="17"/>
        <v>5.6715852995046792E-2</v>
      </c>
      <c r="Z31" s="107"/>
    </row>
    <row r="32" spans="1:33">
      <c r="A32" s="85" t="s">
        <v>416</v>
      </c>
      <c r="B32" s="86" t="s">
        <v>98</v>
      </c>
      <c r="C32" s="136" t="s">
        <v>420</v>
      </c>
      <c r="D32" s="88">
        <v>736.77430813409865</v>
      </c>
      <c r="E32" s="137">
        <f t="shared" si="11"/>
        <v>1.4045427139830475E-2</v>
      </c>
      <c r="F32" s="97">
        <v>826.90892107802688</v>
      </c>
      <c r="G32" s="137">
        <f t="shared" si="12"/>
        <v>1.5763699784389556E-2</v>
      </c>
      <c r="H32" s="97">
        <v>404.44526142973575</v>
      </c>
      <c r="I32" s="137">
        <f t="shared" si="13"/>
        <v>7.7101038795005421E-3</v>
      </c>
      <c r="J32" s="97">
        <v>1384.8357326029941</v>
      </c>
      <c r="K32" s="138">
        <f t="shared" si="14"/>
        <v>2.6399684636355353E-2</v>
      </c>
      <c r="N32" s="92" t="s">
        <v>405</v>
      </c>
      <c r="O32" s="86" t="s">
        <v>96</v>
      </c>
      <c r="P32" s="113" t="s">
        <v>418</v>
      </c>
      <c r="Q32" s="114">
        <f t="shared" si="17"/>
        <v>379.52280172493022</v>
      </c>
      <c r="R32" s="115">
        <f t="shared" si="17"/>
        <v>0.11683655615711011</v>
      </c>
      <c r="S32" s="114">
        <f t="shared" si="17"/>
        <v>108.41064348590625</v>
      </c>
      <c r="T32" s="115">
        <f t="shared" si="17"/>
        <v>3.337434846628741E-2</v>
      </c>
      <c r="U32" s="114">
        <f t="shared" si="17"/>
        <v>29.374828157786784</v>
      </c>
      <c r="V32" s="115">
        <f t="shared" si="17"/>
        <v>9.0430765794941408E-3</v>
      </c>
      <c r="W32" s="116">
        <f t="shared" si="17"/>
        <v>167.20283623438817</v>
      </c>
      <c r="X32" s="117">
        <f t="shared" si="17"/>
        <v>5.1473596517887237E-2</v>
      </c>
      <c r="Z32" s="107"/>
    </row>
    <row r="33" spans="1:26">
      <c r="A33" s="85" t="s">
        <v>406</v>
      </c>
      <c r="B33" s="98" t="s">
        <v>95</v>
      </c>
      <c r="C33" s="139" t="s">
        <v>420</v>
      </c>
      <c r="D33" s="88">
        <v>164.76853461962349</v>
      </c>
      <c r="E33" s="137">
        <f t="shared" si="11"/>
        <v>3.1410493313718348E-3</v>
      </c>
      <c r="F33" s="97">
        <v>123.38957523369371</v>
      </c>
      <c r="G33" s="137">
        <f t="shared" si="12"/>
        <v>2.3522254639259835E-3</v>
      </c>
      <c r="H33" s="97">
        <v>74.832442489031394</v>
      </c>
      <c r="I33" s="137">
        <f t="shared" si="13"/>
        <v>1.4265611695080235E-3</v>
      </c>
      <c r="J33" s="97">
        <v>218.48871777191206</v>
      </c>
      <c r="K33" s="138">
        <f t="shared" si="14"/>
        <v>4.1651389475185598E-3</v>
      </c>
      <c r="N33" s="92" t="s">
        <v>405</v>
      </c>
      <c r="O33" s="86" t="s">
        <v>97</v>
      </c>
      <c r="P33" s="113" t="s">
        <v>418</v>
      </c>
      <c r="Q33" s="114">
        <f t="shared" si="17"/>
        <v>16.73680172363661</v>
      </c>
      <c r="R33" s="115">
        <f t="shared" si="17"/>
        <v>5.1524447690269948E-3</v>
      </c>
      <c r="S33" s="114">
        <f t="shared" si="17"/>
        <v>4.1068786900102117</v>
      </c>
      <c r="T33" s="115">
        <f t="shared" si="17"/>
        <v>1.2643076002679535E-3</v>
      </c>
      <c r="U33" s="114">
        <f t="shared" si="17"/>
        <v>2.3184961904712851</v>
      </c>
      <c r="V33" s="115">
        <f t="shared" si="17"/>
        <v>7.1375187242208368E-4</v>
      </c>
      <c r="W33" s="116">
        <f t="shared" si="17"/>
        <v>9.5261337729650695</v>
      </c>
      <c r="X33" s="117">
        <f t="shared" si="17"/>
        <v>2.9326318694597297E-3</v>
      </c>
      <c r="Z33" s="107"/>
    </row>
    <row r="34" spans="1:26">
      <c r="A34" s="85" t="s">
        <v>406</v>
      </c>
      <c r="B34" s="86" t="s">
        <v>96</v>
      </c>
      <c r="C34" s="136" t="s">
        <v>420</v>
      </c>
      <c r="D34" s="88">
        <v>1349.6089522054913</v>
      </c>
      <c r="E34" s="137">
        <f t="shared" si="11"/>
        <v>2.5728142249519192E-2</v>
      </c>
      <c r="F34" s="97">
        <v>1062.3633826963287</v>
      </c>
      <c r="G34" s="137">
        <f t="shared" si="12"/>
        <v>2.0252263580517418E-2</v>
      </c>
      <c r="H34" s="97">
        <v>638.8171689867313</v>
      </c>
      <c r="I34" s="137">
        <f t="shared" si="13"/>
        <v>1.2178030508961298E-2</v>
      </c>
      <c r="J34" s="97">
        <v>1896.7719411677999</v>
      </c>
      <c r="K34" s="138">
        <f t="shared" si="14"/>
        <v>3.6158931991013839E-2</v>
      </c>
      <c r="N34" s="92" t="s">
        <v>405</v>
      </c>
      <c r="O34" s="86" t="s">
        <v>98</v>
      </c>
      <c r="P34" s="113" t="s">
        <v>418</v>
      </c>
      <c r="Q34" s="114">
        <f t="shared" si="17"/>
        <v>0</v>
      </c>
      <c r="R34" s="115">
        <f t="shared" si="17"/>
        <v>0</v>
      </c>
      <c r="S34" s="114">
        <f t="shared" si="17"/>
        <v>1.9061081746127726</v>
      </c>
      <c r="T34" s="115">
        <f t="shared" si="17"/>
        <v>5.8679772011717532E-4</v>
      </c>
      <c r="U34" s="114">
        <f t="shared" si="17"/>
        <v>0</v>
      </c>
      <c r="V34" s="115">
        <f t="shared" si="17"/>
        <v>0</v>
      </c>
      <c r="W34" s="116">
        <f t="shared" si="17"/>
        <v>0</v>
      </c>
      <c r="X34" s="117">
        <f t="shared" si="17"/>
        <v>0</v>
      </c>
      <c r="Z34" s="107"/>
    </row>
    <row r="35" spans="1:26">
      <c r="A35" s="85" t="s">
        <v>406</v>
      </c>
      <c r="B35" s="86" t="s">
        <v>97</v>
      </c>
      <c r="C35" s="136" t="s">
        <v>420</v>
      </c>
      <c r="D35" s="88">
        <v>1292.7165656927286</v>
      </c>
      <c r="E35" s="137">
        <f t="shared" si="11"/>
        <v>2.4643579635494597E-2</v>
      </c>
      <c r="F35" s="97">
        <v>956.28513864472268</v>
      </c>
      <c r="G35" s="137">
        <f t="shared" si="12"/>
        <v>1.8230051036595741E-2</v>
      </c>
      <c r="H35" s="97">
        <v>590.95270361002497</v>
      </c>
      <c r="I35" s="137">
        <f t="shared" si="13"/>
        <v>1.126557081321264E-2</v>
      </c>
      <c r="J35" s="97">
        <v>1677.3541852070268</v>
      </c>
      <c r="K35" s="138">
        <f t="shared" si="14"/>
        <v>3.1976082412101502E-2</v>
      </c>
      <c r="N35" s="92" t="s">
        <v>406</v>
      </c>
      <c r="O35" s="98" t="s">
        <v>95</v>
      </c>
      <c r="P35" s="118" t="s">
        <v>418</v>
      </c>
      <c r="Q35" s="114">
        <f t="shared" ref="Q35:X38" si="18">D73+D81</f>
        <v>473.86675414781877</v>
      </c>
      <c r="R35" s="115">
        <f t="shared" si="18"/>
        <v>0.14588045666912636</v>
      </c>
      <c r="S35" s="114">
        <f t="shared" si="18"/>
        <v>247.40372297137503</v>
      </c>
      <c r="T35" s="115">
        <f t="shared" si="18"/>
        <v>7.6163537055076488E-2</v>
      </c>
      <c r="U35" s="114">
        <f t="shared" si="18"/>
        <v>135.43792711074423</v>
      </c>
      <c r="V35" s="115">
        <f t="shared" si="18"/>
        <v>4.1694730605793782E-2</v>
      </c>
      <c r="W35" s="116">
        <f t="shared" si="18"/>
        <v>383.64247544758155</v>
      </c>
      <c r="X35" s="117">
        <f t="shared" si="18"/>
        <v>0.11810480272374033</v>
      </c>
      <c r="Z35" s="107"/>
    </row>
    <row r="36" spans="1:26">
      <c r="A36" s="85" t="s">
        <v>406</v>
      </c>
      <c r="B36" s="86" t="s">
        <v>98</v>
      </c>
      <c r="C36" s="136" t="s">
        <v>420</v>
      </c>
      <c r="D36" s="88">
        <v>2684.7965005462302</v>
      </c>
      <c r="E36" s="137">
        <f t="shared" si="11"/>
        <v>5.1181363434337553E-2</v>
      </c>
      <c r="F36" s="97">
        <v>2831.4934321401925</v>
      </c>
      <c r="G36" s="137">
        <f t="shared" si="12"/>
        <v>5.3977906475527145E-2</v>
      </c>
      <c r="H36" s="97">
        <v>1665.1885876981498</v>
      </c>
      <c r="I36" s="137">
        <f t="shared" si="13"/>
        <v>3.1744164697901929E-2</v>
      </c>
      <c r="J36" s="97">
        <v>4328.0159537680975</v>
      </c>
      <c r="K36" s="138">
        <f t="shared" si="14"/>
        <v>8.2506721620930451E-2</v>
      </c>
      <c r="N36" s="92" t="s">
        <v>406</v>
      </c>
      <c r="O36" s="86" t="s">
        <v>96</v>
      </c>
      <c r="P36" s="113" t="s">
        <v>418</v>
      </c>
      <c r="Q36" s="114">
        <f t="shared" si="18"/>
        <v>250.21546333792142</v>
      </c>
      <c r="R36" s="115">
        <f t="shared" si="18"/>
        <v>7.7029134747078426E-2</v>
      </c>
      <c r="S36" s="114">
        <f t="shared" si="18"/>
        <v>108.01916384876547</v>
      </c>
      <c r="T36" s="115">
        <f t="shared" si="18"/>
        <v>3.3253830983803419E-2</v>
      </c>
      <c r="U36" s="114">
        <f t="shared" si="18"/>
        <v>65.768331881667763</v>
      </c>
      <c r="V36" s="115">
        <f t="shared" si="18"/>
        <v>2.0246860969426624E-2</v>
      </c>
      <c r="W36" s="116">
        <f t="shared" si="18"/>
        <v>200.66382989010194</v>
      </c>
      <c r="X36" s="117">
        <f t="shared" si="18"/>
        <v>6.1774604116271274E-2</v>
      </c>
      <c r="Z36" s="107"/>
    </row>
    <row r="37" spans="1:26">
      <c r="A37" s="85" t="s">
        <v>415</v>
      </c>
      <c r="B37" s="98" t="s">
        <v>95</v>
      </c>
      <c r="C37" s="139" t="s">
        <v>420</v>
      </c>
      <c r="D37" s="88">
        <v>12.921696860216619</v>
      </c>
      <c r="E37" s="137">
        <f t="shared" si="11"/>
        <v>2.4633154246756931E-4</v>
      </c>
      <c r="F37" s="97">
        <v>15.520380804158773</v>
      </c>
      <c r="G37" s="137">
        <f t="shared" si="12"/>
        <v>2.9587130734688922E-4</v>
      </c>
      <c r="H37" s="97">
        <v>7.1957720582794487</v>
      </c>
      <c r="I37" s="137">
        <f t="shared" si="13"/>
        <v>1.3717591811167885E-4</v>
      </c>
      <c r="J37" s="97">
        <v>21.484454105070981</v>
      </c>
      <c r="K37" s="138">
        <f t="shared" si="14"/>
        <v>4.095668530245273E-4</v>
      </c>
      <c r="N37" s="92" t="s">
        <v>406</v>
      </c>
      <c r="O37" s="86" t="s">
        <v>97</v>
      </c>
      <c r="P37" s="113" t="s">
        <v>418</v>
      </c>
      <c r="Q37" s="114">
        <f t="shared" si="18"/>
        <v>18.820377194547092</v>
      </c>
      <c r="R37" s="115">
        <f t="shared" si="18"/>
        <v>5.7938760121780926E-3</v>
      </c>
      <c r="S37" s="114">
        <f t="shared" si="18"/>
        <v>19.712254547851234</v>
      </c>
      <c r="T37" s="115">
        <f t="shared" si="18"/>
        <v>6.0684415402595879E-3</v>
      </c>
      <c r="U37" s="114">
        <f t="shared" si="18"/>
        <v>7.0333015832763088</v>
      </c>
      <c r="V37" s="115">
        <f t="shared" si="18"/>
        <v>2.1652104476187384E-3</v>
      </c>
      <c r="W37" s="116">
        <f t="shared" si="18"/>
        <v>26.759454524762553</v>
      </c>
      <c r="X37" s="117">
        <f t="shared" si="18"/>
        <v>8.2379306252646708E-3</v>
      </c>
    </row>
    <row r="38" spans="1:26">
      <c r="A38" s="85" t="s">
        <v>415</v>
      </c>
      <c r="B38" s="86" t="s">
        <v>96</v>
      </c>
      <c r="C38" s="136" t="s">
        <v>420</v>
      </c>
      <c r="D38" s="88">
        <v>79.648198759488338</v>
      </c>
      <c r="E38" s="137">
        <f t="shared" si="11"/>
        <v>1.5183658823938234E-3</v>
      </c>
      <c r="F38" s="97">
        <v>99.306156861191099</v>
      </c>
      <c r="G38" s="137">
        <f t="shared" si="12"/>
        <v>1.8931135021018834E-3</v>
      </c>
      <c r="H38" s="97">
        <v>55.804836921505093</v>
      </c>
      <c r="I38" s="137">
        <f t="shared" si="13"/>
        <v>1.0638302155460925E-3</v>
      </c>
      <c r="J38" s="97">
        <v>156.05327098952526</v>
      </c>
      <c r="K38" s="138">
        <f t="shared" si="14"/>
        <v>2.9749067298050608E-3</v>
      </c>
      <c r="N38" s="92" t="s">
        <v>406</v>
      </c>
      <c r="O38" s="119" t="s">
        <v>98</v>
      </c>
      <c r="P38" s="120" t="s">
        <v>418</v>
      </c>
      <c r="Q38" s="114">
        <f t="shared" si="18"/>
        <v>12.967963249876917</v>
      </c>
      <c r="R38" s="115">
        <f t="shared" si="18"/>
        <v>3.9922032605190314E-3</v>
      </c>
      <c r="S38" s="114">
        <f t="shared" si="18"/>
        <v>4.9015121687843095</v>
      </c>
      <c r="T38" s="115">
        <f t="shared" si="18"/>
        <v>1.5089364832893211E-3</v>
      </c>
      <c r="U38" s="114">
        <f t="shared" si="18"/>
        <v>0</v>
      </c>
      <c r="V38" s="115">
        <f t="shared" si="18"/>
        <v>0</v>
      </c>
      <c r="W38" s="116">
        <f t="shared" si="18"/>
        <v>5.5444675606423175</v>
      </c>
      <c r="X38" s="117">
        <f t="shared" si="18"/>
        <v>1.706871082754522E-3</v>
      </c>
    </row>
    <row r="39" spans="1:26" ht="13.5" thickBot="1">
      <c r="A39" s="85" t="s">
        <v>415</v>
      </c>
      <c r="B39" s="86" t="s">
        <v>97</v>
      </c>
      <c r="C39" s="136" t="s">
        <v>420</v>
      </c>
      <c r="D39" s="88">
        <v>50.128922009936623</v>
      </c>
      <c r="E39" s="137">
        <f t="shared" si="11"/>
        <v>9.556279499917913E-4</v>
      </c>
      <c r="F39" s="97">
        <v>80.223636257448845</v>
      </c>
      <c r="G39" s="137">
        <f t="shared" si="12"/>
        <v>1.5293356805557588E-3</v>
      </c>
      <c r="H39" s="97">
        <v>49.707914571457792</v>
      </c>
      <c r="I39" s="137">
        <f t="shared" si="13"/>
        <v>9.4760211462104321E-4</v>
      </c>
      <c r="J39" s="97">
        <v>152.25291783157937</v>
      </c>
      <c r="K39" s="138">
        <f t="shared" si="14"/>
        <v>2.9024590578432983E-3</v>
      </c>
      <c r="N39" s="140" t="s">
        <v>103</v>
      </c>
      <c r="O39" s="141"/>
      <c r="P39" s="142" t="s">
        <v>418</v>
      </c>
      <c r="Q39" s="143">
        <f t="shared" ref="Q39:X39" si="19">SUM(Q31:Q38)</f>
        <v>1368.7316998203185</v>
      </c>
      <c r="R39" s="144">
        <f t="shared" si="19"/>
        <v>0.42136571869528511</v>
      </c>
      <c r="S39" s="143">
        <f t="shared" si="19"/>
        <v>611.77156550675011</v>
      </c>
      <c r="T39" s="144">
        <f t="shared" si="19"/>
        <v>0.18833462059140713</v>
      </c>
      <c r="U39" s="143">
        <f t="shared" si="19"/>
        <v>290.24855523373412</v>
      </c>
      <c r="V39" s="144">
        <f t="shared" si="19"/>
        <v>8.9353370782882927E-2</v>
      </c>
      <c r="W39" s="145">
        <f t="shared" si="19"/>
        <v>977.57057277117678</v>
      </c>
      <c r="X39" s="146">
        <f t="shared" si="19"/>
        <v>0.30094628993042455</v>
      </c>
      <c r="Y39" s="106">
        <f>SUM(R31:R38,T31:T38,V31:V38,X31:X38)</f>
        <v>0.99999999999999944</v>
      </c>
      <c r="Z39" s="107">
        <f>SUM(Q31:Q38,S31:S38,U31:U38,W31:W38)</f>
        <v>3248.3223933319796</v>
      </c>
    </row>
    <row r="40" spans="1:26" ht="14.25" thickTop="1" thickBot="1">
      <c r="A40" s="85" t="s">
        <v>415</v>
      </c>
      <c r="B40" s="86" t="s">
        <v>98</v>
      </c>
      <c r="C40" s="136" t="s">
        <v>420</v>
      </c>
      <c r="D40" s="88">
        <v>30.843999984542474</v>
      </c>
      <c r="E40" s="137">
        <f t="shared" si="11"/>
        <v>5.8799166814184659E-4</v>
      </c>
      <c r="F40" s="97">
        <v>86.786335299720875</v>
      </c>
      <c r="G40" s="137">
        <f t="shared" si="12"/>
        <v>1.6544430712739627E-3</v>
      </c>
      <c r="H40" s="97">
        <v>83.846571598774943</v>
      </c>
      <c r="I40" s="137">
        <f t="shared" si="13"/>
        <v>1.5984011647985276E-3</v>
      </c>
      <c r="J40" s="97">
        <v>239.2742505003423</v>
      </c>
      <c r="K40" s="138">
        <f t="shared" si="14"/>
        <v>4.5613819791724174E-3</v>
      </c>
      <c r="Z40" s="107">
        <f>SUM(Z12:Z39)</f>
        <v>64487.747712342585</v>
      </c>
    </row>
    <row r="41" spans="1:26" ht="14.25" thickTop="1" thickBot="1">
      <c r="A41" s="85" t="s">
        <v>417</v>
      </c>
      <c r="B41" s="98" t="s">
        <v>95</v>
      </c>
      <c r="C41" s="139" t="s">
        <v>420</v>
      </c>
      <c r="D41" s="88">
        <v>255.54848503674177</v>
      </c>
      <c r="E41" s="137">
        <f t="shared" si="11"/>
        <v>4.8716243056406037E-3</v>
      </c>
      <c r="F41" s="97">
        <v>200.45113478308218</v>
      </c>
      <c r="G41" s="137">
        <f t="shared" si="12"/>
        <v>3.8212811950816424E-3</v>
      </c>
      <c r="H41" s="97">
        <v>128.55236551203907</v>
      </c>
      <c r="I41" s="137">
        <f t="shared" si="13"/>
        <v>2.4506458267048751E-3</v>
      </c>
      <c r="J41" s="97">
        <v>308.95586636534824</v>
      </c>
      <c r="K41" s="138">
        <f t="shared" si="14"/>
        <v>5.8897508538909198E-3</v>
      </c>
      <c r="N41" s="67">
        <v>2010</v>
      </c>
      <c r="O41" s="68"/>
      <c r="P41" s="68"/>
      <c r="Q41" s="69" t="s">
        <v>89</v>
      </c>
      <c r="R41" s="69" t="s">
        <v>90</v>
      </c>
      <c r="S41" s="69" t="s">
        <v>91</v>
      </c>
      <c r="T41" s="69" t="s">
        <v>90</v>
      </c>
      <c r="U41" s="69" t="s">
        <v>92</v>
      </c>
      <c r="V41" s="70" t="s">
        <v>90</v>
      </c>
      <c r="W41" s="71" t="s">
        <v>93</v>
      </c>
      <c r="X41" s="72" t="s">
        <v>90</v>
      </c>
      <c r="Y41" s="147" t="s">
        <v>104</v>
      </c>
    </row>
    <row r="42" spans="1:26">
      <c r="A42" s="85" t="s">
        <v>417</v>
      </c>
      <c r="B42" s="86" t="s">
        <v>96</v>
      </c>
      <c r="C42" s="136" t="s">
        <v>420</v>
      </c>
      <c r="D42" s="88">
        <v>1049.634723764568</v>
      </c>
      <c r="E42" s="137">
        <f t="shared" si="11"/>
        <v>2.0009611998289257E-2</v>
      </c>
      <c r="F42" s="97">
        <v>933.31279640489947</v>
      </c>
      <c r="G42" s="137">
        <f t="shared" si="12"/>
        <v>1.779211996924104E-2</v>
      </c>
      <c r="H42" s="97">
        <v>602.75520684753474</v>
      </c>
      <c r="I42" s="137">
        <f t="shared" si="13"/>
        <v>1.1490566714209619E-2</v>
      </c>
      <c r="J42" s="97">
        <v>1444.972847079267</v>
      </c>
      <c r="K42" s="138">
        <f t="shared" si="14"/>
        <v>2.7546102814148821E-2</v>
      </c>
      <c r="N42" s="79" t="s">
        <v>405</v>
      </c>
      <c r="O42" s="80" t="s">
        <v>95</v>
      </c>
      <c r="P42" s="81" t="s">
        <v>419</v>
      </c>
      <c r="Q42" s="82"/>
      <c r="R42" s="83"/>
      <c r="S42" s="82"/>
      <c r="T42" s="83"/>
      <c r="U42" s="82"/>
      <c r="V42" s="83"/>
      <c r="W42" s="82"/>
      <c r="X42" s="84"/>
    </row>
    <row r="43" spans="1:26">
      <c r="A43" s="85" t="s">
        <v>417</v>
      </c>
      <c r="B43" s="86" t="s">
        <v>97</v>
      </c>
      <c r="C43" s="136" t="s">
        <v>420</v>
      </c>
      <c r="D43" s="88">
        <v>450.70702768751107</v>
      </c>
      <c r="E43" s="137">
        <f t="shared" si="11"/>
        <v>8.5920106726119928E-3</v>
      </c>
      <c r="F43" s="97">
        <v>486.43731395288205</v>
      </c>
      <c r="G43" s="137">
        <f t="shared" si="12"/>
        <v>9.2731515958025638E-3</v>
      </c>
      <c r="H43" s="97">
        <v>288.72363853104326</v>
      </c>
      <c r="I43" s="137">
        <f t="shared" si="13"/>
        <v>5.5040556976050691E-3</v>
      </c>
      <c r="J43" s="97">
        <v>695.0617901362989</v>
      </c>
      <c r="K43" s="138">
        <f t="shared" si="14"/>
        <v>1.3250244509425383E-2</v>
      </c>
      <c r="L43" s="106">
        <f>SUM(E25:E44,G25:G44,I25:I44,K25:K44)</f>
        <v>1.0000000000000004</v>
      </c>
      <c r="N43" s="92" t="s">
        <v>405</v>
      </c>
      <c r="O43" s="86" t="s">
        <v>96</v>
      </c>
      <c r="P43" s="93" t="s">
        <v>419</v>
      </c>
      <c r="Q43" s="94"/>
      <c r="R43" s="95"/>
      <c r="S43" s="94"/>
      <c r="T43" s="95"/>
      <c r="U43" s="94"/>
      <c r="V43" s="95"/>
      <c r="W43" s="94"/>
      <c r="X43" s="96"/>
    </row>
    <row r="44" spans="1:26">
      <c r="A44" s="128" t="s">
        <v>417</v>
      </c>
      <c r="B44" s="129" t="s">
        <v>98</v>
      </c>
      <c r="C44" s="148" t="s">
        <v>420</v>
      </c>
      <c r="D44" s="88">
        <v>311.92276703296579</v>
      </c>
      <c r="E44" s="137">
        <f t="shared" si="11"/>
        <v>5.9463100833565489E-3</v>
      </c>
      <c r="F44" s="97">
        <v>742.27132236071168</v>
      </c>
      <c r="G44" s="137">
        <f t="shared" si="12"/>
        <v>1.4150218949145916E-2</v>
      </c>
      <c r="H44" s="97">
        <v>455.15909957475719</v>
      </c>
      <c r="I44" s="137">
        <f t="shared" si="13"/>
        <v>8.6768823227540356E-3</v>
      </c>
      <c r="J44" s="97">
        <v>1136.0512347844344</v>
      </c>
      <c r="K44" s="138">
        <f t="shared" si="14"/>
        <v>2.1657004959482168E-2</v>
      </c>
      <c r="L44">
        <v>52456.525586518503</v>
      </c>
      <c r="N44" s="92" t="s">
        <v>405</v>
      </c>
      <c r="O44" s="86" t="s">
        <v>97</v>
      </c>
      <c r="P44" s="93" t="s">
        <v>419</v>
      </c>
      <c r="Q44" s="94"/>
      <c r="R44" s="95"/>
      <c r="S44" s="94"/>
      <c r="T44" s="95"/>
      <c r="U44" s="94"/>
      <c r="V44" s="95"/>
      <c r="W44" s="94"/>
      <c r="X44" s="96"/>
    </row>
    <row r="45" spans="1:26">
      <c r="A45" s="73" t="s">
        <v>405</v>
      </c>
      <c r="B45" s="74" t="s">
        <v>95</v>
      </c>
      <c r="C45" s="131" t="s">
        <v>421</v>
      </c>
      <c r="D45" s="132">
        <v>19.336601170717362</v>
      </c>
      <c r="E45" s="133">
        <f>D45/$L$64</f>
        <v>2.2540101073959136E-3</v>
      </c>
      <c r="F45" s="134">
        <v>5.6458830579576897</v>
      </c>
      <c r="G45" s="133">
        <f>F45/$L$64</f>
        <v>6.5812380187494279E-4</v>
      </c>
      <c r="H45" s="134">
        <v>1.0769549980451809</v>
      </c>
      <c r="I45" s="133">
        <f>H45/$L$64</f>
        <v>1.255374421478192E-4</v>
      </c>
      <c r="J45" s="134">
        <v>4.3024136741355203</v>
      </c>
      <c r="K45" s="135">
        <f>J45/$L$64</f>
        <v>5.015195701706703E-4</v>
      </c>
      <c r="N45" s="92" t="s">
        <v>405</v>
      </c>
      <c r="O45" s="86" t="s">
        <v>98</v>
      </c>
      <c r="P45" s="93" t="s">
        <v>419</v>
      </c>
      <c r="Q45" s="94"/>
      <c r="R45" s="95"/>
      <c r="S45" s="94"/>
      <c r="T45" s="95"/>
      <c r="U45" s="94"/>
      <c r="V45" s="95"/>
      <c r="W45" s="94"/>
      <c r="X45" s="96"/>
    </row>
    <row r="46" spans="1:26">
      <c r="A46" s="85" t="s">
        <v>405</v>
      </c>
      <c r="B46" s="86" t="s">
        <v>96</v>
      </c>
      <c r="C46" s="136" t="s">
        <v>421</v>
      </c>
      <c r="D46" s="88">
        <v>527.836238544195</v>
      </c>
      <c r="E46" s="137">
        <f t="shared" ref="E46:E64" si="20">D46/$L$64</f>
        <v>6.1528300978259141E-2</v>
      </c>
      <c r="F46" s="97">
        <v>118.94265519197542</v>
      </c>
      <c r="G46" s="137">
        <f t="shared" ref="G46:G64" si="21">F46/$L$64</f>
        <v>1.3864791678550897E-2</v>
      </c>
      <c r="H46" s="97">
        <v>33.553001197283372</v>
      </c>
      <c r="I46" s="137">
        <f t="shared" ref="I46:I64" si="22">H46/$L$64</f>
        <v>3.9111735906656332E-3</v>
      </c>
      <c r="J46" s="97">
        <v>106.81994345683545</v>
      </c>
      <c r="K46" s="138">
        <f t="shared" ref="K46:K64" si="23">J46/$L$64</f>
        <v>1.2451683214513686E-2</v>
      </c>
      <c r="N46" s="92" t="s">
        <v>406</v>
      </c>
      <c r="O46" s="98" t="s">
        <v>95</v>
      </c>
      <c r="P46" s="99" t="s">
        <v>419</v>
      </c>
      <c r="Q46" s="94"/>
      <c r="R46" s="95"/>
      <c r="S46" s="94"/>
      <c r="T46" s="95"/>
      <c r="U46" s="94"/>
      <c r="V46" s="95"/>
      <c r="W46" s="94"/>
      <c r="X46" s="96"/>
    </row>
    <row r="47" spans="1:26">
      <c r="A47" s="85" t="s">
        <v>405</v>
      </c>
      <c r="B47" s="86" t="s">
        <v>97</v>
      </c>
      <c r="C47" s="136" t="s">
        <v>421</v>
      </c>
      <c r="D47" s="88">
        <v>486.39315981066267</v>
      </c>
      <c r="E47" s="137">
        <f t="shared" si="20"/>
        <v>5.6697404507764219E-2</v>
      </c>
      <c r="F47" s="97">
        <v>77.373452233722233</v>
      </c>
      <c r="G47" s="137">
        <f t="shared" si="21"/>
        <v>9.0191932821694961E-3</v>
      </c>
      <c r="H47" s="97">
        <v>70.962430638825353</v>
      </c>
      <c r="I47" s="137">
        <f t="shared" si="22"/>
        <v>8.271879555933349E-3</v>
      </c>
      <c r="J47" s="97">
        <v>69.427369667238807</v>
      </c>
      <c r="K47" s="138">
        <f t="shared" si="23"/>
        <v>8.092942062478457E-3</v>
      </c>
      <c r="N47" s="92" t="s">
        <v>406</v>
      </c>
      <c r="O47" s="86" t="s">
        <v>96</v>
      </c>
      <c r="P47" s="93" t="s">
        <v>419</v>
      </c>
      <c r="Q47" s="94"/>
      <c r="R47" s="95"/>
      <c r="S47" s="94"/>
      <c r="T47" s="95"/>
      <c r="U47" s="94"/>
      <c r="V47" s="95"/>
      <c r="W47" s="94"/>
      <c r="X47" s="96"/>
    </row>
    <row r="48" spans="1:26">
      <c r="A48" s="85" t="s">
        <v>405</v>
      </c>
      <c r="B48" s="86" t="s">
        <v>98</v>
      </c>
      <c r="C48" s="136" t="s">
        <v>421</v>
      </c>
      <c r="D48" s="88">
        <v>278.98260002532345</v>
      </c>
      <c r="E48" s="137">
        <f t="shared" si="20"/>
        <v>3.2520172221214706E-2</v>
      </c>
      <c r="F48" s="97">
        <v>198.67824017115066</v>
      </c>
      <c r="G48" s="137">
        <f t="shared" si="21"/>
        <v>2.3159331751826828E-2</v>
      </c>
      <c r="H48" s="97">
        <v>387.9245066259158</v>
      </c>
      <c r="I48" s="137">
        <f t="shared" si="22"/>
        <v>4.5219206370431059E-2</v>
      </c>
      <c r="J48" s="97">
        <v>285.00904811512163</v>
      </c>
      <c r="K48" s="138">
        <f t="shared" si="23"/>
        <v>3.3222657357365341E-2</v>
      </c>
      <c r="N48" s="92" t="s">
        <v>406</v>
      </c>
      <c r="O48" s="86" t="s">
        <v>97</v>
      </c>
      <c r="P48" s="93" t="s">
        <v>419</v>
      </c>
      <c r="Q48" s="94"/>
      <c r="R48" s="95"/>
      <c r="S48" s="94"/>
      <c r="T48" s="95"/>
      <c r="U48" s="94"/>
      <c r="V48" s="95"/>
      <c r="W48" s="94"/>
      <c r="X48" s="96"/>
    </row>
    <row r="49" spans="1:27" ht="13.5" thickBot="1">
      <c r="A49" s="85" t="s">
        <v>416</v>
      </c>
      <c r="B49" s="98" t="s">
        <v>95</v>
      </c>
      <c r="C49" s="139" t="s">
        <v>421</v>
      </c>
      <c r="D49" s="88">
        <v>0.76355313241099199</v>
      </c>
      <c r="E49" s="137">
        <f t="shared" si="20"/>
        <v>8.9005118469035342E-5</v>
      </c>
      <c r="F49" s="90"/>
      <c r="G49" s="137">
        <f t="shared" si="21"/>
        <v>0</v>
      </c>
      <c r="H49" s="97">
        <v>9.461739763844304E-2</v>
      </c>
      <c r="I49" s="137">
        <f t="shared" si="22"/>
        <v>1.1029268728752339E-5</v>
      </c>
      <c r="J49" s="90"/>
      <c r="K49" s="138">
        <f t="shared" si="23"/>
        <v>0</v>
      </c>
      <c r="N49" s="92" t="s">
        <v>406</v>
      </c>
      <c r="O49" s="101" t="s">
        <v>98</v>
      </c>
      <c r="P49" s="102" t="s">
        <v>419</v>
      </c>
      <c r="Q49" s="94"/>
      <c r="R49" s="95"/>
      <c r="S49" s="103"/>
      <c r="T49" s="104"/>
      <c r="U49" s="103"/>
      <c r="V49" s="104"/>
      <c r="W49" s="103"/>
      <c r="X49" s="105"/>
    </row>
    <row r="50" spans="1:27">
      <c r="A50" s="85" t="s">
        <v>416</v>
      </c>
      <c r="B50" s="86" t="s">
        <v>96</v>
      </c>
      <c r="C50" s="136" t="s">
        <v>421</v>
      </c>
      <c r="D50" s="88">
        <v>17.632124799441808</v>
      </c>
      <c r="E50" s="137">
        <f t="shared" si="20"/>
        <v>2.0553243645006908E-3</v>
      </c>
      <c r="F50" s="97">
        <v>2.057570521865554</v>
      </c>
      <c r="G50" s="137">
        <f t="shared" si="21"/>
        <v>2.3984487821924639E-4</v>
      </c>
      <c r="H50" s="97">
        <v>1.7978351889236368</v>
      </c>
      <c r="I50" s="137">
        <f t="shared" si="22"/>
        <v>2.0956830269647551E-4</v>
      </c>
      <c r="J50" s="97">
        <v>2.7501397815652715</v>
      </c>
      <c r="K50" s="138">
        <f t="shared" si="23"/>
        <v>3.2057561769371402E-4</v>
      </c>
      <c r="N50" s="79" t="s">
        <v>405</v>
      </c>
      <c r="O50" s="80" t="s">
        <v>95</v>
      </c>
      <c r="P50" s="108" t="s">
        <v>420</v>
      </c>
      <c r="Q50" s="109">
        <v>215.36845597385309</v>
      </c>
      <c r="R50" s="110">
        <f>Q50/$Z$50</f>
        <v>0.21240727246502528</v>
      </c>
      <c r="S50" s="109">
        <v>268.98701171877809</v>
      </c>
      <c r="T50" s="110">
        <f>S50/Z50</f>
        <v>0.26528860612085148</v>
      </c>
      <c r="U50" s="109">
        <v>129.74451882229951</v>
      </c>
      <c r="V50" s="110">
        <f>U50/Z50</f>
        <v>0.12796061166765085</v>
      </c>
      <c r="W50" s="109">
        <v>399.8410780939347</v>
      </c>
      <c r="X50" s="110">
        <f>W50/Z50</f>
        <v>0.39434350974647236</v>
      </c>
      <c r="Z50" s="107">
        <f>Q50+S50+U50+W50</f>
        <v>1013.9410646088654</v>
      </c>
    </row>
    <row r="51" spans="1:27">
      <c r="A51" s="85" t="s">
        <v>416</v>
      </c>
      <c r="B51" s="86" t="s">
        <v>97</v>
      </c>
      <c r="C51" s="136" t="s">
        <v>421</v>
      </c>
      <c r="D51" s="88">
        <v>29.762593033148047</v>
      </c>
      <c r="E51" s="137">
        <f t="shared" si="20"/>
        <v>3.4693369805143541E-3</v>
      </c>
      <c r="F51" s="97">
        <v>1.5572459502016751</v>
      </c>
      <c r="G51" s="137">
        <f t="shared" si="21"/>
        <v>1.8152353045226049E-4</v>
      </c>
      <c r="H51" s="97">
        <v>3.5269581514783201</v>
      </c>
      <c r="I51" s="137">
        <f t="shared" si="22"/>
        <v>4.1112702545850841E-4</v>
      </c>
      <c r="J51" s="97">
        <v>1.5820185573946097</v>
      </c>
      <c r="K51" s="138">
        <f t="shared" si="23"/>
        <v>1.8441119961947597E-4</v>
      </c>
      <c r="N51" s="92" t="s">
        <v>405</v>
      </c>
      <c r="O51" s="86" t="s">
        <v>96</v>
      </c>
      <c r="P51" s="113" t="s">
        <v>420</v>
      </c>
      <c r="Q51" s="114">
        <v>4338.6188360001061</v>
      </c>
      <c r="R51" s="115">
        <f t="shared" ref="R51:R57" si="24">Q51/Z51</f>
        <v>0.28655585213214352</v>
      </c>
      <c r="S51" s="114">
        <v>3573.4751349337994</v>
      </c>
      <c r="T51" s="115">
        <f t="shared" ref="T51:T57" si="25">S51/Z51</f>
        <v>0.23601986048353485</v>
      </c>
      <c r="U51" s="114">
        <v>1860.3886641747486</v>
      </c>
      <c r="V51" s="115">
        <f t="shared" ref="V51:V57" si="26">U51/Z51</f>
        <v>0.12287441674665753</v>
      </c>
      <c r="W51" s="114">
        <v>5368.087008534073</v>
      </c>
      <c r="X51" s="115">
        <f t="shared" ref="X51:X57" si="27">W51/Z51</f>
        <v>0.35454987063766408</v>
      </c>
      <c r="Z51" s="107">
        <f t="shared" ref="Z51:Z57" si="28">Q51+S51+U51+W51</f>
        <v>15140.569643642728</v>
      </c>
    </row>
    <row r="52" spans="1:27">
      <c r="A52" s="85" t="s">
        <v>416</v>
      </c>
      <c r="B52" s="86" t="s">
        <v>98</v>
      </c>
      <c r="C52" s="136" t="s">
        <v>421</v>
      </c>
      <c r="D52" s="88">
        <v>170.61233735804083</v>
      </c>
      <c r="E52" s="137">
        <f t="shared" si="20"/>
        <v>1.9887772905707538E-2</v>
      </c>
      <c r="F52" s="97">
        <v>64.107967444921641</v>
      </c>
      <c r="G52" s="137">
        <f t="shared" si="21"/>
        <v>7.472875160929887E-3</v>
      </c>
      <c r="H52" s="97">
        <v>69.706942200288736</v>
      </c>
      <c r="I52" s="137">
        <f t="shared" si="22"/>
        <v>8.1255310014383773E-3</v>
      </c>
      <c r="J52" s="97">
        <v>126.62047819977916</v>
      </c>
      <c r="K52" s="138">
        <f t="shared" si="23"/>
        <v>1.4759772679068917E-2</v>
      </c>
      <c r="N52" s="92" t="s">
        <v>405</v>
      </c>
      <c r="O52" s="86" t="s">
        <v>97</v>
      </c>
      <c r="P52" s="113" t="s">
        <v>420</v>
      </c>
      <c r="Q52" s="114">
        <v>5570.8095078760125</v>
      </c>
      <c r="R52" s="115">
        <f t="shared" si="24"/>
        <v>0.31746813748645131</v>
      </c>
      <c r="S52" s="114">
        <v>3963.5775571842514</v>
      </c>
      <c r="T52" s="115">
        <f t="shared" si="25"/>
        <v>0.22587553623640949</v>
      </c>
      <c r="U52" s="114">
        <v>2302.8997676079184</v>
      </c>
      <c r="V52" s="115">
        <f t="shared" si="26"/>
        <v>0.13123717459856449</v>
      </c>
      <c r="W52" s="114">
        <v>5710.3308652299575</v>
      </c>
      <c r="X52" s="115">
        <f t="shared" si="27"/>
        <v>0.32541915167857477</v>
      </c>
      <c r="Z52" s="107">
        <f t="shared" si="28"/>
        <v>17547.617697898138</v>
      </c>
      <c r="AA52">
        <v>2070</v>
      </c>
    </row>
    <row r="53" spans="1:27">
      <c r="A53" s="85" t="s">
        <v>406</v>
      </c>
      <c r="B53" s="98" t="s">
        <v>95</v>
      </c>
      <c r="C53" s="139" t="s">
        <v>421</v>
      </c>
      <c r="D53" s="88">
        <v>40.891845121312002</v>
      </c>
      <c r="E53" s="137">
        <f t="shared" si="20"/>
        <v>4.7666408072316938E-3</v>
      </c>
      <c r="F53" s="97">
        <v>14.649318559876885</v>
      </c>
      <c r="G53" s="137">
        <f t="shared" si="21"/>
        <v>1.7076275095557582E-3</v>
      </c>
      <c r="H53" s="97">
        <v>3.1017861533750737</v>
      </c>
      <c r="I53" s="137">
        <f t="shared" si="22"/>
        <v>3.6156598974982805E-4</v>
      </c>
      <c r="J53" s="97">
        <v>8.4683491282401615</v>
      </c>
      <c r="K53" s="138">
        <f t="shared" si="23"/>
        <v>9.8713028000579927E-4</v>
      </c>
      <c r="N53" s="92" t="s">
        <v>405</v>
      </c>
      <c r="O53" s="86" t="s">
        <v>98</v>
      </c>
      <c r="P53" s="113" t="s">
        <v>420</v>
      </c>
      <c r="Q53" s="114">
        <v>2828.5415145853794</v>
      </c>
      <c r="R53" s="115">
        <f t="shared" si="24"/>
        <v>0.1830919048634311</v>
      </c>
      <c r="S53" s="114">
        <v>3650.2631125095654</v>
      </c>
      <c r="T53" s="115">
        <f t="shared" si="25"/>
        <v>0.23628206376884683</v>
      </c>
      <c r="U53" s="114">
        <v>3403.2726906940602</v>
      </c>
      <c r="V53" s="115">
        <f t="shared" si="26"/>
        <v>0.22029433773405607</v>
      </c>
      <c r="W53" s="114">
        <v>5566.6751363142957</v>
      </c>
      <c r="X53" s="115">
        <f t="shared" si="27"/>
        <v>0.36033169363366596</v>
      </c>
      <c r="Z53" s="107">
        <f t="shared" si="28"/>
        <v>15448.752454103302</v>
      </c>
    </row>
    <row r="54" spans="1:27">
      <c r="A54" s="85" t="s">
        <v>406</v>
      </c>
      <c r="B54" s="86" t="s">
        <v>96</v>
      </c>
      <c r="C54" s="136" t="s">
        <v>421</v>
      </c>
      <c r="D54" s="88">
        <v>453.06721546145849</v>
      </c>
      <c r="E54" s="137">
        <f t="shared" si="20"/>
        <v>5.2812698258799723E-2</v>
      </c>
      <c r="F54" s="97">
        <v>100.07981086285116</v>
      </c>
      <c r="G54" s="137">
        <f t="shared" si="21"/>
        <v>1.1666005997618096E-2</v>
      </c>
      <c r="H54" s="97">
        <v>43.182928011779758</v>
      </c>
      <c r="I54" s="137">
        <f t="shared" si="22"/>
        <v>5.0337055279860597E-3</v>
      </c>
      <c r="J54" s="97">
        <v>104.98293210244677</v>
      </c>
      <c r="K54" s="138">
        <f t="shared" si="23"/>
        <v>1.2237548262686497E-2</v>
      </c>
      <c r="N54" s="92" t="s">
        <v>406</v>
      </c>
      <c r="O54" s="98" t="s">
        <v>95</v>
      </c>
      <c r="P54" s="118" t="s">
        <v>420</v>
      </c>
      <c r="Q54" s="114">
        <v>795.19436151204229</v>
      </c>
      <c r="R54" s="115">
        <f t="shared" si="24"/>
        <v>0.28496317929892323</v>
      </c>
      <c r="S54" s="114">
        <v>612.67161354525172</v>
      </c>
      <c r="T54" s="115">
        <f t="shared" si="25"/>
        <v>0.21955494066894515</v>
      </c>
      <c r="U54" s="114">
        <v>384.78206919121442</v>
      </c>
      <c r="V54" s="115">
        <f t="shared" si="26"/>
        <v>0.13788920933173168</v>
      </c>
      <c r="W54" s="114">
        <v>997.8681321515736</v>
      </c>
      <c r="X54" s="115">
        <f t="shared" si="27"/>
        <v>0.35759267070039991</v>
      </c>
      <c r="Z54" s="107">
        <f t="shared" si="28"/>
        <v>2790.5161764000823</v>
      </c>
    </row>
    <row r="55" spans="1:27">
      <c r="A55" s="85" t="s">
        <v>406</v>
      </c>
      <c r="B55" s="86" t="s">
        <v>97</v>
      </c>
      <c r="C55" s="136" t="s">
        <v>421</v>
      </c>
      <c r="D55" s="88">
        <v>297.66731000553449</v>
      </c>
      <c r="E55" s="137">
        <f t="shared" si="20"/>
        <v>3.4698193310719057E-2</v>
      </c>
      <c r="F55" s="97">
        <v>73.831610427683543</v>
      </c>
      <c r="G55" s="137">
        <f t="shared" si="21"/>
        <v>8.6063313133505747E-3</v>
      </c>
      <c r="H55" s="97">
        <v>58.820633985334482</v>
      </c>
      <c r="I55" s="137">
        <f t="shared" si="22"/>
        <v>6.8565464197067509E-3</v>
      </c>
      <c r="J55" s="97">
        <v>77.226489117477072</v>
      </c>
      <c r="K55" s="138">
        <f t="shared" si="23"/>
        <v>9.0020622286556742E-3</v>
      </c>
      <c r="N55" s="92" t="s">
        <v>406</v>
      </c>
      <c r="O55" s="86" t="s">
        <v>96</v>
      </c>
      <c r="P55" s="113" t="s">
        <v>420</v>
      </c>
      <c r="Q55" s="114">
        <v>4539.1096572406532</v>
      </c>
      <c r="R55" s="115">
        <f t="shared" si="24"/>
        <v>0.26722881907126395</v>
      </c>
      <c r="S55" s="114">
        <v>3775.6035820834045</v>
      </c>
      <c r="T55" s="115">
        <f t="shared" si="25"/>
        <v>0.22227929323362675</v>
      </c>
      <c r="U55" s="114">
        <v>2348.9207110378006</v>
      </c>
      <c r="V55" s="115">
        <f t="shared" si="26"/>
        <v>0.13828687894802844</v>
      </c>
      <c r="W55" s="114">
        <v>6322.2198696566129</v>
      </c>
      <c r="X55" s="115">
        <f t="shared" si="27"/>
        <v>0.37220500874708096</v>
      </c>
      <c r="Z55" s="107">
        <f t="shared" si="28"/>
        <v>16985.85382001847</v>
      </c>
    </row>
    <row r="56" spans="1:27">
      <c r="A56" s="85" t="s">
        <v>406</v>
      </c>
      <c r="B56" s="86" t="s">
        <v>98</v>
      </c>
      <c r="C56" s="136" t="s">
        <v>421</v>
      </c>
      <c r="D56" s="88">
        <v>702.44223964049183</v>
      </c>
      <c r="E56" s="137">
        <f t="shared" si="20"/>
        <v>8.1881603392079075E-2</v>
      </c>
      <c r="F56" s="97">
        <v>441.58166803829073</v>
      </c>
      <c r="G56" s="137">
        <f t="shared" si="21"/>
        <v>5.1473862144208918E-2</v>
      </c>
      <c r="H56" s="97">
        <v>246.65364910260544</v>
      </c>
      <c r="I56" s="137">
        <f t="shared" si="22"/>
        <v>2.8751682531741037E-2</v>
      </c>
      <c r="J56" s="97">
        <v>504.1899030468457</v>
      </c>
      <c r="K56" s="138">
        <f t="shared" si="23"/>
        <v>5.8771917953996625E-2</v>
      </c>
      <c r="N56" s="92" t="s">
        <v>406</v>
      </c>
      <c r="O56" s="86" t="s">
        <v>97</v>
      </c>
      <c r="P56" s="113" t="s">
        <v>420</v>
      </c>
      <c r="Q56" s="114">
        <v>3298.3689604491024</v>
      </c>
      <c r="R56" s="115">
        <f t="shared" si="24"/>
        <v>0.27079202336999114</v>
      </c>
      <c r="S56" s="114">
        <v>2729.4749103197928</v>
      </c>
      <c r="T56" s="115">
        <f t="shared" si="25"/>
        <v>0.22408652354116379</v>
      </c>
      <c r="U56" s="114">
        <v>1664.2525391858048</v>
      </c>
      <c r="V56" s="115">
        <f t="shared" si="26"/>
        <v>0.13663308074042974</v>
      </c>
      <c r="W56" s="114">
        <v>4488.354547946833</v>
      </c>
      <c r="X56" s="115">
        <f t="shared" si="27"/>
        <v>0.36848837234841542</v>
      </c>
      <c r="Z56" s="107">
        <f t="shared" si="28"/>
        <v>12180.450957901532</v>
      </c>
    </row>
    <row r="57" spans="1:27">
      <c r="A57" s="85" t="s">
        <v>415</v>
      </c>
      <c r="B57" s="98" t="s">
        <v>95</v>
      </c>
      <c r="C57" s="139" t="s">
        <v>421</v>
      </c>
      <c r="D57" s="88">
        <v>15.103549548750985</v>
      </c>
      <c r="E57" s="137">
        <f t="shared" si="20"/>
        <v>1.7605758654211689E-3</v>
      </c>
      <c r="F57" s="97">
        <v>9.32202415270614</v>
      </c>
      <c r="G57" s="137">
        <f t="shared" si="21"/>
        <v>1.0866406394836425E-3</v>
      </c>
      <c r="H57" s="97">
        <v>3.9005384871168873</v>
      </c>
      <c r="I57" s="137">
        <f t="shared" si="22"/>
        <v>4.5467417446465661E-4</v>
      </c>
      <c r="J57" s="97">
        <v>9.3198700007555768</v>
      </c>
      <c r="K57" s="138">
        <f t="shared" si="23"/>
        <v>1.0863895363954334E-3</v>
      </c>
      <c r="N57" s="92" t="s">
        <v>406</v>
      </c>
      <c r="O57" s="119" t="s">
        <v>98</v>
      </c>
      <c r="P57" s="120" t="s">
        <v>420</v>
      </c>
      <c r="Q57" s="114">
        <v>2357.2966017164599</v>
      </c>
      <c r="R57" s="115">
        <f t="shared" si="24"/>
        <v>0.20620770481609738</v>
      </c>
      <c r="S57" s="114">
        <v>2919.8554776162796</v>
      </c>
      <c r="T57" s="115">
        <f t="shared" si="25"/>
        <v>0.25541830247222497</v>
      </c>
      <c r="U57" s="114">
        <v>1702.4911860215593</v>
      </c>
      <c r="V57" s="115">
        <f t="shared" si="26"/>
        <v>0.1489277164712802</v>
      </c>
      <c r="W57" s="114">
        <v>4452.0178542860749</v>
      </c>
      <c r="X57" s="115">
        <f t="shared" si="27"/>
        <v>0.38944627624039729</v>
      </c>
      <c r="Z57" s="107">
        <f t="shared" si="28"/>
        <v>11431.661119640376</v>
      </c>
    </row>
    <row r="58" spans="1:27" ht="15.75" thickBot="1">
      <c r="A58" s="85" t="s">
        <v>415</v>
      </c>
      <c r="B58" s="86" t="s">
        <v>96</v>
      </c>
      <c r="C58" s="136" t="s">
        <v>421</v>
      </c>
      <c r="D58" s="88">
        <v>204.91583514020755</v>
      </c>
      <c r="E58" s="137">
        <f t="shared" si="20"/>
        <v>2.3886429651916292E-2</v>
      </c>
      <c r="F58" s="97">
        <v>165.53277395261566</v>
      </c>
      <c r="G58" s="137">
        <f t="shared" si="21"/>
        <v>1.9295663301961599E-2</v>
      </c>
      <c r="H58" s="97">
        <v>81.56081778889569</v>
      </c>
      <c r="I58" s="137">
        <f t="shared" si="22"/>
        <v>9.5073020351708025E-3</v>
      </c>
      <c r="J58" s="97">
        <v>216.77761488771102</v>
      </c>
      <c r="K58" s="138">
        <f t="shared" si="23"/>
        <v>2.5269122049950851E-2</v>
      </c>
      <c r="N58" s="121" t="s">
        <v>103</v>
      </c>
      <c r="O58" s="122"/>
      <c r="P58" s="123" t="s">
        <v>420</v>
      </c>
      <c r="Q58" s="124">
        <f>SUM(Q50:Q57)</f>
        <v>23943.307895353602</v>
      </c>
      <c r="R58" s="125">
        <f>Q58/$Z$58</f>
        <v>0.25474708358987763</v>
      </c>
      <c r="S58" s="124">
        <f>SUM(S50:S57)</f>
        <v>21493.908399911121</v>
      </c>
      <c r="T58" s="125">
        <f>S58/$Z$58</f>
        <v>0.22868646653823049</v>
      </c>
      <c r="U58" s="124">
        <f>SUM(U50:U57)</f>
        <v>13796.752146735407</v>
      </c>
      <c r="V58" s="125">
        <f>U58/$Z$58</f>
        <v>0.14679184629602837</v>
      </c>
      <c r="W58" s="124">
        <f>SUM(W50:W57)</f>
        <v>33305.394492213352</v>
      </c>
      <c r="X58" s="125">
        <f>W58/$Z$58</f>
        <v>0.35435588732282913</v>
      </c>
      <c r="Y58" s="106">
        <f>1-R58-T58-V58-X58</f>
        <v>1.5418716253034315E-2</v>
      </c>
      <c r="Z58" s="149">
        <v>93988.545650636006</v>
      </c>
    </row>
    <row r="59" spans="1:27">
      <c r="A59" s="85" t="s">
        <v>415</v>
      </c>
      <c r="B59" s="86" t="s">
        <v>97</v>
      </c>
      <c r="C59" s="136" t="s">
        <v>421</v>
      </c>
      <c r="D59" s="88">
        <v>138.06518511501392</v>
      </c>
      <c r="E59" s="137">
        <f t="shared" si="20"/>
        <v>1.6093848137075897E-2</v>
      </c>
      <c r="F59" s="97">
        <v>71.191832926044441</v>
      </c>
      <c r="G59" s="137">
        <f t="shared" si="21"/>
        <v>8.2986202985016241E-3</v>
      </c>
      <c r="H59" s="97">
        <v>70.39511881290241</v>
      </c>
      <c r="I59" s="137">
        <f t="shared" si="22"/>
        <v>8.2057497031021286E-3</v>
      </c>
      <c r="J59" s="97">
        <v>135.65478715877197</v>
      </c>
      <c r="K59" s="138">
        <f t="shared" si="23"/>
        <v>1.5812875213848651E-2</v>
      </c>
      <c r="N59" s="79" t="s">
        <v>405</v>
      </c>
      <c r="O59" s="80" t="s">
        <v>95</v>
      </c>
      <c r="P59" s="108" t="s">
        <v>421</v>
      </c>
      <c r="Q59" s="109"/>
      <c r="R59" s="110"/>
      <c r="S59" s="109"/>
      <c r="T59" s="110"/>
      <c r="U59" s="109"/>
      <c r="V59" s="110"/>
      <c r="W59" s="111"/>
      <c r="X59" s="112"/>
    </row>
    <row r="60" spans="1:27">
      <c r="A60" s="85" t="s">
        <v>415</v>
      </c>
      <c r="B60" s="86" t="s">
        <v>98</v>
      </c>
      <c r="C60" s="136" t="s">
        <v>421</v>
      </c>
      <c r="D60" s="88">
        <v>135.83259623016525</v>
      </c>
      <c r="E60" s="137">
        <f t="shared" si="20"/>
        <v>1.5833601888643706E-2</v>
      </c>
      <c r="F60" s="97">
        <v>63.525620358955862</v>
      </c>
      <c r="G60" s="137">
        <f t="shared" si="21"/>
        <v>7.4049926925379133E-3</v>
      </c>
      <c r="H60" s="97">
        <v>98.701278449968527</v>
      </c>
      <c r="I60" s="137">
        <f t="shared" si="22"/>
        <v>1.1505314572864722E-2</v>
      </c>
      <c r="J60" s="97">
        <v>145.04997539184626</v>
      </c>
      <c r="K60" s="138">
        <f t="shared" si="23"/>
        <v>1.6908044372651289E-2</v>
      </c>
      <c r="N60" s="92" t="s">
        <v>405</v>
      </c>
      <c r="O60" s="86" t="s">
        <v>96</v>
      </c>
      <c r="P60" s="113" t="s">
        <v>421</v>
      </c>
      <c r="Q60" s="114"/>
      <c r="R60" s="115"/>
      <c r="S60" s="114"/>
      <c r="T60" s="115"/>
      <c r="U60" s="114"/>
      <c r="V60" s="115"/>
      <c r="W60" s="116"/>
      <c r="X60" s="117"/>
    </row>
    <row r="61" spans="1:27">
      <c r="A61" s="85" t="s">
        <v>417</v>
      </c>
      <c r="B61" s="98" t="s">
        <v>95</v>
      </c>
      <c r="C61" s="139" t="s">
        <v>421</v>
      </c>
      <c r="D61" s="88">
        <v>31.600647511178543</v>
      </c>
      <c r="E61" s="137">
        <f t="shared" si="20"/>
        <v>3.6835935261630825E-3</v>
      </c>
      <c r="F61" s="97">
        <v>12.218444855467785</v>
      </c>
      <c r="G61" s="137">
        <f t="shared" si="21"/>
        <v>1.424267789242626E-3</v>
      </c>
      <c r="H61" s="97">
        <v>2.4057994993820864</v>
      </c>
      <c r="I61" s="137">
        <f t="shared" si="22"/>
        <v>2.8043689478310092E-4</v>
      </c>
      <c r="J61" s="97">
        <v>9.2436323132027702</v>
      </c>
      <c r="K61" s="138">
        <f t="shared" si="23"/>
        <v>1.0775027358252926E-3</v>
      </c>
      <c r="N61" s="92" t="s">
        <v>405</v>
      </c>
      <c r="O61" s="86" t="s">
        <v>97</v>
      </c>
      <c r="P61" s="113" t="s">
        <v>421</v>
      </c>
      <c r="Q61" s="114"/>
      <c r="R61" s="115"/>
      <c r="S61" s="114"/>
      <c r="T61" s="115"/>
      <c r="U61" s="114"/>
      <c r="V61" s="115"/>
      <c r="W61" s="116"/>
      <c r="X61" s="117"/>
    </row>
    <row r="62" spans="1:27">
      <c r="A62" s="85" t="s">
        <v>417</v>
      </c>
      <c r="B62" s="86" t="s">
        <v>96</v>
      </c>
      <c r="C62" s="136" t="s">
        <v>421</v>
      </c>
      <c r="D62" s="88">
        <v>176.74649238061272</v>
      </c>
      <c r="E62" s="137">
        <f t="shared" si="20"/>
        <v>2.0602813118780181E-2</v>
      </c>
      <c r="F62" s="97">
        <v>58.909792131365826</v>
      </c>
      <c r="G62" s="137">
        <f t="shared" si="21"/>
        <v>6.8669393197069674E-3</v>
      </c>
      <c r="H62" s="97">
        <v>24.763754048673036</v>
      </c>
      <c r="I62" s="137">
        <f t="shared" si="22"/>
        <v>2.8866371825108463E-3</v>
      </c>
      <c r="J62" s="97">
        <v>45.977799280187078</v>
      </c>
      <c r="K62" s="138">
        <f t="shared" si="23"/>
        <v>5.3594953621064695E-3</v>
      </c>
      <c r="N62" s="92" t="s">
        <v>405</v>
      </c>
      <c r="O62" s="86" t="s">
        <v>98</v>
      </c>
      <c r="P62" s="113" t="s">
        <v>421</v>
      </c>
      <c r="Q62" s="114"/>
      <c r="R62" s="115"/>
      <c r="S62" s="114"/>
      <c r="T62" s="115"/>
      <c r="U62" s="114"/>
      <c r="V62" s="115"/>
      <c r="W62" s="116"/>
      <c r="X62" s="117"/>
    </row>
    <row r="63" spans="1:27">
      <c r="A63" s="85" t="s">
        <v>417</v>
      </c>
      <c r="B63" s="86" t="s">
        <v>97</v>
      </c>
      <c r="C63" s="136" t="s">
        <v>421</v>
      </c>
      <c r="D63" s="88">
        <v>57.46136923040433</v>
      </c>
      <c r="E63" s="137">
        <f t="shared" si="20"/>
        <v>6.6981009685548034E-3</v>
      </c>
      <c r="F63" s="97">
        <v>20.260902669532118</v>
      </c>
      <c r="G63" s="137">
        <f t="shared" si="21"/>
        <v>2.3617531850038155E-3</v>
      </c>
      <c r="H63" s="97">
        <v>12.976735081989229</v>
      </c>
      <c r="I63" s="137">
        <f t="shared" si="22"/>
        <v>1.5126594264196502E-3</v>
      </c>
      <c r="J63" s="97">
        <v>21.981949081262343</v>
      </c>
      <c r="K63" s="138">
        <f t="shared" si="23"/>
        <v>2.5623704482492303E-3</v>
      </c>
      <c r="L63" s="106">
        <f>SUM(E45:E64,G45:G64,I45:I64,K45:K64)</f>
        <v>1</v>
      </c>
      <c r="N63" s="92" t="s">
        <v>406</v>
      </c>
      <c r="O63" s="98" t="s">
        <v>95</v>
      </c>
      <c r="P63" s="118" t="s">
        <v>421</v>
      </c>
      <c r="Q63" s="114"/>
      <c r="R63" s="115"/>
      <c r="S63" s="114"/>
      <c r="T63" s="115"/>
      <c r="U63" s="114"/>
      <c r="V63" s="115"/>
      <c r="W63" s="116"/>
      <c r="X63" s="117"/>
    </row>
    <row r="64" spans="1:27">
      <c r="A64" s="128" t="s">
        <v>417</v>
      </c>
      <c r="B64" s="129" t="s">
        <v>98</v>
      </c>
      <c r="C64" s="148" t="s">
        <v>421</v>
      </c>
      <c r="D64" s="88">
        <v>84.289924842997976</v>
      </c>
      <c r="E64" s="137">
        <f t="shared" si="20"/>
        <v>9.8254259303581087E-3</v>
      </c>
      <c r="F64" s="97">
        <v>29.942322235765786</v>
      </c>
      <c r="G64" s="137">
        <f t="shared" si="21"/>
        <v>3.4902874792973604E-3</v>
      </c>
      <c r="H64" s="97">
        <v>46.646270824222938</v>
      </c>
      <c r="I64" s="137">
        <f t="shared" si="22"/>
        <v>5.4374171025126962E-3</v>
      </c>
      <c r="J64" s="97">
        <v>42.805483488752223</v>
      </c>
      <c r="K64" s="138">
        <f t="shared" si="23"/>
        <v>4.9897079421448798E-3</v>
      </c>
      <c r="L64">
        <v>8578.7553069392325</v>
      </c>
      <c r="N64" s="92" t="s">
        <v>406</v>
      </c>
      <c r="O64" s="86" t="s">
        <v>96</v>
      </c>
      <c r="P64" s="113" t="s">
        <v>421</v>
      </c>
      <c r="Q64" s="114"/>
      <c r="R64" s="115"/>
      <c r="S64" s="114"/>
      <c r="T64" s="115"/>
      <c r="U64" s="114"/>
      <c r="V64" s="115"/>
      <c r="W64" s="116"/>
      <c r="X64" s="117"/>
    </row>
    <row r="65" spans="1:24">
      <c r="A65" s="73" t="s">
        <v>94</v>
      </c>
      <c r="B65" s="74" t="s">
        <v>95</v>
      </c>
      <c r="C65" s="136" t="s">
        <v>418</v>
      </c>
      <c r="D65" s="132">
        <v>132.1038436457404</v>
      </c>
      <c r="E65" s="133">
        <f>D65/$L$84</f>
        <v>4.0668328955561064E-2</v>
      </c>
      <c r="F65" s="134">
        <v>65.160114142700237</v>
      </c>
      <c r="G65" s="133">
        <f>F65/$L$84</f>
        <v>2.0059620398658145E-2</v>
      </c>
      <c r="H65" s="134">
        <v>31.580303881883477</v>
      </c>
      <c r="I65" s="133">
        <f>H65/$L$84</f>
        <v>9.7220349638663314E-3</v>
      </c>
      <c r="J65" s="134">
        <v>109.18745744311244</v>
      </c>
      <c r="K65" s="135">
        <f>J65/$L$84</f>
        <v>3.3613491587918688E-2</v>
      </c>
      <c r="N65" s="92" t="s">
        <v>406</v>
      </c>
      <c r="O65" s="86" t="s">
        <v>97</v>
      </c>
      <c r="P65" s="113" t="s">
        <v>421</v>
      </c>
      <c r="Q65" s="114"/>
      <c r="R65" s="115"/>
      <c r="S65" s="114"/>
      <c r="T65" s="115"/>
      <c r="U65" s="114"/>
      <c r="V65" s="115"/>
      <c r="W65" s="116"/>
      <c r="X65" s="117"/>
    </row>
    <row r="66" spans="1:24">
      <c r="A66" s="85" t="s">
        <v>94</v>
      </c>
      <c r="B66" s="86" t="s">
        <v>96</v>
      </c>
      <c r="C66" s="136" t="s">
        <v>418</v>
      </c>
      <c r="D66" s="88">
        <v>320.66245310684047</v>
      </c>
      <c r="E66" s="137">
        <f t="shared" ref="E66:E84" si="29">D66/$L$84</f>
        <v>9.8716326238147689E-2</v>
      </c>
      <c r="F66" s="97">
        <v>85.647153404328662</v>
      </c>
      <c r="G66" s="137">
        <f t="shared" ref="G66:G84" si="30">F66/$L$84</f>
        <v>2.6366580355491047E-2</v>
      </c>
      <c r="H66" s="97">
        <v>19.743068397301048</v>
      </c>
      <c r="I66" s="137">
        <f t="shared" ref="I66:I84" si="31">H66/$L$84</f>
        <v>6.0779276212942377E-3</v>
      </c>
      <c r="J66" s="97">
        <v>121.68852266301539</v>
      </c>
      <c r="K66" s="138">
        <f t="shared" ref="K66:K84" si="32">J66/$L$84</f>
        <v>3.7461959721982172E-2</v>
      </c>
      <c r="N66" s="92" t="s">
        <v>406</v>
      </c>
      <c r="O66" s="119" t="s">
        <v>98</v>
      </c>
      <c r="P66" s="120" t="s">
        <v>421</v>
      </c>
      <c r="Q66" s="114"/>
      <c r="R66" s="115"/>
      <c r="S66" s="114"/>
      <c r="T66" s="115"/>
      <c r="U66" s="114"/>
      <c r="V66" s="115"/>
      <c r="W66" s="116"/>
      <c r="X66" s="117"/>
    </row>
    <row r="67" spans="1:24" ht="13.5" thickBot="1">
      <c r="A67" s="85" t="s">
        <v>94</v>
      </c>
      <c r="B67" s="86" t="s">
        <v>97</v>
      </c>
      <c r="C67" s="136" t="s">
        <v>418</v>
      </c>
      <c r="D67" s="88">
        <v>16.73680172363661</v>
      </c>
      <c r="E67" s="137">
        <f t="shared" si="29"/>
        <v>5.1524447690269948E-3</v>
      </c>
      <c r="F67" s="97">
        <v>0.87903404351858083</v>
      </c>
      <c r="G67" s="137">
        <f t="shared" si="30"/>
        <v>2.706116995415926E-4</v>
      </c>
      <c r="H67" s="90"/>
      <c r="I67" s="137">
        <f t="shared" si="31"/>
        <v>0</v>
      </c>
      <c r="J67" s="97">
        <v>7.909406563593679</v>
      </c>
      <c r="K67" s="138">
        <f t="shared" si="32"/>
        <v>2.4349204314909677E-3</v>
      </c>
      <c r="N67" s="121" t="s">
        <v>103</v>
      </c>
      <c r="O67" s="122"/>
      <c r="P67" s="123" t="s">
        <v>421</v>
      </c>
      <c r="Q67" s="124"/>
      <c r="R67" s="125"/>
      <c r="S67" s="124"/>
      <c r="T67" s="125"/>
      <c r="U67" s="124"/>
      <c r="V67" s="125"/>
      <c r="W67" s="126"/>
      <c r="X67" s="127"/>
    </row>
    <row r="68" spans="1:24">
      <c r="A68" s="85" t="s">
        <v>94</v>
      </c>
      <c r="B68" s="86" t="s">
        <v>98</v>
      </c>
      <c r="C68" s="136" t="s">
        <v>418</v>
      </c>
      <c r="D68" s="100"/>
      <c r="E68" s="137">
        <f t="shared" si="29"/>
        <v>0</v>
      </c>
      <c r="F68" s="97">
        <v>1.9061081746127726</v>
      </c>
      <c r="G68" s="137">
        <f t="shared" si="30"/>
        <v>5.8679772011717532E-4</v>
      </c>
      <c r="H68" s="90"/>
      <c r="I68" s="137">
        <f t="shared" si="31"/>
        <v>0</v>
      </c>
      <c r="J68" s="90"/>
      <c r="K68" s="138">
        <f t="shared" si="32"/>
        <v>0</v>
      </c>
      <c r="N68" s="79" t="s">
        <v>405</v>
      </c>
      <c r="O68" s="80" t="s">
        <v>95</v>
      </c>
      <c r="P68" s="136" t="s">
        <v>418</v>
      </c>
      <c r="Q68" s="109"/>
      <c r="R68" s="110"/>
      <c r="S68" s="109"/>
      <c r="T68" s="110"/>
      <c r="U68" s="109"/>
      <c r="V68" s="110"/>
      <c r="W68" s="111"/>
      <c r="X68" s="112"/>
    </row>
    <row r="69" spans="1:24">
      <c r="A69" s="85" t="s">
        <v>99</v>
      </c>
      <c r="B69" s="98" t="s">
        <v>95</v>
      </c>
      <c r="C69" s="136" t="s">
        <v>418</v>
      </c>
      <c r="D69" s="88">
        <v>5.3097137504293359</v>
      </c>
      <c r="E69" s="137">
        <f t="shared" si="29"/>
        <v>1.6346018367292892E-3</v>
      </c>
      <c r="F69" s="97">
        <v>2.4003801159518612</v>
      </c>
      <c r="G69" s="137">
        <f t="shared" si="30"/>
        <v>7.3895993848371096E-4</v>
      </c>
      <c r="H69" s="97">
        <v>1.4887619476908849</v>
      </c>
      <c r="I69" s="137">
        <f t="shared" si="31"/>
        <v>4.5831717650531017E-4</v>
      </c>
      <c r="J69" s="97">
        <v>2.4503721057675629</v>
      </c>
      <c r="K69" s="138">
        <f t="shared" si="32"/>
        <v>7.5435003335801382E-4</v>
      </c>
      <c r="N69" s="92" t="s">
        <v>405</v>
      </c>
      <c r="O69" s="86" t="s">
        <v>96</v>
      </c>
      <c r="P69" s="136" t="s">
        <v>418</v>
      </c>
      <c r="Q69" s="114"/>
      <c r="R69" s="115"/>
      <c r="S69" s="114"/>
      <c r="T69" s="115"/>
      <c r="U69" s="114"/>
      <c r="V69" s="115"/>
      <c r="W69" s="116"/>
      <c r="X69" s="117"/>
    </row>
    <row r="70" spans="1:24">
      <c r="A70" s="85" t="s">
        <v>99</v>
      </c>
      <c r="B70" s="86" t="s">
        <v>96</v>
      </c>
      <c r="C70" s="136" t="s">
        <v>418</v>
      </c>
      <c r="D70" s="88">
        <v>8.5315452982455451</v>
      </c>
      <c r="E70" s="137">
        <f t="shared" si="29"/>
        <v>2.6264465977141748E-3</v>
      </c>
      <c r="F70" s="97">
        <v>0.72543803630266135</v>
      </c>
      <c r="G70" s="137">
        <f t="shared" si="30"/>
        <v>2.2332698188819251E-4</v>
      </c>
      <c r="H70" s="97">
        <v>0.56694618150522658</v>
      </c>
      <c r="I70" s="137">
        <f t="shared" si="31"/>
        <v>1.7453507160158419E-4</v>
      </c>
      <c r="J70" s="97">
        <v>2.8595741836810245</v>
      </c>
      <c r="K70" s="138">
        <f t="shared" si="32"/>
        <v>8.8032339079120898E-4</v>
      </c>
      <c r="N70" s="92" t="s">
        <v>405</v>
      </c>
      <c r="O70" s="86" t="s">
        <v>97</v>
      </c>
      <c r="P70" s="136" t="s">
        <v>418</v>
      </c>
      <c r="Q70" s="114"/>
      <c r="R70" s="115"/>
      <c r="S70" s="114"/>
      <c r="T70" s="115"/>
      <c r="U70" s="114"/>
      <c r="V70" s="115"/>
      <c r="W70" s="116"/>
      <c r="X70" s="117"/>
    </row>
    <row r="71" spans="1:24">
      <c r="A71" s="85" t="s">
        <v>99</v>
      </c>
      <c r="B71" s="86" t="s">
        <v>97</v>
      </c>
      <c r="C71" s="136" t="s">
        <v>418</v>
      </c>
      <c r="D71" s="100"/>
      <c r="E71" s="137">
        <f t="shared" si="29"/>
        <v>0</v>
      </c>
      <c r="F71" s="90"/>
      <c r="G71" s="137">
        <f t="shared" si="30"/>
        <v>0</v>
      </c>
      <c r="H71" s="97">
        <v>2.3184961904712851</v>
      </c>
      <c r="I71" s="137">
        <f t="shared" si="31"/>
        <v>7.1375187242208368E-4</v>
      </c>
      <c r="J71" s="90"/>
      <c r="K71" s="138">
        <f t="shared" si="32"/>
        <v>0</v>
      </c>
      <c r="N71" s="92" t="s">
        <v>405</v>
      </c>
      <c r="O71" s="86" t="s">
        <v>98</v>
      </c>
      <c r="P71" s="136" t="s">
        <v>418</v>
      </c>
      <c r="Q71" s="114"/>
      <c r="R71" s="115"/>
      <c r="S71" s="114"/>
      <c r="T71" s="115"/>
      <c r="U71" s="114"/>
      <c r="V71" s="115"/>
      <c r="W71" s="116"/>
      <c r="X71" s="117"/>
    </row>
    <row r="72" spans="1:24">
      <c r="A72" s="85" t="s">
        <v>99</v>
      </c>
      <c r="B72" s="86" t="s">
        <v>98</v>
      </c>
      <c r="C72" s="136" t="s">
        <v>418</v>
      </c>
      <c r="D72" s="150"/>
      <c r="E72" s="137">
        <f t="shared" si="29"/>
        <v>0</v>
      </c>
      <c r="F72" s="151"/>
      <c r="G72" s="137">
        <f t="shared" si="30"/>
        <v>0</v>
      </c>
      <c r="H72" s="151"/>
      <c r="I72" s="137">
        <f t="shared" si="31"/>
        <v>0</v>
      </c>
      <c r="J72" s="151"/>
      <c r="K72" s="138">
        <f t="shared" si="32"/>
        <v>0</v>
      </c>
      <c r="N72" s="92" t="s">
        <v>406</v>
      </c>
      <c r="O72" s="98" t="s">
        <v>95</v>
      </c>
      <c r="P72" s="136" t="s">
        <v>418</v>
      </c>
      <c r="Q72" s="114"/>
      <c r="R72" s="115"/>
      <c r="S72" s="114"/>
      <c r="T72" s="115"/>
      <c r="U72" s="114"/>
      <c r="V72" s="115"/>
      <c r="W72" s="116"/>
      <c r="X72" s="117"/>
    </row>
    <row r="73" spans="1:24">
      <c r="A73" s="85" t="s">
        <v>100</v>
      </c>
      <c r="B73" s="98" t="s">
        <v>95</v>
      </c>
      <c r="C73" s="136" t="s">
        <v>418</v>
      </c>
      <c r="D73" s="88">
        <v>305.22921568035002</v>
      </c>
      <c r="E73" s="137">
        <f t="shared" si="29"/>
        <v>9.3965185323634043E-2</v>
      </c>
      <c r="F73" s="97">
        <v>176.17984663400273</v>
      </c>
      <c r="G73" s="137">
        <f t="shared" si="30"/>
        <v>5.4237180088915218E-2</v>
      </c>
      <c r="H73" s="97">
        <v>93.722889861250991</v>
      </c>
      <c r="I73" s="137">
        <f t="shared" si="31"/>
        <v>2.8852705646964537E-2</v>
      </c>
      <c r="J73" s="97">
        <v>266.17661789968321</v>
      </c>
      <c r="K73" s="138">
        <f t="shared" si="32"/>
        <v>8.1942795593836187E-2</v>
      </c>
      <c r="N73" s="92" t="s">
        <v>406</v>
      </c>
      <c r="O73" s="86" t="s">
        <v>96</v>
      </c>
      <c r="P73" s="136" t="s">
        <v>418</v>
      </c>
      <c r="Q73" s="114"/>
      <c r="R73" s="115"/>
      <c r="S73" s="114"/>
      <c r="T73" s="115"/>
      <c r="U73" s="114"/>
      <c r="V73" s="115"/>
      <c r="W73" s="116"/>
      <c r="X73" s="117"/>
    </row>
    <row r="74" spans="1:24">
      <c r="A74" s="85" t="s">
        <v>100</v>
      </c>
      <c r="B74" s="86" t="s">
        <v>96</v>
      </c>
      <c r="C74" s="136" t="s">
        <v>418</v>
      </c>
      <c r="D74" s="88">
        <v>200.42933959929027</v>
      </c>
      <c r="E74" s="137">
        <f t="shared" si="29"/>
        <v>6.1702415995014283E-2</v>
      </c>
      <c r="F74" s="97">
        <v>84.619340523151791</v>
      </c>
      <c r="G74" s="137">
        <f t="shared" si="30"/>
        <v>2.6050166909803909E-2</v>
      </c>
      <c r="H74" s="97">
        <v>53.362418864949383</v>
      </c>
      <c r="I74" s="137">
        <f t="shared" si="31"/>
        <v>1.6427685556855288E-2</v>
      </c>
      <c r="J74" s="97">
        <v>164.171972224369</v>
      </c>
      <c r="K74" s="138">
        <f t="shared" si="32"/>
        <v>5.0540541345703342E-2</v>
      </c>
      <c r="N74" s="92" t="s">
        <v>406</v>
      </c>
      <c r="O74" s="86" t="s">
        <v>97</v>
      </c>
      <c r="P74" s="136" t="s">
        <v>418</v>
      </c>
      <c r="Q74" s="114"/>
      <c r="R74" s="115"/>
      <c r="S74" s="114"/>
      <c r="T74" s="115"/>
      <c r="U74" s="114"/>
      <c r="V74" s="115"/>
      <c r="W74" s="116"/>
      <c r="X74" s="117"/>
    </row>
    <row r="75" spans="1:24">
      <c r="A75" s="85" t="s">
        <v>100</v>
      </c>
      <c r="B75" s="86" t="s">
        <v>97</v>
      </c>
      <c r="C75" s="136" t="s">
        <v>418</v>
      </c>
      <c r="D75" s="88">
        <v>18.820377194547092</v>
      </c>
      <c r="E75" s="137">
        <f t="shared" si="29"/>
        <v>5.7938760121780926E-3</v>
      </c>
      <c r="F75" s="97">
        <v>15.86478896613062</v>
      </c>
      <c r="G75" s="137">
        <f t="shared" si="30"/>
        <v>4.8839945809249696E-3</v>
      </c>
      <c r="H75" s="97">
        <v>7.0333015832763088</v>
      </c>
      <c r="I75" s="137">
        <f t="shared" si="31"/>
        <v>2.1652104476187384E-3</v>
      </c>
      <c r="J75" s="97">
        <v>24.656768577495818</v>
      </c>
      <c r="K75" s="138">
        <f t="shared" si="32"/>
        <v>7.5906161987215909E-3</v>
      </c>
      <c r="N75" s="92" t="s">
        <v>406</v>
      </c>
      <c r="O75" s="119" t="s">
        <v>98</v>
      </c>
      <c r="P75" s="136" t="s">
        <v>418</v>
      </c>
      <c r="Q75" s="114"/>
      <c r="R75" s="115"/>
      <c r="S75" s="114"/>
      <c r="T75" s="115"/>
      <c r="U75" s="114"/>
      <c r="V75" s="115"/>
      <c r="W75" s="116"/>
      <c r="X75" s="117"/>
    </row>
    <row r="76" spans="1:24" ht="13.5" thickBot="1">
      <c r="A76" s="85" t="s">
        <v>100</v>
      </c>
      <c r="B76" s="86" t="s">
        <v>98</v>
      </c>
      <c r="C76" s="136" t="s">
        <v>418</v>
      </c>
      <c r="D76" s="88">
        <v>12.967963249876917</v>
      </c>
      <c r="E76" s="137">
        <f t="shared" si="29"/>
        <v>3.9922032605190314E-3</v>
      </c>
      <c r="F76" s="97">
        <v>4.9015121687843095</v>
      </c>
      <c r="G76" s="137">
        <f t="shared" si="30"/>
        <v>1.5089364832893211E-3</v>
      </c>
      <c r="H76" s="90"/>
      <c r="I76" s="137">
        <f t="shared" si="31"/>
        <v>0</v>
      </c>
      <c r="J76" s="97">
        <v>5.5444675606423175</v>
      </c>
      <c r="K76" s="138">
        <f t="shared" si="32"/>
        <v>1.706871082754522E-3</v>
      </c>
      <c r="N76" s="140" t="s">
        <v>103</v>
      </c>
      <c r="O76" s="141"/>
      <c r="P76" s="141" t="s">
        <v>418</v>
      </c>
      <c r="Q76" s="143"/>
      <c r="R76" s="144"/>
      <c r="S76" s="143"/>
      <c r="T76" s="144"/>
      <c r="U76" s="143"/>
      <c r="V76" s="144"/>
      <c r="W76" s="145"/>
      <c r="X76" s="146"/>
    </row>
    <row r="77" spans="1:24" ht="13.5" thickTop="1">
      <c r="A77" s="85" t="s">
        <v>101</v>
      </c>
      <c r="B77" s="98" t="s">
        <v>95</v>
      </c>
      <c r="C77" s="136" t="s">
        <v>418</v>
      </c>
      <c r="D77" s="88">
        <v>79.187981045417786</v>
      </c>
      <c r="E77" s="137">
        <f t="shared" si="29"/>
        <v>2.4378116287955758E-2</v>
      </c>
      <c r="F77" s="97">
        <v>49.750787360792714</v>
      </c>
      <c r="G77" s="137">
        <f t="shared" si="30"/>
        <v>1.531584040516392E-2</v>
      </c>
      <c r="H77" s="97">
        <v>17.24660448021341</v>
      </c>
      <c r="I77" s="137">
        <f t="shared" si="31"/>
        <v>5.3093881677559202E-3</v>
      </c>
      <c r="J77" s="97">
        <v>72.593545791855178</v>
      </c>
      <c r="K77" s="138">
        <f t="shared" si="32"/>
        <v>2.2348011373770089E-2</v>
      </c>
    </row>
    <row r="78" spans="1:24">
      <c r="A78" s="85" t="s">
        <v>101</v>
      </c>
      <c r="B78" s="86" t="s">
        <v>96</v>
      </c>
      <c r="C78" s="136" t="s">
        <v>418</v>
      </c>
      <c r="D78" s="88">
        <v>50.328803319844226</v>
      </c>
      <c r="E78" s="137">
        <f t="shared" si="29"/>
        <v>1.5493783321248247E-2</v>
      </c>
      <c r="F78" s="97">
        <v>22.038052045274924</v>
      </c>
      <c r="G78" s="137">
        <f t="shared" si="30"/>
        <v>6.7844411289081745E-3</v>
      </c>
      <c r="H78" s="97">
        <v>9.0648135789805089</v>
      </c>
      <c r="I78" s="137">
        <f t="shared" si="31"/>
        <v>2.7906138865983181E-3</v>
      </c>
      <c r="J78" s="97">
        <v>42.65473938769177</v>
      </c>
      <c r="K78" s="138">
        <f t="shared" si="32"/>
        <v>1.3131313405113859E-2</v>
      </c>
    </row>
    <row r="79" spans="1:24">
      <c r="A79" s="85" t="s">
        <v>101</v>
      </c>
      <c r="B79" s="86" t="s">
        <v>97</v>
      </c>
      <c r="C79" s="136" t="s">
        <v>418</v>
      </c>
      <c r="D79" s="100"/>
      <c r="E79" s="137">
        <f t="shared" si="29"/>
        <v>0</v>
      </c>
      <c r="F79" s="97">
        <v>3.2278446464916306</v>
      </c>
      <c r="G79" s="137">
        <f t="shared" si="30"/>
        <v>9.9369590072636085E-4</v>
      </c>
      <c r="H79" s="90"/>
      <c r="I79" s="137">
        <f t="shared" si="31"/>
        <v>0</v>
      </c>
      <c r="J79" s="97">
        <v>1.6167272093713905</v>
      </c>
      <c r="K79" s="138">
        <f t="shared" si="32"/>
        <v>4.9771143796876203E-4</v>
      </c>
    </row>
    <row r="80" spans="1:24">
      <c r="A80" s="85" t="s">
        <v>101</v>
      </c>
      <c r="B80" s="86" t="s">
        <v>98</v>
      </c>
      <c r="C80" s="136" t="s">
        <v>418</v>
      </c>
      <c r="D80" s="88"/>
      <c r="E80" s="137">
        <f t="shared" si="29"/>
        <v>0</v>
      </c>
      <c r="F80" s="97"/>
      <c r="G80" s="137">
        <f t="shared" si="30"/>
        <v>0</v>
      </c>
      <c r="H80" s="97"/>
      <c r="I80" s="137">
        <f t="shared" si="31"/>
        <v>0</v>
      </c>
      <c r="J80" s="97"/>
      <c r="K80" s="138">
        <f t="shared" si="32"/>
        <v>0</v>
      </c>
    </row>
    <row r="81" spans="1:12">
      <c r="A81" s="85" t="s">
        <v>102</v>
      </c>
      <c r="B81" s="98" t="s">
        <v>95</v>
      </c>
      <c r="C81" s="136" t="s">
        <v>418</v>
      </c>
      <c r="D81" s="88">
        <v>168.63753846746874</v>
      </c>
      <c r="E81" s="137">
        <f t="shared" si="29"/>
        <v>5.19152713454923E-2</v>
      </c>
      <c r="F81" s="97">
        <v>71.223876337372303</v>
      </c>
      <c r="G81" s="137">
        <f t="shared" si="30"/>
        <v>2.1926356966161267E-2</v>
      </c>
      <c r="H81" s="97">
        <v>41.715037249493243</v>
      </c>
      <c r="I81" s="137">
        <f t="shared" si="31"/>
        <v>1.2842024958829246E-2</v>
      </c>
      <c r="J81" s="97">
        <v>117.46585754789832</v>
      </c>
      <c r="K81" s="138">
        <f t="shared" si="32"/>
        <v>3.6162007129904132E-2</v>
      </c>
    </row>
    <row r="82" spans="1:12">
      <c r="A82" s="85" t="s">
        <v>102</v>
      </c>
      <c r="B82" s="86" t="s">
        <v>96</v>
      </c>
      <c r="C82" s="136" t="s">
        <v>418</v>
      </c>
      <c r="D82" s="88">
        <v>49.786123738631147</v>
      </c>
      <c r="E82" s="137">
        <f t="shared" si="29"/>
        <v>1.5326718752064145E-2</v>
      </c>
      <c r="F82" s="97">
        <v>23.399823325613685</v>
      </c>
      <c r="G82" s="137">
        <f t="shared" si="30"/>
        <v>7.2036640739995073E-3</v>
      </c>
      <c r="H82" s="97">
        <v>12.405913016718376</v>
      </c>
      <c r="I82" s="137">
        <f t="shared" si="31"/>
        <v>3.8191754125713358E-3</v>
      </c>
      <c r="J82" s="97">
        <v>36.49185766573293</v>
      </c>
      <c r="K82" s="138">
        <f t="shared" si="32"/>
        <v>1.1234062770567934E-2</v>
      </c>
    </row>
    <row r="83" spans="1:12">
      <c r="A83" s="85" t="s">
        <v>102</v>
      </c>
      <c r="B83" s="86" t="s">
        <v>97</v>
      </c>
      <c r="C83" s="136" t="s">
        <v>418</v>
      </c>
      <c r="D83" s="100"/>
      <c r="E83" s="137">
        <f t="shared" si="29"/>
        <v>0</v>
      </c>
      <c r="F83" s="97">
        <v>3.8474655817206131</v>
      </c>
      <c r="G83" s="137">
        <f t="shared" si="30"/>
        <v>1.1844469593346178E-3</v>
      </c>
      <c r="H83" s="90"/>
      <c r="I83" s="137">
        <f t="shared" si="31"/>
        <v>0</v>
      </c>
      <c r="J83" s="97">
        <v>2.1026859472667345</v>
      </c>
      <c r="K83" s="138">
        <f t="shared" si="32"/>
        <v>6.4731442654307947E-4</v>
      </c>
    </row>
    <row r="84" spans="1:12">
      <c r="A84" s="128" t="s">
        <v>102</v>
      </c>
      <c r="B84" s="129" t="s">
        <v>98</v>
      </c>
      <c r="C84" s="129" t="s">
        <v>418</v>
      </c>
      <c r="D84" s="152"/>
      <c r="E84" s="153">
        <f t="shared" si="29"/>
        <v>0</v>
      </c>
      <c r="F84" s="154"/>
      <c r="G84" s="153">
        <f t="shared" si="30"/>
        <v>0</v>
      </c>
      <c r="H84" s="154"/>
      <c r="I84" s="153">
        <f t="shared" si="31"/>
        <v>0</v>
      </c>
      <c r="J84" s="154"/>
      <c r="K84" s="155">
        <f t="shared" si="32"/>
        <v>0</v>
      </c>
      <c r="L84">
        <v>3248.3223933319805</v>
      </c>
    </row>
    <row r="85" spans="1:12">
      <c r="A85" s="58"/>
      <c r="B85" s="1"/>
      <c r="C85" s="1"/>
      <c r="D85" s="59"/>
      <c r="E85" s="59"/>
      <c r="F85" s="59"/>
      <c r="G85" s="59"/>
      <c r="H85" s="59"/>
      <c r="I85" s="59"/>
      <c r="J85" s="60"/>
      <c r="K85" s="156"/>
    </row>
    <row r="86" spans="1:12">
      <c r="A86" s="157" t="s">
        <v>105</v>
      </c>
      <c r="B86" s="158"/>
      <c r="C86" s="159"/>
      <c r="D86" s="160"/>
      <c r="E86" s="160"/>
      <c r="F86" s="160"/>
      <c r="G86" s="160"/>
      <c r="H86" s="160"/>
      <c r="I86" s="160"/>
      <c r="J86" s="161"/>
    </row>
    <row r="87" spans="1:12" ht="13.5" thickBot="1">
      <c r="A87" s="162" t="s">
        <v>106</v>
      </c>
      <c r="B87" s="163"/>
      <c r="C87" s="163"/>
      <c r="D87" s="164"/>
      <c r="E87" s="164"/>
      <c r="F87" s="164"/>
      <c r="G87" s="164"/>
      <c r="H87" s="164"/>
      <c r="I87" s="164"/>
      <c r="J87" s="165"/>
    </row>
    <row r="90" spans="1:12">
      <c r="A90" s="170" t="s">
        <v>114</v>
      </c>
    </row>
    <row r="91" spans="1:12">
      <c r="B91" s="171" t="s">
        <v>113</v>
      </c>
      <c r="C91" s="200" t="s">
        <v>115</v>
      </c>
    </row>
    <row r="92" spans="1:12" ht="12.75" customHeight="1">
      <c r="A92" t="s">
        <v>131</v>
      </c>
    </row>
    <row r="93" spans="1:12" ht="12.75" customHeight="1">
      <c r="A93" s="174" t="s">
        <v>107</v>
      </c>
      <c r="B93" s="175">
        <v>7250</v>
      </c>
      <c r="C93" s="193">
        <f>SUM(C94:C97)</f>
        <v>1</v>
      </c>
    </row>
    <row r="94" spans="1:12" ht="15.75">
      <c r="A94" s="166" t="s">
        <v>108</v>
      </c>
      <c r="B94" s="172">
        <f>B93*C94</f>
        <v>161.67500000000001</v>
      </c>
      <c r="C94" s="177">
        <v>2.23E-2</v>
      </c>
    </row>
    <row r="95" spans="1:12" ht="15.75">
      <c r="A95" s="166" t="s">
        <v>109</v>
      </c>
      <c r="B95" s="172">
        <f>B93*C95</f>
        <v>2102.5</v>
      </c>
      <c r="C95" s="177">
        <v>0.28999999999999998</v>
      </c>
      <c r="G95" s="215"/>
    </row>
    <row r="96" spans="1:12" ht="15.75">
      <c r="A96" s="166" t="s">
        <v>110</v>
      </c>
      <c r="B96" s="172">
        <f>B93*C96</f>
        <v>1500.75</v>
      </c>
      <c r="C96" s="177">
        <v>0.20699999999999999</v>
      </c>
    </row>
    <row r="97" spans="1:7" ht="15.75">
      <c r="A97" s="166" t="s">
        <v>111</v>
      </c>
      <c r="B97" s="172">
        <f>B93*C97</f>
        <v>3485.0750000000003</v>
      </c>
      <c r="C97" s="177">
        <v>0.48070000000000002</v>
      </c>
    </row>
    <row r="98" spans="1:7" ht="15.75">
      <c r="A98" s="168" t="s">
        <v>112</v>
      </c>
      <c r="B98" s="173">
        <v>1924.5700497687842</v>
      </c>
      <c r="C98" s="178"/>
    </row>
    <row r="99" spans="1:7" ht="15.75">
      <c r="A99" s="191" t="s">
        <v>121</v>
      </c>
      <c r="B99" s="192">
        <v>6389</v>
      </c>
      <c r="C99" s="193">
        <f>SUM(C100:C101)</f>
        <v>1</v>
      </c>
    </row>
    <row r="100" spans="1:7" ht="15.75">
      <c r="A100" s="166" t="s">
        <v>122</v>
      </c>
      <c r="B100" s="167">
        <f>B99*C100</f>
        <v>3577.84</v>
      </c>
      <c r="C100" s="177">
        <v>0.56000000000000005</v>
      </c>
    </row>
    <row r="101" spans="1:7" ht="15.75">
      <c r="A101" s="166" t="s">
        <v>123</v>
      </c>
      <c r="B101" s="167">
        <f>B99*C101</f>
        <v>2811.16</v>
      </c>
      <c r="C101" s="177">
        <v>0.44</v>
      </c>
    </row>
    <row r="102" spans="1:7" ht="15.75">
      <c r="A102" s="168" t="s">
        <v>124</v>
      </c>
      <c r="B102" s="169">
        <v>1076.925</v>
      </c>
      <c r="C102" s="178"/>
    </row>
    <row r="103" spans="1:7" ht="15.75">
      <c r="A103" s="194" t="s">
        <v>125</v>
      </c>
      <c r="B103" s="195">
        <v>379</v>
      </c>
      <c r="C103" s="176"/>
    </row>
    <row r="104" spans="1:7" ht="15.75">
      <c r="A104" s="191" t="s">
        <v>126</v>
      </c>
      <c r="B104" s="192">
        <v>13362</v>
      </c>
      <c r="C104" s="177">
        <f>SUM(C105:C106)</f>
        <v>1</v>
      </c>
    </row>
    <row r="105" spans="1:7" ht="15.75">
      <c r="A105" s="166" t="s">
        <v>127</v>
      </c>
      <c r="B105" s="167">
        <f>0.25*B104</f>
        <v>3340.5</v>
      </c>
      <c r="C105" s="177">
        <v>0.75</v>
      </c>
    </row>
    <row r="106" spans="1:7" ht="15.75">
      <c r="A106" s="166" t="s">
        <v>128</v>
      </c>
      <c r="B106" s="167">
        <f>0.75*B104</f>
        <v>10021.5</v>
      </c>
      <c r="C106" s="177">
        <v>0.25</v>
      </c>
    </row>
    <row r="107" spans="1:7" ht="12.75" customHeight="1">
      <c r="A107" s="196" t="s">
        <v>129</v>
      </c>
      <c r="B107" s="197">
        <v>187</v>
      </c>
      <c r="C107" s="176"/>
    </row>
    <row r="108" spans="1:7" ht="12.75" customHeight="1">
      <c r="A108" s="198" t="s">
        <v>130</v>
      </c>
      <c r="B108" s="199">
        <v>1501.3989999999999</v>
      </c>
      <c r="C108" s="178"/>
    </row>
    <row r="109" spans="1:7" ht="12.75" customHeight="1">
      <c r="B109" s="4" t="s">
        <v>113</v>
      </c>
      <c r="C109" s="4" t="s">
        <v>115</v>
      </c>
    </row>
    <row r="110" spans="1:7" ht="12.75" customHeight="1">
      <c r="A110" s="27" t="s">
        <v>132</v>
      </c>
      <c r="F110" t="s">
        <v>145</v>
      </c>
      <c r="G110" t="s">
        <v>146</v>
      </c>
    </row>
    <row r="111" spans="1:7" ht="12.75" customHeight="1">
      <c r="A111" s="205" t="s">
        <v>133</v>
      </c>
      <c r="B111" s="203">
        <v>10002.18</v>
      </c>
      <c r="C111" s="211">
        <f>SUM(C112:C114)</f>
        <v>1.0000500000000001</v>
      </c>
      <c r="F111" s="214">
        <v>0.5</v>
      </c>
      <c r="G111" s="214">
        <v>0.5</v>
      </c>
    </row>
    <row r="112" spans="1:7" ht="12.75" customHeight="1">
      <c r="A112" s="166" t="s">
        <v>134</v>
      </c>
      <c r="B112" s="167">
        <f>B111*C112</f>
        <v>1212.264216</v>
      </c>
      <c r="C112" s="177">
        <v>0.1212</v>
      </c>
      <c r="F112" s="214">
        <v>0.5</v>
      </c>
      <c r="G112" s="214">
        <v>0.5</v>
      </c>
    </row>
    <row r="113" spans="1:7" ht="12.75" customHeight="1">
      <c r="A113" s="166" t="s">
        <v>135</v>
      </c>
      <c r="B113" s="167">
        <f>B111*C113</f>
        <v>4540.9897200000005</v>
      </c>
      <c r="C113" s="177">
        <v>0.45400000000000001</v>
      </c>
      <c r="F113" s="214">
        <v>0.5</v>
      </c>
      <c r="G113" s="214">
        <v>0.5</v>
      </c>
    </row>
    <row r="114" spans="1:7" ht="15.75">
      <c r="A114" s="210" t="s">
        <v>136</v>
      </c>
      <c r="B114" s="172">
        <f>B111*C114</f>
        <v>4249.4261729999998</v>
      </c>
      <c r="C114" s="177">
        <v>0.42485000000000001</v>
      </c>
      <c r="F114" s="214">
        <v>0.5</v>
      </c>
      <c r="G114" s="214">
        <v>0.5</v>
      </c>
    </row>
    <row r="115" spans="1:7" ht="15.75">
      <c r="A115" s="209" t="s">
        <v>137</v>
      </c>
      <c r="B115" s="202">
        <v>9748.1895000000004</v>
      </c>
      <c r="C115" s="213">
        <f>SUM(C116:C118)</f>
        <v>1</v>
      </c>
      <c r="F115" s="214">
        <v>0.5</v>
      </c>
      <c r="G115" s="214">
        <v>0.5</v>
      </c>
    </row>
    <row r="116" spans="1:7" ht="15.75">
      <c r="A116" s="166" t="s">
        <v>134</v>
      </c>
      <c r="B116" s="167">
        <f>B115*C116</f>
        <v>12.155992306500002</v>
      </c>
      <c r="C116" s="177">
        <v>1.2470000000000001E-3</v>
      </c>
      <c r="F116" s="214">
        <v>0.5</v>
      </c>
      <c r="G116" s="214">
        <v>0.5</v>
      </c>
    </row>
    <row r="117" spans="1:7" ht="15.75">
      <c r="A117" s="166" t="s">
        <v>135</v>
      </c>
      <c r="B117" s="167">
        <f>B115*C117</f>
        <v>269.10851933700002</v>
      </c>
      <c r="C117" s="177">
        <v>2.7605999999999999E-2</v>
      </c>
      <c r="F117" s="214">
        <v>0.5</v>
      </c>
      <c r="G117" s="214">
        <v>0.5</v>
      </c>
    </row>
    <row r="118" spans="1:7" ht="15.75">
      <c r="A118" s="206" t="s">
        <v>136</v>
      </c>
      <c r="B118" s="201">
        <f>B115*C118</f>
        <v>9466.9249883565008</v>
      </c>
      <c r="C118" s="212">
        <v>0.97114699999999998</v>
      </c>
      <c r="F118" s="214">
        <v>0.5</v>
      </c>
      <c r="G118" s="214">
        <v>0.5</v>
      </c>
    </row>
    <row r="119" spans="1:7" ht="15.75">
      <c r="A119" s="205" t="s">
        <v>138</v>
      </c>
      <c r="B119" s="203">
        <v>3663</v>
      </c>
      <c r="C119" s="211">
        <f>SUM(C120:C121)</f>
        <v>1</v>
      </c>
      <c r="F119" s="214">
        <v>0.5</v>
      </c>
      <c r="G119" s="214">
        <v>0.5</v>
      </c>
    </row>
    <row r="120" spans="1:7" ht="15.75">
      <c r="A120" s="166" t="s">
        <v>134</v>
      </c>
      <c r="B120" s="202">
        <f>B119*C120</f>
        <v>1240.6581000000001</v>
      </c>
      <c r="C120" s="177">
        <v>0.3387</v>
      </c>
      <c r="F120" s="214">
        <v>0.5</v>
      </c>
      <c r="G120" s="214">
        <v>0.5</v>
      </c>
    </row>
    <row r="121" spans="1:7" ht="15.75">
      <c r="A121" s="206" t="s">
        <v>139</v>
      </c>
      <c r="B121" s="204">
        <f>B119*C121</f>
        <v>2422.3418999999999</v>
      </c>
      <c r="C121" s="212">
        <v>0.6613</v>
      </c>
      <c r="F121" s="214">
        <v>0.5</v>
      </c>
      <c r="G121" s="214">
        <v>0.5</v>
      </c>
    </row>
    <row r="122" spans="1:7" ht="15.75">
      <c r="A122" s="205" t="s">
        <v>140</v>
      </c>
      <c r="B122" s="203">
        <v>123</v>
      </c>
      <c r="C122" s="211">
        <f>SUM(C123:C124)</f>
        <v>1</v>
      </c>
      <c r="F122" s="214">
        <v>0.5</v>
      </c>
      <c r="G122" s="214">
        <v>0.5</v>
      </c>
    </row>
    <row r="123" spans="1:7" ht="15.75">
      <c r="A123" s="166" t="s">
        <v>122</v>
      </c>
      <c r="B123" s="202">
        <f>B122*C123</f>
        <v>20.91</v>
      </c>
      <c r="C123" s="177">
        <v>0.17</v>
      </c>
      <c r="F123" s="214">
        <v>0.5</v>
      </c>
      <c r="G123" s="214">
        <v>0.5</v>
      </c>
    </row>
    <row r="124" spans="1:7" ht="15.75">
      <c r="A124" s="166" t="s">
        <v>123</v>
      </c>
      <c r="B124" s="202">
        <f>B122*C124</f>
        <v>102.08999999999999</v>
      </c>
      <c r="C124" s="177">
        <v>0.83</v>
      </c>
      <c r="F124" s="214">
        <v>0.5</v>
      </c>
      <c r="G124" s="214">
        <v>0.5</v>
      </c>
    </row>
    <row r="125" spans="1:7" ht="15.75">
      <c r="A125" s="207" t="s">
        <v>124</v>
      </c>
      <c r="B125" s="204">
        <v>438.44036697247708</v>
      </c>
      <c r="C125" s="178"/>
      <c r="F125" s="214">
        <v>0.5</v>
      </c>
      <c r="G125" s="214">
        <v>0.5</v>
      </c>
    </row>
    <row r="126" spans="1:7" ht="15.75">
      <c r="A126" s="208" t="s">
        <v>141</v>
      </c>
      <c r="B126" s="203">
        <v>1.3570000000000002</v>
      </c>
      <c r="C126" s="176"/>
      <c r="F126" s="214">
        <v>0.5</v>
      </c>
      <c r="G126" s="214">
        <v>0.5</v>
      </c>
    </row>
    <row r="127" spans="1:7" ht="15.75">
      <c r="A127" s="207" t="s">
        <v>142</v>
      </c>
      <c r="B127" s="204">
        <v>631.8048</v>
      </c>
      <c r="C127" s="178"/>
      <c r="F127" s="214">
        <v>0.5</v>
      </c>
      <c r="G127" s="214">
        <v>0.5</v>
      </c>
    </row>
    <row r="128" spans="1:7" ht="15.75">
      <c r="A128" s="208" t="s">
        <v>143</v>
      </c>
      <c r="B128" s="203">
        <v>2073</v>
      </c>
      <c r="C128" s="176"/>
      <c r="F128" s="214">
        <v>0.5</v>
      </c>
      <c r="G128" s="214">
        <v>0.5</v>
      </c>
    </row>
    <row r="129" spans="1:7" ht="15.75">
      <c r="A129" s="207" t="s">
        <v>144</v>
      </c>
      <c r="B129" s="204">
        <v>48140.793353094996</v>
      </c>
      <c r="C129" s="178"/>
      <c r="F129" s="214">
        <v>0.5</v>
      </c>
      <c r="G129" s="214">
        <v>0.5</v>
      </c>
    </row>
    <row r="130" spans="1:7">
      <c r="B130" s="31" t="s">
        <v>496</v>
      </c>
    </row>
    <row r="133" spans="1:7">
      <c r="A133" s="1682" t="s">
        <v>175</v>
      </c>
      <c r="B133" s="1683"/>
      <c r="C133" s="1683"/>
      <c r="D133" s="1705"/>
      <c r="F133" s="170" t="s">
        <v>116</v>
      </c>
      <c r="G133" s="170" t="s">
        <v>117</v>
      </c>
    </row>
    <row r="134" spans="1:7">
      <c r="A134" s="216"/>
      <c r="B134" s="217">
        <v>2010</v>
      </c>
      <c r="C134" s="217">
        <v>2011</v>
      </c>
      <c r="D134" s="218">
        <v>2012</v>
      </c>
    </row>
    <row r="135" spans="1:7">
      <c r="A135" s="216" t="s">
        <v>160</v>
      </c>
      <c r="B135" s="217">
        <v>69776</v>
      </c>
      <c r="C135" s="217">
        <v>71105</v>
      </c>
      <c r="D135" s="218">
        <v>71322</v>
      </c>
    </row>
    <row r="136" spans="1:7">
      <c r="A136" s="216" t="s">
        <v>161</v>
      </c>
      <c r="B136" s="217">
        <v>2620</v>
      </c>
      <c r="C136" s="217">
        <v>2940</v>
      </c>
      <c r="D136" s="218">
        <v>3050</v>
      </c>
    </row>
    <row r="137" spans="1:7">
      <c r="A137" s="216" t="s">
        <v>162</v>
      </c>
      <c r="B137" s="217">
        <v>67156</v>
      </c>
      <c r="C137" s="217">
        <v>68165</v>
      </c>
      <c r="D137" s="218">
        <v>68272</v>
      </c>
    </row>
    <row r="138" spans="1:7">
      <c r="A138" s="216" t="s">
        <v>163</v>
      </c>
      <c r="B138" s="217">
        <v>50861</v>
      </c>
      <c r="C138" s="217">
        <v>52543</v>
      </c>
      <c r="D138" s="218">
        <v>53425</v>
      </c>
    </row>
    <row r="139" spans="1:7">
      <c r="A139" s="216" t="s">
        <v>164</v>
      </c>
      <c r="B139" s="217">
        <v>8505</v>
      </c>
      <c r="C139" s="217">
        <v>7967</v>
      </c>
      <c r="D139" s="218">
        <v>7512</v>
      </c>
    </row>
    <row r="140" spans="1:7">
      <c r="A140" s="216" t="s">
        <v>165</v>
      </c>
      <c r="B140" s="217">
        <v>393</v>
      </c>
      <c r="C140" s="217">
        <v>376</v>
      </c>
      <c r="D140" s="218">
        <v>347</v>
      </c>
    </row>
    <row r="141" spans="1:7">
      <c r="A141" s="216" t="s">
        <v>166</v>
      </c>
      <c r="B141" s="217">
        <v>466</v>
      </c>
      <c r="C141" s="217">
        <v>468</v>
      </c>
      <c r="D141" s="218">
        <v>468</v>
      </c>
    </row>
    <row r="142" spans="1:7">
      <c r="A142" s="216" t="s">
        <v>167</v>
      </c>
      <c r="B142" s="217">
        <v>78</v>
      </c>
      <c r="C142" s="217">
        <v>74</v>
      </c>
      <c r="D142" s="218">
        <v>70</v>
      </c>
    </row>
    <row r="143" spans="1:7">
      <c r="A143" s="216" t="s">
        <v>168</v>
      </c>
      <c r="B143" s="217">
        <v>6853</v>
      </c>
      <c r="C143" s="217">
        <v>6737</v>
      </c>
      <c r="D143" s="218">
        <v>6450</v>
      </c>
    </row>
    <row r="144" spans="1:7">
      <c r="A144" s="216" t="s">
        <v>169</v>
      </c>
      <c r="B144" s="217">
        <v>3049</v>
      </c>
      <c r="C144" s="217" t="s">
        <v>170</v>
      </c>
      <c r="D144" s="218" t="s">
        <v>170</v>
      </c>
      <c r="F144" s="237">
        <f>AD28</f>
        <v>0.6529895199943494</v>
      </c>
      <c r="G144" s="214">
        <f>AF28</f>
        <v>0.3470104800056506</v>
      </c>
    </row>
    <row r="145" spans="1:7">
      <c r="A145" s="216" t="s">
        <v>171</v>
      </c>
      <c r="B145" s="217">
        <v>3835</v>
      </c>
      <c r="C145" s="217" t="s">
        <v>170</v>
      </c>
      <c r="D145" s="218" t="s">
        <v>170</v>
      </c>
      <c r="F145" s="237">
        <f>AD29</f>
        <v>0.5388379940530249</v>
      </c>
      <c r="G145" s="237">
        <f>AF29</f>
        <v>0.46116200594697515</v>
      </c>
    </row>
    <row r="146" spans="1:7">
      <c r="A146" s="216" t="s">
        <v>172</v>
      </c>
      <c r="B146" s="217">
        <v>6577</v>
      </c>
      <c r="C146" s="217">
        <v>6890</v>
      </c>
      <c r="D146" s="218">
        <v>7026</v>
      </c>
    </row>
    <row r="147" spans="1:7">
      <c r="A147" s="216" t="s">
        <v>173</v>
      </c>
      <c r="B147" s="217">
        <v>184</v>
      </c>
      <c r="C147" s="217">
        <v>176</v>
      </c>
      <c r="D147" s="218">
        <v>176</v>
      </c>
    </row>
    <row r="148" spans="1:7">
      <c r="A148" s="216" t="s">
        <v>174</v>
      </c>
      <c r="B148" s="217">
        <v>470</v>
      </c>
      <c r="C148" s="217">
        <v>459</v>
      </c>
      <c r="D148" s="218">
        <v>367</v>
      </c>
    </row>
    <row r="149" spans="1:7">
      <c r="A149" s="216"/>
      <c r="B149" s="217"/>
      <c r="C149" s="217"/>
      <c r="D149" s="218"/>
    </row>
    <row r="150" spans="1:7">
      <c r="A150" s="1687" t="s">
        <v>176</v>
      </c>
      <c r="B150" s="1688"/>
      <c r="C150" s="1688"/>
      <c r="D150" s="1689"/>
    </row>
    <row r="151" spans="1:7">
      <c r="A151" s="216"/>
      <c r="B151" s="217"/>
      <c r="C151" s="217"/>
      <c r="D151" s="218"/>
    </row>
    <row r="152" spans="1:7">
      <c r="A152" s="1687" t="s">
        <v>177</v>
      </c>
      <c r="B152" s="1688"/>
      <c r="C152" s="1688"/>
      <c r="D152" s="1689"/>
    </row>
    <row r="153" spans="1:7">
      <c r="A153" s="216"/>
      <c r="B153" s="217"/>
      <c r="C153" s="217"/>
      <c r="D153" s="218"/>
    </row>
    <row r="154" spans="1:7">
      <c r="A154" s="221" t="s">
        <v>178</v>
      </c>
      <c r="B154" s="224"/>
      <c r="C154" s="224"/>
      <c r="D154" s="223"/>
    </row>
    <row r="157" spans="1:7">
      <c r="A157" s="1702" t="s">
        <v>241</v>
      </c>
      <c r="B157" s="1703"/>
      <c r="C157" s="1703"/>
      <c r="D157" s="1704"/>
    </row>
    <row r="158" spans="1:7">
      <c r="A158" s="216"/>
      <c r="B158" s="217">
        <v>2010</v>
      </c>
      <c r="C158" s="217">
        <v>2011</v>
      </c>
      <c r="D158" s="218">
        <v>2012</v>
      </c>
    </row>
    <row r="159" spans="1:7">
      <c r="A159" s="216" t="s">
        <v>224</v>
      </c>
      <c r="B159" s="217">
        <v>47925</v>
      </c>
      <c r="C159" s="217">
        <v>48959</v>
      </c>
      <c r="D159" s="218">
        <v>49097</v>
      </c>
    </row>
    <row r="160" spans="1:7">
      <c r="A160" s="216" t="s">
        <v>161</v>
      </c>
      <c r="B160" s="217">
        <v>2620</v>
      </c>
      <c r="C160" s="217">
        <v>2940</v>
      </c>
      <c r="D160" s="218">
        <v>3050</v>
      </c>
    </row>
    <row r="161" spans="1:4">
      <c r="A161" s="216" t="s">
        <v>162</v>
      </c>
      <c r="B161" s="217">
        <v>45305</v>
      </c>
      <c r="C161" s="217">
        <v>46019</v>
      </c>
      <c r="D161" s="218">
        <v>46047</v>
      </c>
    </row>
    <row r="162" spans="1:4">
      <c r="A162" s="216" t="s">
        <v>225</v>
      </c>
      <c r="B162" s="217">
        <v>33255</v>
      </c>
      <c r="C162" s="217">
        <v>34359</v>
      </c>
      <c r="D162" s="218">
        <v>34892</v>
      </c>
    </row>
    <row r="163" spans="1:4">
      <c r="A163" s="216" t="s">
        <v>226</v>
      </c>
      <c r="B163" s="217">
        <v>22587</v>
      </c>
      <c r="C163" s="217">
        <v>22139</v>
      </c>
      <c r="D163" s="218">
        <v>21554</v>
      </c>
    </row>
    <row r="164" spans="1:4">
      <c r="A164" s="216" t="s">
        <v>227</v>
      </c>
      <c r="B164" s="217">
        <v>10668</v>
      </c>
      <c r="C164" s="217">
        <v>12220</v>
      </c>
      <c r="D164" s="218">
        <v>13338</v>
      </c>
    </row>
    <row r="165" spans="1:4">
      <c r="A165" s="216" t="s">
        <v>165</v>
      </c>
      <c r="B165" s="217">
        <v>491</v>
      </c>
      <c r="C165" s="217">
        <v>471</v>
      </c>
      <c r="D165" s="218">
        <v>433</v>
      </c>
    </row>
    <row r="166" spans="1:4">
      <c r="A166" s="216" t="s">
        <v>166</v>
      </c>
      <c r="B166" s="217">
        <v>444</v>
      </c>
      <c r="C166" s="217">
        <v>446</v>
      </c>
      <c r="D166" s="218">
        <v>446</v>
      </c>
    </row>
    <row r="167" spans="1:4">
      <c r="A167" s="216" t="s">
        <v>167</v>
      </c>
      <c r="B167" s="217">
        <v>78</v>
      </c>
      <c r="C167" s="217">
        <v>74</v>
      </c>
      <c r="D167" s="218">
        <v>70</v>
      </c>
    </row>
    <row r="168" spans="1:4">
      <c r="A168" s="216" t="s">
        <v>228</v>
      </c>
      <c r="B168" s="217">
        <v>8373</v>
      </c>
      <c r="C168" s="217">
        <v>7969</v>
      </c>
      <c r="D168" s="218">
        <v>7659</v>
      </c>
    </row>
    <row r="169" spans="1:4">
      <c r="A169" s="216" t="s">
        <v>229</v>
      </c>
      <c r="B169" s="217">
        <v>1344</v>
      </c>
      <c r="C169" s="217">
        <v>1385</v>
      </c>
      <c r="D169" s="218">
        <v>1451</v>
      </c>
    </row>
    <row r="170" spans="1:4">
      <c r="A170" s="216" t="s">
        <v>230</v>
      </c>
      <c r="B170" s="217">
        <v>371</v>
      </c>
      <c r="C170" s="217">
        <v>344</v>
      </c>
      <c r="D170" s="218">
        <v>321</v>
      </c>
    </row>
    <row r="171" spans="1:4">
      <c r="A171" s="216" t="s">
        <v>231</v>
      </c>
      <c r="B171" s="217">
        <v>973</v>
      </c>
      <c r="C171" s="217">
        <v>1040</v>
      </c>
      <c r="D171" s="218">
        <v>1131</v>
      </c>
    </row>
    <row r="172" spans="1:4">
      <c r="A172" s="216" t="s">
        <v>232</v>
      </c>
      <c r="B172" s="217">
        <v>7029</v>
      </c>
      <c r="C172" s="217">
        <v>6584</v>
      </c>
      <c r="D172" s="218">
        <v>6208</v>
      </c>
    </row>
    <row r="173" spans="1:4">
      <c r="A173" s="216" t="s">
        <v>233</v>
      </c>
      <c r="B173" s="217">
        <v>587</v>
      </c>
      <c r="C173" s="217">
        <v>496</v>
      </c>
      <c r="D173" s="218">
        <v>403</v>
      </c>
    </row>
    <row r="174" spans="1:4">
      <c r="A174" s="216" t="s">
        <v>234</v>
      </c>
      <c r="B174" s="217">
        <v>6442</v>
      </c>
      <c r="C174" s="217">
        <v>6088</v>
      </c>
      <c r="D174" s="218">
        <v>5805</v>
      </c>
    </row>
    <row r="175" spans="1:4">
      <c r="A175" s="216" t="s">
        <v>235</v>
      </c>
      <c r="B175" s="217">
        <v>1092</v>
      </c>
      <c r="C175" s="217">
        <v>1078</v>
      </c>
      <c r="D175" s="218">
        <v>1010</v>
      </c>
    </row>
    <row r="176" spans="1:4">
      <c r="A176" s="216" t="s">
        <v>236</v>
      </c>
      <c r="B176" s="217">
        <v>987</v>
      </c>
      <c r="C176" s="217">
        <v>1045</v>
      </c>
      <c r="D176" s="218">
        <v>974</v>
      </c>
    </row>
    <row r="177" spans="1:4">
      <c r="A177" s="216" t="s">
        <v>168</v>
      </c>
      <c r="B177" s="217">
        <v>585</v>
      </c>
      <c r="C177" s="217">
        <v>578</v>
      </c>
      <c r="D177" s="218">
        <v>563</v>
      </c>
    </row>
    <row r="178" spans="1:4">
      <c r="A178" s="216" t="s">
        <v>237</v>
      </c>
      <c r="B178" s="217" t="s">
        <v>170</v>
      </c>
      <c r="C178" s="217" t="s">
        <v>170</v>
      </c>
      <c r="D178" s="218" t="s">
        <v>170</v>
      </c>
    </row>
    <row r="179" spans="1:4">
      <c r="A179" s="216" t="s">
        <v>238</v>
      </c>
      <c r="B179" s="217" t="s">
        <v>170</v>
      </c>
      <c r="C179" s="217" t="s">
        <v>170</v>
      </c>
      <c r="D179" s="218" t="s">
        <v>170</v>
      </c>
    </row>
    <row r="180" spans="1:4">
      <c r="A180" s="216"/>
      <c r="B180" s="217"/>
      <c r="C180" s="217"/>
      <c r="D180" s="218"/>
    </row>
    <row r="181" spans="1:4">
      <c r="A181" s="1687" t="s">
        <v>239</v>
      </c>
      <c r="B181" s="1688"/>
      <c r="C181" s="1688"/>
      <c r="D181" s="1689"/>
    </row>
    <row r="182" spans="1:4">
      <c r="A182" s="216"/>
      <c r="B182" s="217"/>
      <c r="C182" s="217"/>
      <c r="D182" s="218"/>
    </row>
    <row r="183" spans="1:4">
      <c r="A183" s="1687" t="s">
        <v>177</v>
      </c>
      <c r="B183" s="1688"/>
      <c r="C183" s="1688"/>
      <c r="D183" s="1689"/>
    </row>
    <row r="184" spans="1:4">
      <c r="A184" s="216"/>
      <c r="B184" s="217"/>
      <c r="C184" s="217"/>
      <c r="D184" s="218"/>
    </row>
    <row r="185" spans="1:4">
      <c r="A185" s="236" t="s">
        <v>240</v>
      </c>
      <c r="B185" s="224"/>
      <c r="C185" s="224"/>
      <c r="D185" s="223"/>
    </row>
    <row r="188" spans="1:4">
      <c r="A188" s="1702" t="s">
        <v>371</v>
      </c>
      <c r="B188" s="1703"/>
      <c r="C188" s="1704"/>
    </row>
    <row r="189" spans="1:4">
      <c r="A189" s="235" t="s">
        <v>370</v>
      </c>
      <c r="B189" s="233" t="s">
        <v>372</v>
      </c>
      <c r="C189" s="234" t="s">
        <v>373</v>
      </c>
    </row>
    <row r="190" spans="1:4">
      <c r="A190" s="232" t="s">
        <v>377</v>
      </c>
      <c r="B190" s="242" t="s">
        <v>374</v>
      </c>
      <c r="C190" s="218">
        <v>18000</v>
      </c>
    </row>
    <row r="191" spans="1:4">
      <c r="A191" s="232" t="s">
        <v>378</v>
      </c>
      <c r="B191" s="242" t="s">
        <v>375</v>
      </c>
      <c r="C191" s="218">
        <v>60000</v>
      </c>
    </row>
    <row r="192" spans="1:4">
      <c r="A192" s="244" t="s">
        <v>378</v>
      </c>
      <c r="B192" s="243" t="s">
        <v>376</v>
      </c>
      <c r="C192" s="223">
        <v>100000</v>
      </c>
    </row>
  </sheetData>
  <mergeCells count="7">
    <mergeCell ref="A188:C188"/>
    <mergeCell ref="A133:D133"/>
    <mergeCell ref="A150:D150"/>
    <mergeCell ref="A152:D152"/>
    <mergeCell ref="A157:D157"/>
    <mergeCell ref="A181:D181"/>
    <mergeCell ref="A183:D183"/>
  </mergeCells>
  <pageMargins left="0.7" right="0.7" top="0.75" bottom="0.75" header="0.3" footer="0.3"/>
  <pageSetup paperSize="9" orientation="portrait"/>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C2:W25"/>
  <sheetViews>
    <sheetView workbookViewId="0">
      <selection activeCell="J29" sqref="J29"/>
    </sheetView>
  </sheetViews>
  <sheetFormatPr defaultRowHeight="12.75"/>
  <cols>
    <col min="3" max="3" width="18.5703125" bestFit="1" customWidth="1"/>
    <col min="7" max="7" width="7.5703125" bestFit="1" customWidth="1"/>
    <col min="8" max="8" width="12" bestFit="1" customWidth="1"/>
    <col min="9" max="9" width="12" style="1161" customWidth="1"/>
    <col min="10" max="10" width="13.28515625" style="1161" bestFit="1" customWidth="1"/>
    <col min="11" max="11" width="14.5703125" bestFit="1" customWidth="1"/>
    <col min="12" max="12" width="8.140625" bestFit="1" customWidth="1"/>
    <col min="13" max="13" width="15.42578125" bestFit="1" customWidth="1"/>
    <col min="14" max="14" width="9.7109375" bestFit="1" customWidth="1"/>
  </cols>
  <sheetData>
    <row r="2" spans="3:21">
      <c r="R2" t="s">
        <v>1112</v>
      </c>
    </row>
    <row r="3" spans="3:21">
      <c r="R3" t="s">
        <v>385</v>
      </c>
      <c r="S3" t="s">
        <v>1113</v>
      </c>
    </row>
    <row r="4" spans="3:21">
      <c r="R4" t="s">
        <v>1114</v>
      </c>
      <c r="S4" t="s">
        <v>1115</v>
      </c>
    </row>
    <row r="5" spans="3:21">
      <c r="C5" s="1164" t="s">
        <v>1101</v>
      </c>
      <c r="D5" s="1166"/>
      <c r="E5" s="1168"/>
      <c r="F5" s="1161"/>
      <c r="G5" s="1161"/>
      <c r="H5" s="1161"/>
      <c r="K5" s="1161"/>
      <c r="R5" t="s">
        <v>54</v>
      </c>
      <c r="S5" t="s">
        <v>1116</v>
      </c>
    </row>
    <row r="6" spans="3:21">
      <c r="C6" s="1163" t="s">
        <v>1102</v>
      </c>
      <c r="D6" s="1162"/>
      <c r="E6" s="1163"/>
      <c r="F6" s="1161"/>
      <c r="G6" s="1161"/>
      <c r="H6" s="1161"/>
      <c r="K6" s="1161"/>
      <c r="R6" t="s">
        <v>433</v>
      </c>
      <c r="S6" t="s">
        <v>1116</v>
      </c>
    </row>
    <row r="7" spans="3:21">
      <c r="C7" s="1162"/>
      <c r="D7" s="1162"/>
      <c r="E7" s="1162"/>
      <c r="F7" s="1161"/>
      <c r="G7" s="1161"/>
      <c r="H7" s="1161"/>
      <c r="K7" s="1161"/>
    </row>
    <row r="8" spans="3:21">
      <c r="C8" s="1162"/>
      <c r="D8" s="1167" t="s">
        <v>791</v>
      </c>
      <c r="E8" s="1167" t="s">
        <v>946</v>
      </c>
      <c r="F8" s="1167" t="s">
        <v>53</v>
      </c>
      <c r="G8" s="1167" t="s">
        <v>1103</v>
      </c>
      <c r="H8" s="1174" t="s">
        <v>1104</v>
      </c>
      <c r="I8" s="1174" t="s">
        <v>1104</v>
      </c>
      <c r="J8" s="1174" t="s">
        <v>1104</v>
      </c>
      <c r="K8" s="1174" t="s">
        <v>1501</v>
      </c>
      <c r="L8" s="1174" t="s">
        <v>1507</v>
      </c>
      <c r="M8" s="1174" t="s">
        <v>1017</v>
      </c>
      <c r="N8" t="s">
        <v>429</v>
      </c>
      <c r="O8" s="1161" t="s">
        <v>433</v>
      </c>
      <c r="P8" s="1161" t="s">
        <v>1110</v>
      </c>
      <c r="Q8" s="1161" t="s">
        <v>54</v>
      </c>
      <c r="R8" s="1161" t="s">
        <v>1111</v>
      </c>
      <c r="S8" s="1460" t="s">
        <v>1653</v>
      </c>
      <c r="T8" s="1174" t="s">
        <v>1654</v>
      </c>
    </row>
    <row r="9" spans="3:21">
      <c r="C9" s="1165" t="s">
        <v>1105</v>
      </c>
      <c r="D9" s="1162"/>
      <c r="E9" s="1162"/>
      <c r="F9" s="1161"/>
      <c r="G9" s="1161"/>
      <c r="H9" s="1161"/>
      <c r="K9" s="1161"/>
      <c r="L9" s="1161"/>
      <c r="M9" s="1161"/>
      <c r="O9" s="1161"/>
      <c r="P9" s="1161"/>
      <c r="Q9" s="1161"/>
      <c r="R9" s="1161"/>
      <c r="S9" s="694"/>
      <c r="T9" s="1161"/>
    </row>
    <row r="10" spans="3:21">
      <c r="C10" s="1169" t="s">
        <v>4</v>
      </c>
      <c r="D10" s="1170" t="str">
        <f>Commodities!D36</f>
        <v>TRADSL</v>
      </c>
      <c r="E10" s="1170" t="str">
        <f>Commodities!D38</f>
        <v>TRAGSL</v>
      </c>
      <c r="F10" s="1170" t="str">
        <f>Commodities!D39</f>
        <v>TRALPG</v>
      </c>
      <c r="G10" s="1170" t="str">
        <f>Commodities!D41</f>
        <v>TRANGA</v>
      </c>
      <c r="H10" s="1170" t="str">
        <f>Commodities!D60</f>
        <v>TRAHFO</v>
      </c>
      <c r="I10" s="1170" t="s">
        <v>1499</v>
      </c>
      <c r="J10" s="1355" t="s">
        <v>1502</v>
      </c>
      <c r="K10" s="1355" t="s">
        <v>1505</v>
      </c>
      <c r="L10" s="1170" t="str">
        <f>Commodities!D57</f>
        <v>TRAKER</v>
      </c>
      <c r="M10" s="1655" t="s">
        <v>1912</v>
      </c>
      <c r="N10" s="1655" t="s">
        <v>1913</v>
      </c>
      <c r="O10" s="1170" t="str">
        <f>Commodities!D53</f>
        <v>TRAAGSL</v>
      </c>
      <c r="P10" s="1170" t="str">
        <f>Commodities!D51</f>
        <v>TRAGSB</v>
      </c>
      <c r="Q10" s="1170" t="str">
        <f>Commodities!D43</f>
        <v>TRASNG</v>
      </c>
      <c r="R10" s="1170" t="str">
        <f>Commodities!D49</f>
        <v>TRADSB</v>
      </c>
      <c r="S10" s="1170" t="str">
        <f>Commodities!D63</f>
        <v>TRAKRB</v>
      </c>
      <c r="T10" s="1461" t="s">
        <v>1651</v>
      </c>
      <c r="U10" s="1458" t="s">
        <v>1655</v>
      </c>
    </row>
    <row r="11" spans="3:21" ht="13.5" thickBot="1">
      <c r="C11" s="1171" t="s">
        <v>1106</v>
      </c>
      <c r="D11" s="1172" t="s">
        <v>1107</v>
      </c>
      <c r="E11" s="1172" t="s">
        <v>1107</v>
      </c>
      <c r="F11" s="1172" t="s">
        <v>1107</v>
      </c>
      <c r="G11" s="1172" t="s">
        <v>1107</v>
      </c>
      <c r="H11" s="1172" t="s">
        <v>1107</v>
      </c>
      <c r="I11" s="1172" t="s">
        <v>1107</v>
      </c>
      <c r="J11" s="1172" t="s">
        <v>1107</v>
      </c>
      <c r="K11" s="1172" t="s">
        <v>1107</v>
      </c>
      <c r="L11" s="1172" t="s">
        <v>1107</v>
      </c>
      <c r="M11" s="1656"/>
      <c r="N11" s="1656"/>
      <c r="O11" s="1172" t="s">
        <v>1107</v>
      </c>
      <c r="P11" s="1172" t="s">
        <v>1107</v>
      </c>
      <c r="Q11" s="1172" t="s">
        <v>1107</v>
      </c>
      <c r="R11" s="1172" t="s">
        <v>1107</v>
      </c>
      <c r="S11" s="1172" t="s">
        <v>1107</v>
      </c>
      <c r="T11" s="1462" t="s">
        <v>1107</v>
      </c>
      <c r="U11" s="1459" t="s">
        <v>1107</v>
      </c>
    </row>
    <row r="12" spans="3:21">
      <c r="C12" s="1173" t="str">
        <f>Commodities!D124</f>
        <v>TRACO2</v>
      </c>
      <c r="D12" s="1173">
        <v>74.099999999999994</v>
      </c>
      <c r="E12" s="1173">
        <v>69.3</v>
      </c>
      <c r="F12" s="1173">
        <v>63.1</v>
      </c>
      <c r="G12" s="1173">
        <v>56.1</v>
      </c>
      <c r="H12" s="1173"/>
      <c r="I12" s="1173"/>
      <c r="J12" s="1173"/>
      <c r="K12" s="1173"/>
      <c r="L12" s="1173"/>
      <c r="M12" s="1173"/>
      <c r="N12" s="1173"/>
      <c r="O12" s="1173"/>
      <c r="P12" s="1173"/>
      <c r="Q12" s="1173"/>
      <c r="R12" s="1173"/>
      <c r="S12" s="1173"/>
      <c r="T12" s="1463"/>
      <c r="U12" s="1173">
        <v>56.1</v>
      </c>
    </row>
    <row r="13" spans="3:21">
      <c r="C13" s="1173" t="str">
        <f>Commodities!D125</f>
        <v>TRACO2A</v>
      </c>
      <c r="D13" s="1173"/>
      <c r="E13" s="1173"/>
      <c r="F13" s="1173"/>
      <c r="G13" s="1173"/>
      <c r="H13" s="1173"/>
      <c r="I13" s="1173"/>
      <c r="J13" s="1173"/>
      <c r="K13" s="1173"/>
      <c r="L13" s="1173">
        <v>71.900000000000006</v>
      </c>
      <c r="M13" s="1173"/>
      <c r="N13" s="1173"/>
      <c r="O13" s="1173">
        <f>E12</f>
        <v>69.3</v>
      </c>
      <c r="P13" s="1173"/>
      <c r="Q13" s="1173"/>
      <c r="R13" s="1173"/>
      <c r="S13" s="1173"/>
      <c r="T13" s="1463"/>
      <c r="U13" s="1173"/>
    </row>
    <row r="14" spans="3:21">
      <c r="C14" s="1173" t="str">
        <f>Commodities!D126</f>
        <v>TRACO2N</v>
      </c>
      <c r="D14" s="1173"/>
      <c r="E14" s="1173"/>
      <c r="F14" s="1173"/>
      <c r="G14" s="1173"/>
      <c r="H14" s="1173">
        <v>77.400000000000006</v>
      </c>
      <c r="I14" s="1173">
        <v>77.400000000000006</v>
      </c>
      <c r="J14" s="1173">
        <f>D12</f>
        <v>74.099999999999994</v>
      </c>
      <c r="K14" s="1173">
        <f>G12</f>
        <v>56.1</v>
      </c>
      <c r="L14" s="1173"/>
      <c r="M14" s="1173"/>
      <c r="N14" s="1173"/>
      <c r="O14" s="1173"/>
      <c r="P14" s="1173"/>
      <c r="Q14" s="1173"/>
      <c r="R14" s="1173"/>
      <c r="S14" s="1173"/>
      <c r="T14" s="1463">
        <v>74.099999999999994</v>
      </c>
      <c r="U14" s="1173">
        <v>56.1</v>
      </c>
    </row>
    <row r="15" spans="3:21" s="1161" customFormat="1">
      <c r="C15" s="1173" t="str">
        <f>Commodities!D127</f>
        <v>TRACO2AN</v>
      </c>
      <c r="D15" s="1173"/>
      <c r="E15" s="1173"/>
      <c r="F15" s="1173"/>
      <c r="G15" s="1173"/>
      <c r="H15" s="1173"/>
      <c r="I15" s="1173"/>
      <c r="J15" s="1173"/>
      <c r="K15" s="1173"/>
      <c r="L15" s="1173"/>
      <c r="M15" s="1173"/>
      <c r="N15" s="1173">
        <f>L13</f>
        <v>71.900000000000006</v>
      </c>
      <c r="O15" s="1173">
        <f>O13</f>
        <v>69.3</v>
      </c>
      <c r="P15" s="1173"/>
      <c r="Q15" s="1173"/>
      <c r="R15" s="1173"/>
      <c r="S15" s="1173"/>
      <c r="T15" s="1463"/>
      <c r="U15" s="1173"/>
    </row>
    <row r="16" spans="3:21" s="1161" customFormat="1">
      <c r="C16" s="1173" t="str">
        <f>Commodities!D128</f>
        <v>TRACO2NN</v>
      </c>
      <c r="D16" s="1173"/>
      <c r="E16" s="1173"/>
      <c r="F16" s="1173"/>
      <c r="G16" s="1173"/>
      <c r="H16" s="1173">
        <f>H14*0.5</f>
        <v>38.700000000000003</v>
      </c>
      <c r="I16" s="1173">
        <f>I14*0.5</f>
        <v>38.700000000000003</v>
      </c>
      <c r="J16" s="1173">
        <f>J14*0.5</f>
        <v>37.049999999999997</v>
      </c>
      <c r="K16" s="1173">
        <f>K14*0.5</f>
        <v>28.05</v>
      </c>
      <c r="L16" s="1173"/>
      <c r="M16" s="1173"/>
      <c r="N16" s="1173"/>
      <c r="O16" s="1173"/>
      <c r="P16" s="1173"/>
      <c r="Q16" s="1173"/>
      <c r="R16" s="1173"/>
      <c r="S16" s="1173"/>
      <c r="T16" s="1173">
        <f>T14*0.5</f>
        <v>37.049999999999997</v>
      </c>
      <c r="U16" s="1173">
        <f>U14*0.5</f>
        <v>28.05</v>
      </c>
    </row>
    <row r="17" spans="3:23" s="1161" customFormat="1">
      <c r="C17" s="1173" t="str">
        <f>Commodities!D129</f>
        <v>TRACO2AI</v>
      </c>
      <c r="D17" s="1173"/>
      <c r="E17" s="1173"/>
      <c r="F17" s="1173"/>
      <c r="G17" s="1173"/>
      <c r="H17" s="1173"/>
      <c r="I17" s="1173"/>
      <c r="J17" s="1173"/>
      <c r="K17" s="1173"/>
      <c r="L17" s="1173"/>
      <c r="M17" s="1173">
        <f>L13</f>
        <v>71.900000000000006</v>
      </c>
      <c r="N17" s="1173"/>
      <c r="O17" s="1173"/>
      <c r="P17" s="1173"/>
      <c r="Q17" s="1173"/>
      <c r="R17" s="1173"/>
      <c r="S17" s="1173"/>
      <c r="T17" s="1173"/>
      <c r="U17" s="1173"/>
    </row>
    <row r="18" spans="3:23" s="1161" customFormat="1">
      <c r="C18" s="1173" t="str">
        <f>Commodities!D130</f>
        <v>TRACO2NI</v>
      </c>
      <c r="D18" s="1173"/>
      <c r="E18" s="1173"/>
      <c r="F18" s="1173"/>
      <c r="G18" s="1173"/>
      <c r="H18" s="1173">
        <f>H14-H16</f>
        <v>38.700000000000003</v>
      </c>
      <c r="I18" s="1173">
        <f>I14-I16</f>
        <v>38.700000000000003</v>
      </c>
      <c r="J18" s="1173">
        <f>J14-J16</f>
        <v>37.049999999999997</v>
      </c>
      <c r="K18" s="1173">
        <f>K14-K16</f>
        <v>28.05</v>
      </c>
      <c r="L18" s="1173"/>
      <c r="M18" s="1173"/>
      <c r="N18" s="1173"/>
      <c r="O18" s="1173"/>
      <c r="P18" s="1173"/>
      <c r="Q18" s="1173"/>
      <c r="R18" s="1173"/>
      <c r="S18" s="1173"/>
      <c r="T18" s="1173">
        <f>T14-T16</f>
        <v>37.049999999999997</v>
      </c>
      <c r="U18" s="1173">
        <f>U14-U16</f>
        <v>28.05</v>
      </c>
    </row>
    <row r="19" spans="3:23">
      <c r="C19" s="1173" t="s">
        <v>1109</v>
      </c>
      <c r="D19" s="1173"/>
      <c r="E19" s="1173"/>
      <c r="F19" s="1173"/>
      <c r="G19" s="1173"/>
      <c r="H19" s="1173"/>
      <c r="I19" s="1173"/>
      <c r="J19" s="1173"/>
      <c r="K19" s="1173"/>
      <c r="L19" s="1173"/>
      <c r="M19" s="1173"/>
      <c r="N19" s="1173"/>
      <c r="O19" s="1173"/>
      <c r="P19" s="1173"/>
      <c r="Q19" s="1173"/>
      <c r="R19" s="1173"/>
      <c r="S19" s="1173"/>
      <c r="T19" s="1173"/>
    </row>
    <row r="20" spans="3:23">
      <c r="C20" s="682" t="s">
        <v>1603</v>
      </c>
      <c r="L20">
        <f>L13*1.5</f>
        <v>107.85000000000001</v>
      </c>
      <c r="M20" s="1161"/>
      <c r="N20" s="1161"/>
      <c r="S20" s="1161">
        <f>L13*1.5</f>
        <v>107.85000000000001</v>
      </c>
      <c r="W20" s="682" t="s">
        <v>1606</v>
      </c>
    </row>
    <row r="21" spans="3:23">
      <c r="U21" s="919" t="s">
        <v>1604</v>
      </c>
    </row>
    <row r="25" spans="3:23">
      <c r="C25" s="581"/>
    </row>
  </sheetData>
  <hyperlinks>
    <hyperlink ref="U21" r:id="rId1" xr:uid="{00000000-0004-0000-1C00-000000000000}"/>
  </hyperlinks>
  <pageMargins left="0.7" right="0.7"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G192"/>
  <sheetViews>
    <sheetView topLeftCell="K1" workbookViewId="0">
      <selection activeCell="AI25" sqref="AI25"/>
    </sheetView>
  </sheetViews>
  <sheetFormatPr defaultColWidth="27.42578125" defaultRowHeight="12.75"/>
  <cols>
    <col min="1" max="1" width="49" style="1161" customWidth="1"/>
    <col min="2" max="2" width="14.5703125" style="1161" bestFit="1" customWidth="1"/>
    <col min="3" max="3" width="10.7109375" style="1161" bestFit="1" customWidth="1"/>
    <col min="4" max="4" width="7.140625" style="1161" bestFit="1" customWidth="1"/>
    <col min="5" max="5" width="5.5703125" style="1161" customWidth="1"/>
    <col min="6" max="6" width="9.28515625" style="1161" bestFit="1" customWidth="1"/>
    <col min="7" max="7" width="9.28515625" style="1161" customWidth="1"/>
    <col min="8" max="8" width="11.28515625" style="1161" bestFit="1" customWidth="1"/>
    <col min="9" max="9" width="11.28515625" style="1161" customWidth="1"/>
    <col min="10" max="10" width="10.140625" style="1161" bestFit="1" customWidth="1"/>
    <col min="11" max="12" width="9.140625" style="1161" customWidth="1"/>
    <col min="13" max="13" width="0" style="1161" hidden="1" customWidth="1"/>
    <col min="14" max="14" width="14.85546875" style="1161" customWidth="1"/>
    <col min="15" max="15" width="16.85546875" style="1161" customWidth="1"/>
    <col min="16" max="16" width="9.140625" style="1161" customWidth="1"/>
    <col min="17" max="17" width="11.5703125" style="1161" bestFit="1" customWidth="1"/>
    <col min="18" max="18" width="9.140625" style="1161" customWidth="1"/>
    <col min="19" max="19" width="11.5703125" style="1161" bestFit="1" customWidth="1"/>
    <col min="20" max="20" width="9.140625" style="1161" customWidth="1"/>
    <col min="21" max="21" width="13.42578125" style="1161" bestFit="1" customWidth="1"/>
    <col min="22" max="22" width="9.140625" style="1161" customWidth="1"/>
    <col min="23" max="23" width="12.42578125" style="1161" bestFit="1" customWidth="1"/>
    <col min="24" max="25" width="9.140625" style="1161" customWidth="1"/>
    <col min="26" max="26" width="13.85546875" style="1161" bestFit="1" customWidth="1"/>
    <col min="27" max="27" width="9.140625" style="1161" customWidth="1"/>
    <col min="28" max="28" width="10.140625" style="1161" bestFit="1" customWidth="1"/>
    <col min="29" max="29" width="9.140625" style="1161" customWidth="1"/>
    <col min="30" max="30" width="10.140625" style="1161" bestFit="1" customWidth="1"/>
    <col min="31" max="31" width="9.140625" style="1161" customWidth="1"/>
    <col min="32" max="32" width="10.140625" style="1161" bestFit="1" customWidth="1"/>
    <col min="33" max="255" width="9.140625" style="1161" customWidth="1"/>
    <col min="256" max="16384" width="27.42578125" style="1161"/>
  </cols>
  <sheetData>
    <row r="1" spans="1:32" ht="13.5" thickBot="1">
      <c r="A1" s="1161" t="s">
        <v>609</v>
      </c>
    </row>
    <row r="2" spans="1:32">
      <c r="A2" s="54" t="s">
        <v>414</v>
      </c>
      <c r="B2" s="660"/>
      <c r="C2" s="660"/>
      <c r="D2" s="56"/>
      <c r="E2" s="56"/>
      <c r="F2" s="56"/>
      <c r="G2" s="56"/>
      <c r="H2" s="56"/>
      <c r="I2" s="56"/>
      <c r="J2" s="57"/>
    </row>
    <row r="3" spans="1:32" ht="13.5" thickBot="1">
      <c r="A3" s="58"/>
      <c r="B3" s="714"/>
      <c r="C3" s="714"/>
      <c r="D3" s="717"/>
      <c r="E3" s="717"/>
      <c r="F3" s="717"/>
      <c r="G3" s="717"/>
      <c r="H3" s="717"/>
      <c r="I3" s="717"/>
      <c r="J3" s="60"/>
    </row>
    <row r="4" spans="1:32" ht="14.25" thickTop="1" thickBot="1">
      <c r="A4" s="1210" t="s">
        <v>86</v>
      </c>
      <c r="B4" s="1211" t="s">
        <v>87</v>
      </c>
      <c r="C4" s="1211" t="s">
        <v>88</v>
      </c>
      <c r="D4" s="1212" t="s">
        <v>89</v>
      </c>
      <c r="E4" s="1212" t="s">
        <v>90</v>
      </c>
      <c r="F4" s="1212" t="s">
        <v>91</v>
      </c>
      <c r="G4" s="1212" t="s">
        <v>90</v>
      </c>
      <c r="H4" s="1212" t="s">
        <v>92</v>
      </c>
      <c r="I4" s="1213" t="s">
        <v>90</v>
      </c>
      <c r="J4" s="1214" t="s">
        <v>93</v>
      </c>
      <c r="K4" s="66" t="s">
        <v>90</v>
      </c>
      <c r="N4" s="67"/>
      <c r="O4" s="68"/>
      <c r="P4" s="68"/>
      <c r="Q4" s="69" t="s">
        <v>89</v>
      </c>
      <c r="R4" s="69" t="s">
        <v>90</v>
      </c>
      <c r="S4" s="69" t="s">
        <v>91</v>
      </c>
      <c r="T4" s="69" t="s">
        <v>90</v>
      </c>
      <c r="U4" s="69" t="s">
        <v>92</v>
      </c>
      <c r="V4" s="70" t="s">
        <v>90</v>
      </c>
      <c r="W4" s="71" t="s">
        <v>93</v>
      </c>
      <c r="X4" s="72" t="s">
        <v>90</v>
      </c>
      <c r="AB4" s="447" t="s">
        <v>606</v>
      </c>
      <c r="AC4" s="23"/>
      <c r="AD4" s="23"/>
    </row>
    <row r="5" spans="1:32">
      <c r="A5" s="1215" t="s">
        <v>405</v>
      </c>
      <c r="B5" s="1216" t="s">
        <v>95</v>
      </c>
      <c r="C5" s="1188" t="s">
        <v>419</v>
      </c>
      <c r="D5" s="1217"/>
      <c r="E5" s="1218">
        <f>D5/$L$24</f>
        <v>0</v>
      </c>
      <c r="F5" s="1219"/>
      <c r="G5" s="1218">
        <f>F5/$L$24</f>
        <v>0</v>
      </c>
      <c r="H5" s="1219"/>
      <c r="I5" s="1218">
        <f>H5/$L$24</f>
        <v>0</v>
      </c>
      <c r="J5" s="1219"/>
      <c r="K5" s="1220">
        <f>J5/$L$24</f>
        <v>0</v>
      </c>
      <c r="N5" s="79" t="s">
        <v>405</v>
      </c>
      <c r="O5" s="80" t="s">
        <v>95</v>
      </c>
      <c r="P5" s="1221" t="s">
        <v>419</v>
      </c>
      <c r="Q5" s="82">
        <f t="shared" ref="Q5:X8" si="0">D5+D9+D17</f>
        <v>0</v>
      </c>
      <c r="R5" s="83">
        <f t="shared" si="0"/>
        <v>0</v>
      </c>
      <c r="S5" s="82">
        <f t="shared" si="0"/>
        <v>0</v>
      </c>
      <c r="T5" s="83">
        <f t="shared" si="0"/>
        <v>0</v>
      </c>
      <c r="U5" s="82">
        <f t="shared" si="0"/>
        <v>0</v>
      </c>
      <c r="V5" s="83">
        <f t="shared" si="0"/>
        <v>0</v>
      </c>
      <c r="W5" s="82">
        <f t="shared" si="0"/>
        <v>0</v>
      </c>
      <c r="X5" s="84">
        <f t="shared" si="0"/>
        <v>0</v>
      </c>
      <c r="AB5" s="229"/>
      <c r="AC5" s="227" t="s">
        <v>116</v>
      </c>
      <c r="AD5" s="228" t="s">
        <v>117</v>
      </c>
      <c r="AE5" s="227" t="s">
        <v>120</v>
      </c>
    </row>
    <row r="6" spans="1:32">
      <c r="A6" s="1222" t="s">
        <v>405</v>
      </c>
      <c r="B6" s="1223" t="s">
        <v>96</v>
      </c>
      <c r="C6" s="1224" t="s">
        <v>419</v>
      </c>
      <c r="D6" s="88">
        <v>0.50065246901044158</v>
      </c>
      <c r="E6" s="89">
        <f t="shared" ref="E6:E23" si="1">D6/$L$24</f>
        <v>2.4524425178628203E-3</v>
      </c>
      <c r="F6" s="90"/>
      <c r="G6" s="89">
        <f t="shared" ref="G6:G24" si="2">F6/$L$24</f>
        <v>0</v>
      </c>
      <c r="H6" s="90"/>
      <c r="I6" s="89">
        <f t="shared" ref="I6:I24" si="3">H6/$L$24</f>
        <v>0</v>
      </c>
      <c r="J6" s="90"/>
      <c r="K6" s="91">
        <f t="shared" ref="K6:K24" si="4">J6/$L$24</f>
        <v>0</v>
      </c>
      <c r="N6" s="1225" t="s">
        <v>405</v>
      </c>
      <c r="O6" s="1223" t="s">
        <v>96</v>
      </c>
      <c r="P6" s="1226" t="s">
        <v>419</v>
      </c>
      <c r="Q6" s="94">
        <f t="shared" si="0"/>
        <v>0.50065246901044158</v>
      </c>
      <c r="R6" s="95">
        <f t="shared" si="0"/>
        <v>2.4524425178628203E-3</v>
      </c>
      <c r="S6" s="94">
        <f t="shared" si="0"/>
        <v>0</v>
      </c>
      <c r="T6" s="95">
        <f t="shared" si="0"/>
        <v>0</v>
      </c>
      <c r="U6" s="94">
        <f t="shared" si="0"/>
        <v>0</v>
      </c>
      <c r="V6" s="95">
        <f t="shared" si="0"/>
        <v>0</v>
      </c>
      <c r="W6" s="94">
        <f t="shared" si="0"/>
        <v>0</v>
      </c>
      <c r="X6" s="96">
        <f t="shared" si="0"/>
        <v>0</v>
      </c>
      <c r="AB6" s="269" t="s">
        <v>403</v>
      </c>
      <c r="AC6" s="227"/>
      <c r="AD6" s="228"/>
      <c r="AE6" s="225"/>
    </row>
    <row r="7" spans="1:32">
      <c r="A7" s="1222" t="s">
        <v>405</v>
      </c>
      <c r="B7" s="1223" t="s">
        <v>97</v>
      </c>
      <c r="C7" s="1224" t="s">
        <v>419</v>
      </c>
      <c r="D7" s="88"/>
      <c r="E7" s="89">
        <f t="shared" si="1"/>
        <v>0</v>
      </c>
      <c r="F7" s="97"/>
      <c r="G7" s="89">
        <f t="shared" si="2"/>
        <v>0</v>
      </c>
      <c r="H7" s="97"/>
      <c r="I7" s="89">
        <f t="shared" si="3"/>
        <v>0</v>
      </c>
      <c r="J7" s="97"/>
      <c r="K7" s="91">
        <f t="shared" si="4"/>
        <v>0</v>
      </c>
      <c r="N7" s="1225" t="s">
        <v>405</v>
      </c>
      <c r="O7" s="1223" t="s">
        <v>97</v>
      </c>
      <c r="P7" s="1226" t="s">
        <v>419</v>
      </c>
      <c r="Q7" s="94">
        <f t="shared" si="0"/>
        <v>0</v>
      </c>
      <c r="R7" s="95">
        <f t="shared" si="0"/>
        <v>0</v>
      </c>
      <c r="S7" s="94">
        <f t="shared" si="0"/>
        <v>0</v>
      </c>
      <c r="T7" s="95">
        <f t="shared" si="0"/>
        <v>0</v>
      </c>
      <c r="U7" s="94">
        <f t="shared" si="0"/>
        <v>0</v>
      </c>
      <c r="V7" s="95">
        <f t="shared" si="0"/>
        <v>0</v>
      </c>
      <c r="W7" s="94">
        <f t="shared" si="0"/>
        <v>0</v>
      </c>
      <c r="X7" s="96">
        <f t="shared" si="0"/>
        <v>0</v>
      </c>
      <c r="AB7" s="229" t="s">
        <v>401</v>
      </c>
      <c r="AC7" s="265">
        <f>TransData!Q13+TransData!U13</f>
        <v>114.38030021815342</v>
      </c>
      <c r="AD7" s="266">
        <f>TransData!S13+TransData!W13</f>
        <v>221.66873833792764</v>
      </c>
      <c r="AE7" s="448">
        <f>AC7+AD7</f>
        <v>336.04903855608109</v>
      </c>
      <c r="AF7" s="679"/>
    </row>
    <row r="8" spans="1:32">
      <c r="A8" s="1222" t="s">
        <v>405</v>
      </c>
      <c r="B8" s="1223" t="s">
        <v>98</v>
      </c>
      <c r="C8" s="1224" t="s">
        <v>419</v>
      </c>
      <c r="D8" s="88">
        <v>30.709202327521751</v>
      </c>
      <c r="E8" s="89">
        <f t="shared" si="1"/>
        <v>0.15042880668605174</v>
      </c>
      <c r="F8" s="97">
        <v>18.39140605862703</v>
      </c>
      <c r="G8" s="89">
        <f>F8/$L$24</f>
        <v>9.0090170274414683E-2</v>
      </c>
      <c r="H8" s="90"/>
      <c r="I8" s="89">
        <f t="shared" si="3"/>
        <v>0</v>
      </c>
      <c r="J8" s="97">
        <v>35.214014705040434</v>
      </c>
      <c r="K8" s="91">
        <f t="shared" si="4"/>
        <v>0.17249559771068781</v>
      </c>
      <c r="N8" s="1225" t="s">
        <v>405</v>
      </c>
      <c r="O8" s="1223" t="s">
        <v>98</v>
      </c>
      <c r="P8" s="1226" t="s">
        <v>419</v>
      </c>
      <c r="Q8" s="94">
        <f t="shared" si="0"/>
        <v>30.709202327521751</v>
      </c>
      <c r="R8" s="95">
        <f t="shared" si="0"/>
        <v>0.15042880668605174</v>
      </c>
      <c r="S8" s="94">
        <f t="shared" si="0"/>
        <v>29.237707489942036</v>
      </c>
      <c r="T8" s="95">
        <f t="shared" si="0"/>
        <v>0.14322069980978089</v>
      </c>
      <c r="U8" s="94">
        <f t="shared" si="0"/>
        <v>3.1486607295803064</v>
      </c>
      <c r="V8" s="95">
        <f t="shared" si="0"/>
        <v>1.5423691933069571E-2</v>
      </c>
      <c r="W8" s="94">
        <f t="shared" si="0"/>
        <v>62.894385683875697</v>
      </c>
      <c r="X8" s="96">
        <f t="shared" si="0"/>
        <v>0.30808769582395185</v>
      </c>
      <c r="AB8" s="229" t="s">
        <v>109</v>
      </c>
      <c r="AC8" s="265">
        <f>TransData!Q14+TransData!U14</f>
        <v>2054.5282000579514</v>
      </c>
      <c r="AD8" s="266">
        <f>TransData!S14+TransData!W14</f>
        <v>2963.4891675493518</v>
      </c>
      <c r="AE8" s="448">
        <f>AC8+AD8</f>
        <v>5018.0173676073027</v>
      </c>
    </row>
    <row r="9" spans="1:32">
      <c r="A9" s="1222" t="s">
        <v>416</v>
      </c>
      <c r="B9" s="1227" t="s">
        <v>95</v>
      </c>
      <c r="C9" s="714" t="s">
        <v>419</v>
      </c>
      <c r="D9" s="88"/>
      <c r="E9" s="89">
        <f t="shared" si="1"/>
        <v>0</v>
      </c>
      <c r="F9" s="97"/>
      <c r="G9" s="89">
        <f t="shared" si="2"/>
        <v>0</v>
      </c>
      <c r="H9" s="90"/>
      <c r="I9" s="89">
        <f t="shared" si="3"/>
        <v>0</v>
      </c>
      <c r="J9" s="97"/>
      <c r="K9" s="91">
        <f t="shared" si="4"/>
        <v>0</v>
      </c>
      <c r="N9" s="1225" t="s">
        <v>406</v>
      </c>
      <c r="O9" s="1227" t="s">
        <v>95</v>
      </c>
      <c r="P9" s="99" t="s">
        <v>419</v>
      </c>
      <c r="Q9" s="94">
        <f t="shared" ref="Q9:X12" si="5">D13+D21</f>
        <v>0.40128855725511281</v>
      </c>
      <c r="R9" s="95">
        <f t="shared" si="5"/>
        <v>1.9657091109316835E-3</v>
      </c>
      <c r="S9" s="94">
        <f t="shared" si="5"/>
        <v>0.66620842308378525</v>
      </c>
      <c r="T9" s="95">
        <f t="shared" si="5"/>
        <v>3.2634171679176158E-3</v>
      </c>
      <c r="U9" s="94">
        <f t="shared" si="5"/>
        <v>0.6091470200979483</v>
      </c>
      <c r="V9" s="95">
        <f t="shared" si="5"/>
        <v>2.9839022958787998E-3</v>
      </c>
      <c r="W9" s="94">
        <f t="shared" si="5"/>
        <v>0.57146012868700657</v>
      </c>
      <c r="X9" s="96">
        <f t="shared" si="5"/>
        <v>2.7992933294135906E-3</v>
      </c>
      <c r="AB9" s="229" t="s">
        <v>402</v>
      </c>
      <c r="AC9" s="265">
        <f>TransData!Q15+TransData!U15</f>
        <v>2609.5722170175313</v>
      </c>
      <c r="AD9" s="266">
        <f>TransData!S15+TransData!W15</f>
        <v>3206.2096485715656</v>
      </c>
      <c r="AE9" s="448">
        <f>AC9+AD9</f>
        <v>5815.7818655890969</v>
      </c>
    </row>
    <row r="10" spans="1:32">
      <c r="A10" s="1222" t="s">
        <v>416</v>
      </c>
      <c r="B10" s="1223" t="s">
        <v>96</v>
      </c>
      <c r="C10" s="1224" t="s">
        <v>419</v>
      </c>
      <c r="D10" s="88"/>
      <c r="E10" s="89">
        <f t="shared" si="1"/>
        <v>0</v>
      </c>
      <c r="F10" s="97"/>
      <c r="G10" s="89">
        <f t="shared" si="2"/>
        <v>0</v>
      </c>
      <c r="H10" s="97"/>
      <c r="I10" s="89">
        <f t="shared" si="3"/>
        <v>0</v>
      </c>
      <c r="J10" s="97"/>
      <c r="K10" s="91">
        <f t="shared" si="4"/>
        <v>0</v>
      </c>
      <c r="N10" s="1225" t="s">
        <v>406</v>
      </c>
      <c r="O10" s="1223" t="s">
        <v>96</v>
      </c>
      <c r="P10" s="1226" t="s">
        <v>419</v>
      </c>
      <c r="Q10" s="94">
        <f t="shared" si="5"/>
        <v>0.35925645836604381</v>
      </c>
      <c r="R10" s="95">
        <f t="shared" si="5"/>
        <v>1.7598151768933445E-3</v>
      </c>
      <c r="S10" s="94">
        <f t="shared" si="5"/>
        <v>0.27018246833685089</v>
      </c>
      <c r="T10" s="95">
        <f t="shared" si="5"/>
        <v>1.3234868775142282E-3</v>
      </c>
      <c r="U10" s="94">
        <f t="shared" si="5"/>
        <v>0.68232881301176673</v>
      </c>
      <c r="V10" s="95">
        <f t="shared" si="5"/>
        <v>3.3423827820132589E-3</v>
      </c>
      <c r="W10" s="94">
        <f t="shared" si="5"/>
        <v>2.5183057602805246</v>
      </c>
      <c r="X10" s="96">
        <f t="shared" si="5"/>
        <v>1.2335902650590955E-2</v>
      </c>
      <c r="AB10" s="229" t="s">
        <v>111</v>
      </c>
      <c r="AC10" s="265">
        <f>TransData!Q16+TransData!U16</f>
        <v>4130.8025589280851</v>
      </c>
      <c r="AD10" s="266">
        <f>TransData!S16+TransData!W16</f>
        <v>6109.5133535061013</v>
      </c>
      <c r="AE10" s="448">
        <f>AC10+AD10</f>
        <v>10240.315912434187</v>
      </c>
    </row>
    <row r="11" spans="1:32">
      <c r="A11" s="1222" t="s">
        <v>416</v>
      </c>
      <c r="B11" s="1223" t="s">
        <v>97</v>
      </c>
      <c r="C11" s="1224" t="s">
        <v>419</v>
      </c>
      <c r="D11" s="88"/>
      <c r="E11" s="89">
        <f t="shared" si="1"/>
        <v>0</v>
      </c>
      <c r="F11" s="97"/>
      <c r="G11" s="89">
        <f t="shared" si="2"/>
        <v>0</v>
      </c>
      <c r="H11" s="97"/>
      <c r="I11" s="89">
        <f t="shared" si="3"/>
        <v>0</v>
      </c>
      <c r="J11" s="97"/>
      <c r="K11" s="91">
        <f t="shared" si="4"/>
        <v>0</v>
      </c>
      <c r="N11" s="1225" t="s">
        <v>406</v>
      </c>
      <c r="O11" s="1223" t="s">
        <v>97</v>
      </c>
      <c r="P11" s="1226" t="s">
        <v>419</v>
      </c>
      <c r="Q11" s="94">
        <f t="shared" si="5"/>
        <v>0</v>
      </c>
      <c r="R11" s="95">
        <f t="shared" si="5"/>
        <v>0</v>
      </c>
      <c r="S11" s="94">
        <f t="shared" si="5"/>
        <v>0</v>
      </c>
      <c r="T11" s="95">
        <f t="shared" si="5"/>
        <v>0</v>
      </c>
      <c r="U11" s="94">
        <f t="shared" si="5"/>
        <v>0</v>
      </c>
      <c r="V11" s="95">
        <f t="shared" si="5"/>
        <v>0</v>
      </c>
      <c r="W11" s="94">
        <f t="shared" si="5"/>
        <v>0</v>
      </c>
      <c r="X11" s="96">
        <f t="shared" si="5"/>
        <v>0</v>
      </c>
      <c r="AB11" s="269" t="s">
        <v>404</v>
      </c>
      <c r="AC11" s="227"/>
      <c r="AD11" s="228"/>
      <c r="AE11" s="225"/>
    </row>
    <row r="12" spans="1:32" ht="13.5" thickBot="1">
      <c r="A12" s="1222" t="s">
        <v>416</v>
      </c>
      <c r="B12" s="1223" t="s">
        <v>98</v>
      </c>
      <c r="C12" s="1224" t="s">
        <v>419</v>
      </c>
      <c r="D12" s="100"/>
      <c r="E12" s="89">
        <f t="shared" si="1"/>
        <v>0</v>
      </c>
      <c r="F12" s="97">
        <v>10.846301431315005</v>
      </c>
      <c r="G12" s="89">
        <f t="shared" si="2"/>
        <v>5.3130529535366205E-2</v>
      </c>
      <c r="H12" s="97">
        <v>3.1486607295803064</v>
      </c>
      <c r="I12" s="89">
        <f t="shared" si="3"/>
        <v>1.5423691933069571E-2</v>
      </c>
      <c r="J12" s="97">
        <v>27.68037097883526</v>
      </c>
      <c r="K12" s="91">
        <f t="shared" si="4"/>
        <v>0.13559209811326403</v>
      </c>
      <c r="N12" s="1225" t="s">
        <v>406</v>
      </c>
      <c r="O12" s="1228" t="s">
        <v>98</v>
      </c>
      <c r="P12" s="1229" t="s">
        <v>419</v>
      </c>
      <c r="Q12" s="94">
        <f t="shared" si="5"/>
        <v>30.450697301123597</v>
      </c>
      <c r="R12" s="95">
        <f t="shared" si="5"/>
        <v>0.14916252167386923</v>
      </c>
      <c r="S12" s="103">
        <f t="shared" si="5"/>
        <v>0</v>
      </c>
      <c r="T12" s="104">
        <f t="shared" si="5"/>
        <v>0</v>
      </c>
      <c r="U12" s="103">
        <f t="shared" si="5"/>
        <v>30.521442180387382</v>
      </c>
      <c r="V12" s="104">
        <f t="shared" si="5"/>
        <v>0.14950906495601962</v>
      </c>
      <c r="W12" s="103">
        <f t="shared" si="5"/>
        <v>10.603499742269815</v>
      </c>
      <c r="X12" s="105">
        <f t="shared" si="5"/>
        <v>5.1941167208240817E-2</v>
      </c>
      <c r="Y12" s="106">
        <f>SUM(R5:R12,T5:T12,V5:V12,X5:X12)</f>
        <v>1</v>
      </c>
      <c r="Z12" s="107">
        <f>SUM(Q5:Q12,S5:S12,U5:U12,W5:W12)</f>
        <v>204.14442555283003</v>
      </c>
      <c r="AB12" s="229" t="s">
        <v>401</v>
      </c>
      <c r="AC12" s="265">
        <f>TransData!U17+TransData!Q17</f>
        <v>623.70182765743573</v>
      </c>
      <c r="AD12" s="266">
        <f>TransData!W17+TransData!S17</f>
        <v>851.28529415403625</v>
      </c>
      <c r="AE12" s="448">
        <f>AC12+AD12</f>
        <v>1474.987121811472</v>
      </c>
    </row>
    <row r="13" spans="1:32">
      <c r="A13" s="1222" t="s">
        <v>406</v>
      </c>
      <c r="B13" s="1227" t="s">
        <v>95</v>
      </c>
      <c r="C13" s="714" t="s">
        <v>419</v>
      </c>
      <c r="D13" s="88">
        <v>0.40128855725511281</v>
      </c>
      <c r="E13" s="89">
        <f t="shared" si="1"/>
        <v>1.9657091109316835E-3</v>
      </c>
      <c r="F13" s="97">
        <v>0.66620842308378525</v>
      </c>
      <c r="G13" s="89">
        <f t="shared" si="2"/>
        <v>3.2634171679176158E-3</v>
      </c>
      <c r="H13" s="97">
        <v>0.6091470200979483</v>
      </c>
      <c r="I13" s="89">
        <f t="shared" si="3"/>
        <v>2.9839022958787998E-3</v>
      </c>
      <c r="J13" s="97">
        <v>0.57146012868700657</v>
      </c>
      <c r="K13" s="91">
        <f t="shared" si="4"/>
        <v>2.7992933294135906E-3</v>
      </c>
      <c r="N13" s="79" t="s">
        <v>405</v>
      </c>
      <c r="O13" s="80" t="s">
        <v>95</v>
      </c>
      <c r="P13" s="108" t="s">
        <v>420</v>
      </c>
      <c r="Q13" s="109">
        <f>D25+D29+D37</f>
        <v>71.379259694191305</v>
      </c>
      <c r="R13" s="110">
        <f t="shared" ref="R13:X16" si="6">E25+E29+E37</f>
        <v>1.3607317468341061E-3</v>
      </c>
      <c r="S13" s="109">
        <f>F25+F29+F37</f>
        <v>89.149981026795018</v>
      </c>
      <c r="T13" s="110">
        <f t="shared" si="6"/>
        <v>1.6995022073994707E-3</v>
      </c>
      <c r="U13" s="109">
        <f>H25+H29+H37</f>
        <v>43.001040523962118</v>
      </c>
      <c r="V13" s="110">
        <f t="shared" si="6"/>
        <v>8.1974625736580455E-4</v>
      </c>
      <c r="W13" s="111">
        <f t="shared" si="6"/>
        <v>132.51875731113262</v>
      </c>
      <c r="X13" s="112">
        <f t="shared" si="6"/>
        <v>2.5262587605533369E-3</v>
      </c>
      <c r="AB13" s="229" t="s">
        <v>109</v>
      </c>
      <c r="AC13" s="265">
        <f>TransData!U18+TransData!Q18</f>
        <v>3640.8160518043255</v>
      </c>
      <c r="AD13" s="266">
        <f>TransData!W18+TransData!S18</f>
        <v>5337.4209673482947</v>
      </c>
      <c r="AE13" s="448">
        <f>AC13+AD13</f>
        <v>8978.2370191526206</v>
      </c>
    </row>
    <row r="14" spans="1:32">
      <c r="A14" s="1222" t="s">
        <v>406</v>
      </c>
      <c r="B14" s="1223" t="s">
        <v>96</v>
      </c>
      <c r="C14" s="1224" t="s">
        <v>419</v>
      </c>
      <c r="D14" s="88">
        <v>0.35925645836604381</v>
      </c>
      <c r="E14" s="89">
        <f>D14/$L$24</f>
        <v>1.7598151768933445E-3</v>
      </c>
      <c r="F14" s="97">
        <v>0.27018246833685089</v>
      </c>
      <c r="G14" s="89">
        <f t="shared" si="2"/>
        <v>1.3234868775142282E-3</v>
      </c>
      <c r="H14" s="97">
        <v>0.68232881301176673</v>
      </c>
      <c r="I14" s="89">
        <f t="shared" si="3"/>
        <v>3.3423827820132589E-3</v>
      </c>
      <c r="J14" s="97">
        <v>1.3404781314395759</v>
      </c>
      <c r="K14" s="91">
        <f t="shared" si="4"/>
        <v>6.5663224837490203E-3</v>
      </c>
      <c r="N14" s="1225" t="s">
        <v>405</v>
      </c>
      <c r="O14" s="1223" t="s">
        <v>96</v>
      </c>
      <c r="P14" s="1230" t="s">
        <v>420</v>
      </c>
      <c r="Q14" s="114">
        <f>D26+D30+D38</f>
        <v>1437.9422427886063</v>
      </c>
      <c r="R14" s="115">
        <f t="shared" si="6"/>
        <v>2.7412075556108924E-2</v>
      </c>
      <c r="S14" s="114">
        <f>F26+F30+F38</f>
        <v>1184.3517590066306</v>
      </c>
      <c r="T14" s="115">
        <f t="shared" si="6"/>
        <v>2.2577777421671497E-2</v>
      </c>
      <c r="U14" s="114">
        <f>H26+H30+H38</f>
        <v>616.58595726934516</v>
      </c>
      <c r="V14" s="115">
        <f t="shared" si="6"/>
        <v>1.1754227913024606E-2</v>
      </c>
      <c r="W14" s="116">
        <f t="shared" si="6"/>
        <v>1779.1374085427212</v>
      </c>
      <c r="X14" s="117">
        <f t="shared" si="6"/>
        <v>3.3916417235989517E-2</v>
      </c>
      <c r="Z14" s="107"/>
      <c r="AB14" s="229" t="s">
        <v>402</v>
      </c>
      <c r="AC14" s="265">
        <f>TransData!U19+TransData!Q19</f>
        <v>2623.099935521308</v>
      </c>
      <c r="AD14" s="266">
        <f>TransData!W19+TransData!S19</f>
        <v>3815.1384279409308</v>
      </c>
      <c r="AE14" s="448">
        <f>AC14+AD14</f>
        <v>6438.2383634622383</v>
      </c>
    </row>
    <row r="15" spans="1:32">
      <c r="A15" s="1222" t="s">
        <v>406</v>
      </c>
      <c r="B15" s="1223" t="s">
        <v>97</v>
      </c>
      <c r="C15" s="1224" t="s">
        <v>419</v>
      </c>
      <c r="D15" s="88"/>
      <c r="E15" s="89">
        <f t="shared" si="1"/>
        <v>0</v>
      </c>
      <c r="F15" s="97"/>
      <c r="G15" s="89">
        <f t="shared" si="2"/>
        <v>0</v>
      </c>
      <c r="H15" s="97"/>
      <c r="I15" s="89">
        <f t="shared" si="3"/>
        <v>0</v>
      </c>
      <c r="J15" s="97"/>
      <c r="K15" s="91">
        <f t="shared" si="4"/>
        <v>0</v>
      </c>
      <c r="N15" s="1225" t="s">
        <v>405</v>
      </c>
      <c r="O15" s="1223" t="s">
        <v>97</v>
      </c>
      <c r="P15" s="1230" t="s">
        <v>420</v>
      </c>
      <c r="Q15" s="114">
        <f>D27+D31+D39</f>
        <v>1846.3254368960497</v>
      </c>
      <c r="R15" s="115">
        <f t="shared" si="6"/>
        <v>3.5197249841696754E-2</v>
      </c>
      <c r="S15" s="114">
        <f>F27+F31+F39</f>
        <v>1313.6428475239231</v>
      </c>
      <c r="T15" s="115">
        <f t="shared" si="6"/>
        <v>2.5042505824318901E-2</v>
      </c>
      <c r="U15" s="114">
        <f t="shared" si="6"/>
        <v>763.24678012148149</v>
      </c>
      <c r="V15" s="115">
        <f t="shared" si="6"/>
        <v>1.4550082598639328E-2</v>
      </c>
      <c r="W15" s="116">
        <f t="shared" si="6"/>
        <v>1892.5668010476427</v>
      </c>
      <c r="X15" s="117">
        <f t="shared" si="6"/>
        <v>3.607876770119213E-2</v>
      </c>
      <c r="Z15" s="107"/>
      <c r="AB15" s="231" t="s">
        <v>111</v>
      </c>
      <c r="AC15" s="267">
        <f>TransData!U20+TransData!Q20</f>
        <v>5117.0669548521028</v>
      </c>
      <c r="AD15" s="268">
        <f>TransData!W20+TransData!S20</f>
        <v>9037.8319430534357</v>
      </c>
      <c r="AE15" s="448">
        <f>AC15+AD15</f>
        <v>14154.898897905539</v>
      </c>
    </row>
    <row r="16" spans="1:32">
      <c r="A16" s="1222" t="s">
        <v>406</v>
      </c>
      <c r="B16" s="1223" t="s">
        <v>98</v>
      </c>
      <c r="C16" s="1224" t="s">
        <v>419</v>
      </c>
      <c r="D16" s="88">
        <v>30.450697301123597</v>
      </c>
      <c r="E16" s="89">
        <f t="shared" si="1"/>
        <v>0.14916252167386923</v>
      </c>
      <c r="F16" s="90"/>
      <c r="G16" s="89">
        <f t="shared" si="2"/>
        <v>0</v>
      </c>
      <c r="H16" s="97">
        <v>30.521442180387382</v>
      </c>
      <c r="I16" s="89">
        <f t="shared" si="3"/>
        <v>0.14950906495601962</v>
      </c>
      <c r="J16" s="97">
        <v>10.603499742269815</v>
      </c>
      <c r="K16" s="91">
        <f t="shared" si="4"/>
        <v>5.1941167208240817E-2</v>
      </c>
      <c r="N16" s="1225" t="s">
        <v>405</v>
      </c>
      <c r="O16" s="1223" t="s">
        <v>98</v>
      </c>
      <c r="P16" s="1230" t="s">
        <v>420</v>
      </c>
      <c r="Q16" s="114">
        <f>D28+D32+D40</f>
        <v>1874.9189468108798</v>
      </c>
      <c r="R16" s="115">
        <f t="shared" si="6"/>
        <v>3.5742339505854349E-2</v>
      </c>
      <c r="S16" s="114">
        <f t="shared" si="6"/>
        <v>2419.6029774349117</v>
      </c>
      <c r="T16" s="115">
        <f t="shared" si="6"/>
        <v>4.6125871860197266E-2</v>
      </c>
      <c r="U16" s="114">
        <f t="shared" si="6"/>
        <v>2255.8836121172053</v>
      </c>
      <c r="V16" s="115">
        <f t="shared" si="6"/>
        <v>4.3004823268298478E-2</v>
      </c>
      <c r="W16" s="116">
        <f t="shared" si="6"/>
        <v>3689.9103760711896</v>
      </c>
      <c r="X16" s="117">
        <f t="shared" si="6"/>
        <v>7.0342256465028022E-2</v>
      </c>
      <c r="Z16" s="107"/>
      <c r="AB16" s="449" t="s">
        <v>120</v>
      </c>
      <c r="AC16" s="1231"/>
      <c r="AD16" s="1232"/>
      <c r="AE16" s="225"/>
    </row>
    <row r="17" spans="1:33">
      <c r="A17" s="1222" t="s">
        <v>415</v>
      </c>
      <c r="B17" s="1227" t="s">
        <v>95</v>
      </c>
      <c r="C17" s="714" t="s">
        <v>419</v>
      </c>
      <c r="D17" s="100"/>
      <c r="E17" s="89">
        <f t="shared" si="1"/>
        <v>0</v>
      </c>
      <c r="F17" s="97"/>
      <c r="G17" s="89">
        <f t="shared" si="2"/>
        <v>0</v>
      </c>
      <c r="H17" s="90"/>
      <c r="I17" s="89">
        <f t="shared" si="3"/>
        <v>0</v>
      </c>
      <c r="J17" s="90"/>
      <c r="K17" s="91">
        <f t="shared" si="4"/>
        <v>0</v>
      </c>
      <c r="N17" s="1225" t="s">
        <v>406</v>
      </c>
      <c r="O17" s="1227" t="s">
        <v>95</v>
      </c>
      <c r="P17" s="118" t="s">
        <v>420</v>
      </c>
      <c r="Q17" s="114">
        <f>D33+D41</f>
        <v>420.31701965636523</v>
      </c>
      <c r="R17" s="115">
        <f>E33+E41</f>
        <v>8.012673637012439E-3</v>
      </c>
      <c r="S17" s="114">
        <f t="shared" ref="Q17:X20" si="7">F33+F41</f>
        <v>323.84071001677592</v>
      </c>
      <c r="T17" s="115">
        <f t="shared" si="7"/>
        <v>6.1735066590076259E-3</v>
      </c>
      <c r="U17" s="114">
        <f t="shared" si="7"/>
        <v>203.38480800107047</v>
      </c>
      <c r="V17" s="115">
        <f t="shared" si="7"/>
        <v>3.8772069962128989E-3</v>
      </c>
      <c r="W17" s="116">
        <f t="shared" si="7"/>
        <v>527.44458413726034</v>
      </c>
      <c r="X17" s="117">
        <f t="shared" si="7"/>
        <v>1.005488980140948E-2</v>
      </c>
      <c r="Z17" s="107"/>
      <c r="AB17" s="229" t="s">
        <v>401</v>
      </c>
      <c r="AC17" s="265">
        <f>AC7+AC12</f>
        <v>738.08212787558909</v>
      </c>
      <c r="AD17" s="266">
        <f>AD7+AD12</f>
        <v>1072.954032491964</v>
      </c>
      <c r="AE17" s="448">
        <f>AC17+AD17</f>
        <v>1811.0361603675531</v>
      </c>
    </row>
    <row r="18" spans="1:33">
      <c r="A18" s="1222" t="s">
        <v>415</v>
      </c>
      <c r="B18" s="1223" t="s">
        <v>96</v>
      </c>
      <c r="C18" s="1224" t="s">
        <v>419</v>
      </c>
      <c r="D18" s="88"/>
      <c r="E18" s="89">
        <f t="shared" si="1"/>
        <v>0</v>
      </c>
      <c r="F18" s="97"/>
      <c r="G18" s="89">
        <f t="shared" si="2"/>
        <v>0</v>
      </c>
      <c r="H18" s="97"/>
      <c r="I18" s="89">
        <f t="shared" si="3"/>
        <v>0</v>
      </c>
      <c r="J18" s="97"/>
      <c r="K18" s="91">
        <f t="shared" si="4"/>
        <v>0</v>
      </c>
      <c r="N18" s="1225" t="s">
        <v>406</v>
      </c>
      <c r="O18" s="1223" t="s">
        <v>96</v>
      </c>
      <c r="P18" s="1230" t="s">
        <v>420</v>
      </c>
      <c r="Q18" s="114">
        <f>D34+D42</f>
        <v>2399.2436759700595</v>
      </c>
      <c r="R18" s="115">
        <f t="shared" si="7"/>
        <v>4.5737754247808446E-2</v>
      </c>
      <c r="S18" s="114">
        <f t="shared" si="7"/>
        <v>1995.6761791012282</v>
      </c>
      <c r="T18" s="115">
        <f t="shared" si="7"/>
        <v>3.8044383549758462E-2</v>
      </c>
      <c r="U18" s="114">
        <f t="shared" si="7"/>
        <v>1241.572375834266</v>
      </c>
      <c r="V18" s="115">
        <f t="shared" si="7"/>
        <v>2.3668597223170919E-2</v>
      </c>
      <c r="W18" s="116">
        <f t="shared" si="7"/>
        <v>3341.7447882470669</v>
      </c>
      <c r="X18" s="117">
        <f t="shared" si="7"/>
        <v>6.3705034805162652E-2</v>
      </c>
      <c r="Z18" s="107"/>
      <c r="AB18" s="229" t="s">
        <v>109</v>
      </c>
      <c r="AC18" s="265">
        <f t="shared" ref="AC18:AD20" si="8">AC8+AC13</f>
        <v>5695.3442518622769</v>
      </c>
      <c r="AD18" s="266">
        <f t="shared" si="8"/>
        <v>8300.9101348976474</v>
      </c>
      <c r="AE18" s="448">
        <f>AC18+AD18</f>
        <v>13996.254386759923</v>
      </c>
    </row>
    <row r="19" spans="1:33">
      <c r="A19" s="1222" t="s">
        <v>415</v>
      </c>
      <c r="B19" s="1223" t="s">
        <v>97</v>
      </c>
      <c r="C19" s="1224" t="s">
        <v>419</v>
      </c>
      <c r="D19" s="88"/>
      <c r="E19" s="89">
        <f t="shared" si="1"/>
        <v>0</v>
      </c>
      <c r="F19" s="97"/>
      <c r="G19" s="89">
        <f t="shared" si="2"/>
        <v>0</v>
      </c>
      <c r="H19" s="97"/>
      <c r="I19" s="89">
        <f t="shared" si="3"/>
        <v>0</v>
      </c>
      <c r="J19" s="97"/>
      <c r="K19" s="91">
        <f t="shared" si="4"/>
        <v>0</v>
      </c>
      <c r="N19" s="1225" t="s">
        <v>406</v>
      </c>
      <c r="O19" s="1223" t="s">
        <v>97</v>
      </c>
      <c r="P19" s="1230" t="s">
        <v>420</v>
      </c>
      <c r="Q19" s="114">
        <f>D35+D43</f>
        <v>1743.4235933802397</v>
      </c>
      <c r="R19" s="115">
        <f t="shared" si="7"/>
        <v>3.3235590308106591E-2</v>
      </c>
      <c r="S19" s="114">
        <f t="shared" si="7"/>
        <v>1442.7224525976048</v>
      </c>
      <c r="T19" s="115">
        <f t="shared" si="7"/>
        <v>2.7503202632398305E-2</v>
      </c>
      <c r="U19" s="114">
        <f t="shared" si="7"/>
        <v>879.67634214106829</v>
      </c>
      <c r="V19" s="115">
        <f t="shared" si="7"/>
        <v>1.676962651081771E-2</v>
      </c>
      <c r="W19" s="116">
        <f t="shared" si="7"/>
        <v>2372.415975343326</v>
      </c>
      <c r="X19" s="117">
        <f t="shared" si="7"/>
        <v>4.5226326921526887E-2</v>
      </c>
      <c r="Z19" s="107"/>
      <c r="AB19" s="229" t="s">
        <v>402</v>
      </c>
      <c r="AC19" s="265">
        <f t="shared" si="8"/>
        <v>5232.6721525388393</v>
      </c>
      <c r="AD19" s="266">
        <f t="shared" si="8"/>
        <v>7021.3480765124968</v>
      </c>
      <c r="AE19" s="448">
        <f>AC19+AD19</f>
        <v>12254.020229051337</v>
      </c>
    </row>
    <row r="20" spans="1:33">
      <c r="A20" s="1222" t="s">
        <v>415</v>
      </c>
      <c r="B20" s="1223" t="s">
        <v>98</v>
      </c>
      <c r="C20" s="1224" t="s">
        <v>419</v>
      </c>
      <c r="D20" s="100"/>
      <c r="E20" s="89">
        <f t="shared" si="1"/>
        <v>0</v>
      </c>
      <c r="F20" s="97"/>
      <c r="G20" s="89">
        <f t="shared" si="2"/>
        <v>0</v>
      </c>
      <c r="H20" s="90"/>
      <c r="I20" s="89">
        <f t="shared" si="3"/>
        <v>0</v>
      </c>
      <c r="J20" s="97"/>
      <c r="K20" s="91">
        <f t="shared" si="4"/>
        <v>0</v>
      </c>
      <c r="N20" s="1225" t="s">
        <v>406</v>
      </c>
      <c r="O20" s="1233" t="s">
        <v>98</v>
      </c>
      <c r="P20" s="1234" t="s">
        <v>420</v>
      </c>
      <c r="Q20" s="114">
        <f t="shared" si="7"/>
        <v>2996.7192675791957</v>
      </c>
      <c r="R20" s="115">
        <f t="shared" si="7"/>
        <v>5.71276735176941E-2</v>
      </c>
      <c r="S20" s="114">
        <f t="shared" si="7"/>
        <v>3573.764754500904</v>
      </c>
      <c r="T20" s="115">
        <f t="shared" si="7"/>
        <v>6.8128125424673058E-2</v>
      </c>
      <c r="U20" s="114">
        <f t="shared" si="7"/>
        <v>2120.347687272907</v>
      </c>
      <c r="V20" s="115">
        <f t="shared" si="7"/>
        <v>4.0421047020655965E-2</v>
      </c>
      <c r="W20" s="116">
        <f t="shared" si="7"/>
        <v>5464.0671885525317</v>
      </c>
      <c r="X20" s="117">
        <f t="shared" si="7"/>
        <v>0.10416372658041262</v>
      </c>
      <c r="Z20" s="107"/>
      <c r="AB20" s="231" t="s">
        <v>111</v>
      </c>
      <c r="AC20" s="267">
        <f t="shared" si="8"/>
        <v>9247.8695137801878</v>
      </c>
      <c r="AD20" s="268">
        <f t="shared" si="8"/>
        <v>15147.345296559537</v>
      </c>
      <c r="AE20" s="448">
        <f>AC20+AD20</f>
        <v>24395.214810339727</v>
      </c>
    </row>
    <row r="21" spans="1:33" ht="13.5" thickBot="1">
      <c r="A21" s="1222" t="s">
        <v>417</v>
      </c>
      <c r="B21" s="1227" t="s">
        <v>95</v>
      </c>
      <c r="C21" s="714" t="s">
        <v>419</v>
      </c>
      <c r="D21" s="88"/>
      <c r="E21" s="89">
        <f t="shared" si="1"/>
        <v>0</v>
      </c>
      <c r="F21" s="97"/>
      <c r="G21" s="89">
        <f t="shared" si="2"/>
        <v>0</v>
      </c>
      <c r="H21" s="97"/>
      <c r="I21" s="89">
        <f t="shared" si="3"/>
        <v>0</v>
      </c>
      <c r="J21" s="97"/>
      <c r="K21" s="91">
        <f t="shared" si="4"/>
        <v>0</v>
      </c>
      <c r="N21" s="121" t="s">
        <v>103</v>
      </c>
      <c r="O21" s="122"/>
      <c r="P21" s="123" t="s">
        <v>420</v>
      </c>
      <c r="Q21" s="124">
        <f>SUM(Q13:Q20)</f>
        <v>12790.269442775587</v>
      </c>
      <c r="R21" s="125">
        <f t="shared" ref="R21:X21" si="9">SUM(R13:R20)</f>
        <v>0.24382608836111569</v>
      </c>
      <c r="S21" s="124">
        <f t="shared" si="9"/>
        <v>12342.751661208775</v>
      </c>
      <c r="T21" s="125">
        <f t="shared" si="9"/>
        <v>0.23529487557942458</v>
      </c>
      <c r="U21" s="124">
        <f t="shared" si="9"/>
        <v>8123.6986032813065</v>
      </c>
      <c r="V21" s="125">
        <f t="shared" si="9"/>
        <v>0.15486535778818569</v>
      </c>
      <c r="W21" s="126">
        <f t="shared" si="9"/>
        <v>19199.805879252875</v>
      </c>
      <c r="X21" s="127">
        <f t="shared" si="9"/>
        <v>0.36601367827127462</v>
      </c>
      <c r="Y21" s="106">
        <f>SUM(R13:R20,T13:T20,V13:V20,X13:X20)</f>
        <v>1.0000000000000004</v>
      </c>
      <c r="Z21" s="107">
        <f>SUM(Q13:Q20,S13:S20,U13:U20,W13:W20)</f>
        <v>52456.525586518539</v>
      </c>
      <c r="AB21" s="450" t="s">
        <v>120</v>
      </c>
      <c r="AC21" s="448">
        <f>SUM(AC17:AC20)</f>
        <v>20913.968046056892</v>
      </c>
      <c r="AD21" s="448">
        <f>SUM(AD17:AD20)</f>
        <v>31542.557540461647</v>
      </c>
      <c r="AE21" s="448">
        <f>SUM(AE17:AE20)</f>
        <v>52456.525586518539</v>
      </c>
    </row>
    <row r="22" spans="1:33">
      <c r="A22" s="1222" t="s">
        <v>417</v>
      </c>
      <c r="B22" s="1223" t="s">
        <v>96</v>
      </c>
      <c r="C22" s="1224" t="s">
        <v>419</v>
      </c>
      <c r="D22" s="100"/>
      <c r="E22" s="89">
        <f t="shared" si="1"/>
        <v>0</v>
      </c>
      <c r="F22" s="90"/>
      <c r="G22" s="89">
        <f t="shared" si="2"/>
        <v>0</v>
      </c>
      <c r="H22" s="90"/>
      <c r="I22" s="89">
        <f t="shared" si="3"/>
        <v>0</v>
      </c>
      <c r="J22" s="97">
        <v>1.1778276288409484</v>
      </c>
      <c r="K22" s="91">
        <f t="shared" si="4"/>
        <v>5.7695801668419359E-3</v>
      </c>
      <c r="N22" s="79" t="s">
        <v>405</v>
      </c>
      <c r="O22" s="80" t="s">
        <v>95</v>
      </c>
      <c r="P22" s="108" t="s">
        <v>421</v>
      </c>
      <c r="Q22" s="109">
        <f t="shared" ref="Q22:X25" si="10">D45+D49+D57</f>
        <v>35.203703851879339</v>
      </c>
      <c r="R22" s="110">
        <f t="shared" si="10"/>
        <v>4.1035910912861177E-3</v>
      </c>
      <c r="S22" s="109">
        <f t="shared" si="10"/>
        <v>14.96790721066383</v>
      </c>
      <c r="T22" s="110">
        <f t="shared" si="10"/>
        <v>1.7447644413585853E-3</v>
      </c>
      <c r="U22" s="109">
        <f t="shared" si="10"/>
        <v>5.0721108828005113</v>
      </c>
      <c r="V22" s="110">
        <f t="shared" si="10"/>
        <v>5.912408853412281E-4</v>
      </c>
      <c r="W22" s="111">
        <f t="shared" si="10"/>
        <v>13.622283674891097</v>
      </c>
      <c r="X22" s="112">
        <f t="shared" si="10"/>
        <v>1.5879091065661038E-3</v>
      </c>
      <c r="Z22" s="107"/>
    </row>
    <row r="23" spans="1:33">
      <c r="A23" s="1222" t="s">
        <v>417</v>
      </c>
      <c r="B23" s="1223" t="s">
        <v>97</v>
      </c>
      <c r="C23" s="1224" t="s">
        <v>419</v>
      </c>
      <c r="D23" s="88"/>
      <c r="E23" s="89">
        <f t="shared" si="1"/>
        <v>0</v>
      </c>
      <c r="F23" s="97"/>
      <c r="G23" s="89">
        <f t="shared" si="2"/>
        <v>0</v>
      </c>
      <c r="H23" s="97"/>
      <c r="I23" s="89">
        <f t="shared" si="3"/>
        <v>0</v>
      </c>
      <c r="J23" s="97"/>
      <c r="K23" s="91">
        <f t="shared" si="4"/>
        <v>0</v>
      </c>
      <c r="L23" s="106">
        <f>SUM(E5:E24,G5:G24,I5:I24,K5:K24)</f>
        <v>1</v>
      </c>
      <c r="N23" s="1225" t="s">
        <v>405</v>
      </c>
      <c r="O23" s="1223" t="s">
        <v>96</v>
      </c>
      <c r="P23" s="1230" t="s">
        <v>421</v>
      </c>
      <c r="Q23" s="114">
        <f t="shared" si="10"/>
        <v>750.38419848384433</v>
      </c>
      <c r="R23" s="115">
        <f t="shared" si="10"/>
        <v>8.7470054994676111E-2</v>
      </c>
      <c r="S23" s="114">
        <f t="shared" si="10"/>
        <v>286.53299966645665</v>
      </c>
      <c r="T23" s="115">
        <f t="shared" si="10"/>
        <v>3.3400299858731747E-2</v>
      </c>
      <c r="U23" s="114">
        <f t="shared" si="10"/>
        <v>116.9116541751027</v>
      </c>
      <c r="V23" s="115">
        <f t="shared" si="10"/>
        <v>1.3628043928532911E-2</v>
      </c>
      <c r="W23" s="116">
        <f t="shared" si="10"/>
        <v>326.34769812611171</v>
      </c>
      <c r="X23" s="117">
        <f t="shared" si="10"/>
        <v>3.8041380882158249E-2</v>
      </c>
      <c r="Z23" s="107"/>
    </row>
    <row r="24" spans="1:33">
      <c r="A24" s="1222" t="s">
        <v>417</v>
      </c>
      <c r="B24" s="1235" t="s">
        <v>98</v>
      </c>
      <c r="C24" s="1236" t="s">
        <v>419</v>
      </c>
      <c r="D24" s="100"/>
      <c r="E24" s="89">
        <f>D24/$L$24</f>
        <v>0</v>
      </c>
      <c r="F24" s="97"/>
      <c r="G24" s="89">
        <f t="shared" si="2"/>
        <v>0</v>
      </c>
      <c r="H24" s="90"/>
      <c r="I24" s="89">
        <f t="shared" si="3"/>
        <v>0</v>
      </c>
      <c r="J24" s="97"/>
      <c r="K24" s="91">
        <f t="shared" si="4"/>
        <v>0</v>
      </c>
      <c r="L24" s="1161">
        <v>204.14442555283006</v>
      </c>
      <c r="N24" s="1225" t="s">
        <v>405</v>
      </c>
      <c r="O24" s="1223" t="s">
        <v>97</v>
      </c>
      <c r="P24" s="1230" t="s">
        <v>421</v>
      </c>
      <c r="Q24" s="114">
        <f>D47+D51+D59</f>
        <v>654.22093795882461</v>
      </c>
      <c r="R24" s="115">
        <f t="shared" si="10"/>
        <v>7.6260589625354466E-2</v>
      </c>
      <c r="S24" s="114">
        <f t="shared" si="10"/>
        <v>150.12253110996835</v>
      </c>
      <c r="T24" s="115">
        <f t="shared" si="10"/>
        <v>1.7499337111123378E-2</v>
      </c>
      <c r="U24" s="114">
        <f t="shared" si="10"/>
        <v>144.88450760320609</v>
      </c>
      <c r="V24" s="115">
        <f t="shared" si="10"/>
        <v>1.6888756284493989E-2</v>
      </c>
      <c r="W24" s="116">
        <f t="shared" si="10"/>
        <v>206.66417538340539</v>
      </c>
      <c r="X24" s="117">
        <f t="shared" si="10"/>
        <v>2.4090228475946586E-2</v>
      </c>
      <c r="Z24" s="107"/>
    </row>
    <row r="25" spans="1:33">
      <c r="A25" s="1215" t="s">
        <v>405</v>
      </c>
      <c r="B25" s="1216" t="s">
        <v>95</v>
      </c>
      <c r="C25" s="1237" t="s">
        <v>420</v>
      </c>
      <c r="D25" s="1238">
        <v>53.273504808240048</v>
      </c>
      <c r="E25" s="1239">
        <f>D25/$L$44</f>
        <v>1.0155744059025425E-3</v>
      </c>
      <c r="F25" s="1240">
        <v>68.825229068011225</v>
      </c>
      <c r="G25" s="1239">
        <f>F25/$L$44</f>
        <v>1.3120432262425617E-3</v>
      </c>
      <c r="H25" s="1240">
        <v>33.239956146421193</v>
      </c>
      <c r="I25" s="1239">
        <f>H25/$L$44</f>
        <v>6.3366675117659658E-4</v>
      </c>
      <c r="J25" s="1240">
        <v>103.55072853028773</v>
      </c>
      <c r="K25" s="1241">
        <f>J25/$L$44</f>
        <v>1.9740294915166971E-3</v>
      </c>
      <c r="N25" s="1225" t="s">
        <v>405</v>
      </c>
      <c r="O25" s="1223" t="s">
        <v>98</v>
      </c>
      <c r="P25" s="1230" t="s">
        <v>421</v>
      </c>
      <c r="Q25" s="114">
        <f t="shared" si="10"/>
        <v>585.42753361352948</v>
      </c>
      <c r="R25" s="115">
        <f t="shared" si="10"/>
        <v>6.8241547015565951E-2</v>
      </c>
      <c r="S25" s="114">
        <f t="shared" si="10"/>
        <v>326.31182797502817</v>
      </c>
      <c r="T25" s="115">
        <f t="shared" si="10"/>
        <v>3.8037199605294628E-2</v>
      </c>
      <c r="U25" s="114">
        <f t="shared" si="10"/>
        <v>556.33272727617305</v>
      </c>
      <c r="V25" s="115">
        <f t="shared" si="10"/>
        <v>6.4850051944734158E-2</v>
      </c>
      <c r="W25" s="116">
        <f t="shared" si="10"/>
        <v>556.67950170674703</v>
      </c>
      <c r="X25" s="117">
        <f t="shared" si="10"/>
        <v>6.4890474409085547E-2</v>
      </c>
      <c r="Z25" s="107"/>
    </row>
    <row r="26" spans="1:33">
      <c r="A26" s="1222" t="s">
        <v>405</v>
      </c>
      <c r="B26" s="1223" t="s">
        <v>96</v>
      </c>
      <c r="C26" s="1242" t="s">
        <v>420</v>
      </c>
      <c r="D26" s="88">
        <v>1256.3685434104082</v>
      </c>
      <c r="E26" s="137">
        <f t="shared" ref="E26:E44" si="11">D26/$L$44</f>
        <v>2.3950662560337375E-2</v>
      </c>
      <c r="F26" s="97">
        <v>1024.1673457827983</v>
      </c>
      <c r="G26" s="137">
        <f t="shared" ref="G26:G44" si="12">F26/$L$44</f>
        <v>1.9524117053722916E-2</v>
      </c>
      <c r="H26" s="97">
        <v>508.12236124594153</v>
      </c>
      <c r="I26" s="137">
        <f t="shared" ref="I26:I44" si="13">H26/$L$44</f>
        <v>9.6865424380399804E-3</v>
      </c>
      <c r="J26" s="97">
        <v>1517.2483537170497</v>
      </c>
      <c r="K26" s="138">
        <f t="shared" ref="K26:K44" si="14">J26/$L$44</f>
        <v>2.8923920079582766E-2</v>
      </c>
      <c r="N26" s="1225" t="s">
        <v>406</v>
      </c>
      <c r="O26" s="1227" t="s">
        <v>95</v>
      </c>
      <c r="P26" s="118" t="s">
        <v>421</v>
      </c>
      <c r="Q26" s="114">
        <f t="shared" ref="Q26:X29" si="15">D53+D61</f>
        <v>72.492492632490553</v>
      </c>
      <c r="R26" s="115">
        <f t="shared" si="15"/>
        <v>8.4502343333947762E-3</v>
      </c>
      <c r="S26" s="114">
        <f t="shared" si="15"/>
        <v>26.867763415344669</v>
      </c>
      <c r="T26" s="115">
        <f t="shared" si="15"/>
        <v>3.1318952987983845E-3</v>
      </c>
      <c r="U26" s="114">
        <f t="shared" si="15"/>
        <v>5.5075856527571601</v>
      </c>
      <c r="V26" s="115">
        <f t="shared" si="15"/>
        <v>6.4200288453292891E-4</v>
      </c>
      <c r="W26" s="116">
        <f t="shared" si="15"/>
        <v>17.71198144144293</v>
      </c>
      <c r="X26" s="117">
        <f t="shared" si="15"/>
        <v>2.0646330158310918E-3</v>
      </c>
      <c r="Z26" s="107"/>
      <c r="AB26" s="170" t="s">
        <v>607</v>
      </c>
    </row>
    <row r="27" spans="1:33">
      <c r="A27" s="1222" t="s">
        <v>405</v>
      </c>
      <c r="B27" s="1223" t="s">
        <v>97</v>
      </c>
      <c r="C27" s="1242" t="s">
        <v>420</v>
      </c>
      <c r="D27" s="88">
        <v>1602.7886686477225</v>
      </c>
      <c r="E27" s="137">
        <f t="shared" si="11"/>
        <v>3.0554609759736822E-2</v>
      </c>
      <c r="F27" s="97">
        <v>1126.5889946792929</v>
      </c>
      <c r="G27" s="137">
        <f t="shared" si="12"/>
        <v>2.1476622442734367E-2</v>
      </c>
      <c r="H27" s="97">
        <v>630.50701302913421</v>
      </c>
      <c r="I27" s="137">
        <f t="shared" si="13"/>
        <v>1.2019610639084655E-2</v>
      </c>
      <c r="J27" s="97">
        <v>1586.5120131041217</v>
      </c>
      <c r="K27" s="138">
        <f t="shared" si="14"/>
        <v>3.0244321280627484E-2</v>
      </c>
      <c r="N27" s="1225" t="s">
        <v>406</v>
      </c>
      <c r="O27" s="1223" t="s">
        <v>96</v>
      </c>
      <c r="P27" s="1230" t="s">
        <v>421</v>
      </c>
      <c r="Q27" s="114">
        <f t="shared" si="15"/>
        <v>629.81370784207115</v>
      </c>
      <c r="R27" s="115">
        <f t="shared" si="15"/>
        <v>7.3415511377579901E-2</v>
      </c>
      <c r="S27" s="114">
        <f t="shared" si="15"/>
        <v>158.98960299421699</v>
      </c>
      <c r="T27" s="115">
        <f t="shared" si="15"/>
        <v>1.8532945317325064E-2</v>
      </c>
      <c r="U27" s="114">
        <f t="shared" si="15"/>
        <v>67.946682060452787</v>
      </c>
      <c r="V27" s="115">
        <f t="shared" si="15"/>
        <v>7.9203427104969065E-3</v>
      </c>
      <c r="W27" s="116">
        <f t="shared" si="15"/>
        <v>150.96073138263384</v>
      </c>
      <c r="X27" s="117">
        <f t="shared" si="15"/>
        <v>1.7597043624792967E-2</v>
      </c>
      <c r="Z27" s="107"/>
      <c r="AB27" s="691"/>
      <c r="AC27" s="1187" t="s">
        <v>116</v>
      </c>
      <c r="AD27" s="1187" t="s">
        <v>90</v>
      </c>
      <c r="AE27" s="1187" t="s">
        <v>117</v>
      </c>
      <c r="AF27" s="1243" t="s">
        <v>90</v>
      </c>
      <c r="AG27" s="1244" t="s">
        <v>120</v>
      </c>
    </row>
    <row r="28" spans="1:33">
      <c r="A28" s="1222" t="s">
        <v>405</v>
      </c>
      <c r="B28" s="1223" t="s">
        <v>98</v>
      </c>
      <c r="C28" s="1242" t="s">
        <v>420</v>
      </c>
      <c r="D28" s="88">
        <v>1107.3006386922386</v>
      </c>
      <c r="E28" s="137">
        <f t="shared" si="11"/>
        <v>2.110892069788203E-2</v>
      </c>
      <c r="F28" s="97">
        <v>1505.9077210571638</v>
      </c>
      <c r="G28" s="137">
        <f t="shared" si="12"/>
        <v>2.8707729004533746E-2</v>
      </c>
      <c r="H28" s="97">
        <v>1767.5917790886947</v>
      </c>
      <c r="I28" s="137">
        <f t="shared" si="13"/>
        <v>3.3696318223999405E-2</v>
      </c>
      <c r="J28" s="97">
        <v>2065.800392967853</v>
      </c>
      <c r="K28" s="138">
        <f t="shared" si="14"/>
        <v>3.9381189849500259E-2</v>
      </c>
      <c r="N28" s="1225" t="s">
        <v>406</v>
      </c>
      <c r="O28" s="1223" t="s">
        <v>97</v>
      </c>
      <c r="P28" s="1230" t="s">
        <v>421</v>
      </c>
      <c r="Q28" s="114">
        <f t="shared" si="15"/>
        <v>355.12867923593882</v>
      </c>
      <c r="R28" s="115">
        <f t="shared" si="15"/>
        <v>4.1396294279273861E-2</v>
      </c>
      <c r="S28" s="114">
        <f t="shared" si="15"/>
        <v>94.092513097215658</v>
      </c>
      <c r="T28" s="115">
        <f t="shared" si="15"/>
        <v>1.096808449835439E-2</v>
      </c>
      <c r="U28" s="114">
        <f t="shared" si="15"/>
        <v>71.797369067323714</v>
      </c>
      <c r="V28" s="115">
        <f t="shared" si="15"/>
        <v>8.3692058461264009E-3</v>
      </c>
      <c r="W28" s="116">
        <f t="shared" si="15"/>
        <v>99.208438198739415</v>
      </c>
      <c r="X28" s="117">
        <f t="shared" si="15"/>
        <v>1.1564432676904905E-2</v>
      </c>
      <c r="Z28" s="107"/>
      <c r="AB28" s="182" t="s">
        <v>118</v>
      </c>
      <c r="AC28" s="184">
        <f>Q22+U22+Q23+U23+Q24+U24+Q26+U26+Q27+U27+Q28+U28</f>
        <v>2909.3636294466924</v>
      </c>
      <c r="AD28" s="89">
        <f>AC28/AG28</f>
        <v>0.6529895199943494</v>
      </c>
      <c r="AE28" s="184">
        <f>S22+W22+S23+W23+S24+W24+S26+W26+S27+W27+S28+W28</f>
        <v>1546.0886257010907</v>
      </c>
      <c r="AF28" s="91">
        <f>AE28/AG28</f>
        <v>0.3470104800056506</v>
      </c>
      <c r="AG28" s="187">
        <f>AC28+AE28</f>
        <v>4455.452255147783</v>
      </c>
    </row>
    <row r="29" spans="1:33">
      <c r="A29" s="1222" t="s">
        <v>416</v>
      </c>
      <c r="B29" s="1227" t="s">
        <v>95</v>
      </c>
      <c r="C29" s="139" t="s">
        <v>420</v>
      </c>
      <c r="D29" s="88">
        <v>5.1840580257346343</v>
      </c>
      <c r="E29" s="137">
        <f t="shared" si="11"/>
        <v>9.8825798463994226E-5</v>
      </c>
      <c r="F29" s="97">
        <v>4.804371154625021</v>
      </c>
      <c r="G29" s="137">
        <f t="shared" si="12"/>
        <v>9.1587673810019935E-5</v>
      </c>
      <c r="H29" s="97">
        <v>2.5653123192614697</v>
      </c>
      <c r="I29" s="137">
        <f t="shared" si="13"/>
        <v>4.890358807752916E-5</v>
      </c>
      <c r="J29" s="97">
        <v>7.4835746757739301</v>
      </c>
      <c r="K29" s="138">
        <f t="shared" si="14"/>
        <v>1.4266241601211256E-4</v>
      </c>
      <c r="N29" s="1225" t="s">
        <v>406</v>
      </c>
      <c r="O29" s="1233" t="s">
        <v>98</v>
      </c>
      <c r="P29" s="1234" t="s">
        <v>421</v>
      </c>
      <c r="Q29" s="114">
        <f t="shared" si="15"/>
        <v>786.73216448348978</v>
      </c>
      <c r="R29" s="115">
        <f t="shared" si="15"/>
        <v>9.1707029322437184E-2</v>
      </c>
      <c r="S29" s="114">
        <f t="shared" si="15"/>
        <v>471.52399027405653</v>
      </c>
      <c r="T29" s="115">
        <f t="shared" si="15"/>
        <v>5.4964149623506278E-2</v>
      </c>
      <c r="U29" s="114">
        <f t="shared" si="15"/>
        <v>293.29991992682835</v>
      </c>
      <c r="V29" s="115">
        <f t="shared" si="15"/>
        <v>3.4189099634253733E-2</v>
      </c>
      <c r="W29" s="116">
        <f t="shared" si="15"/>
        <v>546.99538653559796</v>
      </c>
      <c r="X29" s="117">
        <f t="shared" si="15"/>
        <v>6.3761625896141511E-2</v>
      </c>
      <c r="AB29" s="182" t="s">
        <v>119</v>
      </c>
      <c r="AC29" s="184">
        <f>Q25+U25+Q29+U29</f>
        <v>2221.7923453000208</v>
      </c>
      <c r="AD29" s="89">
        <f>AC29/AG29</f>
        <v>0.5388379940530249</v>
      </c>
      <c r="AE29" s="184">
        <f>S25+W25+S29+W29</f>
        <v>1901.5107064914296</v>
      </c>
      <c r="AF29" s="91">
        <f>AE29/AG29</f>
        <v>0.46116200594697515</v>
      </c>
      <c r="AG29" s="187">
        <f>AC29+AE29</f>
        <v>4123.3030517914503</v>
      </c>
    </row>
    <row r="30" spans="1:33" ht="13.5" thickBot="1">
      <c r="A30" s="1222" t="s">
        <v>416</v>
      </c>
      <c r="B30" s="1223" t="s">
        <v>96</v>
      </c>
      <c r="C30" s="1242" t="s">
        <v>420</v>
      </c>
      <c r="D30" s="88">
        <v>101.92550061870968</v>
      </c>
      <c r="E30" s="137">
        <f t="shared" si="11"/>
        <v>1.9430471133777274E-3</v>
      </c>
      <c r="F30" s="97">
        <v>60.878256362641096</v>
      </c>
      <c r="G30" s="137">
        <f t="shared" si="12"/>
        <v>1.1605468658466966E-3</v>
      </c>
      <c r="H30" s="97">
        <v>52.658759101898568</v>
      </c>
      <c r="I30" s="137">
        <f t="shared" si="13"/>
        <v>1.0038552594385328E-3</v>
      </c>
      <c r="J30" s="97">
        <v>105.83578383614615</v>
      </c>
      <c r="K30" s="138">
        <f t="shared" si="14"/>
        <v>2.0175904266016864E-3</v>
      </c>
      <c r="N30" s="121" t="s">
        <v>103</v>
      </c>
      <c r="O30" s="122"/>
      <c r="P30" s="123" t="s">
        <v>421</v>
      </c>
      <c r="Q30" s="124">
        <f t="shared" ref="Q30:X30" si="16">SUM(Q22:Q29)</f>
        <v>3869.4034181020675</v>
      </c>
      <c r="R30" s="125">
        <f t="shared" si="16"/>
        <v>0.4510448520395684</v>
      </c>
      <c r="S30" s="124">
        <f t="shared" si="16"/>
        <v>1529.4091357429509</v>
      </c>
      <c r="T30" s="125">
        <f t="shared" si="16"/>
        <v>0.17827867575449247</v>
      </c>
      <c r="U30" s="124">
        <f t="shared" si="16"/>
        <v>1261.7525566446443</v>
      </c>
      <c r="V30" s="125">
        <f t="shared" si="16"/>
        <v>0.14707874411851227</v>
      </c>
      <c r="W30" s="126">
        <f t="shared" si="16"/>
        <v>1918.1901964495696</v>
      </c>
      <c r="X30" s="127">
        <f t="shared" si="16"/>
        <v>0.22359772808742698</v>
      </c>
      <c r="Y30" s="106">
        <f>SUM(R22:R29,T22:T29,V22:V29,X22:X29)</f>
        <v>1</v>
      </c>
      <c r="Z30" s="107">
        <f>SUM(Q22:Q29,S22:S29,U22:U29,W22:W29)</f>
        <v>8578.7553069392325</v>
      </c>
      <c r="AB30" s="183" t="s">
        <v>120</v>
      </c>
      <c r="AC30" s="185">
        <f>SUM(AC28:AC29)</f>
        <v>5131.1559747467127</v>
      </c>
      <c r="AD30" s="189">
        <f>AC30/AG30</f>
        <v>0.59812359615808064</v>
      </c>
      <c r="AE30" s="185">
        <f>SUM(AE28:AE29)</f>
        <v>3447.5993321925203</v>
      </c>
      <c r="AF30" s="190">
        <f>AE30/AG30</f>
        <v>0.40187640384191942</v>
      </c>
      <c r="AG30" s="188">
        <f>AC30+AE30</f>
        <v>8578.7553069392325</v>
      </c>
    </row>
    <row r="31" spans="1:33">
      <c r="A31" s="1222" t="s">
        <v>416</v>
      </c>
      <c r="B31" s="1223" t="s">
        <v>97</v>
      </c>
      <c r="C31" s="1242" t="s">
        <v>420</v>
      </c>
      <c r="D31" s="88">
        <v>193.40784623839062</v>
      </c>
      <c r="E31" s="137">
        <f t="shared" si="11"/>
        <v>3.6870121319681351E-3</v>
      </c>
      <c r="F31" s="97">
        <v>106.83021658718138</v>
      </c>
      <c r="G31" s="137">
        <f t="shared" si="12"/>
        <v>2.0365477010287751E-3</v>
      </c>
      <c r="H31" s="97">
        <v>83.031852520889487</v>
      </c>
      <c r="I31" s="137">
        <f t="shared" si="13"/>
        <v>1.5828698449336291E-3</v>
      </c>
      <c r="J31" s="97">
        <v>153.8018701119415</v>
      </c>
      <c r="K31" s="138">
        <f t="shared" si="14"/>
        <v>2.9319873627213517E-3</v>
      </c>
      <c r="N31" s="79" t="s">
        <v>405</v>
      </c>
      <c r="O31" s="80" t="s">
        <v>95</v>
      </c>
      <c r="P31" s="108" t="s">
        <v>418</v>
      </c>
      <c r="Q31" s="109">
        <f t="shared" ref="Q31:X34" si="17">D65+D69+D77</f>
        <v>216.60153844158751</v>
      </c>
      <c r="R31" s="110">
        <f t="shared" si="17"/>
        <v>6.6681047080246109E-2</v>
      </c>
      <c r="S31" s="109">
        <f t="shared" si="17"/>
        <v>117.31128161944481</v>
      </c>
      <c r="T31" s="110">
        <f t="shared" si="17"/>
        <v>3.6114420742305781E-2</v>
      </c>
      <c r="U31" s="109">
        <f t="shared" si="17"/>
        <v>50.315670309787777</v>
      </c>
      <c r="V31" s="110">
        <f t="shared" si="17"/>
        <v>1.5489740308127562E-2</v>
      </c>
      <c r="W31" s="111">
        <f t="shared" si="17"/>
        <v>184.23137534073516</v>
      </c>
      <c r="X31" s="112">
        <f t="shared" si="17"/>
        <v>5.6715852995046792E-2</v>
      </c>
      <c r="Z31" s="107"/>
    </row>
    <row r="32" spans="1:33">
      <c r="A32" s="1222" t="s">
        <v>416</v>
      </c>
      <c r="B32" s="1223" t="s">
        <v>98</v>
      </c>
      <c r="C32" s="1242" t="s">
        <v>420</v>
      </c>
      <c r="D32" s="88">
        <v>736.77430813409865</v>
      </c>
      <c r="E32" s="137">
        <f t="shared" si="11"/>
        <v>1.4045427139830475E-2</v>
      </c>
      <c r="F32" s="97">
        <v>826.90892107802688</v>
      </c>
      <c r="G32" s="137">
        <f t="shared" si="12"/>
        <v>1.5763699784389556E-2</v>
      </c>
      <c r="H32" s="97">
        <v>404.44526142973575</v>
      </c>
      <c r="I32" s="137">
        <f t="shared" si="13"/>
        <v>7.7101038795005421E-3</v>
      </c>
      <c r="J32" s="97">
        <v>1384.8357326029941</v>
      </c>
      <c r="K32" s="138">
        <f t="shared" si="14"/>
        <v>2.6399684636355353E-2</v>
      </c>
      <c r="N32" s="1225" t="s">
        <v>405</v>
      </c>
      <c r="O32" s="1223" t="s">
        <v>96</v>
      </c>
      <c r="P32" s="1230" t="s">
        <v>418</v>
      </c>
      <c r="Q32" s="114">
        <f t="shared" si="17"/>
        <v>379.52280172493022</v>
      </c>
      <c r="R32" s="115">
        <f t="shared" si="17"/>
        <v>0.11683655615711011</v>
      </c>
      <c r="S32" s="114">
        <f t="shared" si="17"/>
        <v>108.41064348590625</v>
      </c>
      <c r="T32" s="115">
        <f t="shared" si="17"/>
        <v>3.337434846628741E-2</v>
      </c>
      <c r="U32" s="114">
        <f t="shared" si="17"/>
        <v>29.374828157786784</v>
      </c>
      <c r="V32" s="115">
        <f t="shared" si="17"/>
        <v>9.0430765794941408E-3</v>
      </c>
      <c r="W32" s="116">
        <f t="shared" si="17"/>
        <v>167.20283623438817</v>
      </c>
      <c r="X32" s="117">
        <f t="shared" si="17"/>
        <v>5.1473596517887237E-2</v>
      </c>
      <c r="Z32" s="107"/>
    </row>
    <row r="33" spans="1:26">
      <c r="A33" s="1222" t="s">
        <v>406</v>
      </c>
      <c r="B33" s="1227" t="s">
        <v>95</v>
      </c>
      <c r="C33" s="139" t="s">
        <v>420</v>
      </c>
      <c r="D33" s="88">
        <v>164.76853461962349</v>
      </c>
      <c r="E33" s="137">
        <f t="shared" si="11"/>
        <v>3.1410493313718348E-3</v>
      </c>
      <c r="F33" s="97">
        <v>123.38957523369371</v>
      </c>
      <c r="G33" s="137">
        <f t="shared" si="12"/>
        <v>2.3522254639259835E-3</v>
      </c>
      <c r="H33" s="97">
        <v>74.832442489031394</v>
      </c>
      <c r="I33" s="137">
        <f t="shared" si="13"/>
        <v>1.4265611695080235E-3</v>
      </c>
      <c r="J33" s="97">
        <v>218.48871777191206</v>
      </c>
      <c r="K33" s="138">
        <f t="shared" si="14"/>
        <v>4.1651389475185598E-3</v>
      </c>
      <c r="N33" s="1225" t="s">
        <v>405</v>
      </c>
      <c r="O33" s="1223" t="s">
        <v>97</v>
      </c>
      <c r="P33" s="1230" t="s">
        <v>418</v>
      </c>
      <c r="Q33" s="114">
        <f t="shared" si="17"/>
        <v>16.73680172363661</v>
      </c>
      <c r="R33" s="115">
        <f t="shared" si="17"/>
        <v>5.1524447690269948E-3</v>
      </c>
      <c r="S33" s="114">
        <f t="shared" si="17"/>
        <v>4.1068786900102117</v>
      </c>
      <c r="T33" s="115">
        <f t="shared" si="17"/>
        <v>1.2643076002679535E-3</v>
      </c>
      <c r="U33" s="114">
        <f t="shared" si="17"/>
        <v>2.3184961904712851</v>
      </c>
      <c r="V33" s="115">
        <f t="shared" si="17"/>
        <v>7.1375187242208368E-4</v>
      </c>
      <c r="W33" s="116">
        <f t="shared" si="17"/>
        <v>9.5261337729650695</v>
      </c>
      <c r="X33" s="117">
        <f t="shared" si="17"/>
        <v>2.9326318694597297E-3</v>
      </c>
      <c r="Z33" s="107"/>
    </row>
    <row r="34" spans="1:26">
      <c r="A34" s="1222" t="s">
        <v>406</v>
      </c>
      <c r="B34" s="1223" t="s">
        <v>96</v>
      </c>
      <c r="C34" s="1242" t="s">
        <v>420</v>
      </c>
      <c r="D34" s="88">
        <v>1349.6089522054913</v>
      </c>
      <c r="E34" s="137">
        <f t="shared" si="11"/>
        <v>2.5728142249519192E-2</v>
      </c>
      <c r="F34" s="97">
        <v>1062.3633826963287</v>
      </c>
      <c r="G34" s="137">
        <f t="shared" si="12"/>
        <v>2.0252263580517418E-2</v>
      </c>
      <c r="H34" s="97">
        <v>638.8171689867313</v>
      </c>
      <c r="I34" s="137">
        <f t="shared" si="13"/>
        <v>1.2178030508961298E-2</v>
      </c>
      <c r="J34" s="97">
        <v>1896.7719411677999</v>
      </c>
      <c r="K34" s="138">
        <f t="shared" si="14"/>
        <v>3.6158931991013839E-2</v>
      </c>
      <c r="N34" s="1225" t="s">
        <v>405</v>
      </c>
      <c r="O34" s="1223" t="s">
        <v>98</v>
      </c>
      <c r="P34" s="1230" t="s">
        <v>418</v>
      </c>
      <c r="Q34" s="114">
        <f t="shared" si="17"/>
        <v>0</v>
      </c>
      <c r="R34" s="115">
        <f t="shared" si="17"/>
        <v>0</v>
      </c>
      <c r="S34" s="114">
        <f t="shared" si="17"/>
        <v>1.9061081746127726</v>
      </c>
      <c r="T34" s="115">
        <f t="shared" si="17"/>
        <v>5.8679772011717532E-4</v>
      </c>
      <c r="U34" s="114">
        <f t="shared" si="17"/>
        <v>0</v>
      </c>
      <c r="V34" s="115">
        <f t="shared" si="17"/>
        <v>0</v>
      </c>
      <c r="W34" s="116">
        <f t="shared" si="17"/>
        <v>0</v>
      </c>
      <c r="X34" s="117">
        <f t="shared" si="17"/>
        <v>0</v>
      </c>
      <c r="Z34" s="107"/>
    </row>
    <row r="35" spans="1:26">
      <c r="A35" s="1222" t="s">
        <v>406</v>
      </c>
      <c r="B35" s="1223" t="s">
        <v>97</v>
      </c>
      <c r="C35" s="1242" t="s">
        <v>420</v>
      </c>
      <c r="D35" s="88">
        <v>1292.7165656927286</v>
      </c>
      <c r="E35" s="137">
        <f t="shared" si="11"/>
        <v>2.4643579635494597E-2</v>
      </c>
      <c r="F35" s="97">
        <v>956.28513864472268</v>
      </c>
      <c r="G35" s="137">
        <f t="shared" si="12"/>
        <v>1.8230051036595741E-2</v>
      </c>
      <c r="H35" s="97">
        <v>590.95270361002497</v>
      </c>
      <c r="I35" s="137">
        <f t="shared" si="13"/>
        <v>1.126557081321264E-2</v>
      </c>
      <c r="J35" s="97">
        <v>1677.3541852070268</v>
      </c>
      <c r="K35" s="138">
        <f t="shared" si="14"/>
        <v>3.1976082412101502E-2</v>
      </c>
      <c r="N35" s="1225" t="s">
        <v>406</v>
      </c>
      <c r="O35" s="1227" t="s">
        <v>95</v>
      </c>
      <c r="P35" s="118" t="s">
        <v>418</v>
      </c>
      <c r="Q35" s="114">
        <f t="shared" ref="Q35:X38" si="18">D73+D81</f>
        <v>473.86675414781877</v>
      </c>
      <c r="R35" s="115">
        <f t="shared" si="18"/>
        <v>0.14588045666912636</v>
      </c>
      <c r="S35" s="114">
        <f t="shared" si="18"/>
        <v>247.40372297137503</v>
      </c>
      <c r="T35" s="115">
        <f t="shared" si="18"/>
        <v>7.6163537055076488E-2</v>
      </c>
      <c r="U35" s="114">
        <f t="shared" si="18"/>
        <v>135.43792711074423</v>
      </c>
      <c r="V35" s="115">
        <f t="shared" si="18"/>
        <v>4.1694730605793782E-2</v>
      </c>
      <c r="W35" s="116">
        <f t="shared" si="18"/>
        <v>383.64247544758155</v>
      </c>
      <c r="X35" s="117">
        <f t="shared" si="18"/>
        <v>0.11810480272374033</v>
      </c>
      <c r="Z35" s="107"/>
    </row>
    <row r="36" spans="1:26">
      <c r="A36" s="1222" t="s">
        <v>406</v>
      </c>
      <c r="B36" s="1223" t="s">
        <v>98</v>
      </c>
      <c r="C36" s="1242" t="s">
        <v>420</v>
      </c>
      <c r="D36" s="88">
        <v>2684.7965005462302</v>
      </c>
      <c r="E36" s="137">
        <f t="shared" si="11"/>
        <v>5.1181363434337553E-2</v>
      </c>
      <c r="F36" s="97">
        <v>2831.4934321401925</v>
      </c>
      <c r="G36" s="137">
        <f t="shared" si="12"/>
        <v>5.3977906475527145E-2</v>
      </c>
      <c r="H36" s="97">
        <v>1665.1885876981498</v>
      </c>
      <c r="I36" s="137">
        <f t="shared" si="13"/>
        <v>3.1744164697901929E-2</v>
      </c>
      <c r="J36" s="97">
        <v>4328.0159537680975</v>
      </c>
      <c r="K36" s="138">
        <f t="shared" si="14"/>
        <v>8.2506721620930451E-2</v>
      </c>
      <c r="N36" s="1225" t="s">
        <v>406</v>
      </c>
      <c r="O36" s="1223" t="s">
        <v>96</v>
      </c>
      <c r="P36" s="1230" t="s">
        <v>418</v>
      </c>
      <c r="Q36" s="114">
        <f t="shared" si="18"/>
        <v>250.21546333792142</v>
      </c>
      <c r="R36" s="115">
        <f t="shared" si="18"/>
        <v>7.7029134747078426E-2</v>
      </c>
      <c r="S36" s="114">
        <f t="shared" si="18"/>
        <v>108.01916384876547</v>
      </c>
      <c r="T36" s="115">
        <f t="shared" si="18"/>
        <v>3.3253830983803419E-2</v>
      </c>
      <c r="U36" s="114">
        <f t="shared" si="18"/>
        <v>65.768331881667763</v>
      </c>
      <c r="V36" s="115">
        <f t="shared" si="18"/>
        <v>2.0246860969426624E-2</v>
      </c>
      <c r="W36" s="116">
        <f t="shared" si="18"/>
        <v>200.66382989010194</v>
      </c>
      <c r="X36" s="117">
        <f t="shared" si="18"/>
        <v>6.1774604116271274E-2</v>
      </c>
      <c r="Z36" s="107"/>
    </row>
    <row r="37" spans="1:26">
      <c r="A37" s="1222" t="s">
        <v>415</v>
      </c>
      <c r="B37" s="1227" t="s">
        <v>95</v>
      </c>
      <c r="C37" s="139" t="s">
        <v>420</v>
      </c>
      <c r="D37" s="88">
        <v>12.921696860216619</v>
      </c>
      <c r="E37" s="137">
        <f t="shared" si="11"/>
        <v>2.4633154246756931E-4</v>
      </c>
      <c r="F37" s="97">
        <v>15.520380804158773</v>
      </c>
      <c r="G37" s="137">
        <f t="shared" si="12"/>
        <v>2.9587130734688922E-4</v>
      </c>
      <c r="H37" s="97">
        <v>7.1957720582794487</v>
      </c>
      <c r="I37" s="137">
        <f t="shared" si="13"/>
        <v>1.3717591811167885E-4</v>
      </c>
      <c r="J37" s="97">
        <v>21.484454105070981</v>
      </c>
      <c r="K37" s="138">
        <f t="shared" si="14"/>
        <v>4.095668530245273E-4</v>
      </c>
      <c r="N37" s="1225" t="s">
        <v>406</v>
      </c>
      <c r="O37" s="1223" t="s">
        <v>97</v>
      </c>
      <c r="P37" s="1230" t="s">
        <v>418</v>
      </c>
      <c r="Q37" s="114">
        <f t="shared" si="18"/>
        <v>18.820377194547092</v>
      </c>
      <c r="R37" s="115">
        <f t="shared" si="18"/>
        <v>5.7938760121780926E-3</v>
      </c>
      <c r="S37" s="114">
        <f t="shared" si="18"/>
        <v>19.712254547851234</v>
      </c>
      <c r="T37" s="115">
        <f t="shared" si="18"/>
        <v>6.0684415402595879E-3</v>
      </c>
      <c r="U37" s="114">
        <f t="shared" si="18"/>
        <v>7.0333015832763088</v>
      </c>
      <c r="V37" s="115">
        <f t="shared" si="18"/>
        <v>2.1652104476187384E-3</v>
      </c>
      <c r="W37" s="116">
        <f t="shared" si="18"/>
        <v>26.759454524762553</v>
      </c>
      <c r="X37" s="117">
        <f t="shared" si="18"/>
        <v>8.2379306252646708E-3</v>
      </c>
    </row>
    <row r="38" spans="1:26">
      <c r="A38" s="1222" t="s">
        <v>415</v>
      </c>
      <c r="B38" s="1223" t="s">
        <v>96</v>
      </c>
      <c r="C38" s="1242" t="s">
        <v>420</v>
      </c>
      <c r="D38" s="88">
        <v>79.648198759488338</v>
      </c>
      <c r="E38" s="137">
        <f t="shared" si="11"/>
        <v>1.5183658823938234E-3</v>
      </c>
      <c r="F38" s="97">
        <v>99.306156861191099</v>
      </c>
      <c r="G38" s="137">
        <f t="shared" si="12"/>
        <v>1.8931135021018834E-3</v>
      </c>
      <c r="H38" s="97">
        <v>55.804836921505093</v>
      </c>
      <c r="I38" s="137">
        <f t="shared" si="13"/>
        <v>1.0638302155460925E-3</v>
      </c>
      <c r="J38" s="97">
        <v>156.05327098952526</v>
      </c>
      <c r="K38" s="138">
        <f t="shared" si="14"/>
        <v>2.9749067298050608E-3</v>
      </c>
      <c r="N38" s="1225" t="s">
        <v>406</v>
      </c>
      <c r="O38" s="1233" t="s">
        <v>98</v>
      </c>
      <c r="P38" s="1234" t="s">
        <v>418</v>
      </c>
      <c r="Q38" s="114">
        <f t="shared" si="18"/>
        <v>12.967963249876917</v>
      </c>
      <c r="R38" s="115">
        <f t="shared" si="18"/>
        <v>3.9922032605190314E-3</v>
      </c>
      <c r="S38" s="114">
        <f t="shared" si="18"/>
        <v>4.9015121687843095</v>
      </c>
      <c r="T38" s="115">
        <f t="shared" si="18"/>
        <v>1.5089364832893211E-3</v>
      </c>
      <c r="U38" s="114">
        <f t="shared" si="18"/>
        <v>0</v>
      </c>
      <c r="V38" s="115">
        <f t="shared" si="18"/>
        <v>0</v>
      </c>
      <c r="W38" s="116">
        <f t="shared" si="18"/>
        <v>5.5444675606423175</v>
      </c>
      <c r="X38" s="117">
        <f t="shared" si="18"/>
        <v>1.706871082754522E-3</v>
      </c>
    </row>
    <row r="39" spans="1:26" ht="13.5" thickBot="1">
      <c r="A39" s="1222" t="s">
        <v>415</v>
      </c>
      <c r="B39" s="1223" t="s">
        <v>97</v>
      </c>
      <c r="C39" s="1242" t="s">
        <v>420</v>
      </c>
      <c r="D39" s="88">
        <v>50.128922009936623</v>
      </c>
      <c r="E39" s="137">
        <f t="shared" si="11"/>
        <v>9.556279499917913E-4</v>
      </c>
      <c r="F39" s="97">
        <v>80.223636257448845</v>
      </c>
      <c r="G39" s="137">
        <f t="shared" si="12"/>
        <v>1.5293356805557588E-3</v>
      </c>
      <c r="H39" s="97">
        <v>49.707914571457792</v>
      </c>
      <c r="I39" s="137">
        <f t="shared" si="13"/>
        <v>9.4760211462104321E-4</v>
      </c>
      <c r="J39" s="97">
        <v>152.25291783157937</v>
      </c>
      <c r="K39" s="138">
        <f t="shared" si="14"/>
        <v>2.9024590578432983E-3</v>
      </c>
      <c r="N39" s="140" t="s">
        <v>103</v>
      </c>
      <c r="O39" s="141"/>
      <c r="P39" s="142" t="s">
        <v>418</v>
      </c>
      <c r="Q39" s="143">
        <f t="shared" ref="Q39:X39" si="19">SUM(Q31:Q38)</f>
        <v>1368.7316998203185</v>
      </c>
      <c r="R39" s="144">
        <f t="shared" si="19"/>
        <v>0.42136571869528511</v>
      </c>
      <c r="S39" s="143">
        <f t="shared" si="19"/>
        <v>611.77156550675011</v>
      </c>
      <c r="T39" s="144">
        <f t="shared" si="19"/>
        <v>0.18833462059140713</v>
      </c>
      <c r="U39" s="143">
        <f t="shared" si="19"/>
        <v>290.24855523373412</v>
      </c>
      <c r="V39" s="144">
        <f t="shared" si="19"/>
        <v>8.9353370782882927E-2</v>
      </c>
      <c r="W39" s="145">
        <f t="shared" si="19"/>
        <v>977.57057277117678</v>
      </c>
      <c r="X39" s="146">
        <f t="shared" si="19"/>
        <v>0.30094628993042455</v>
      </c>
      <c r="Y39" s="106">
        <f>SUM(R31:R38,T31:T38,V31:V38,X31:X38)</f>
        <v>0.99999999999999944</v>
      </c>
      <c r="Z39" s="107">
        <f>SUM(Q31:Q38,S31:S38,U31:U38,W31:W38)</f>
        <v>3248.3223933319796</v>
      </c>
    </row>
    <row r="40" spans="1:26" ht="14.25" thickTop="1" thickBot="1">
      <c r="A40" s="1222" t="s">
        <v>415</v>
      </c>
      <c r="B40" s="1223" t="s">
        <v>98</v>
      </c>
      <c r="C40" s="1242" t="s">
        <v>420</v>
      </c>
      <c r="D40" s="88">
        <v>30.843999984542474</v>
      </c>
      <c r="E40" s="137">
        <f t="shared" si="11"/>
        <v>5.8799166814184659E-4</v>
      </c>
      <c r="F40" s="97">
        <v>86.786335299720875</v>
      </c>
      <c r="G40" s="137">
        <f t="shared" si="12"/>
        <v>1.6544430712739627E-3</v>
      </c>
      <c r="H40" s="97">
        <v>83.846571598774943</v>
      </c>
      <c r="I40" s="137">
        <f t="shared" si="13"/>
        <v>1.5984011647985276E-3</v>
      </c>
      <c r="J40" s="97">
        <v>239.2742505003423</v>
      </c>
      <c r="K40" s="138">
        <f t="shared" si="14"/>
        <v>4.5613819791724174E-3</v>
      </c>
      <c r="Z40" s="107">
        <f>SUM(Z12:Z39)</f>
        <v>64487.747712342585</v>
      </c>
    </row>
    <row r="41" spans="1:26" ht="14.25" thickTop="1" thickBot="1">
      <c r="A41" s="1222" t="s">
        <v>417</v>
      </c>
      <c r="B41" s="1227" t="s">
        <v>95</v>
      </c>
      <c r="C41" s="139" t="s">
        <v>420</v>
      </c>
      <c r="D41" s="88">
        <v>255.54848503674177</v>
      </c>
      <c r="E41" s="137">
        <f t="shared" si="11"/>
        <v>4.8716243056406037E-3</v>
      </c>
      <c r="F41" s="97">
        <v>200.45113478308218</v>
      </c>
      <c r="G41" s="137">
        <f t="shared" si="12"/>
        <v>3.8212811950816424E-3</v>
      </c>
      <c r="H41" s="97">
        <v>128.55236551203907</v>
      </c>
      <c r="I41" s="137">
        <f t="shared" si="13"/>
        <v>2.4506458267048751E-3</v>
      </c>
      <c r="J41" s="97">
        <v>308.95586636534824</v>
      </c>
      <c r="K41" s="138">
        <f t="shared" si="14"/>
        <v>5.8897508538909198E-3</v>
      </c>
      <c r="N41" s="67">
        <v>2010</v>
      </c>
      <c r="O41" s="68"/>
      <c r="P41" s="68"/>
      <c r="Q41" s="69" t="s">
        <v>89</v>
      </c>
      <c r="R41" s="69" t="s">
        <v>90</v>
      </c>
      <c r="S41" s="69" t="s">
        <v>91</v>
      </c>
      <c r="T41" s="69" t="s">
        <v>90</v>
      </c>
      <c r="U41" s="69" t="s">
        <v>92</v>
      </c>
      <c r="V41" s="70" t="s">
        <v>90</v>
      </c>
      <c r="W41" s="71" t="s">
        <v>93</v>
      </c>
      <c r="X41" s="72" t="s">
        <v>90</v>
      </c>
      <c r="Y41" s="147" t="s">
        <v>104</v>
      </c>
    </row>
    <row r="42" spans="1:26">
      <c r="A42" s="1222" t="s">
        <v>417</v>
      </c>
      <c r="B42" s="1223" t="s">
        <v>96</v>
      </c>
      <c r="C42" s="1242" t="s">
        <v>420</v>
      </c>
      <c r="D42" s="88">
        <v>1049.634723764568</v>
      </c>
      <c r="E42" s="137">
        <f t="shared" si="11"/>
        <v>2.0009611998289257E-2</v>
      </c>
      <c r="F42" s="97">
        <v>933.31279640489947</v>
      </c>
      <c r="G42" s="137">
        <f t="shared" si="12"/>
        <v>1.779211996924104E-2</v>
      </c>
      <c r="H42" s="97">
        <v>602.75520684753474</v>
      </c>
      <c r="I42" s="137">
        <f t="shared" si="13"/>
        <v>1.1490566714209619E-2</v>
      </c>
      <c r="J42" s="97">
        <v>1444.972847079267</v>
      </c>
      <c r="K42" s="138">
        <f t="shared" si="14"/>
        <v>2.7546102814148821E-2</v>
      </c>
      <c r="N42" s="79" t="s">
        <v>405</v>
      </c>
      <c r="O42" s="80" t="s">
        <v>95</v>
      </c>
      <c r="P42" s="81" t="s">
        <v>419</v>
      </c>
      <c r="Q42" s="82"/>
      <c r="R42" s="83"/>
      <c r="S42" s="82"/>
      <c r="T42" s="83"/>
      <c r="U42" s="82"/>
      <c r="V42" s="83"/>
      <c r="W42" s="82"/>
      <c r="X42" s="84"/>
    </row>
    <row r="43" spans="1:26">
      <c r="A43" s="1222" t="s">
        <v>417</v>
      </c>
      <c r="B43" s="1223" t="s">
        <v>97</v>
      </c>
      <c r="C43" s="1242" t="s">
        <v>420</v>
      </c>
      <c r="D43" s="88">
        <v>450.70702768751107</v>
      </c>
      <c r="E43" s="137">
        <f t="shared" si="11"/>
        <v>8.5920106726119928E-3</v>
      </c>
      <c r="F43" s="97">
        <v>486.43731395288205</v>
      </c>
      <c r="G43" s="137">
        <f t="shared" si="12"/>
        <v>9.2731515958025638E-3</v>
      </c>
      <c r="H43" s="97">
        <v>288.72363853104326</v>
      </c>
      <c r="I43" s="137">
        <f t="shared" si="13"/>
        <v>5.5040556976050691E-3</v>
      </c>
      <c r="J43" s="97">
        <v>695.0617901362989</v>
      </c>
      <c r="K43" s="138">
        <f t="shared" si="14"/>
        <v>1.3250244509425383E-2</v>
      </c>
      <c r="L43" s="106">
        <f>SUM(E25:E44,G25:G44,I25:I44,K25:K44)</f>
        <v>1.0000000000000004</v>
      </c>
      <c r="N43" s="1225" t="s">
        <v>405</v>
      </c>
      <c r="O43" s="1223" t="s">
        <v>96</v>
      </c>
      <c r="P43" s="1226" t="s">
        <v>419</v>
      </c>
      <c r="Q43" s="94"/>
      <c r="R43" s="95"/>
      <c r="S43" s="94"/>
      <c r="T43" s="95"/>
      <c r="U43" s="94"/>
      <c r="V43" s="95"/>
      <c r="W43" s="94"/>
      <c r="X43" s="96"/>
    </row>
    <row r="44" spans="1:26">
      <c r="A44" s="1245" t="s">
        <v>417</v>
      </c>
      <c r="B44" s="1235" t="s">
        <v>98</v>
      </c>
      <c r="C44" s="1246" t="s">
        <v>420</v>
      </c>
      <c r="D44" s="88">
        <v>311.92276703296579</v>
      </c>
      <c r="E44" s="137">
        <f t="shared" si="11"/>
        <v>5.9463100833565489E-3</v>
      </c>
      <c r="F44" s="97">
        <v>742.27132236071168</v>
      </c>
      <c r="G44" s="137">
        <f t="shared" si="12"/>
        <v>1.4150218949145916E-2</v>
      </c>
      <c r="H44" s="97">
        <v>455.15909957475719</v>
      </c>
      <c r="I44" s="137">
        <f t="shared" si="13"/>
        <v>8.6768823227540356E-3</v>
      </c>
      <c r="J44" s="97">
        <v>1136.0512347844344</v>
      </c>
      <c r="K44" s="138">
        <f t="shared" si="14"/>
        <v>2.1657004959482168E-2</v>
      </c>
      <c r="L44" s="1161">
        <v>52456.525586518503</v>
      </c>
      <c r="N44" s="1225" t="s">
        <v>405</v>
      </c>
      <c r="O44" s="1223" t="s">
        <v>97</v>
      </c>
      <c r="P44" s="1226" t="s">
        <v>419</v>
      </c>
      <c r="Q44" s="94"/>
      <c r="R44" s="95"/>
      <c r="S44" s="94"/>
      <c r="T44" s="95"/>
      <c r="U44" s="94"/>
      <c r="V44" s="95"/>
      <c r="W44" s="94"/>
      <c r="X44" s="96"/>
    </row>
    <row r="45" spans="1:26">
      <c r="A45" s="1215" t="s">
        <v>405</v>
      </c>
      <c r="B45" s="1216" t="s">
        <v>95</v>
      </c>
      <c r="C45" s="1237" t="s">
        <v>421</v>
      </c>
      <c r="D45" s="1238">
        <v>19.336601170717362</v>
      </c>
      <c r="E45" s="1239">
        <f>D45/$L$64</f>
        <v>2.2540101073959136E-3</v>
      </c>
      <c r="F45" s="1240">
        <v>5.6458830579576897</v>
      </c>
      <c r="G45" s="1239">
        <f>F45/$L$64</f>
        <v>6.5812380187494279E-4</v>
      </c>
      <c r="H45" s="1240">
        <v>1.0769549980451809</v>
      </c>
      <c r="I45" s="1239">
        <f>H45/$L$64</f>
        <v>1.255374421478192E-4</v>
      </c>
      <c r="J45" s="1240">
        <v>4.3024136741355203</v>
      </c>
      <c r="K45" s="1241">
        <f>J45/$L$64</f>
        <v>5.015195701706703E-4</v>
      </c>
      <c r="N45" s="1225" t="s">
        <v>405</v>
      </c>
      <c r="O45" s="1223" t="s">
        <v>98</v>
      </c>
      <c r="P45" s="1226" t="s">
        <v>419</v>
      </c>
      <c r="Q45" s="94"/>
      <c r="R45" s="95"/>
      <c r="S45" s="94"/>
      <c r="T45" s="95"/>
      <c r="U45" s="94"/>
      <c r="V45" s="95"/>
      <c r="W45" s="94"/>
      <c r="X45" s="96"/>
    </row>
    <row r="46" spans="1:26">
      <c r="A46" s="1222" t="s">
        <v>405</v>
      </c>
      <c r="B46" s="1223" t="s">
        <v>96</v>
      </c>
      <c r="C46" s="1242" t="s">
        <v>421</v>
      </c>
      <c r="D46" s="88">
        <v>527.836238544195</v>
      </c>
      <c r="E46" s="137">
        <f t="shared" ref="E46:E64" si="20">D46/$L$64</f>
        <v>6.1528300978259141E-2</v>
      </c>
      <c r="F46" s="97">
        <v>118.94265519197542</v>
      </c>
      <c r="G46" s="137">
        <f t="shared" ref="G46:G64" si="21">F46/$L$64</f>
        <v>1.3864791678550897E-2</v>
      </c>
      <c r="H46" s="97">
        <v>33.553001197283372</v>
      </c>
      <c r="I46" s="137">
        <f t="shared" ref="I46:I64" si="22">H46/$L$64</f>
        <v>3.9111735906656332E-3</v>
      </c>
      <c r="J46" s="97">
        <v>106.81994345683545</v>
      </c>
      <c r="K46" s="138">
        <f t="shared" ref="K46:K64" si="23">J46/$L$64</f>
        <v>1.2451683214513686E-2</v>
      </c>
      <c r="N46" s="1225" t="s">
        <v>406</v>
      </c>
      <c r="O46" s="1227" t="s">
        <v>95</v>
      </c>
      <c r="P46" s="99" t="s">
        <v>419</v>
      </c>
      <c r="Q46" s="94"/>
      <c r="R46" s="95"/>
      <c r="S46" s="94"/>
      <c r="T46" s="95"/>
      <c r="U46" s="94"/>
      <c r="V46" s="95"/>
      <c r="W46" s="94"/>
      <c r="X46" s="96"/>
    </row>
    <row r="47" spans="1:26">
      <c r="A47" s="1222" t="s">
        <v>405</v>
      </c>
      <c r="B47" s="1223" t="s">
        <v>97</v>
      </c>
      <c r="C47" s="1242" t="s">
        <v>421</v>
      </c>
      <c r="D47" s="88">
        <v>486.39315981066267</v>
      </c>
      <c r="E47" s="137">
        <f t="shared" si="20"/>
        <v>5.6697404507764219E-2</v>
      </c>
      <c r="F47" s="97">
        <v>77.373452233722233</v>
      </c>
      <c r="G47" s="137">
        <f t="shared" si="21"/>
        <v>9.0191932821694961E-3</v>
      </c>
      <c r="H47" s="97">
        <v>70.962430638825353</v>
      </c>
      <c r="I47" s="137">
        <f t="shared" si="22"/>
        <v>8.271879555933349E-3</v>
      </c>
      <c r="J47" s="97">
        <v>69.427369667238807</v>
      </c>
      <c r="K47" s="138">
        <f t="shared" si="23"/>
        <v>8.092942062478457E-3</v>
      </c>
      <c r="N47" s="1225" t="s">
        <v>406</v>
      </c>
      <c r="O47" s="1223" t="s">
        <v>96</v>
      </c>
      <c r="P47" s="1226" t="s">
        <v>419</v>
      </c>
      <c r="Q47" s="94"/>
      <c r="R47" s="95"/>
      <c r="S47" s="94"/>
      <c r="T47" s="95"/>
      <c r="U47" s="94"/>
      <c r="V47" s="95"/>
      <c r="W47" s="94"/>
      <c r="X47" s="96"/>
    </row>
    <row r="48" spans="1:26">
      <c r="A48" s="1222" t="s">
        <v>405</v>
      </c>
      <c r="B48" s="1223" t="s">
        <v>98</v>
      </c>
      <c r="C48" s="1242" t="s">
        <v>421</v>
      </c>
      <c r="D48" s="88">
        <v>278.98260002532345</v>
      </c>
      <c r="E48" s="137">
        <f t="shared" si="20"/>
        <v>3.2520172221214706E-2</v>
      </c>
      <c r="F48" s="97">
        <v>198.67824017115066</v>
      </c>
      <c r="G48" s="137">
        <f t="shared" si="21"/>
        <v>2.3159331751826828E-2</v>
      </c>
      <c r="H48" s="97">
        <v>387.9245066259158</v>
      </c>
      <c r="I48" s="137">
        <f t="shared" si="22"/>
        <v>4.5219206370431059E-2</v>
      </c>
      <c r="J48" s="97">
        <v>285.00904811512163</v>
      </c>
      <c r="K48" s="138">
        <f t="shared" si="23"/>
        <v>3.3222657357365341E-2</v>
      </c>
      <c r="N48" s="1225" t="s">
        <v>406</v>
      </c>
      <c r="O48" s="1223" t="s">
        <v>97</v>
      </c>
      <c r="P48" s="1226" t="s">
        <v>419</v>
      </c>
      <c r="Q48" s="94"/>
      <c r="R48" s="95"/>
      <c r="S48" s="94"/>
      <c r="T48" s="95"/>
      <c r="U48" s="94"/>
      <c r="V48" s="95"/>
      <c r="W48" s="94"/>
      <c r="X48" s="96"/>
    </row>
    <row r="49" spans="1:27" ht="13.5" thickBot="1">
      <c r="A49" s="1222" t="s">
        <v>416</v>
      </c>
      <c r="B49" s="1227" t="s">
        <v>95</v>
      </c>
      <c r="C49" s="139" t="s">
        <v>421</v>
      </c>
      <c r="D49" s="88">
        <v>0.76355313241099199</v>
      </c>
      <c r="E49" s="137">
        <f t="shared" si="20"/>
        <v>8.9005118469035342E-5</v>
      </c>
      <c r="F49" s="90"/>
      <c r="G49" s="137">
        <f t="shared" si="21"/>
        <v>0</v>
      </c>
      <c r="H49" s="97">
        <v>9.461739763844304E-2</v>
      </c>
      <c r="I49" s="137">
        <f t="shared" si="22"/>
        <v>1.1029268728752339E-5</v>
      </c>
      <c r="J49" s="90"/>
      <c r="K49" s="138">
        <f t="shared" si="23"/>
        <v>0</v>
      </c>
      <c r="N49" s="1225" t="s">
        <v>406</v>
      </c>
      <c r="O49" s="1228" t="s">
        <v>98</v>
      </c>
      <c r="P49" s="1229" t="s">
        <v>419</v>
      </c>
      <c r="Q49" s="94"/>
      <c r="R49" s="95"/>
      <c r="S49" s="103"/>
      <c r="T49" s="104"/>
      <c r="U49" s="103"/>
      <c r="V49" s="104"/>
      <c r="W49" s="103"/>
      <c r="X49" s="105"/>
    </row>
    <row r="50" spans="1:27">
      <c r="A50" s="1222" t="s">
        <v>416</v>
      </c>
      <c r="B50" s="1223" t="s">
        <v>96</v>
      </c>
      <c r="C50" s="1242" t="s">
        <v>421</v>
      </c>
      <c r="D50" s="88">
        <v>17.632124799441808</v>
      </c>
      <c r="E50" s="137">
        <f t="shared" si="20"/>
        <v>2.0553243645006908E-3</v>
      </c>
      <c r="F50" s="97">
        <v>2.057570521865554</v>
      </c>
      <c r="G50" s="137">
        <f t="shared" si="21"/>
        <v>2.3984487821924639E-4</v>
      </c>
      <c r="H50" s="97">
        <v>1.7978351889236368</v>
      </c>
      <c r="I50" s="137">
        <f t="shared" si="22"/>
        <v>2.0956830269647551E-4</v>
      </c>
      <c r="J50" s="97">
        <v>2.7501397815652715</v>
      </c>
      <c r="K50" s="138">
        <f t="shared" si="23"/>
        <v>3.2057561769371402E-4</v>
      </c>
      <c r="N50" s="79" t="s">
        <v>405</v>
      </c>
      <c r="O50" s="80" t="s">
        <v>95</v>
      </c>
      <c r="P50" s="108" t="s">
        <v>420</v>
      </c>
      <c r="Q50" s="109">
        <v>215.36845597385309</v>
      </c>
      <c r="R50" s="110">
        <f>Q50/$Z$50</f>
        <v>0.21240727246502528</v>
      </c>
      <c r="S50" s="109">
        <v>268.98701171877809</v>
      </c>
      <c r="T50" s="110">
        <f>S50/Z50</f>
        <v>0.26528860612085148</v>
      </c>
      <c r="U50" s="109">
        <v>129.74451882229951</v>
      </c>
      <c r="V50" s="110">
        <f>U50/Z50</f>
        <v>0.12796061166765085</v>
      </c>
      <c r="W50" s="109">
        <v>399.8410780939347</v>
      </c>
      <c r="X50" s="110">
        <f>W50/Z50</f>
        <v>0.39434350974647236</v>
      </c>
      <c r="Z50" s="107">
        <f>Q50+S50+U50+W50</f>
        <v>1013.9410646088654</v>
      </c>
    </row>
    <row r="51" spans="1:27">
      <c r="A51" s="1222" t="s">
        <v>416</v>
      </c>
      <c r="B51" s="1223" t="s">
        <v>97</v>
      </c>
      <c r="C51" s="1242" t="s">
        <v>421</v>
      </c>
      <c r="D51" s="88">
        <v>29.762593033148047</v>
      </c>
      <c r="E51" s="137">
        <f t="shared" si="20"/>
        <v>3.4693369805143541E-3</v>
      </c>
      <c r="F51" s="97">
        <v>1.5572459502016751</v>
      </c>
      <c r="G51" s="137">
        <f t="shared" si="21"/>
        <v>1.8152353045226049E-4</v>
      </c>
      <c r="H51" s="97">
        <v>3.5269581514783201</v>
      </c>
      <c r="I51" s="137">
        <f t="shared" si="22"/>
        <v>4.1112702545850841E-4</v>
      </c>
      <c r="J51" s="97">
        <v>1.5820185573946097</v>
      </c>
      <c r="K51" s="138">
        <f t="shared" si="23"/>
        <v>1.8441119961947597E-4</v>
      </c>
      <c r="N51" s="1225" t="s">
        <v>405</v>
      </c>
      <c r="O51" s="1223" t="s">
        <v>96</v>
      </c>
      <c r="P51" s="1230" t="s">
        <v>420</v>
      </c>
      <c r="Q51" s="114">
        <v>4338.6188360001061</v>
      </c>
      <c r="R51" s="115">
        <f t="shared" ref="R51:R57" si="24">Q51/Z51</f>
        <v>0.28655585213214352</v>
      </c>
      <c r="S51" s="114">
        <v>3573.4751349337994</v>
      </c>
      <c r="T51" s="115">
        <f t="shared" ref="T51:T57" si="25">S51/Z51</f>
        <v>0.23601986048353485</v>
      </c>
      <c r="U51" s="114">
        <v>1860.3886641747486</v>
      </c>
      <c r="V51" s="115">
        <f t="shared" ref="V51:V57" si="26">U51/Z51</f>
        <v>0.12287441674665753</v>
      </c>
      <c r="W51" s="114">
        <v>5368.087008534073</v>
      </c>
      <c r="X51" s="115">
        <f t="shared" ref="X51:X57" si="27">W51/Z51</f>
        <v>0.35454987063766408</v>
      </c>
      <c r="Z51" s="107">
        <f t="shared" ref="Z51:Z57" si="28">Q51+S51+U51+W51</f>
        <v>15140.569643642728</v>
      </c>
    </row>
    <row r="52" spans="1:27">
      <c r="A52" s="1222" t="s">
        <v>416</v>
      </c>
      <c r="B52" s="1223" t="s">
        <v>98</v>
      </c>
      <c r="C52" s="1242" t="s">
        <v>421</v>
      </c>
      <c r="D52" s="88">
        <v>170.61233735804083</v>
      </c>
      <c r="E52" s="137">
        <f t="shared" si="20"/>
        <v>1.9887772905707538E-2</v>
      </c>
      <c r="F52" s="97">
        <v>64.107967444921641</v>
      </c>
      <c r="G52" s="137">
        <f t="shared" si="21"/>
        <v>7.472875160929887E-3</v>
      </c>
      <c r="H52" s="97">
        <v>69.706942200288736</v>
      </c>
      <c r="I52" s="137">
        <f t="shared" si="22"/>
        <v>8.1255310014383773E-3</v>
      </c>
      <c r="J52" s="97">
        <v>126.62047819977916</v>
      </c>
      <c r="K52" s="138">
        <f t="shared" si="23"/>
        <v>1.4759772679068917E-2</v>
      </c>
      <c r="N52" s="1225" t="s">
        <v>405</v>
      </c>
      <c r="O52" s="1223" t="s">
        <v>97</v>
      </c>
      <c r="P52" s="1230" t="s">
        <v>420</v>
      </c>
      <c r="Q52" s="114">
        <v>5570.8095078760125</v>
      </c>
      <c r="R52" s="115">
        <f t="shared" si="24"/>
        <v>0.31746813748645131</v>
      </c>
      <c r="S52" s="114">
        <v>3963.5775571842514</v>
      </c>
      <c r="T52" s="115">
        <f t="shared" si="25"/>
        <v>0.22587553623640949</v>
      </c>
      <c r="U52" s="114">
        <v>2302.8997676079184</v>
      </c>
      <c r="V52" s="115">
        <f t="shared" si="26"/>
        <v>0.13123717459856449</v>
      </c>
      <c r="W52" s="114">
        <v>5710.3308652299575</v>
      </c>
      <c r="X52" s="115">
        <f t="shared" si="27"/>
        <v>0.32541915167857477</v>
      </c>
      <c r="Z52" s="107">
        <f t="shared" si="28"/>
        <v>17547.617697898138</v>
      </c>
      <c r="AA52" s="1161">
        <v>2070</v>
      </c>
    </row>
    <row r="53" spans="1:27">
      <c r="A53" s="1222" t="s">
        <v>406</v>
      </c>
      <c r="B53" s="1227" t="s">
        <v>95</v>
      </c>
      <c r="C53" s="139" t="s">
        <v>421</v>
      </c>
      <c r="D53" s="88">
        <v>40.891845121312002</v>
      </c>
      <c r="E53" s="137">
        <f t="shared" si="20"/>
        <v>4.7666408072316938E-3</v>
      </c>
      <c r="F53" s="97">
        <v>14.649318559876885</v>
      </c>
      <c r="G53" s="137">
        <f t="shared" si="21"/>
        <v>1.7076275095557582E-3</v>
      </c>
      <c r="H53" s="97">
        <v>3.1017861533750737</v>
      </c>
      <c r="I53" s="137">
        <f t="shared" si="22"/>
        <v>3.6156598974982805E-4</v>
      </c>
      <c r="J53" s="97">
        <v>8.4683491282401615</v>
      </c>
      <c r="K53" s="138">
        <f t="shared" si="23"/>
        <v>9.8713028000579927E-4</v>
      </c>
      <c r="N53" s="1225" t="s">
        <v>405</v>
      </c>
      <c r="O53" s="1223" t="s">
        <v>98</v>
      </c>
      <c r="P53" s="1230" t="s">
        <v>420</v>
      </c>
      <c r="Q53" s="114">
        <v>2828.5415145853794</v>
      </c>
      <c r="R53" s="115">
        <f t="shared" si="24"/>
        <v>0.1830919048634311</v>
      </c>
      <c r="S53" s="114">
        <v>3650.2631125095654</v>
      </c>
      <c r="T53" s="115">
        <f t="shared" si="25"/>
        <v>0.23628206376884683</v>
      </c>
      <c r="U53" s="114">
        <v>3403.2726906940602</v>
      </c>
      <c r="V53" s="115">
        <f t="shared" si="26"/>
        <v>0.22029433773405607</v>
      </c>
      <c r="W53" s="114">
        <v>5566.6751363142957</v>
      </c>
      <c r="X53" s="115">
        <f t="shared" si="27"/>
        <v>0.36033169363366596</v>
      </c>
      <c r="Z53" s="107">
        <f t="shared" si="28"/>
        <v>15448.752454103302</v>
      </c>
    </row>
    <row r="54" spans="1:27">
      <c r="A54" s="1222" t="s">
        <v>406</v>
      </c>
      <c r="B54" s="1223" t="s">
        <v>96</v>
      </c>
      <c r="C54" s="1242" t="s">
        <v>421</v>
      </c>
      <c r="D54" s="88">
        <v>453.06721546145849</v>
      </c>
      <c r="E54" s="137">
        <f t="shared" si="20"/>
        <v>5.2812698258799723E-2</v>
      </c>
      <c r="F54" s="97">
        <v>100.07981086285116</v>
      </c>
      <c r="G54" s="137">
        <f t="shared" si="21"/>
        <v>1.1666005997618096E-2</v>
      </c>
      <c r="H54" s="97">
        <v>43.182928011779758</v>
      </c>
      <c r="I54" s="137">
        <f t="shared" si="22"/>
        <v>5.0337055279860597E-3</v>
      </c>
      <c r="J54" s="97">
        <v>104.98293210244677</v>
      </c>
      <c r="K54" s="138">
        <f t="shared" si="23"/>
        <v>1.2237548262686497E-2</v>
      </c>
      <c r="N54" s="1225" t="s">
        <v>406</v>
      </c>
      <c r="O54" s="1227" t="s">
        <v>95</v>
      </c>
      <c r="P54" s="118" t="s">
        <v>420</v>
      </c>
      <c r="Q54" s="114">
        <v>795.19436151204229</v>
      </c>
      <c r="R54" s="115">
        <f t="shared" si="24"/>
        <v>0.28496317929892323</v>
      </c>
      <c r="S54" s="114">
        <v>612.67161354525172</v>
      </c>
      <c r="T54" s="115">
        <f t="shared" si="25"/>
        <v>0.21955494066894515</v>
      </c>
      <c r="U54" s="114">
        <v>384.78206919121442</v>
      </c>
      <c r="V54" s="115">
        <f t="shared" si="26"/>
        <v>0.13788920933173168</v>
      </c>
      <c r="W54" s="114">
        <v>997.8681321515736</v>
      </c>
      <c r="X54" s="115">
        <f t="shared" si="27"/>
        <v>0.35759267070039991</v>
      </c>
      <c r="Z54" s="107">
        <f t="shared" si="28"/>
        <v>2790.5161764000823</v>
      </c>
    </row>
    <row r="55" spans="1:27">
      <c r="A55" s="1222" t="s">
        <v>406</v>
      </c>
      <c r="B55" s="1223" t="s">
        <v>97</v>
      </c>
      <c r="C55" s="1242" t="s">
        <v>421</v>
      </c>
      <c r="D55" s="88">
        <v>297.66731000553449</v>
      </c>
      <c r="E55" s="137">
        <f t="shared" si="20"/>
        <v>3.4698193310719057E-2</v>
      </c>
      <c r="F55" s="97">
        <v>73.831610427683543</v>
      </c>
      <c r="G55" s="137">
        <f t="shared" si="21"/>
        <v>8.6063313133505747E-3</v>
      </c>
      <c r="H55" s="97">
        <v>58.820633985334482</v>
      </c>
      <c r="I55" s="137">
        <f t="shared" si="22"/>
        <v>6.8565464197067509E-3</v>
      </c>
      <c r="J55" s="97">
        <v>77.226489117477072</v>
      </c>
      <c r="K55" s="138">
        <f t="shared" si="23"/>
        <v>9.0020622286556742E-3</v>
      </c>
      <c r="N55" s="1225" t="s">
        <v>406</v>
      </c>
      <c r="O55" s="1223" t="s">
        <v>96</v>
      </c>
      <c r="P55" s="1230" t="s">
        <v>420</v>
      </c>
      <c r="Q55" s="114">
        <v>4539.1096572406532</v>
      </c>
      <c r="R55" s="115">
        <f t="shared" si="24"/>
        <v>0.26722881907126395</v>
      </c>
      <c r="S55" s="114">
        <v>3775.6035820834045</v>
      </c>
      <c r="T55" s="115">
        <f t="shared" si="25"/>
        <v>0.22227929323362675</v>
      </c>
      <c r="U55" s="114">
        <v>2348.9207110378006</v>
      </c>
      <c r="V55" s="115">
        <f t="shared" si="26"/>
        <v>0.13828687894802844</v>
      </c>
      <c r="W55" s="114">
        <v>6322.2198696566129</v>
      </c>
      <c r="X55" s="115">
        <f t="shared" si="27"/>
        <v>0.37220500874708096</v>
      </c>
      <c r="Z55" s="107">
        <f t="shared" si="28"/>
        <v>16985.85382001847</v>
      </c>
    </row>
    <row r="56" spans="1:27">
      <c r="A56" s="1222" t="s">
        <v>406</v>
      </c>
      <c r="B56" s="1223" t="s">
        <v>98</v>
      </c>
      <c r="C56" s="1242" t="s">
        <v>421</v>
      </c>
      <c r="D56" s="88">
        <v>702.44223964049183</v>
      </c>
      <c r="E56" s="137">
        <f t="shared" si="20"/>
        <v>8.1881603392079075E-2</v>
      </c>
      <c r="F56" s="97">
        <v>441.58166803829073</v>
      </c>
      <c r="G56" s="137">
        <f t="shared" si="21"/>
        <v>5.1473862144208918E-2</v>
      </c>
      <c r="H56" s="97">
        <v>246.65364910260544</v>
      </c>
      <c r="I56" s="137">
        <f t="shared" si="22"/>
        <v>2.8751682531741037E-2</v>
      </c>
      <c r="J56" s="97">
        <v>504.1899030468457</v>
      </c>
      <c r="K56" s="138">
        <f t="shared" si="23"/>
        <v>5.8771917953996625E-2</v>
      </c>
      <c r="N56" s="1225" t="s">
        <v>406</v>
      </c>
      <c r="O56" s="1223" t="s">
        <v>97</v>
      </c>
      <c r="P56" s="1230" t="s">
        <v>420</v>
      </c>
      <c r="Q56" s="114">
        <v>3298.3689604491024</v>
      </c>
      <c r="R56" s="115">
        <f t="shared" si="24"/>
        <v>0.27079202336999114</v>
      </c>
      <c r="S56" s="114">
        <v>2729.4749103197928</v>
      </c>
      <c r="T56" s="115">
        <f t="shared" si="25"/>
        <v>0.22408652354116379</v>
      </c>
      <c r="U56" s="114">
        <v>1664.2525391858048</v>
      </c>
      <c r="V56" s="115">
        <f t="shared" si="26"/>
        <v>0.13663308074042974</v>
      </c>
      <c r="W56" s="114">
        <v>4488.354547946833</v>
      </c>
      <c r="X56" s="115">
        <f t="shared" si="27"/>
        <v>0.36848837234841542</v>
      </c>
      <c r="Z56" s="107">
        <f t="shared" si="28"/>
        <v>12180.450957901532</v>
      </c>
    </row>
    <row r="57" spans="1:27">
      <c r="A57" s="1222" t="s">
        <v>415</v>
      </c>
      <c r="B57" s="1227" t="s">
        <v>95</v>
      </c>
      <c r="C57" s="139" t="s">
        <v>421</v>
      </c>
      <c r="D57" s="88">
        <v>15.103549548750985</v>
      </c>
      <c r="E57" s="137">
        <f t="shared" si="20"/>
        <v>1.7605758654211689E-3</v>
      </c>
      <c r="F57" s="97">
        <v>9.32202415270614</v>
      </c>
      <c r="G57" s="137">
        <f t="shared" si="21"/>
        <v>1.0866406394836425E-3</v>
      </c>
      <c r="H57" s="97">
        <v>3.9005384871168873</v>
      </c>
      <c r="I57" s="137">
        <f t="shared" si="22"/>
        <v>4.5467417446465661E-4</v>
      </c>
      <c r="J57" s="97">
        <v>9.3198700007555768</v>
      </c>
      <c r="K57" s="138">
        <f t="shared" si="23"/>
        <v>1.0863895363954334E-3</v>
      </c>
      <c r="N57" s="1225" t="s">
        <v>406</v>
      </c>
      <c r="O57" s="1233" t="s">
        <v>98</v>
      </c>
      <c r="P57" s="1234" t="s">
        <v>420</v>
      </c>
      <c r="Q57" s="114">
        <v>2357.2966017164599</v>
      </c>
      <c r="R57" s="115">
        <f t="shared" si="24"/>
        <v>0.20620770481609738</v>
      </c>
      <c r="S57" s="114">
        <v>2919.8554776162796</v>
      </c>
      <c r="T57" s="115">
        <f t="shared" si="25"/>
        <v>0.25541830247222497</v>
      </c>
      <c r="U57" s="114">
        <v>1702.4911860215593</v>
      </c>
      <c r="V57" s="115">
        <f t="shared" si="26"/>
        <v>0.1489277164712802</v>
      </c>
      <c r="W57" s="114">
        <v>4452.0178542860749</v>
      </c>
      <c r="X57" s="115">
        <f t="shared" si="27"/>
        <v>0.38944627624039729</v>
      </c>
      <c r="Z57" s="107">
        <f t="shared" si="28"/>
        <v>11431.661119640376</v>
      </c>
    </row>
    <row r="58" spans="1:27" ht="15.75" thickBot="1">
      <c r="A58" s="1222" t="s">
        <v>415</v>
      </c>
      <c r="B58" s="1223" t="s">
        <v>96</v>
      </c>
      <c r="C58" s="1242" t="s">
        <v>421</v>
      </c>
      <c r="D58" s="88">
        <v>204.91583514020755</v>
      </c>
      <c r="E58" s="137">
        <f t="shared" si="20"/>
        <v>2.3886429651916292E-2</v>
      </c>
      <c r="F58" s="97">
        <v>165.53277395261566</v>
      </c>
      <c r="G58" s="137">
        <f t="shared" si="21"/>
        <v>1.9295663301961599E-2</v>
      </c>
      <c r="H58" s="97">
        <v>81.56081778889569</v>
      </c>
      <c r="I58" s="137">
        <f t="shared" si="22"/>
        <v>9.5073020351708025E-3</v>
      </c>
      <c r="J58" s="97">
        <v>216.77761488771102</v>
      </c>
      <c r="K58" s="138">
        <f t="shared" si="23"/>
        <v>2.5269122049950851E-2</v>
      </c>
      <c r="N58" s="121" t="s">
        <v>103</v>
      </c>
      <c r="O58" s="122"/>
      <c r="P58" s="123" t="s">
        <v>420</v>
      </c>
      <c r="Q58" s="124">
        <f>SUM(Q50:Q57)</f>
        <v>23943.307895353602</v>
      </c>
      <c r="R58" s="125">
        <f>Q58/$Z$58</f>
        <v>0.25474708358987763</v>
      </c>
      <c r="S58" s="124">
        <f>SUM(S50:S57)</f>
        <v>21493.908399911121</v>
      </c>
      <c r="T58" s="125">
        <f>S58/$Z$58</f>
        <v>0.22868646653823049</v>
      </c>
      <c r="U58" s="124">
        <f>SUM(U50:U57)</f>
        <v>13796.752146735407</v>
      </c>
      <c r="V58" s="125">
        <f>U58/$Z$58</f>
        <v>0.14679184629602837</v>
      </c>
      <c r="W58" s="124">
        <f>SUM(W50:W57)</f>
        <v>33305.394492213352</v>
      </c>
      <c r="X58" s="125">
        <f>W58/$Z$58</f>
        <v>0.35435588732282913</v>
      </c>
      <c r="Y58" s="106">
        <f>1-R58-T58-V58-X58</f>
        <v>1.5418716253034315E-2</v>
      </c>
      <c r="Z58" s="149">
        <v>93988.545650636006</v>
      </c>
    </row>
    <row r="59" spans="1:27">
      <c r="A59" s="1222" t="s">
        <v>415</v>
      </c>
      <c r="B59" s="1223" t="s">
        <v>97</v>
      </c>
      <c r="C59" s="1242" t="s">
        <v>421</v>
      </c>
      <c r="D59" s="88">
        <v>138.06518511501392</v>
      </c>
      <c r="E59" s="137">
        <f t="shared" si="20"/>
        <v>1.6093848137075897E-2</v>
      </c>
      <c r="F59" s="97">
        <v>71.191832926044441</v>
      </c>
      <c r="G59" s="137">
        <f t="shared" si="21"/>
        <v>8.2986202985016241E-3</v>
      </c>
      <c r="H59" s="97">
        <v>70.39511881290241</v>
      </c>
      <c r="I59" s="137">
        <f t="shared" si="22"/>
        <v>8.2057497031021286E-3</v>
      </c>
      <c r="J59" s="97">
        <v>135.65478715877197</v>
      </c>
      <c r="K59" s="138">
        <f t="shared" si="23"/>
        <v>1.5812875213848651E-2</v>
      </c>
      <c r="N59" s="79" t="s">
        <v>405</v>
      </c>
      <c r="O59" s="80" t="s">
        <v>95</v>
      </c>
      <c r="P59" s="108" t="s">
        <v>421</v>
      </c>
      <c r="Q59" s="109"/>
      <c r="R59" s="110"/>
      <c r="S59" s="109"/>
      <c r="T59" s="110"/>
      <c r="U59" s="109"/>
      <c r="V59" s="110"/>
      <c r="W59" s="111"/>
      <c r="X59" s="112"/>
    </row>
    <row r="60" spans="1:27">
      <c r="A60" s="1222" t="s">
        <v>415</v>
      </c>
      <c r="B60" s="1223" t="s">
        <v>98</v>
      </c>
      <c r="C60" s="1242" t="s">
        <v>421</v>
      </c>
      <c r="D60" s="88">
        <v>135.83259623016525</v>
      </c>
      <c r="E60" s="137">
        <f t="shared" si="20"/>
        <v>1.5833601888643706E-2</v>
      </c>
      <c r="F60" s="97">
        <v>63.525620358955862</v>
      </c>
      <c r="G60" s="137">
        <f t="shared" si="21"/>
        <v>7.4049926925379133E-3</v>
      </c>
      <c r="H60" s="97">
        <v>98.701278449968527</v>
      </c>
      <c r="I60" s="137">
        <f t="shared" si="22"/>
        <v>1.1505314572864722E-2</v>
      </c>
      <c r="J60" s="97">
        <v>145.04997539184626</v>
      </c>
      <c r="K60" s="138">
        <f t="shared" si="23"/>
        <v>1.6908044372651289E-2</v>
      </c>
      <c r="N60" s="1225" t="s">
        <v>405</v>
      </c>
      <c r="O60" s="1223" t="s">
        <v>96</v>
      </c>
      <c r="P60" s="1230" t="s">
        <v>421</v>
      </c>
      <c r="Q60" s="114"/>
      <c r="R60" s="115"/>
      <c r="S60" s="114"/>
      <c r="T60" s="115"/>
      <c r="U60" s="114"/>
      <c r="V60" s="115"/>
      <c r="W60" s="116"/>
      <c r="X60" s="117"/>
    </row>
    <row r="61" spans="1:27">
      <c r="A61" s="1222" t="s">
        <v>417</v>
      </c>
      <c r="B61" s="1227" t="s">
        <v>95</v>
      </c>
      <c r="C61" s="139" t="s">
        <v>421</v>
      </c>
      <c r="D61" s="88">
        <v>31.600647511178543</v>
      </c>
      <c r="E61" s="137">
        <f t="shared" si="20"/>
        <v>3.6835935261630825E-3</v>
      </c>
      <c r="F61" s="97">
        <v>12.218444855467785</v>
      </c>
      <c r="G61" s="137">
        <f t="shared" si="21"/>
        <v>1.424267789242626E-3</v>
      </c>
      <c r="H61" s="97">
        <v>2.4057994993820864</v>
      </c>
      <c r="I61" s="137">
        <f t="shared" si="22"/>
        <v>2.8043689478310092E-4</v>
      </c>
      <c r="J61" s="97">
        <v>9.2436323132027702</v>
      </c>
      <c r="K61" s="138">
        <f t="shared" si="23"/>
        <v>1.0775027358252926E-3</v>
      </c>
      <c r="N61" s="1225" t="s">
        <v>405</v>
      </c>
      <c r="O61" s="1223" t="s">
        <v>97</v>
      </c>
      <c r="P61" s="1230" t="s">
        <v>421</v>
      </c>
      <c r="Q61" s="114"/>
      <c r="R61" s="115"/>
      <c r="S61" s="114"/>
      <c r="T61" s="115"/>
      <c r="U61" s="114"/>
      <c r="V61" s="115"/>
      <c r="W61" s="116"/>
      <c r="X61" s="117"/>
    </row>
    <row r="62" spans="1:27">
      <c r="A62" s="1222" t="s">
        <v>417</v>
      </c>
      <c r="B62" s="1223" t="s">
        <v>96</v>
      </c>
      <c r="C62" s="1242" t="s">
        <v>421</v>
      </c>
      <c r="D62" s="88">
        <v>176.74649238061272</v>
      </c>
      <c r="E62" s="137">
        <f t="shared" si="20"/>
        <v>2.0602813118780181E-2</v>
      </c>
      <c r="F62" s="97">
        <v>58.909792131365826</v>
      </c>
      <c r="G62" s="137">
        <f t="shared" si="21"/>
        <v>6.8669393197069674E-3</v>
      </c>
      <c r="H62" s="97">
        <v>24.763754048673036</v>
      </c>
      <c r="I62" s="137">
        <f t="shared" si="22"/>
        <v>2.8866371825108463E-3</v>
      </c>
      <c r="J62" s="97">
        <v>45.977799280187078</v>
      </c>
      <c r="K62" s="138">
        <f t="shared" si="23"/>
        <v>5.3594953621064695E-3</v>
      </c>
      <c r="N62" s="1225" t="s">
        <v>405</v>
      </c>
      <c r="O62" s="1223" t="s">
        <v>98</v>
      </c>
      <c r="P62" s="1230" t="s">
        <v>421</v>
      </c>
      <c r="Q62" s="114"/>
      <c r="R62" s="115"/>
      <c r="S62" s="114"/>
      <c r="T62" s="115"/>
      <c r="U62" s="114"/>
      <c r="V62" s="115"/>
      <c r="W62" s="116"/>
      <c r="X62" s="117"/>
    </row>
    <row r="63" spans="1:27">
      <c r="A63" s="1222" t="s">
        <v>417</v>
      </c>
      <c r="B63" s="1223" t="s">
        <v>97</v>
      </c>
      <c r="C63" s="1242" t="s">
        <v>421</v>
      </c>
      <c r="D63" s="88">
        <v>57.46136923040433</v>
      </c>
      <c r="E63" s="137">
        <f t="shared" si="20"/>
        <v>6.6981009685548034E-3</v>
      </c>
      <c r="F63" s="97">
        <v>20.260902669532118</v>
      </c>
      <c r="G63" s="137">
        <f t="shared" si="21"/>
        <v>2.3617531850038155E-3</v>
      </c>
      <c r="H63" s="97">
        <v>12.976735081989229</v>
      </c>
      <c r="I63" s="137">
        <f t="shared" si="22"/>
        <v>1.5126594264196502E-3</v>
      </c>
      <c r="J63" s="97">
        <v>21.981949081262343</v>
      </c>
      <c r="K63" s="138">
        <f t="shared" si="23"/>
        <v>2.5623704482492303E-3</v>
      </c>
      <c r="L63" s="106">
        <f>SUM(E45:E64,G45:G64,I45:I64,K45:K64)</f>
        <v>1</v>
      </c>
      <c r="N63" s="1225" t="s">
        <v>406</v>
      </c>
      <c r="O63" s="1227" t="s">
        <v>95</v>
      </c>
      <c r="P63" s="118" t="s">
        <v>421</v>
      </c>
      <c r="Q63" s="114"/>
      <c r="R63" s="115"/>
      <c r="S63" s="114"/>
      <c r="T63" s="115"/>
      <c r="U63" s="114"/>
      <c r="V63" s="115"/>
      <c r="W63" s="116"/>
      <c r="X63" s="117"/>
    </row>
    <row r="64" spans="1:27">
      <c r="A64" s="1245" t="s">
        <v>417</v>
      </c>
      <c r="B64" s="1235" t="s">
        <v>98</v>
      </c>
      <c r="C64" s="1246" t="s">
        <v>421</v>
      </c>
      <c r="D64" s="88">
        <v>84.289924842997976</v>
      </c>
      <c r="E64" s="137">
        <f t="shared" si="20"/>
        <v>9.8254259303581087E-3</v>
      </c>
      <c r="F64" s="97">
        <v>29.942322235765786</v>
      </c>
      <c r="G64" s="137">
        <f t="shared" si="21"/>
        <v>3.4902874792973604E-3</v>
      </c>
      <c r="H64" s="97">
        <v>46.646270824222938</v>
      </c>
      <c r="I64" s="137">
        <f t="shared" si="22"/>
        <v>5.4374171025126962E-3</v>
      </c>
      <c r="J64" s="97">
        <v>42.805483488752223</v>
      </c>
      <c r="K64" s="138">
        <f t="shared" si="23"/>
        <v>4.9897079421448798E-3</v>
      </c>
      <c r="L64" s="1161">
        <v>8578.7553069392325</v>
      </c>
      <c r="N64" s="1225" t="s">
        <v>406</v>
      </c>
      <c r="O64" s="1223" t="s">
        <v>96</v>
      </c>
      <c r="P64" s="1230" t="s">
        <v>421</v>
      </c>
      <c r="Q64" s="114"/>
      <c r="R64" s="115"/>
      <c r="S64" s="114"/>
      <c r="T64" s="115"/>
      <c r="U64" s="114"/>
      <c r="V64" s="115"/>
      <c r="W64" s="116"/>
      <c r="X64" s="117"/>
    </row>
    <row r="65" spans="1:24">
      <c r="A65" s="1215" t="s">
        <v>94</v>
      </c>
      <c r="B65" s="1216" t="s">
        <v>95</v>
      </c>
      <c r="C65" s="1242" t="s">
        <v>418</v>
      </c>
      <c r="D65" s="1238">
        <v>132.1038436457404</v>
      </c>
      <c r="E65" s="1239">
        <f>D65/$L$84</f>
        <v>4.0668328955561064E-2</v>
      </c>
      <c r="F65" s="1240">
        <v>65.160114142700237</v>
      </c>
      <c r="G65" s="1239">
        <f>F65/$L$84</f>
        <v>2.0059620398658145E-2</v>
      </c>
      <c r="H65" s="1240">
        <v>31.580303881883477</v>
      </c>
      <c r="I65" s="1239">
        <f>H65/$L$84</f>
        <v>9.7220349638663314E-3</v>
      </c>
      <c r="J65" s="1240">
        <v>109.18745744311244</v>
      </c>
      <c r="K65" s="1241">
        <f>J65/$L$84</f>
        <v>3.3613491587918688E-2</v>
      </c>
      <c r="N65" s="1225" t="s">
        <v>406</v>
      </c>
      <c r="O65" s="1223" t="s">
        <v>97</v>
      </c>
      <c r="P65" s="1230" t="s">
        <v>421</v>
      </c>
      <c r="Q65" s="114"/>
      <c r="R65" s="115"/>
      <c r="S65" s="114"/>
      <c r="T65" s="115"/>
      <c r="U65" s="114"/>
      <c r="V65" s="115"/>
      <c r="W65" s="116"/>
      <c r="X65" s="117"/>
    </row>
    <row r="66" spans="1:24">
      <c r="A66" s="1222" t="s">
        <v>94</v>
      </c>
      <c r="B66" s="1223" t="s">
        <v>96</v>
      </c>
      <c r="C66" s="1242" t="s">
        <v>418</v>
      </c>
      <c r="D66" s="88">
        <v>320.66245310684047</v>
      </c>
      <c r="E66" s="137">
        <f t="shared" ref="E66:E84" si="29">D66/$L$84</f>
        <v>9.8716326238147689E-2</v>
      </c>
      <c r="F66" s="97">
        <v>85.647153404328662</v>
      </c>
      <c r="G66" s="137">
        <f t="shared" ref="G66:G84" si="30">F66/$L$84</f>
        <v>2.6366580355491047E-2</v>
      </c>
      <c r="H66" s="97">
        <v>19.743068397301048</v>
      </c>
      <c r="I66" s="137">
        <f t="shared" ref="I66:I84" si="31">H66/$L$84</f>
        <v>6.0779276212942377E-3</v>
      </c>
      <c r="J66" s="97">
        <v>121.68852266301539</v>
      </c>
      <c r="K66" s="138">
        <f t="shared" ref="K66:K84" si="32">J66/$L$84</f>
        <v>3.7461959721982172E-2</v>
      </c>
      <c r="N66" s="1225" t="s">
        <v>406</v>
      </c>
      <c r="O66" s="1233" t="s">
        <v>98</v>
      </c>
      <c r="P66" s="1234" t="s">
        <v>421</v>
      </c>
      <c r="Q66" s="114"/>
      <c r="R66" s="115"/>
      <c r="S66" s="114"/>
      <c r="T66" s="115"/>
      <c r="U66" s="114"/>
      <c r="V66" s="115"/>
      <c r="W66" s="116"/>
      <c r="X66" s="117"/>
    </row>
    <row r="67" spans="1:24" ht="13.5" thickBot="1">
      <c r="A67" s="1222" t="s">
        <v>94</v>
      </c>
      <c r="B67" s="1223" t="s">
        <v>97</v>
      </c>
      <c r="C67" s="1242" t="s">
        <v>418</v>
      </c>
      <c r="D67" s="88">
        <v>16.73680172363661</v>
      </c>
      <c r="E67" s="137">
        <f t="shared" si="29"/>
        <v>5.1524447690269948E-3</v>
      </c>
      <c r="F67" s="97">
        <v>0.87903404351858083</v>
      </c>
      <c r="G67" s="137">
        <f t="shared" si="30"/>
        <v>2.706116995415926E-4</v>
      </c>
      <c r="H67" s="90"/>
      <c r="I67" s="137">
        <f t="shared" si="31"/>
        <v>0</v>
      </c>
      <c r="J67" s="97">
        <v>7.909406563593679</v>
      </c>
      <c r="K67" s="138">
        <f t="shared" si="32"/>
        <v>2.4349204314909677E-3</v>
      </c>
      <c r="N67" s="121" t="s">
        <v>103</v>
      </c>
      <c r="O67" s="122"/>
      <c r="P67" s="123" t="s">
        <v>421</v>
      </c>
      <c r="Q67" s="124"/>
      <c r="R67" s="125"/>
      <c r="S67" s="124"/>
      <c r="T67" s="125"/>
      <c r="U67" s="124"/>
      <c r="V67" s="125"/>
      <c r="W67" s="126"/>
      <c r="X67" s="127"/>
    </row>
    <row r="68" spans="1:24">
      <c r="A68" s="1222" t="s">
        <v>94</v>
      </c>
      <c r="B68" s="1223" t="s">
        <v>98</v>
      </c>
      <c r="C68" s="1242" t="s">
        <v>418</v>
      </c>
      <c r="D68" s="100"/>
      <c r="E68" s="137">
        <f t="shared" si="29"/>
        <v>0</v>
      </c>
      <c r="F68" s="97">
        <v>1.9061081746127726</v>
      </c>
      <c r="G68" s="137">
        <f t="shared" si="30"/>
        <v>5.8679772011717532E-4</v>
      </c>
      <c r="H68" s="90"/>
      <c r="I68" s="137">
        <f t="shared" si="31"/>
        <v>0</v>
      </c>
      <c r="J68" s="90"/>
      <c r="K68" s="138">
        <f t="shared" si="32"/>
        <v>0</v>
      </c>
      <c r="N68" s="79" t="s">
        <v>405</v>
      </c>
      <c r="O68" s="80" t="s">
        <v>95</v>
      </c>
      <c r="P68" s="1242" t="s">
        <v>418</v>
      </c>
      <c r="Q68" s="109"/>
      <c r="R68" s="110"/>
      <c r="S68" s="109"/>
      <c r="T68" s="110"/>
      <c r="U68" s="109"/>
      <c r="V68" s="110"/>
      <c r="W68" s="111"/>
      <c r="X68" s="112"/>
    </row>
    <row r="69" spans="1:24">
      <c r="A69" s="1222" t="s">
        <v>99</v>
      </c>
      <c r="B69" s="1227" t="s">
        <v>95</v>
      </c>
      <c r="C69" s="1242" t="s">
        <v>418</v>
      </c>
      <c r="D69" s="88">
        <v>5.3097137504293359</v>
      </c>
      <c r="E69" s="137">
        <f t="shared" si="29"/>
        <v>1.6346018367292892E-3</v>
      </c>
      <c r="F69" s="97">
        <v>2.4003801159518612</v>
      </c>
      <c r="G69" s="137">
        <f t="shared" si="30"/>
        <v>7.3895993848371096E-4</v>
      </c>
      <c r="H69" s="97">
        <v>1.4887619476908849</v>
      </c>
      <c r="I69" s="137">
        <f t="shared" si="31"/>
        <v>4.5831717650531017E-4</v>
      </c>
      <c r="J69" s="97">
        <v>2.4503721057675629</v>
      </c>
      <c r="K69" s="138">
        <f t="shared" si="32"/>
        <v>7.5435003335801382E-4</v>
      </c>
      <c r="N69" s="1225" t="s">
        <v>405</v>
      </c>
      <c r="O69" s="1223" t="s">
        <v>96</v>
      </c>
      <c r="P69" s="1242" t="s">
        <v>418</v>
      </c>
      <c r="Q69" s="114"/>
      <c r="R69" s="115"/>
      <c r="S69" s="114"/>
      <c r="T69" s="115"/>
      <c r="U69" s="114"/>
      <c r="V69" s="115"/>
      <c r="W69" s="116"/>
      <c r="X69" s="117"/>
    </row>
    <row r="70" spans="1:24">
      <c r="A70" s="1222" t="s">
        <v>99</v>
      </c>
      <c r="B70" s="1223" t="s">
        <v>96</v>
      </c>
      <c r="C70" s="1242" t="s">
        <v>418</v>
      </c>
      <c r="D70" s="88">
        <v>8.5315452982455451</v>
      </c>
      <c r="E70" s="137">
        <f t="shared" si="29"/>
        <v>2.6264465977141748E-3</v>
      </c>
      <c r="F70" s="97">
        <v>0.72543803630266135</v>
      </c>
      <c r="G70" s="137">
        <f t="shared" si="30"/>
        <v>2.2332698188819251E-4</v>
      </c>
      <c r="H70" s="97">
        <v>0.56694618150522658</v>
      </c>
      <c r="I70" s="137">
        <f t="shared" si="31"/>
        <v>1.7453507160158419E-4</v>
      </c>
      <c r="J70" s="97">
        <v>2.8595741836810245</v>
      </c>
      <c r="K70" s="138">
        <f t="shared" si="32"/>
        <v>8.8032339079120898E-4</v>
      </c>
      <c r="N70" s="1225" t="s">
        <v>405</v>
      </c>
      <c r="O70" s="1223" t="s">
        <v>97</v>
      </c>
      <c r="P70" s="1242" t="s">
        <v>418</v>
      </c>
      <c r="Q70" s="114"/>
      <c r="R70" s="115"/>
      <c r="S70" s="114"/>
      <c r="T70" s="115"/>
      <c r="U70" s="114"/>
      <c r="V70" s="115"/>
      <c r="W70" s="116"/>
      <c r="X70" s="117"/>
    </row>
    <row r="71" spans="1:24">
      <c r="A71" s="1222" t="s">
        <v>99</v>
      </c>
      <c r="B71" s="1223" t="s">
        <v>97</v>
      </c>
      <c r="C71" s="1242" t="s">
        <v>418</v>
      </c>
      <c r="D71" s="100"/>
      <c r="E71" s="137">
        <f t="shared" si="29"/>
        <v>0</v>
      </c>
      <c r="F71" s="90"/>
      <c r="G71" s="137">
        <f t="shared" si="30"/>
        <v>0</v>
      </c>
      <c r="H71" s="97">
        <v>2.3184961904712851</v>
      </c>
      <c r="I71" s="137">
        <f t="shared" si="31"/>
        <v>7.1375187242208368E-4</v>
      </c>
      <c r="J71" s="90"/>
      <c r="K71" s="138">
        <f t="shared" si="32"/>
        <v>0</v>
      </c>
      <c r="N71" s="1225" t="s">
        <v>405</v>
      </c>
      <c r="O71" s="1223" t="s">
        <v>98</v>
      </c>
      <c r="P71" s="1242" t="s">
        <v>418</v>
      </c>
      <c r="Q71" s="114"/>
      <c r="R71" s="115"/>
      <c r="S71" s="114"/>
      <c r="T71" s="115"/>
      <c r="U71" s="114"/>
      <c r="V71" s="115"/>
      <c r="W71" s="116"/>
      <c r="X71" s="117"/>
    </row>
    <row r="72" spans="1:24">
      <c r="A72" s="1222" t="s">
        <v>99</v>
      </c>
      <c r="B72" s="1223" t="s">
        <v>98</v>
      </c>
      <c r="C72" s="1242" t="s">
        <v>418</v>
      </c>
      <c r="D72" s="150"/>
      <c r="E72" s="137">
        <f t="shared" si="29"/>
        <v>0</v>
      </c>
      <c r="F72" s="151"/>
      <c r="G72" s="137">
        <f t="shared" si="30"/>
        <v>0</v>
      </c>
      <c r="H72" s="151"/>
      <c r="I72" s="137">
        <f t="shared" si="31"/>
        <v>0</v>
      </c>
      <c r="J72" s="151"/>
      <c r="K72" s="138">
        <f t="shared" si="32"/>
        <v>0</v>
      </c>
      <c r="N72" s="1225" t="s">
        <v>406</v>
      </c>
      <c r="O72" s="1227" t="s">
        <v>95</v>
      </c>
      <c r="P72" s="1242" t="s">
        <v>418</v>
      </c>
      <c r="Q72" s="114"/>
      <c r="R72" s="115"/>
      <c r="S72" s="114"/>
      <c r="T72" s="115"/>
      <c r="U72" s="114"/>
      <c r="V72" s="115"/>
      <c r="W72" s="116"/>
      <c r="X72" s="117"/>
    </row>
    <row r="73" spans="1:24">
      <c r="A73" s="1222" t="s">
        <v>100</v>
      </c>
      <c r="B73" s="1227" t="s">
        <v>95</v>
      </c>
      <c r="C73" s="1242" t="s">
        <v>418</v>
      </c>
      <c r="D73" s="88">
        <v>305.22921568035002</v>
      </c>
      <c r="E73" s="137">
        <f t="shared" si="29"/>
        <v>9.3965185323634043E-2</v>
      </c>
      <c r="F73" s="97">
        <v>176.17984663400273</v>
      </c>
      <c r="G73" s="137">
        <f t="shared" si="30"/>
        <v>5.4237180088915218E-2</v>
      </c>
      <c r="H73" s="97">
        <v>93.722889861250991</v>
      </c>
      <c r="I73" s="137">
        <f t="shared" si="31"/>
        <v>2.8852705646964537E-2</v>
      </c>
      <c r="J73" s="97">
        <v>266.17661789968321</v>
      </c>
      <c r="K73" s="138">
        <f t="shared" si="32"/>
        <v>8.1942795593836187E-2</v>
      </c>
      <c r="N73" s="1225" t="s">
        <v>406</v>
      </c>
      <c r="O73" s="1223" t="s">
        <v>96</v>
      </c>
      <c r="P73" s="1242" t="s">
        <v>418</v>
      </c>
      <c r="Q73" s="114"/>
      <c r="R73" s="115"/>
      <c r="S73" s="114"/>
      <c r="T73" s="115"/>
      <c r="U73" s="114"/>
      <c r="V73" s="115"/>
      <c r="W73" s="116"/>
      <c r="X73" s="117"/>
    </row>
    <row r="74" spans="1:24">
      <c r="A74" s="1222" t="s">
        <v>100</v>
      </c>
      <c r="B74" s="1223" t="s">
        <v>96</v>
      </c>
      <c r="C74" s="1242" t="s">
        <v>418</v>
      </c>
      <c r="D74" s="88">
        <v>200.42933959929027</v>
      </c>
      <c r="E74" s="137">
        <f t="shared" si="29"/>
        <v>6.1702415995014283E-2</v>
      </c>
      <c r="F74" s="97">
        <v>84.619340523151791</v>
      </c>
      <c r="G74" s="137">
        <f t="shared" si="30"/>
        <v>2.6050166909803909E-2</v>
      </c>
      <c r="H74" s="97">
        <v>53.362418864949383</v>
      </c>
      <c r="I74" s="137">
        <f t="shared" si="31"/>
        <v>1.6427685556855288E-2</v>
      </c>
      <c r="J74" s="97">
        <v>164.171972224369</v>
      </c>
      <c r="K74" s="138">
        <f t="shared" si="32"/>
        <v>5.0540541345703342E-2</v>
      </c>
      <c r="N74" s="1225" t="s">
        <v>406</v>
      </c>
      <c r="O74" s="1223" t="s">
        <v>97</v>
      </c>
      <c r="P74" s="1242" t="s">
        <v>418</v>
      </c>
      <c r="Q74" s="114"/>
      <c r="R74" s="115"/>
      <c r="S74" s="114"/>
      <c r="T74" s="115"/>
      <c r="U74" s="114"/>
      <c r="V74" s="115"/>
      <c r="W74" s="116"/>
      <c r="X74" s="117"/>
    </row>
    <row r="75" spans="1:24">
      <c r="A75" s="1222" t="s">
        <v>100</v>
      </c>
      <c r="B75" s="1223" t="s">
        <v>97</v>
      </c>
      <c r="C75" s="1242" t="s">
        <v>418</v>
      </c>
      <c r="D75" s="88">
        <v>18.820377194547092</v>
      </c>
      <c r="E75" s="137">
        <f t="shared" si="29"/>
        <v>5.7938760121780926E-3</v>
      </c>
      <c r="F75" s="97">
        <v>15.86478896613062</v>
      </c>
      <c r="G75" s="137">
        <f t="shared" si="30"/>
        <v>4.8839945809249696E-3</v>
      </c>
      <c r="H75" s="97">
        <v>7.0333015832763088</v>
      </c>
      <c r="I75" s="137">
        <f t="shared" si="31"/>
        <v>2.1652104476187384E-3</v>
      </c>
      <c r="J75" s="97">
        <v>24.656768577495818</v>
      </c>
      <c r="K75" s="138">
        <f t="shared" si="32"/>
        <v>7.5906161987215909E-3</v>
      </c>
      <c r="N75" s="1225" t="s">
        <v>406</v>
      </c>
      <c r="O75" s="1233" t="s">
        <v>98</v>
      </c>
      <c r="P75" s="1242" t="s">
        <v>418</v>
      </c>
      <c r="Q75" s="114"/>
      <c r="R75" s="115"/>
      <c r="S75" s="114"/>
      <c r="T75" s="115"/>
      <c r="U75" s="114"/>
      <c r="V75" s="115"/>
      <c r="W75" s="116"/>
      <c r="X75" s="117"/>
    </row>
    <row r="76" spans="1:24" ht="13.5" thickBot="1">
      <c r="A76" s="1222" t="s">
        <v>100</v>
      </c>
      <c r="B76" s="1223" t="s">
        <v>98</v>
      </c>
      <c r="C76" s="1242" t="s">
        <v>418</v>
      </c>
      <c r="D76" s="88">
        <v>12.967963249876917</v>
      </c>
      <c r="E76" s="137">
        <f t="shared" si="29"/>
        <v>3.9922032605190314E-3</v>
      </c>
      <c r="F76" s="97">
        <v>4.9015121687843095</v>
      </c>
      <c r="G76" s="137">
        <f t="shared" si="30"/>
        <v>1.5089364832893211E-3</v>
      </c>
      <c r="H76" s="90"/>
      <c r="I76" s="137">
        <f t="shared" si="31"/>
        <v>0</v>
      </c>
      <c r="J76" s="97">
        <v>5.5444675606423175</v>
      </c>
      <c r="K76" s="138">
        <f t="shared" si="32"/>
        <v>1.706871082754522E-3</v>
      </c>
      <c r="N76" s="140" t="s">
        <v>103</v>
      </c>
      <c r="O76" s="141"/>
      <c r="P76" s="141" t="s">
        <v>418</v>
      </c>
      <c r="Q76" s="143"/>
      <c r="R76" s="144"/>
      <c r="S76" s="143"/>
      <c r="T76" s="144"/>
      <c r="U76" s="143"/>
      <c r="V76" s="144"/>
      <c r="W76" s="145"/>
      <c r="X76" s="146"/>
    </row>
    <row r="77" spans="1:24" ht="13.5" thickTop="1">
      <c r="A77" s="1222" t="s">
        <v>101</v>
      </c>
      <c r="B77" s="1227" t="s">
        <v>95</v>
      </c>
      <c r="C77" s="1242" t="s">
        <v>418</v>
      </c>
      <c r="D77" s="88">
        <v>79.187981045417786</v>
      </c>
      <c r="E77" s="137">
        <f t="shared" si="29"/>
        <v>2.4378116287955758E-2</v>
      </c>
      <c r="F77" s="97">
        <v>49.750787360792714</v>
      </c>
      <c r="G77" s="137">
        <f t="shared" si="30"/>
        <v>1.531584040516392E-2</v>
      </c>
      <c r="H77" s="97">
        <v>17.24660448021341</v>
      </c>
      <c r="I77" s="137">
        <f t="shared" si="31"/>
        <v>5.3093881677559202E-3</v>
      </c>
      <c r="J77" s="97">
        <v>72.593545791855178</v>
      </c>
      <c r="K77" s="138">
        <f t="shared" si="32"/>
        <v>2.2348011373770089E-2</v>
      </c>
    </row>
    <row r="78" spans="1:24">
      <c r="A78" s="1222" t="s">
        <v>101</v>
      </c>
      <c r="B78" s="1223" t="s">
        <v>96</v>
      </c>
      <c r="C78" s="1242" t="s">
        <v>418</v>
      </c>
      <c r="D78" s="88">
        <v>50.328803319844226</v>
      </c>
      <c r="E78" s="137">
        <f t="shared" si="29"/>
        <v>1.5493783321248247E-2</v>
      </c>
      <c r="F78" s="97">
        <v>22.038052045274924</v>
      </c>
      <c r="G78" s="137">
        <f t="shared" si="30"/>
        <v>6.7844411289081745E-3</v>
      </c>
      <c r="H78" s="97">
        <v>9.0648135789805089</v>
      </c>
      <c r="I78" s="137">
        <f t="shared" si="31"/>
        <v>2.7906138865983181E-3</v>
      </c>
      <c r="J78" s="97">
        <v>42.65473938769177</v>
      </c>
      <c r="K78" s="138">
        <f t="shared" si="32"/>
        <v>1.3131313405113859E-2</v>
      </c>
    </row>
    <row r="79" spans="1:24">
      <c r="A79" s="1222" t="s">
        <v>101</v>
      </c>
      <c r="B79" s="1223" t="s">
        <v>97</v>
      </c>
      <c r="C79" s="1242" t="s">
        <v>418</v>
      </c>
      <c r="D79" s="100"/>
      <c r="E79" s="137">
        <f t="shared" si="29"/>
        <v>0</v>
      </c>
      <c r="F79" s="97">
        <v>3.2278446464916306</v>
      </c>
      <c r="G79" s="137">
        <f t="shared" si="30"/>
        <v>9.9369590072636085E-4</v>
      </c>
      <c r="H79" s="90"/>
      <c r="I79" s="137">
        <f t="shared" si="31"/>
        <v>0</v>
      </c>
      <c r="J79" s="97">
        <v>1.6167272093713905</v>
      </c>
      <c r="K79" s="138">
        <f t="shared" si="32"/>
        <v>4.9771143796876203E-4</v>
      </c>
    </row>
    <row r="80" spans="1:24">
      <c r="A80" s="1222" t="s">
        <v>101</v>
      </c>
      <c r="B80" s="1223" t="s">
        <v>98</v>
      </c>
      <c r="C80" s="1242" t="s">
        <v>418</v>
      </c>
      <c r="D80" s="88"/>
      <c r="E80" s="137">
        <f t="shared" si="29"/>
        <v>0</v>
      </c>
      <c r="F80" s="97"/>
      <c r="G80" s="137">
        <f t="shared" si="30"/>
        <v>0</v>
      </c>
      <c r="H80" s="97"/>
      <c r="I80" s="137">
        <f t="shared" si="31"/>
        <v>0</v>
      </c>
      <c r="J80" s="97"/>
      <c r="K80" s="138">
        <f t="shared" si="32"/>
        <v>0</v>
      </c>
    </row>
    <row r="81" spans="1:12">
      <c r="A81" s="1222" t="s">
        <v>102</v>
      </c>
      <c r="B81" s="1227" t="s">
        <v>95</v>
      </c>
      <c r="C81" s="1242" t="s">
        <v>418</v>
      </c>
      <c r="D81" s="88">
        <v>168.63753846746874</v>
      </c>
      <c r="E81" s="137">
        <f t="shared" si="29"/>
        <v>5.19152713454923E-2</v>
      </c>
      <c r="F81" s="97">
        <v>71.223876337372303</v>
      </c>
      <c r="G81" s="137">
        <f t="shared" si="30"/>
        <v>2.1926356966161267E-2</v>
      </c>
      <c r="H81" s="97">
        <v>41.715037249493243</v>
      </c>
      <c r="I81" s="137">
        <f t="shared" si="31"/>
        <v>1.2842024958829246E-2</v>
      </c>
      <c r="J81" s="97">
        <v>117.46585754789832</v>
      </c>
      <c r="K81" s="138">
        <f t="shared" si="32"/>
        <v>3.6162007129904132E-2</v>
      </c>
    </row>
    <row r="82" spans="1:12">
      <c r="A82" s="1222" t="s">
        <v>102</v>
      </c>
      <c r="B82" s="1223" t="s">
        <v>96</v>
      </c>
      <c r="C82" s="1242" t="s">
        <v>418</v>
      </c>
      <c r="D82" s="88">
        <v>49.786123738631147</v>
      </c>
      <c r="E82" s="137">
        <f t="shared" si="29"/>
        <v>1.5326718752064145E-2</v>
      </c>
      <c r="F82" s="97">
        <v>23.399823325613685</v>
      </c>
      <c r="G82" s="137">
        <f t="shared" si="30"/>
        <v>7.2036640739995073E-3</v>
      </c>
      <c r="H82" s="97">
        <v>12.405913016718376</v>
      </c>
      <c r="I82" s="137">
        <f t="shared" si="31"/>
        <v>3.8191754125713358E-3</v>
      </c>
      <c r="J82" s="97">
        <v>36.49185766573293</v>
      </c>
      <c r="K82" s="138">
        <f t="shared" si="32"/>
        <v>1.1234062770567934E-2</v>
      </c>
    </row>
    <row r="83" spans="1:12">
      <c r="A83" s="1222" t="s">
        <v>102</v>
      </c>
      <c r="B83" s="1223" t="s">
        <v>97</v>
      </c>
      <c r="C83" s="1242" t="s">
        <v>418</v>
      </c>
      <c r="D83" s="100"/>
      <c r="E83" s="137">
        <f t="shared" si="29"/>
        <v>0</v>
      </c>
      <c r="F83" s="97">
        <v>3.8474655817206131</v>
      </c>
      <c r="G83" s="137">
        <f t="shared" si="30"/>
        <v>1.1844469593346178E-3</v>
      </c>
      <c r="H83" s="90"/>
      <c r="I83" s="137">
        <f t="shared" si="31"/>
        <v>0</v>
      </c>
      <c r="J83" s="97">
        <v>2.1026859472667345</v>
      </c>
      <c r="K83" s="138">
        <f t="shared" si="32"/>
        <v>6.4731442654307947E-4</v>
      </c>
    </row>
    <row r="84" spans="1:12">
      <c r="A84" s="1245" t="s">
        <v>102</v>
      </c>
      <c r="B84" s="1235" t="s">
        <v>98</v>
      </c>
      <c r="C84" s="1235" t="s">
        <v>418</v>
      </c>
      <c r="D84" s="152"/>
      <c r="E84" s="153">
        <f t="shared" si="29"/>
        <v>0</v>
      </c>
      <c r="F84" s="154"/>
      <c r="G84" s="153">
        <f t="shared" si="30"/>
        <v>0</v>
      </c>
      <c r="H84" s="154"/>
      <c r="I84" s="153">
        <f t="shared" si="31"/>
        <v>0</v>
      </c>
      <c r="J84" s="154"/>
      <c r="K84" s="155">
        <f t="shared" si="32"/>
        <v>0</v>
      </c>
      <c r="L84" s="1161">
        <v>3248.3223933319805</v>
      </c>
    </row>
    <row r="85" spans="1:12">
      <c r="A85" s="58"/>
      <c r="B85" s="714"/>
      <c r="C85" s="714"/>
      <c r="D85" s="717"/>
      <c r="E85" s="717"/>
      <c r="F85" s="717"/>
      <c r="G85" s="717"/>
      <c r="H85" s="717"/>
      <c r="I85" s="717"/>
      <c r="J85" s="60"/>
      <c r="K85" s="156"/>
    </row>
    <row r="86" spans="1:12">
      <c r="A86" s="157" t="s">
        <v>105</v>
      </c>
      <c r="B86" s="158"/>
      <c r="C86" s="159"/>
      <c r="D86" s="160"/>
      <c r="E86" s="160"/>
      <c r="F86" s="160"/>
      <c r="G86" s="160"/>
      <c r="H86" s="160"/>
      <c r="I86" s="160"/>
      <c r="J86" s="161"/>
    </row>
    <row r="87" spans="1:12" ht="13.5" thickBot="1">
      <c r="A87" s="162" t="s">
        <v>106</v>
      </c>
      <c r="B87" s="163"/>
      <c r="C87" s="163"/>
      <c r="D87" s="164"/>
      <c r="E87" s="164"/>
      <c r="F87" s="164"/>
      <c r="G87" s="164"/>
      <c r="H87" s="164"/>
      <c r="I87" s="164"/>
      <c r="J87" s="165"/>
    </row>
    <row r="90" spans="1:12">
      <c r="A90" s="170" t="s">
        <v>114</v>
      </c>
    </row>
    <row r="91" spans="1:12">
      <c r="B91" s="171" t="s">
        <v>113</v>
      </c>
      <c r="C91" s="200" t="s">
        <v>115</v>
      </c>
    </row>
    <row r="92" spans="1:12" ht="12.75" customHeight="1">
      <c r="A92" s="1161" t="s">
        <v>131</v>
      </c>
    </row>
    <row r="93" spans="1:12" ht="12.75" customHeight="1">
      <c r="A93" s="1247" t="s">
        <v>107</v>
      </c>
      <c r="B93" s="1248">
        <v>7250</v>
      </c>
      <c r="C93" s="1249">
        <f>SUM(C94:C97)</f>
        <v>1</v>
      </c>
    </row>
    <row r="94" spans="1:12" ht="15.75">
      <c r="A94" s="166" t="s">
        <v>108</v>
      </c>
      <c r="B94" s="172">
        <f>B93*C94</f>
        <v>161.67500000000001</v>
      </c>
      <c r="C94" s="177">
        <v>2.23E-2</v>
      </c>
    </row>
    <row r="95" spans="1:12" ht="15.75">
      <c r="A95" s="166" t="s">
        <v>109</v>
      </c>
      <c r="B95" s="172">
        <f>B93*C95</f>
        <v>2102.5</v>
      </c>
      <c r="C95" s="177">
        <v>0.28999999999999998</v>
      </c>
    </row>
    <row r="96" spans="1:12" ht="15.75">
      <c r="A96" s="166" t="s">
        <v>110</v>
      </c>
      <c r="B96" s="172">
        <f>B93*C96</f>
        <v>1500.75</v>
      </c>
      <c r="C96" s="177">
        <v>0.20699999999999999</v>
      </c>
    </row>
    <row r="97" spans="1:7" ht="15.75">
      <c r="A97" s="166" t="s">
        <v>111</v>
      </c>
      <c r="B97" s="172">
        <f>B93*C97</f>
        <v>3485.0750000000003</v>
      </c>
      <c r="C97" s="177">
        <v>0.48070000000000002</v>
      </c>
    </row>
    <row r="98" spans="1:7" ht="15.75">
      <c r="A98" s="168" t="s">
        <v>112</v>
      </c>
      <c r="B98" s="173">
        <v>1924.5700497687842</v>
      </c>
      <c r="C98" s="178"/>
    </row>
    <row r="99" spans="1:7" ht="15.75">
      <c r="A99" s="191" t="s">
        <v>121</v>
      </c>
      <c r="B99" s="192">
        <v>6389</v>
      </c>
      <c r="C99" s="1249">
        <f>SUM(C100:C101)</f>
        <v>1</v>
      </c>
    </row>
    <row r="100" spans="1:7" ht="15.75">
      <c r="A100" s="166" t="s">
        <v>122</v>
      </c>
      <c r="B100" s="167">
        <f>B99*C100</f>
        <v>3577.84</v>
      </c>
      <c r="C100" s="177">
        <v>0.56000000000000005</v>
      </c>
    </row>
    <row r="101" spans="1:7" ht="15.75">
      <c r="A101" s="166" t="s">
        <v>123</v>
      </c>
      <c r="B101" s="167">
        <f>B99*C101</f>
        <v>2811.16</v>
      </c>
      <c r="C101" s="177">
        <v>0.44</v>
      </c>
    </row>
    <row r="102" spans="1:7" ht="15.75">
      <c r="A102" s="168" t="s">
        <v>124</v>
      </c>
      <c r="B102" s="169">
        <v>1076.925</v>
      </c>
      <c r="C102" s="178"/>
    </row>
    <row r="103" spans="1:7" ht="15.75">
      <c r="A103" s="1250" t="s">
        <v>125</v>
      </c>
      <c r="B103" s="1251">
        <v>379</v>
      </c>
      <c r="C103" s="1252"/>
    </row>
    <row r="104" spans="1:7" ht="15.75">
      <c r="A104" s="191" t="s">
        <v>126</v>
      </c>
      <c r="B104" s="192">
        <v>13362</v>
      </c>
      <c r="C104" s="177">
        <f>SUM(C105:C106)</f>
        <v>1</v>
      </c>
    </row>
    <row r="105" spans="1:7" ht="15.75">
      <c r="A105" s="166" t="s">
        <v>127</v>
      </c>
      <c r="B105" s="167">
        <f>0.25*B104</f>
        <v>3340.5</v>
      </c>
      <c r="C105" s="177">
        <v>0.75</v>
      </c>
    </row>
    <row r="106" spans="1:7" ht="15.75">
      <c r="A106" s="166" t="s">
        <v>128</v>
      </c>
      <c r="B106" s="167">
        <f>0.75*B104</f>
        <v>10021.5</v>
      </c>
      <c r="C106" s="177">
        <v>0.25</v>
      </c>
    </row>
    <row r="107" spans="1:7" ht="12.75" customHeight="1">
      <c r="A107" s="1253" t="s">
        <v>129</v>
      </c>
      <c r="B107" s="1254">
        <v>187</v>
      </c>
      <c r="C107" s="1252"/>
    </row>
    <row r="108" spans="1:7" ht="12.75" customHeight="1">
      <c r="A108" s="198" t="s">
        <v>130</v>
      </c>
      <c r="B108" s="199">
        <v>1501.3989999999999</v>
      </c>
      <c r="C108" s="178"/>
    </row>
    <row r="109" spans="1:7" ht="12.75" customHeight="1">
      <c r="B109" s="1203" t="s">
        <v>113</v>
      </c>
      <c r="C109" s="1203" t="s">
        <v>115</v>
      </c>
    </row>
    <row r="110" spans="1:7" ht="12.75" customHeight="1">
      <c r="A110" s="685" t="s">
        <v>132</v>
      </c>
      <c r="F110" s="1161" t="s">
        <v>145</v>
      </c>
      <c r="G110" s="1161" t="s">
        <v>146</v>
      </c>
    </row>
    <row r="111" spans="1:7" ht="12.75" customHeight="1">
      <c r="A111" s="1255" t="s">
        <v>133</v>
      </c>
      <c r="B111" s="1256">
        <v>10002.18</v>
      </c>
      <c r="C111" s="1257">
        <f>SUM(C112:C114)</f>
        <v>1.0000500000000001</v>
      </c>
      <c r="F111" s="214">
        <v>0.5</v>
      </c>
      <c r="G111" s="214">
        <v>0.5</v>
      </c>
    </row>
    <row r="112" spans="1:7" ht="12.75" customHeight="1">
      <c r="A112" s="166" t="s">
        <v>134</v>
      </c>
      <c r="B112" s="167">
        <f>B111*C112</f>
        <v>1212.264216</v>
      </c>
      <c r="C112" s="177">
        <v>0.1212</v>
      </c>
      <c r="F112" s="214">
        <v>0.5</v>
      </c>
      <c r="G112" s="214">
        <v>0.5</v>
      </c>
    </row>
    <row r="113" spans="1:7" ht="12.75" customHeight="1">
      <c r="A113" s="166" t="s">
        <v>135</v>
      </c>
      <c r="B113" s="167">
        <f>B111*C113</f>
        <v>4540.9897200000005</v>
      </c>
      <c r="C113" s="177">
        <v>0.45400000000000001</v>
      </c>
      <c r="F113" s="214">
        <v>0.5</v>
      </c>
      <c r="G113" s="214">
        <v>0.5</v>
      </c>
    </row>
    <row r="114" spans="1:7" ht="15.75">
      <c r="A114" s="210" t="s">
        <v>136</v>
      </c>
      <c r="B114" s="172">
        <f>B111*C114</f>
        <v>4249.4261729999998</v>
      </c>
      <c r="C114" s="177">
        <v>0.42485000000000001</v>
      </c>
      <c r="F114" s="214">
        <v>0.5</v>
      </c>
      <c r="G114" s="214">
        <v>0.5</v>
      </c>
    </row>
    <row r="115" spans="1:7" ht="15.75">
      <c r="A115" s="209" t="s">
        <v>137</v>
      </c>
      <c r="B115" s="202">
        <v>9748.1895000000004</v>
      </c>
      <c r="C115" s="213">
        <f>SUM(C116:C118)</f>
        <v>1</v>
      </c>
      <c r="F115" s="214">
        <v>0.5</v>
      </c>
      <c r="G115" s="214">
        <v>0.5</v>
      </c>
    </row>
    <row r="116" spans="1:7" ht="15.75">
      <c r="A116" s="166" t="s">
        <v>134</v>
      </c>
      <c r="B116" s="167">
        <f>B115*C116</f>
        <v>12.155992306500002</v>
      </c>
      <c r="C116" s="177">
        <v>1.2470000000000001E-3</v>
      </c>
      <c r="F116" s="214">
        <v>0.5</v>
      </c>
      <c r="G116" s="214">
        <v>0.5</v>
      </c>
    </row>
    <row r="117" spans="1:7" ht="15.75">
      <c r="A117" s="166" t="s">
        <v>135</v>
      </c>
      <c r="B117" s="167">
        <f>B115*C117</f>
        <v>269.10851933700002</v>
      </c>
      <c r="C117" s="177">
        <v>2.7605999999999999E-2</v>
      </c>
      <c r="F117" s="214">
        <v>0.5</v>
      </c>
      <c r="G117" s="214">
        <v>0.5</v>
      </c>
    </row>
    <row r="118" spans="1:7" ht="15.75">
      <c r="A118" s="206" t="s">
        <v>136</v>
      </c>
      <c r="B118" s="201">
        <f>B115*C118</f>
        <v>9466.9249883565008</v>
      </c>
      <c r="C118" s="212">
        <v>0.97114699999999998</v>
      </c>
      <c r="F118" s="214">
        <v>0.5</v>
      </c>
      <c r="G118" s="214">
        <v>0.5</v>
      </c>
    </row>
    <row r="119" spans="1:7" ht="15.75">
      <c r="A119" s="1255" t="s">
        <v>138</v>
      </c>
      <c r="B119" s="1256">
        <v>3663</v>
      </c>
      <c r="C119" s="1257">
        <f>SUM(C120:C121)</f>
        <v>1</v>
      </c>
      <c r="F119" s="214">
        <v>0.5</v>
      </c>
      <c r="G119" s="214">
        <v>0.5</v>
      </c>
    </row>
    <row r="120" spans="1:7" ht="15.75">
      <c r="A120" s="166" t="s">
        <v>134</v>
      </c>
      <c r="B120" s="202">
        <f>B119*C120</f>
        <v>1240.6581000000001</v>
      </c>
      <c r="C120" s="177">
        <v>0.3387</v>
      </c>
      <c r="F120" s="214">
        <v>0.5</v>
      </c>
      <c r="G120" s="214">
        <v>0.5</v>
      </c>
    </row>
    <row r="121" spans="1:7" ht="15.75">
      <c r="A121" s="206" t="s">
        <v>139</v>
      </c>
      <c r="B121" s="204">
        <f>B119*C121</f>
        <v>2422.3418999999999</v>
      </c>
      <c r="C121" s="212">
        <v>0.6613</v>
      </c>
      <c r="F121" s="214">
        <v>0.5</v>
      </c>
      <c r="G121" s="214">
        <v>0.5</v>
      </c>
    </row>
    <row r="122" spans="1:7" ht="15.75">
      <c r="A122" s="1255" t="s">
        <v>140</v>
      </c>
      <c r="B122" s="1256">
        <v>123</v>
      </c>
      <c r="C122" s="1257">
        <f>SUM(C123:C124)</f>
        <v>1</v>
      </c>
      <c r="F122" s="214">
        <v>0.5</v>
      </c>
      <c r="G122" s="214">
        <v>0.5</v>
      </c>
    </row>
    <row r="123" spans="1:7" ht="15.75">
      <c r="A123" s="166" t="s">
        <v>122</v>
      </c>
      <c r="B123" s="202">
        <f>B122*C123</f>
        <v>20.91</v>
      </c>
      <c r="C123" s="177">
        <v>0.17</v>
      </c>
      <c r="F123" s="214">
        <v>0.5</v>
      </c>
      <c r="G123" s="214">
        <v>0.5</v>
      </c>
    </row>
    <row r="124" spans="1:7" ht="15.75">
      <c r="A124" s="166" t="s">
        <v>123</v>
      </c>
      <c r="B124" s="202">
        <f>B122*C124</f>
        <v>102.08999999999999</v>
      </c>
      <c r="C124" s="177">
        <v>0.83</v>
      </c>
      <c r="F124" s="214">
        <v>0.5</v>
      </c>
      <c r="G124" s="214">
        <v>0.5</v>
      </c>
    </row>
    <row r="125" spans="1:7" ht="15.75">
      <c r="A125" s="207" t="s">
        <v>124</v>
      </c>
      <c r="B125" s="204">
        <v>438.44036697247708</v>
      </c>
      <c r="C125" s="178"/>
      <c r="F125" s="214">
        <v>0.5</v>
      </c>
      <c r="G125" s="214">
        <v>0.5</v>
      </c>
    </row>
    <row r="126" spans="1:7" ht="15.75">
      <c r="A126" s="1258" t="s">
        <v>141</v>
      </c>
      <c r="B126" s="1256">
        <v>1.3570000000000002</v>
      </c>
      <c r="C126" s="1252"/>
      <c r="F126" s="214">
        <v>0.5</v>
      </c>
      <c r="G126" s="214">
        <v>0.5</v>
      </c>
    </row>
    <row r="127" spans="1:7" ht="15.75">
      <c r="A127" s="207" t="s">
        <v>142</v>
      </c>
      <c r="B127" s="204">
        <v>631.8048</v>
      </c>
      <c r="C127" s="178"/>
      <c r="F127" s="214">
        <v>0.5</v>
      </c>
      <c r="G127" s="214">
        <v>0.5</v>
      </c>
    </row>
    <row r="128" spans="1:7" ht="15.75">
      <c r="A128" s="1258" t="s">
        <v>143</v>
      </c>
      <c r="B128" s="1256">
        <v>2073</v>
      </c>
      <c r="C128" s="1252"/>
      <c r="F128" s="214">
        <v>0.5</v>
      </c>
      <c r="G128" s="214">
        <v>0.5</v>
      </c>
    </row>
    <row r="129" spans="1:7" ht="15.75">
      <c r="A129" s="207" t="s">
        <v>144</v>
      </c>
      <c r="B129" s="204">
        <v>48140.793353094996</v>
      </c>
      <c r="C129" s="178"/>
      <c r="F129" s="214">
        <v>0.5</v>
      </c>
      <c r="G129" s="214">
        <v>0.5</v>
      </c>
    </row>
    <row r="130" spans="1:7">
      <c r="B130" s="31" t="s">
        <v>496</v>
      </c>
    </row>
    <row r="133" spans="1:7">
      <c r="A133" s="1709" t="s">
        <v>175</v>
      </c>
      <c r="B133" s="1710"/>
      <c r="C133" s="1710"/>
      <c r="D133" s="1711"/>
      <c r="F133" s="170" t="s">
        <v>116</v>
      </c>
      <c r="G133" s="170" t="s">
        <v>117</v>
      </c>
    </row>
    <row r="134" spans="1:7">
      <c r="A134" s="216"/>
      <c r="B134" s="217">
        <v>2010</v>
      </c>
      <c r="C134" s="217">
        <v>2011</v>
      </c>
      <c r="D134" s="218">
        <v>2012</v>
      </c>
    </row>
    <row r="135" spans="1:7">
      <c r="A135" s="216" t="s">
        <v>160</v>
      </c>
      <c r="B135" s="217">
        <v>69776</v>
      </c>
      <c r="C135" s="217">
        <v>71105</v>
      </c>
      <c r="D135" s="218">
        <v>71322</v>
      </c>
    </row>
    <row r="136" spans="1:7">
      <c r="A136" s="216" t="s">
        <v>161</v>
      </c>
      <c r="B136" s="217">
        <v>2620</v>
      </c>
      <c r="C136" s="217">
        <v>2940</v>
      </c>
      <c r="D136" s="218">
        <v>3050</v>
      </c>
    </row>
    <row r="137" spans="1:7">
      <c r="A137" s="216" t="s">
        <v>162</v>
      </c>
      <c r="B137" s="217">
        <v>67156</v>
      </c>
      <c r="C137" s="217">
        <v>68165</v>
      </c>
      <c r="D137" s="218">
        <v>68272</v>
      </c>
    </row>
    <row r="138" spans="1:7">
      <c r="A138" s="216" t="s">
        <v>163</v>
      </c>
      <c r="B138" s="217">
        <v>50861</v>
      </c>
      <c r="C138" s="217">
        <v>52543</v>
      </c>
      <c r="D138" s="218">
        <v>53425</v>
      </c>
    </row>
    <row r="139" spans="1:7">
      <c r="A139" s="216" t="s">
        <v>164</v>
      </c>
      <c r="B139" s="217">
        <v>8505</v>
      </c>
      <c r="C139" s="217">
        <v>7967</v>
      </c>
      <c r="D139" s="218">
        <v>7512</v>
      </c>
    </row>
    <row r="140" spans="1:7">
      <c r="A140" s="216" t="s">
        <v>165</v>
      </c>
      <c r="B140" s="217">
        <v>393</v>
      </c>
      <c r="C140" s="217">
        <v>376</v>
      </c>
      <c r="D140" s="218">
        <v>347</v>
      </c>
    </row>
    <row r="141" spans="1:7">
      <c r="A141" s="216" t="s">
        <v>166</v>
      </c>
      <c r="B141" s="217">
        <v>466</v>
      </c>
      <c r="C141" s="217">
        <v>468</v>
      </c>
      <c r="D141" s="218">
        <v>468</v>
      </c>
    </row>
    <row r="142" spans="1:7">
      <c r="A142" s="216" t="s">
        <v>167</v>
      </c>
      <c r="B142" s="217">
        <v>78</v>
      </c>
      <c r="C142" s="217">
        <v>74</v>
      </c>
      <c r="D142" s="218">
        <v>70</v>
      </c>
    </row>
    <row r="143" spans="1:7">
      <c r="A143" s="216" t="s">
        <v>168</v>
      </c>
      <c r="B143" s="217">
        <v>6853</v>
      </c>
      <c r="C143" s="217">
        <v>6737</v>
      </c>
      <c r="D143" s="218">
        <v>6450</v>
      </c>
    </row>
    <row r="144" spans="1:7">
      <c r="A144" s="216" t="s">
        <v>169</v>
      </c>
      <c r="B144" s="217">
        <v>3049</v>
      </c>
      <c r="C144" s="217" t="s">
        <v>170</v>
      </c>
      <c r="D144" s="218" t="s">
        <v>170</v>
      </c>
      <c r="F144" s="237">
        <f>AD28</f>
        <v>0.6529895199943494</v>
      </c>
      <c r="G144" s="214">
        <f>AF28</f>
        <v>0.3470104800056506</v>
      </c>
    </row>
    <row r="145" spans="1:7">
      <c r="A145" s="216" t="s">
        <v>171</v>
      </c>
      <c r="B145" s="217">
        <v>3835</v>
      </c>
      <c r="C145" s="217" t="s">
        <v>170</v>
      </c>
      <c r="D145" s="218" t="s">
        <v>170</v>
      </c>
      <c r="F145" s="237">
        <f>AD29</f>
        <v>0.5388379940530249</v>
      </c>
      <c r="G145" s="237">
        <f>AF29</f>
        <v>0.46116200594697515</v>
      </c>
    </row>
    <row r="146" spans="1:7">
      <c r="A146" s="216" t="s">
        <v>172</v>
      </c>
      <c r="B146" s="217">
        <v>6577</v>
      </c>
      <c r="C146" s="217">
        <v>6890</v>
      </c>
      <c r="D146" s="218">
        <v>7026</v>
      </c>
    </row>
    <row r="147" spans="1:7">
      <c r="A147" s="216" t="s">
        <v>173</v>
      </c>
      <c r="B147" s="217">
        <v>184</v>
      </c>
      <c r="C147" s="217">
        <v>176</v>
      </c>
      <c r="D147" s="218">
        <v>176</v>
      </c>
    </row>
    <row r="148" spans="1:7">
      <c r="A148" s="216" t="s">
        <v>174</v>
      </c>
      <c r="B148" s="217">
        <v>470</v>
      </c>
      <c r="C148" s="217">
        <v>459</v>
      </c>
      <c r="D148" s="218">
        <v>367</v>
      </c>
    </row>
    <row r="149" spans="1:7">
      <c r="A149" s="216"/>
      <c r="B149" s="217"/>
      <c r="C149" s="217"/>
      <c r="D149" s="218"/>
    </row>
    <row r="150" spans="1:7">
      <c r="A150" s="1687" t="s">
        <v>176</v>
      </c>
      <c r="B150" s="1688"/>
      <c r="C150" s="1688"/>
      <c r="D150" s="1689"/>
    </row>
    <row r="151" spans="1:7">
      <c r="A151" s="216"/>
      <c r="B151" s="217"/>
      <c r="C151" s="217"/>
      <c r="D151" s="218"/>
    </row>
    <row r="152" spans="1:7">
      <c r="A152" s="1687" t="s">
        <v>177</v>
      </c>
      <c r="B152" s="1688"/>
      <c r="C152" s="1688"/>
      <c r="D152" s="1689"/>
    </row>
    <row r="153" spans="1:7">
      <c r="A153" s="216"/>
      <c r="B153" s="217"/>
      <c r="C153" s="217"/>
      <c r="D153" s="218"/>
    </row>
    <row r="154" spans="1:7">
      <c r="A154" s="221" t="s">
        <v>178</v>
      </c>
      <c r="B154" s="422"/>
      <c r="C154" s="422"/>
      <c r="D154" s="423"/>
    </row>
    <row r="157" spans="1:7">
      <c r="A157" s="1706" t="s">
        <v>241</v>
      </c>
      <c r="B157" s="1707"/>
      <c r="C157" s="1707"/>
      <c r="D157" s="1708"/>
    </row>
    <row r="158" spans="1:7">
      <c r="A158" s="216"/>
      <c r="B158" s="217">
        <v>2010</v>
      </c>
      <c r="C158" s="217">
        <v>2011</v>
      </c>
      <c r="D158" s="218">
        <v>2012</v>
      </c>
    </row>
    <row r="159" spans="1:7">
      <c r="A159" s="216" t="s">
        <v>224</v>
      </c>
      <c r="B159" s="217">
        <v>47925</v>
      </c>
      <c r="C159" s="217">
        <v>48959</v>
      </c>
      <c r="D159" s="218">
        <v>49097</v>
      </c>
    </row>
    <row r="160" spans="1:7">
      <c r="A160" s="216" t="s">
        <v>161</v>
      </c>
      <c r="B160" s="217">
        <v>2620</v>
      </c>
      <c r="C160" s="217">
        <v>2940</v>
      </c>
      <c r="D160" s="218">
        <v>3050</v>
      </c>
    </row>
    <row r="161" spans="1:4">
      <c r="A161" s="216" t="s">
        <v>162</v>
      </c>
      <c r="B161" s="217">
        <v>45305</v>
      </c>
      <c r="C161" s="217">
        <v>46019</v>
      </c>
      <c r="D161" s="218">
        <v>46047</v>
      </c>
    </row>
    <row r="162" spans="1:4">
      <c r="A162" s="216" t="s">
        <v>225</v>
      </c>
      <c r="B162" s="217">
        <v>33255</v>
      </c>
      <c r="C162" s="217">
        <v>34359</v>
      </c>
      <c r="D162" s="218">
        <v>34892</v>
      </c>
    </row>
    <row r="163" spans="1:4">
      <c r="A163" s="216" t="s">
        <v>226</v>
      </c>
      <c r="B163" s="217">
        <v>22587</v>
      </c>
      <c r="C163" s="217">
        <v>22139</v>
      </c>
      <c r="D163" s="218">
        <v>21554</v>
      </c>
    </row>
    <row r="164" spans="1:4">
      <c r="A164" s="216" t="s">
        <v>227</v>
      </c>
      <c r="B164" s="217">
        <v>10668</v>
      </c>
      <c r="C164" s="217">
        <v>12220</v>
      </c>
      <c r="D164" s="218">
        <v>13338</v>
      </c>
    </row>
    <row r="165" spans="1:4">
      <c r="A165" s="216" t="s">
        <v>165</v>
      </c>
      <c r="B165" s="217">
        <v>491</v>
      </c>
      <c r="C165" s="217">
        <v>471</v>
      </c>
      <c r="D165" s="218">
        <v>433</v>
      </c>
    </row>
    <row r="166" spans="1:4">
      <c r="A166" s="216" t="s">
        <v>166</v>
      </c>
      <c r="B166" s="217">
        <v>444</v>
      </c>
      <c r="C166" s="217">
        <v>446</v>
      </c>
      <c r="D166" s="218">
        <v>446</v>
      </c>
    </row>
    <row r="167" spans="1:4">
      <c r="A167" s="216" t="s">
        <v>167</v>
      </c>
      <c r="B167" s="217">
        <v>78</v>
      </c>
      <c r="C167" s="217">
        <v>74</v>
      </c>
      <c r="D167" s="218">
        <v>70</v>
      </c>
    </row>
    <row r="168" spans="1:4">
      <c r="A168" s="216" t="s">
        <v>228</v>
      </c>
      <c r="B168" s="217">
        <v>8373</v>
      </c>
      <c r="C168" s="217">
        <v>7969</v>
      </c>
      <c r="D168" s="218">
        <v>7659</v>
      </c>
    </row>
    <row r="169" spans="1:4">
      <c r="A169" s="216" t="s">
        <v>229</v>
      </c>
      <c r="B169" s="217">
        <v>1344</v>
      </c>
      <c r="C169" s="217">
        <v>1385</v>
      </c>
      <c r="D169" s="218">
        <v>1451</v>
      </c>
    </row>
    <row r="170" spans="1:4">
      <c r="A170" s="216" t="s">
        <v>230</v>
      </c>
      <c r="B170" s="217">
        <v>371</v>
      </c>
      <c r="C170" s="217">
        <v>344</v>
      </c>
      <c r="D170" s="218">
        <v>321</v>
      </c>
    </row>
    <row r="171" spans="1:4">
      <c r="A171" s="216" t="s">
        <v>231</v>
      </c>
      <c r="B171" s="217">
        <v>973</v>
      </c>
      <c r="C171" s="217">
        <v>1040</v>
      </c>
      <c r="D171" s="218">
        <v>1131</v>
      </c>
    </row>
    <row r="172" spans="1:4">
      <c r="A172" s="216" t="s">
        <v>232</v>
      </c>
      <c r="B172" s="217">
        <v>7029</v>
      </c>
      <c r="C172" s="217">
        <v>6584</v>
      </c>
      <c r="D172" s="218">
        <v>6208</v>
      </c>
    </row>
    <row r="173" spans="1:4">
      <c r="A173" s="216" t="s">
        <v>233</v>
      </c>
      <c r="B173" s="217">
        <v>587</v>
      </c>
      <c r="C173" s="217">
        <v>496</v>
      </c>
      <c r="D173" s="218">
        <v>403</v>
      </c>
    </row>
    <row r="174" spans="1:4">
      <c r="A174" s="216" t="s">
        <v>234</v>
      </c>
      <c r="B174" s="217">
        <v>6442</v>
      </c>
      <c r="C174" s="217">
        <v>6088</v>
      </c>
      <c r="D174" s="218">
        <v>5805</v>
      </c>
    </row>
    <row r="175" spans="1:4">
      <c r="A175" s="216" t="s">
        <v>235</v>
      </c>
      <c r="B175" s="217">
        <v>1092</v>
      </c>
      <c r="C175" s="217">
        <v>1078</v>
      </c>
      <c r="D175" s="218">
        <v>1010</v>
      </c>
    </row>
    <row r="176" spans="1:4">
      <c r="A176" s="216" t="s">
        <v>236</v>
      </c>
      <c r="B176" s="217">
        <v>987</v>
      </c>
      <c r="C176" s="217">
        <v>1045</v>
      </c>
      <c r="D176" s="218">
        <v>974</v>
      </c>
    </row>
    <row r="177" spans="1:4">
      <c r="A177" s="216" t="s">
        <v>168</v>
      </c>
      <c r="B177" s="217">
        <v>585</v>
      </c>
      <c r="C177" s="217">
        <v>578</v>
      </c>
      <c r="D177" s="218">
        <v>563</v>
      </c>
    </row>
    <row r="178" spans="1:4">
      <c r="A178" s="216" t="s">
        <v>237</v>
      </c>
      <c r="B178" s="217" t="s">
        <v>170</v>
      </c>
      <c r="C178" s="217" t="s">
        <v>170</v>
      </c>
      <c r="D178" s="218" t="s">
        <v>170</v>
      </c>
    </row>
    <row r="179" spans="1:4">
      <c r="A179" s="216" t="s">
        <v>238</v>
      </c>
      <c r="B179" s="217" t="s">
        <v>170</v>
      </c>
      <c r="C179" s="217" t="s">
        <v>170</v>
      </c>
      <c r="D179" s="218" t="s">
        <v>170</v>
      </c>
    </row>
    <row r="180" spans="1:4">
      <c r="A180" s="216"/>
      <c r="B180" s="217"/>
      <c r="C180" s="217"/>
      <c r="D180" s="218"/>
    </row>
    <row r="181" spans="1:4">
      <c r="A181" s="1687" t="s">
        <v>239</v>
      </c>
      <c r="B181" s="1688"/>
      <c r="C181" s="1688"/>
      <c r="D181" s="1689"/>
    </row>
    <row r="182" spans="1:4">
      <c r="A182" s="216"/>
      <c r="B182" s="217"/>
      <c r="C182" s="217"/>
      <c r="D182" s="218"/>
    </row>
    <row r="183" spans="1:4">
      <c r="A183" s="1687" t="s">
        <v>177</v>
      </c>
      <c r="B183" s="1688"/>
      <c r="C183" s="1688"/>
      <c r="D183" s="1689"/>
    </row>
    <row r="184" spans="1:4">
      <c r="A184" s="216"/>
      <c r="B184" s="217"/>
      <c r="C184" s="217"/>
      <c r="D184" s="218"/>
    </row>
    <row r="185" spans="1:4">
      <c r="A185" s="236" t="s">
        <v>240</v>
      </c>
      <c r="B185" s="422"/>
      <c r="C185" s="422"/>
      <c r="D185" s="423"/>
    </row>
    <row r="188" spans="1:4">
      <c r="A188" s="1706" t="s">
        <v>371</v>
      </c>
      <c r="B188" s="1707"/>
      <c r="C188" s="1708"/>
    </row>
    <row r="189" spans="1:4">
      <c r="A189" s="235" t="s">
        <v>370</v>
      </c>
      <c r="B189" s="233" t="s">
        <v>372</v>
      </c>
      <c r="C189" s="234" t="s">
        <v>373</v>
      </c>
    </row>
    <row r="190" spans="1:4">
      <c r="A190" s="232" t="s">
        <v>377</v>
      </c>
      <c r="B190" s="242" t="s">
        <v>374</v>
      </c>
      <c r="C190" s="218">
        <v>18000</v>
      </c>
    </row>
    <row r="191" spans="1:4">
      <c r="A191" s="232" t="s">
        <v>378</v>
      </c>
      <c r="B191" s="242" t="s">
        <v>375</v>
      </c>
      <c r="C191" s="218">
        <v>60000</v>
      </c>
    </row>
    <row r="192" spans="1:4">
      <c r="A192" s="244" t="s">
        <v>378</v>
      </c>
      <c r="B192" s="243" t="s">
        <v>376</v>
      </c>
      <c r="C192" s="423">
        <v>100000</v>
      </c>
    </row>
  </sheetData>
  <mergeCells count="7">
    <mergeCell ref="A188:C188"/>
    <mergeCell ref="A133:D133"/>
    <mergeCell ref="A150:D150"/>
    <mergeCell ref="A152:D152"/>
    <mergeCell ref="A157:D157"/>
    <mergeCell ref="A181:D181"/>
    <mergeCell ref="A183:D183"/>
  </mergeCells>
  <pageMargins left="0.7" right="0.7" top="0.75" bottom="0.75" header="0.3" footer="0.3"/>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LOG</vt:lpstr>
      <vt:lpstr>TRA_BAL</vt:lpstr>
      <vt:lpstr>EnergyEffRoadTransport_ksa</vt:lpstr>
      <vt:lpstr>Commodities</vt:lpstr>
      <vt:lpstr>Processes</vt:lpstr>
      <vt:lpstr>TRA_Fuel</vt:lpstr>
      <vt:lpstr>Cars</vt:lpstr>
      <vt:lpstr>CarData</vt:lpstr>
      <vt:lpstr>CarMoreData</vt:lpstr>
      <vt:lpstr>Moto-Mopeds</vt:lpstr>
      <vt:lpstr>BIKE</vt:lpstr>
      <vt:lpstr>WALK</vt:lpstr>
      <vt:lpstr>Bicycle - Walk</vt:lpstr>
      <vt:lpstr>BUS</vt:lpstr>
      <vt:lpstr>BUS_data</vt:lpstr>
      <vt:lpstr>TRAIN</vt:lpstr>
      <vt:lpstr>STRAIN,METRO_Data</vt:lpstr>
      <vt:lpstr>TRAIN_Data</vt:lpstr>
      <vt:lpstr>Navi</vt:lpstr>
      <vt:lpstr>AVI</vt:lpstr>
      <vt:lpstr>Freight_Road_New</vt:lpstr>
      <vt:lpstr>Freight_Road_Old</vt:lpstr>
      <vt:lpstr>Freight_Rail</vt:lpstr>
      <vt:lpstr>Freight_NAVI-AVI</vt:lpstr>
      <vt:lpstr>SEA_Data</vt:lpstr>
      <vt:lpstr>PassangersFreightAir</vt:lpstr>
      <vt:lpstr>Dem</vt:lpstr>
      <vt:lpstr>Data</vt:lpstr>
      <vt:lpstr>Emis</vt:lpstr>
      <vt:lpstr>TransData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2016-10-13T22:50:47Z</dcterms:created>
  <dcterms:modified xsi:type="dcterms:W3CDTF">2021-09-27T13:01:55Z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613761544227600</vt:r8>
  </property>
</Properties>
</file>