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de\OneDrive\Skrivebord\"/>
    </mc:Choice>
  </mc:AlternateContent>
  <xr:revisionPtr revIDLastSave="0" documentId="8_{DA70867A-56BA-4610-94AC-84C642A71E67}" xr6:coauthVersionLast="47" xr6:coauthVersionMax="47" xr10:uidLastSave="{00000000-0000-0000-0000-000000000000}"/>
  <bookViews>
    <workbookView xWindow="-120" yWindow="-120" windowWidth="29040" windowHeight="15840" xr2:uid="{53243543-98D6-4300-B2A5-3A961808EF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1" l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C21" i="1"/>
  <c r="B22" i="1"/>
  <c r="E21" i="1"/>
  <c r="D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U23" i="1"/>
  <c r="U21" i="1"/>
  <c r="U27" i="1"/>
  <c r="T27" i="1"/>
  <c r="S27" i="1"/>
  <c r="T26" i="1"/>
  <c r="S26" i="1"/>
  <c r="R26" i="1"/>
  <c r="U25" i="1"/>
  <c r="T25" i="1"/>
  <c r="S25" i="1"/>
  <c r="R25" i="1"/>
  <c r="U24" i="1"/>
  <c r="T24" i="1"/>
  <c r="S24" i="1"/>
  <c r="R24" i="1"/>
  <c r="T23" i="1"/>
  <c r="S23" i="1"/>
  <c r="R23" i="1"/>
  <c r="U22" i="1"/>
  <c r="T22" i="1"/>
  <c r="S22" i="1"/>
  <c r="R22" i="1"/>
  <c r="T21" i="1"/>
  <c r="S21" i="1"/>
  <c r="R21" i="1"/>
  <c r="U20" i="1"/>
  <c r="T20" i="1"/>
  <c r="S20" i="1"/>
  <c r="R20" i="1"/>
  <c r="U19" i="1"/>
  <c r="T19" i="1"/>
  <c r="S19" i="1"/>
  <c r="R19" i="1"/>
  <c r="U16" i="1"/>
  <c r="T16" i="1"/>
  <c r="S16" i="1"/>
  <c r="R16" i="1"/>
  <c r="U15" i="1"/>
  <c r="T15" i="1"/>
  <c r="S15" i="1"/>
  <c r="R15" i="1"/>
  <c r="V15" i="1"/>
  <c r="W15" i="1"/>
  <c r="U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S10" i="1"/>
  <c r="R10" i="1"/>
  <c r="V14" i="1"/>
  <c r="V13" i="1"/>
  <c r="V12" i="1"/>
  <c r="V11" i="1"/>
  <c r="V10" i="1"/>
  <c r="U4" i="1"/>
  <c r="T4" i="1"/>
  <c r="S4" i="1"/>
  <c r="R4" i="1"/>
  <c r="U8" i="1"/>
  <c r="T8" i="1"/>
  <c r="S8" i="1"/>
  <c r="R8" i="1"/>
  <c r="U7" i="1"/>
  <c r="T7" i="1"/>
  <c r="S7" i="1"/>
  <c r="R7" i="1"/>
  <c r="V7" i="1"/>
  <c r="U6" i="1"/>
  <c r="T6" i="1"/>
  <c r="S6" i="1"/>
  <c r="R6" i="1"/>
  <c r="U5" i="1"/>
  <c r="T5" i="1"/>
  <c r="S5" i="1"/>
  <c r="R5" i="1"/>
  <c r="U3" i="1"/>
  <c r="T3" i="1"/>
  <c r="S3" i="1"/>
  <c r="R3" i="1"/>
  <c r="U2" i="1"/>
  <c r="T2" i="1"/>
  <c r="S2" i="1"/>
  <c r="R2" i="1"/>
  <c r="V6" i="1"/>
  <c r="V5" i="1"/>
  <c r="V4" i="1"/>
  <c r="V3" i="1"/>
  <c r="V2" i="1"/>
  <c r="M34" i="1"/>
  <c r="L34" i="1"/>
  <c r="K34" i="1"/>
  <c r="K33" i="1"/>
  <c r="J33" i="1"/>
  <c r="N33" i="1"/>
  <c r="O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N30" i="1"/>
  <c r="N29" i="1"/>
  <c r="N28" i="1"/>
  <c r="M25" i="1"/>
  <c r="L25" i="1"/>
  <c r="K25" i="1"/>
  <c r="J25" i="1"/>
  <c r="N25" i="1"/>
  <c r="O25" i="1"/>
  <c r="M24" i="1"/>
  <c r="L24" i="1"/>
  <c r="K24" i="1"/>
  <c r="J24" i="1"/>
  <c r="N24" i="1"/>
  <c r="O24" i="1"/>
  <c r="M23" i="1"/>
  <c r="L23" i="1"/>
  <c r="K23" i="1"/>
  <c r="J23" i="1"/>
  <c r="N23" i="1"/>
  <c r="O23" i="1"/>
  <c r="N22" i="1"/>
  <c r="O22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N21" i="1"/>
  <c r="N20" i="1"/>
  <c r="N19" i="1"/>
  <c r="M17" i="1"/>
  <c r="L17" i="1"/>
  <c r="K17" i="1"/>
  <c r="J17" i="1"/>
  <c r="N17" i="1"/>
  <c r="O17" i="1"/>
  <c r="M16" i="1"/>
  <c r="L16" i="1"/>
  <c r="K16" i="1"/>
  <c r="J16" i="1"/>
  <c r="M15" i="1"/>
  <c r="L15" i="1"/>
  <c r="K15" i="1"/>
  <c r="J15" i="1"/>
  <c r="M14" i="1"/>
  <c r="L14" i="1"/>
  <c r="K14" i="1"/>
  <c r="M13" i="1"/>
  <c r="L13" i="1"/>
  <c r="K13" i="1"/>
  <c r="J13" i="1"/>
  <c r="M12" i="1"/>
  <c r="L12" i="1"/>
  <c r="K12" i="1"/>
  <c r="J12" i="1"/>
  <c r="M11" i="1"/>
  <c r="L11" i="1"/>
  <c r="K11" i="1"/>
  <c r="J11" i="1"/>
  <c r="N14" i="1"/>
  <c r="N13" i="1"/>
  <c r="N12" i="1"/>
  <c r="N11" i="1"/>
  <c r="M8" i="1"/>
  <c r="L8" i="1"/>
  <c r="K8" i="1"/>
  <c r="J8" i="1"/>
  <c r="M7" i="1"/>
  <c r="L7" i="1"/>
  <c r="K7" i="1"/>
  <c r="J7" i="1"/>
  <c r="N6" i="1"/>
  <c r="O7" i="1"/>
  <c r="M6" i="1"/>
  <c r="L6" i="1"/>
  <c r="K6" i="1"/>
  <c r="J6" i="1"/>
  <c r="N5" i="1"/>
  <c r="M5" i="1"/>
  <c r="L5" i="1"/>
  <c r="K5" i="1"/>
  <c r="J5" i="1"/>
  <c r="N4" i="1"/>
  <c r="M4" i="1"/>
  <c r="L4" i="1"/>
  <c r="K4" i="1"/>
  <c r="J4" i="1"/>
  <c r="N3" i="1"/>
  <c r="M3" i="1"/>
  <c r="L3" i="1"/>
  <c r="K3" i="1"/>
  <c r="J3" i="1"/>
  <c r="N2" i="1"/>
  <c r="M2" i="1"/>
  <c r="L2" i="1"/>
  <c r="K2" i="1"/>
  <c r="J2" i="1"/>
  <c r="E44" i="1"/>
  <c r="D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E35" i="1"/>
  <c r="D35" i="1"/>
  <c r="C35" i="1"/>
  <c r="E32" i="1"/>
  <c r="E34" i="1"/>
  <c r="D34" i="1"/>
  <c r="C29" i="1"/>
  <c r="G34" i="1"/>
  <c r="G33" i="1"/>
  <c r="F33" i="1"/>
  <c r="G32" i="1"/>
  <c r="F32" i="1"/>
  <c r="G31" i="1"/>
  <c r="F31" i="1"/>
  <c r="G30" i="1"/>
  <c r="F30" i="1"/>
  <c r="F29" i="1"/>
  <c r="E16" i="1"/>
  <c r="D16" i="1"/>
  <c r="B16" i="1"/>
  <c r="F16" i="1"/>
  <c r="E15" i="1"/>
  <c r="D15" i="1"/>
  <c r="E14" i="1"/>
  <c r="D14" i="1"/>
  <c r="B14" i="1"/>
  <c r="E13" i="1"/>
  <c r="D13" i="1"/>
  <c r="C13" i="1"/>
  <c r="B13" i="1"/>
  <c r="E12" i="1"/>
  <c r="D12" i="1"/>
  <c r="C12" i="1"/>
  <c r="B12" i="1"/>
  <c r="E10" i="1"/>
  <c r="C10" i="1"/>
  <c r="G7" i="1"/>
  <c r="G6" i="1"/>
  <c r="G5" i="1"/>
  <c r="G4" i="1"/>
  <c r="E8" i="1"/>
  <c r="D8" i="1"/>
  <c r="C8" i="1"/>
  <c r="F8" i="1"/>
  <c r="G8" i="1"/>
  <c r="E6" i="1"/>
  <c r="D6" i="1"/>
  <c r="C6" i="1"/>
  <c r="F6" i="1"/>
  <c r="F5" i="1"/>
  <c r="F4" i="1"/>
  <c r="F3" i="1"/>
  <c r="G3" i="1"/>
  <c r="F2" i="1"/>
</calcChain>
</file>

<file path=xl/sharedStrings.xml><?xml version="1.0" encoding="utf-8"?>
<sst xmlns="http://schemas.openxmlformats.org/spreadsheetml/2006/main" count="129" uniqueCount="79">
  <si>
    <t>ampUni01</t>
  </si>
  <si>
    <t>E-Mean</t>
  </si>
  <si>
    <t>E-Max</t>
  </si>
  <si>
    <t>H-Max</t>
  </si>
  <si>
    <t>H-Mean</t>
  </si>
  <si>
    <t>E-HPBW</t>
  </si>
  <si>
    <t>H-HPBW</t>
  </si>
  <si>
    <t>ampUni02</t>
  </si>
  <si>
    <t>ampUni05</t>
  </si>
  <si>
    <t>ampUni10</t>
  </si>
  <si>
    <t>ampUni50</t>
  </si>
  <si>
    <t>ampUni20</t>
  </si>
  <si>
    <t>ampUni80</t>
  </si>
  <si>
    <t>ampNorm01</t>
  </si>
  <si>
    <t>ampNorm02</t>
  </si>
  <si>
    <t>ampNorm05</t>
  </si>
  <si>
    <t>ampNorm10</t>
  </si>
  <si>
    <t>ampNorm20</t>
  </si>
  <si>
    <t>ampNorm50</t>
  </si>
  <si>
    <t>ampNorm80</t>
  </si>
  <si>
    <t>ampCor10-05</t>
  </si>
  <si>
    <t>ampCor10-20</t>
  </si>
  <si>
    <t>ampCor10-80</t>
  </si>
  <si>
    <t>ampCor50-05</t>
  </si>
  <si>
    <t>ampCor50-20</t>
  </si>
  <si>
    <t>ampCor50-80</t>
  </si>
  <si>
    <t>ampCor80-05</t>
  </si>
  <si>
    <t>ampCor80-20</t>
  </si>
  <si>
    <t>ampCor80-80</t>
  </si>
  <si>
    <t>Same</t>
  </si>
  <si>
    <t>phaseUni01</t>
  </si>
  <si>
    <t>phaseUni02</t>
  </si>
  <si>
    <t>phaseUni04</t>
  </si>
  <si>
    <t>phaseUni07</t>
  </si>
  <si>
    <t>phaseUni10</t>
  </si>
  <si>
    <t>phaseUni20</t>
  </si>
  <si>
    <t>phaseUni40</t>
  </si>
  <si>
    <t>NA</t>
  </si>
  <si>
    <t>phaseNorm01</t>
  </si>
  <si>
    <t>phaseNorm02</t>
  </si>
  <si>
    <t>phaseNorm04</t>
  </si>
  <si>
    <t>phaseNorm07</t>
  </si>
  <si>
    <t>phaseNorm10</t>
  </si>
  <si>
    <t>phaseNorm20</t>
  </si>
  <si>
    <t>phaseNorm40</t>
  </si>
  <si>
    <t>phaseCor10-04</t>
  </si>
  <si>
    <t>phaseCor10-10</t>
  </si>
  <si>
    <t>phaseCor10-40</t>
  </si>
  <si>
    <t>phaseCor50-04</t>
  </si>
  <si>
    <t>phaseCor50-10</t>
  </si>
  <si>
    <t>phaseCor50-40</t>
  </si>
  <si>
    <t>phaseCor80-04</t>
  </si>
  <si>
    <t>phaseCor80-10</t>
  </si>
  <si>
    <t>phaseCor80-40</t>
  </si>
  <si>
    <t>CombUni0101</t>
  </si>
  <si>
    <t>name_amp_phase</t>
  </si>
  <si>
    <t>CombUni0202</t>
  </si>
  <si>
    <t>CombUni0504</t>
  </si>
  <si>
    <t>CombUni1007</t>
  </si>
  <si>
    <t>CombUni2010</t>
  </si>
  <si>
    <t>CombUni4020</t>
  </si>
  <si>
    <t>CombUni8040</t>
  </si>
  <si>
    <t>CombNorm0101</t>
  </si>
  <si>
    <t>CombNorm0202</t>
  </si>
  <si>
    <t>CombNorm0504</t>
  </si>
  <si>
    <t>CombNorm1007</t>
  </si>
  <si>
    <t>CombNorm2010</t>
  </si>
  <si>
    <t>CombNorm4020</t>
  </si>
  <si>
    <t>CombNorm8040</t>
  </si>
  <si>
    <t>name_amp_ph_dev</t>
  </si>
  <si>
    <t>combCor05-04-10</t>
  </si>
  <si>
    <t>combCor05-04-50</t>
  </si>
  <si>
    <t>combCor20-10-10</t>
  </si>
  <si>
    <t>combCor80-40-10</t>
  </si>
  <si>
    <t>combCor80-40-50</t>
  </si>
  <si>
    <t>combCor05-04-80</t>
  </si>
  <si>
    <t>combCor80-40-80</t>
  </si>
  <si>
    <t>combCor20-10-50</t>
  </si>
  <si>
    <t>combCor20-10-80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</si>
</sst>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19A4-6E8B-4763-B9A8-45A697D13A3C}">
  <dimension ref="A1:W44"/>
  <sheetViews>
    <sheetView tabSelected="1" topLeftCell="F13" zoomScaleNormal="100" workbookViewId="0">
      <selection activeCell="M45" sqref="M45"/>
    </sheetView>
  </sheetViews>
  <sheetFormatPr defaultRowHeight="15" x14ac:dyDescent="0.25"/>
  <cols>
    <col min="1" max="1" width="12.85546875" customWidth="1"/>
    <col min="2" max="2" width="9.140625" customWidth="1"/>
    <col min="7" max="7" width="9" customWidth="1"/>
    <col min="9" max="9" width="15.28515625" customWidth="1"/>
    <col min="10" max="10" width="9.5703125" bestFit="1" customWidth="1"/>
    <col min="13" max="13" width="9.5703125" bestFit="1" customWidth="1"/>
    <col min="17" max="17" width="18.42578125" customWidth="1"/>
  </cols>
  <sheetData>
    <row r="1" spans="1:23" x14ac:dyDescent="0.25"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J1" t="s">
        <v>2</v>
      </c>
      <c r="K1" t="s">
        <v>1</v>
      </c>
      <c r="L1" t="s">
        <v>3</v>
      </c>
      <c r="M1" t="s">
        <v>4</v>
      </c>
      <c r="N1" t="s">
        <v>5</v>
      </c>
      <c r="O1" t="s">
        <v>6</v>
      </c>
      <c r="Q1" t="s">
        <v>55</v>
      </c>
      <c r="R1" t="s">
        <v>2</v>
      </c>
      <c r="S1" t="s">
        <v>1</v>
      </c>
      <c r="T1" t="s">
        <v>3</v>
      </c>
      <c r="U1" t="s">
        <v>4</v>
      </c>
      <c r="V1" t="s">
        <v>5</v>
      </c>
      <c r="W1" t="s">
        <v>6</v>
      </c>
    </row>
    <row r="2" spans="1:23" x14ac:dyDescent="0.25">
      <c r="A2" t="s">
        <v>0</v>
      </c>
      <c r="B2" s="2">
        <v>8.4999999999999995E-4</v>
      </c>
      <c r="C2" s="2">
        <v>1.2E-4</v>
      </c>
      <c r="D2" s="2">
        <v>5.8E-4</v>
      </c>
      <c r="E2" s="2">
        <v>1.2999999999999999E-4</v>
      </c>
      <c r="F2" s="1">
        <f>12.7*2</f>
        <v>25.4</v>
      </c>
      <c r="G2" s="1">
        <v>26.2</v>
      </c>
      <c r="H2" s="1"/>
      <c r="I2" t="s">
        <v>30</v>
      </c>
      <c r="J2" s="2">
        <f>0.003137</f>
        <v>3.137E-3</v>
      </c>
      <c r="K2" s="2">
        <f>0.000607</f>
        <v>6.0700000000000001E-4</v>
      </c>
      <c r="L2" s="2">
        <f>0.00416</f>
        <v>4.1599999999999996E-3</v>
      </c>
      <c r="M2" s="2">
        <f>0.00081</f>
        <v>8.0999999999999996E-4</v>
      </c>
      <c r="N2" s="1">
        <f>12.7*2</f>
        <v>25.4</v>
      </c>
      <c r="O2" s="1">
        <v>26.2</v>
      </c>
      <c r="Q2" t="s">
        <v>54</v>
      </c>
      <c r="R2" s="2">
        <f>0.0039186</f>
        <v>3.9186000000000004E-3</v>
      </c>
      <c r="S2" s="2">
        <f>0.0005229</f>
        <v>5.2289999999999997E-4</v>
      </c>
      <c r="T2" s="2">
        <f>0.003979</f>
        <v>3.9789999999999999E-3</v>
      </c>
      <c r="U2" s="2">
        <f>0.0007944</f>
        <v>7.9440000000000001E-4</v>
      </c>
      <c r="V2" s="1">
        <f>12.7*2</f>
        <v>25.4</v>
      </c>
      <c r="W2" s="1">
        <v>26.2</v>
      </c>
    </row>
    <row r="3" spans="1:23" x14ac:dyDescent="0.25">
      <c r="A3" t="s">
        <v>7</v>
      </c>
      <c r="B3" s="2">
        <v>1.75E-3</v>
      </c>
      <c r="C3" s="2">
        <v>2.2000000000000001E-4</v>
      </c>
      <c r="D3" s="2">
        <v>8.7000000000000001E-4</v>
      </c>
      <c r="E3" s="2">
        <v>2.2000000000000001E-4</v>
      </c>
      <c r="F3" s="1">
        <f>12.7*2</f>
        <v>25.4</v>
      </c>
      <c r="G3" s="1">
        <f>13.1*2</f>
        <v>26.2</v>
      </c>
      <c r="H3" s="1"/>
      <c r="I3" t="s">
        <v>31</v>
      </c>
      <c r="J3" s="2">
        <f>0.006687</f>
        <v>6.6870000000000002E-3</v>
      </c>
      <c r="K3" s="2">
        <f>0.00121</f>
        <v>1.2099999999999999E-3</v>
      </c>
      <c r="L3" s="2">
        <f>0.008889</f>
        <v>8.8889999999999993E-3</v>
      </c>
      <c r="M3" s="2">
        <f>0.001634</f>
        <v>1.634E-3</v>
      </c>
      <c r="N3" s="1">
        <f>12.7*2</f>
        <v>25.4</v>
      </c>
      <c r="O3" s="1">
        <v>26.2</v>
      </c>
      <c r="Q3" t="s">
        <v>56</v>
      </c>
      <c r="R3" s="2">
        <f>0.008206997</f>
        <v>8.2069970000000006E-3</v>
      </c>
      <c r="S3" s="2">
        <f>0.00156225</f>
        <v>1.5622500000000001E-3</v>
      </c>
      <c r="T3" s="2">
        <f>0.0081</f>
        <v>8.0999999999999996E-3</v>
      </c>
      <c r="U3" s="2">
        <f>0.0017595</f>
        <v>1.7595E-3</v>
      </c>
      <c r="V3" s="1">
        <f>12.7*2</f>
        <v>25.4</v>
      </c>
      <c r="W3" s="1">
        <v>26.2</v>
      </c>
    </row>
    <row r="4" spans="1:23" x14ac:dyDescent="0.25">
      <c r="A4" t="s">
        <v>8</v>
      </c>
      <c r="B4" s="2">
        <v>2.65E-3</v>
      </c>
      <c r="C4" s="2">
        <v>4.0000000000000002E-4</v>
      </c>
      <c r="D4" s="2">
        <v>3.1199999999999999E-3</v>
      </c>
      <c r="E4" s="2">
        <v>6.3000000000000003E-4</v>
      </c>
      <c r="F4" s="1">
        <f>12.7*2</f>
        <v>25.4</v>
      </c>
      <c r="G4" s="1">
        <f>13.1*2</f>
        <v>26.2</v>
      </c>
      <c r="H4" s="1"/>
      <c r="I4" t="s">
        <v>32</v>
      </c>
      <c r="J4" s="2">
        <f>0.01083</f>
        <v>1.0829999999999999E-2</v>
      </c>
      <c r="K4" s="2">
        <f>0.003199</f>
        <v>3.199E-3</v>
      </c>
      <c r="L4" s="2">
        <f>0.0220339</f>
        <v>2.2033899999999999E-2</v>
      </c>
      <c r="M4" s="2">
        <f>0.004379</f>
        <v>4.3790000000000001E-3</v>
      </c>
      <c r="N4" s="1">
        <f>12.7*2</f>
        <v>25.4</v>
      </c>
      <c r="O4" s="1">
        <v>26.2</v>
      </c>
      <c r="Q4" t="s">
        <v>57</v>
      </c>
      <c r="R4" s="2">
        <f>0.017458</f>
        <v>1.7458000000000001E-2</v>
      </c>
      <c r="S4" s="2">
        <f>0.002746</f>
        <v>2.7460000000000002E-3</v>
      </c>
      <c r="T4" s="2">
        <f>0.0172798</f>
        <v>1.7279800000000001E-2</v>
      </c>
      <c r="U4" s="2">
        <f>0.00338485</f>
        <v>3.38485E-3</v>
      </c>
      <c r="V4" s="1">
        <f>12.7*2</f>
        <v>25.4</v>
      </c>
      <c r="W4" s="1">
        <v>26.2</v>
      </c>
    </row>
    <row r="5" spans="1:23" x14ac:dyDescent="0.25">
      <c r="A5" t="s">
        <v>9</v>
      </c>
      <c r="B5" s="2">
        <v>9.9900000000000006E-3</v>
      </c>
      <c r="C5" s="2">
        <v>1.48E-3</v>
      </c>
      <c r="D5" s="2">
        <v>9.6200000000000001E-3</v>
      </c>
      <c r="E5" s="2">
        <v>1.8500000000000001E-3</v>
      </c>
      <c r="F5" s="1">
        <f>25.4</f>
        <v>25.4</v>
      </c>
      <c r="G5" s="1">
        <f>13.1*2</f>
        <v>26.2</v>
      </c>
      <c r="H5" s="1"/>
      <c r="I5" t="s">
        <v>33</v>
      </c>
      <c r="J5" s="2">
        <f>0.036916</f>
        <v>3.6915999999999997E-2</v>
      </c>
      <c r="K5" s="2">
        <f>0.005167</f>
        <v>5.1669999999999997E-3</v>
      </c>
      <c r="L5" s="2">
        <f>0.0275</f>
        <v>2.75E-2</v>
      </c>
      <c r="M5" s="2">
        <f>0.006592</f>
        <v>6.5919999999999998E-3</v>
      </c>
      <c r="N5" s="1">
        <f>12.7*2</f>
        <v>25.4</v>
      </c>
      <c r="O5" s="1">
        <v>26.2</v>
      </c>
      <c r="Q5" t="s">
        <v>58</v>
      </c>
      <c r="R5" s="2">
        <f>0.014717</f>
        <v>1.4716999999999999E-2</v>
      </c>
      <c r="S5" s="2">
        <f>0.003555</f>
        <v>3.555E-3</v>
      </c>
      <c r="T5" s="2">
        <f>0.0178258</f>
        <v>1.7825799999999999E-2</v>
      </c>
      <c r="U5" s="2">
        <f>0.004764</f>
        <v>4.764E-3</v>
      </c>
      <c r="V5" s="1">
        <f>12.7*2</f>
        <v>25.4</v>
      </c>
      <c r="W5" s="1">
        <v>26.2</v>
      </c>
    </row>
    <row r="6" spans="1:23" x14ac:dyDescent="0.25">
      <c r="A6" t="s">
        <v>11</v>
      </c>
      <c r="B6" s="2">
        <v>1.8929999999999999E-2</v>
      </c>
      <c r="C6" s="2">
        <f>0.00249</f>
        <v>2.49E-3</v>
      </c>
      <c r="D6" s="2">
        <f>0.01718</f>
        <v>1.7180000000000001E-2</v>
      </c>
      <c r="E6" s="2">
        <f>0.00381</f>
        <v>3.81E-3</v>
      </c>
      <c r="F6" s="1">
        <f>25.4</f>
        <v>25.4</v>
      </c>
      <c r="G6" s="1">
        <f>13.1*2</f>
        <v>26.2</v>
      </c>
      <c r="H6" s="1"/>
      <c r="I6" t="s">
        <v>34</v>
      </c>
      <c r="J6" s="2">
        <f>0.051101</f>
        <v>5.1101000000000001E-2</v>
      </c>
      <c r="K6" s="2">
        <f>0.00506</f>
        <v>5.0600000000000003E-3</v>
      </c>
      <c r="L6" s="2">
        <f>0.051406</f>
        <v>5.1406E-2</v>
      </c>
      <c r="M6" s="2">
        <f>0.0086348</f>
        <v>8.6347999999999998E-3</v>
      </c>
      <c r="N6" s="1">
        <f>12.7*2</f>
        <v>25.4</v>
      </c>
      <c r="O6" s="1">
        <v>25.8</v>
      </c>
      <c r="Q6" t="s">
        <v>59</v>
      </c>
      <c r="R6" s="2">
        <f>0.0309586</f>
        <v>3.0958599999999999E-2</v>
      </c>
      <c r="S6" s="2">
        <f>0.007212</f>
        <v>7.2119999999999997E-3</v>
      </c>
      <c r="T6" s="2">
        <f>0.048365</f>
        <v>4.8364999999999998E-2</v>
      </c>
      <c r="U6" s="2">
        <f>0.01001334</f>
        <v>1.0013340000000001E-2</v>
      </c>
      <c r="V6" s="1">
        <f>12.7*2</f>
        <v>25.4</v>
      </c>
      <c r="W6" s="1">
        <v>26.2</v>
      </c>
    </row>
    <row r="7" spans="1:23" x14ac:dyDescent="0.25">
      <c r="A7" t="s">
        <v>10</v>
      </c>
      <c r="B7" s="2">
        <v>3.3759999999999998E-2</v>
      </c>
      <c r="C7" s="2">
        <v>5.0299999999999997E-3</v>
      </c>
      <c r="D7" s="2">
        <v>2.349E-2</v>
      </c>
      <c r="E7" s="2">
        <v>5.5300000000000002E-3</v>
      </c>
      <c r="F7" s="1">
        <v>25.4</v>
      </c>
      <c r="G7" s="1">
        <f>13.1*2</f>
        <v>26.2</v>
      </c>
      <c r="H7" s="1"/>
      <c r="I7" t="s">
        <v>35</v>
      </c>
      <c r="J7" s="2">
        <f>0.060749</f>
        <v>6.0748999999999997E-2</v>
      </c>
      <c r="K7" s="2">
        <f>0.0158314</f>
        <v>1.5831399999999999E-2</v>
      </c>
      <c r="L7" s="2">
        <f>0.11259</f>
        <v>0.11259</v>
      </c>
      <c r="M7" s="2">
        <f>0.02787</f>
        <v>2.7869999999999999E-2</v>
      </c>
      <c r="N7" s="1">
        <v>25.2</v>
      </c>
      <c r="O7" s="1">
        <f>14.8+11.3</f>
        <v>26.1</v>
      </c>
      <c r="Q7" t="s">
        <v>60</v>
      </c>
      <c r="R7" s="2">
        <f>0.130983</f>
        <v>0.13098299999999999</v>
      </c>
      <c r="S7" s="2">
        <f>0.0144415</f>
        <v>1.4441499999999999E-2</v>
      </c>
      <c r="T7" s="2">
        <f>0.099609</f>
        <v>9.9609000000000003E-2</v>
      </c>
      <c r="U7" s="2">
        <f>0.01856155</f>
        <v>1.856155E-2</v>
      </c>
      <c r="V7" s="1">
        <f>12.6*2</f>
        <v>25.2</v>
      </c>
      <c r="W7" s="1">
        <v>25.6</v>
      </c>
    </row>
    <row r="8" spans="1:23" x14ac:dyDescent="0.25">
      <c r="A8" t="s">
        <v>12</v>
      </c>
      <c r="B8" s="2">
        <v>6.8919999999999995E-2</v>
      </c>
      <c r="C8" s="2">
        <f>0.01014</f>
        <v>1.014E-2</v>
      </c>
      <c r="D8" s="2">
        <f>0.09846</f>
        <v>9.8460000000000006E-2</v>
      </c>
      <c r="E8" s="2">
        <f>0.02089</f>
        <v>2.0889999999999999E-2</v>
      </c>
      <c r="F8" s="1">
        <f>12.9+14.2</f>
        <v>27.1</v>
      </c>
      <c r="G8" s="1">
        <f>14+14.6</f>
        <v>28.6</v>
      </c>
      <c r="H8" s="1"/>
      <c r="I8" t="s">
        <v>36</v>
      </c>
      <c r="J8" s="2">
        <f>0.435493</f>
        <v>0.43549300000000002</v>
      </c>
      <c r="K8" s="2">
        <f>0.058259</f>
        <v>5.8258999999999998E-2</v>
      </c>
      <c r="L8" s="2">
        <f>0.435493</f>
        <v>0.43549300000000002</v>
      </c>
      <c r="M8" s="2">
        <f>0.1026869</f>
        <v>0.1026869</v>
      </c>
      <c r="N8" t="s">
        <v>37</v>
      </c>
      <c r="O8" t="s">
        <v>37</v>
      </c>
      <c r="Q8" t="s">
        <v>61</v>
      </c>
      <c r="R8" s="2">
        <f>0.449826</f>
        <v>0.449826</v>
      </c>
      <c r="S8" s="2">
        <f>0.071574</f>
        <v>7.1573999999999999E-2</v>
      </c>
      <c r="T8" s="2">
        <f>0.369507</f>
        <v>0.36950699999999997</v>
      </c>
      <c r="U8" s="2">
        <f>0.0613437</f>
        <v>6.1343700000000001E-2</v>
      </c>
      <c r="V8" s="1" t="s">
        <v>37</v>
      </c>
      <c r="W8" s="1" t="s">
        <v>37</v>
      </c>
    </row>
    <row r="9" spans="1:23" x14ac:dyDescent="0.25">
      <c r="B9" s="1"/>
      <c r="C9" s="1"/>
      <c r="D9" s="1"/>
      <c r="E9" s="1"/>
      <c r="F9" s="1"/>
      <c r="G9" s="1"/>
      <c r="H9" s="1"/>
    </row>
    <row r="10" spans="1:23" x14ac:dyDescent="0.25">
      <c r="A10" t="s">
        <v>13</v>
      </c>
      <c r="B10" s="2">
        <v>1.6299999999999999E-3</v>
      </c>
      <c r="C10" s="2">
        <f>0.00026</f>
        <v>2.5999999999999998E-4</v>
      </c>
      <c r="D10" s="2">
        <v>9.5E-4</v>
      </c>
      <c r="E10" s="2">
        <f>0.00026</f>
        <v>2.5999999999999998E-4</v>
      </c>
      <c r="F10" s="1">
        <v>25.4</v>
      </c>
      <c r="G10" s="1">
        <v>26.2</v>
      </c>
      <c r="H10" s="1"/>
      <c r="I10" t="s">
        <v>29</v>
      </c>
      <c r="Q10" t="s">
        <v>62</v>
      </c>
      <c r="R10" s="2">
        <f>0.0059881</f>
        <v>5.9880999999999997E-3</v>
      </c>
      <c r="S10" s="2">
        <f>0.000972</f>
        <v>9.7199999999999999E-4</v>
      </c>
      <c r="T10" s="2">
        <v>4.7479999999999996E-3</v>
      </c>
      <c r="U10" s="2">
        <f>0.001219</f>
        <v>1.219E-3</v>
      </c>
      <c r="V10" s="1">
        <f>12.7*2</f>
        <v>25.4</v>
      </c>
      <c r="W10" s="1">
        <v>26.2</v>
      </c>
    </row>
    <row r="11" spans="1:23" x14ac:dyDescent="0.25">
      <c r="A11" t="s">
        <v>14</v>
      </c>
      <c r="B11" s="2">
        <v>1.99E-3</v>
      </c>
      <c r="C11" s="2">
        <v>4.2000000000000002E-4</v>
      </c>
      <c r="D11" s="2">
        <v>2.2699999999999999E-3</v>
      </c>
      <c r="E11" s="2">
        <v>4.4000000000000002E-4</v>
      </c>
      <c r="F11" s="1">
        <v>25.4</v>
      </c>
      <c r="G11" s="1">
        <v>26.2</v>
      </c>
      <c r="H11" s="1"/>
      <c r="I11" t="s">
        <v>30</v>
      </c>
      <c r="J11" s="2">
        <f>0.003007</f>
        <v>3.0070000000000001E-3</v>
      </c>
      <c r="K11" s="2">
        <f>0.000594</f>
        <v>5.9400000000000002E-4</v>
      </c>
      <c r="L11" s="2">
        <f>0.0035004</f>
        <v>3.5003999999999999E-3</v>
      </c>
      <c r="M11" s="2">
        <f>0.000729</f>
        <v>7.2900000000000005E-4</v>
      </c>
      <c r="N11" s="1">
        <f>12.7*2</f>
        <v>25.4</v>
      </c>
      <c r="O11" s="1">
        <v>26.2</v>
      </c>
      <c r="Q11" t="s">
        <v>63</v>
      </c>
      <c r="R11" s="2">
        <f>0.018436</f>
        <v>1.8436000000000001E-2</v>
      </c>
      <c r="S11" s="2">
        <f>0.002124</f>
        <v>2.124E-3</v>
      </c>
      <c r="T11" s="2">
        <f>0.014178</f>
        <v>1.4178E-2</v>
      </c>
      <c r="U11" s="2">
        <f>0.003046</f>
        <v>3.0460000000000001E-3</v>
      </c>
      <c r="V11" s="1">
        <f>12.7*2</f>
        <v>25.4</v>
      </c>
      <c r="W11" s="1">
        <v>26.2</v>
      </c>
    </row>
    <row r="12" spans="1:23" x14ac:dyDescent="0.25">
      <c r="A12" t="s">
        <v>15</v>
      </c>
      <c r="B12" s="2">
        <f>0.00583</f>
        <v>5.8300000000000001E-3</v>
      </c>
      <c r="C12" s="2">
        <f>0.00073</f>
        <v>7.2999999999999996E-4</v>
      </c>
      <c r="D12" s="2">
        <f>0.00619</f>
        <v>6.1900000000000002E-3</v>
      </c>
      <c r="E12" s="2">
        <f>0.00122</f>
        <v>1.2199999999999999E-3</v>
      </c>
      <c r="F12" s="1">
        <v>25.4</v>
      </c>
      <c r="G12" s="1">
        <v>26.2</v>
      </c>
      <c r="H12" s="1"/>
      <c r="I12" t="s">
        <v>31</v>
      </c>
      <c r="J12" s="2">
        <f>0.010813</f>
        <v>1.0813E-2</v>
      </c>
      <c r="K12" s="2">
        <f>0.001809</f>
        <v>1.8090000000000001E-3</v>
      </c>
      <c r="L12" s="2">
        <f>0.00802</f>
        <v>8.0199999999999994E-3</v>
      </c>
      <c r="M12" s="2">
        <f>0.001632</f>
        <v>1.632E-3</v>
      </c>
      <c r="N12" s="1">
        <f>12.7*2</f>
        <v>25.4</v>
      </c>
      <c r="O12" s="1">
        <v>26.2</v>
      </c>
      <c r="Q12" t="s">
        <v>64</v>
      </c>
      <c r="R12" s="2">
        <f>0.026304</f>
        <v>2.6304000000000001E-2</v>
      </c>
      <c r="S12" s="2">
        <f>0.0037765</f>
        <v>3.7764999999999999E-3</v>
      </c>
      <c r="T12" s="2">
        <f>0.027172</f>
        <v>2.7172000000000002E-2</v>
      </c>
      <c r="U12" s="2">
        <f>0.006151</f>
        <v>6.1510000000000002E-3</v>
      </c>
      <c r="V12" s="1">
        <f>12.7*2</f>
        <v>25.4</v>
      </c>
      <c r="W12" s="1">
        <v>26.2</v>
      </c>
    </row>
    <row r="13" spans="1:23" x14ac:dyDescent="0.25">
      <c r="A13" t="s">
        <v>16</v>
      </c>
      <c r="B13" s="2">
        <f>0.01029</f>
        <v>1.0290000000000001E-2</v>
      </c>
      <c r="C13" s="2">
        <f>0.00139</f>
        <v>1.39E-3</v>
      </c>
      <c r="D13" s="2">
        <f>0.00935</f>
        <v>9.3500000000000007E-3</v>
      </c>
      <c r="E13" s="2">
        <f>0.00215</f>
        <v>2.15E-3</v>
      </c>
      <c r="F13" s="1">
        <v>25.4</v>
      </c>
      <c r="G13" s="1">
        <v>26.2</v>
      </c>
      <c r="H13" s="1"/>
      <c r="I13" t="s">
        <v>32</v>
      </c>
      <c r="J13" s="2">
        <f>0.021669</f>
        <v>2.1669000000000001E-2</v>
      </c>
      <c r="K13" s="2">
        <f>0.00294</f>
        <v>2.9399999999999999E-3</v>
      </c>
      <c r="L13" s="2">
        <f>0.0177467</f>
        <v>1.7746700000000001E-2</v>
      </c>
      <c r="M13" s="2">
        <f>0.003491</f>
        <v>3.4910000000000002E-3</v>
      </c>
      <c r="N13" s="1">
        <f>12.7*2</f>
        <v>25.4</v>
      </c>
      <c r="O13" s="1">
        <v>26.2</v>
      </c>
      <c r="Q13" t="s">
        <v>65</v>
      </c>
      <c r="R13" s="2">
        <f>0.04905</f>
        <v>4.9050000000000003E-2</v>
      </c>
      <c r="S13" s="2">
        <f>0.0101432</f>
        <v>1.01432E-2</v>
      </c>
      <c r="T13" s="2">
        <f>0.0498308</f>
        <v>4.9830800000000001E-2</v>
      </c>
      <c r="U13" s="2">
        <f>0.0099185</f>
        <v>9.9185000000000002E-3</v>
      </c>
      <c r="V13" s="1">
        <f>12.7*2</f>
        <v>25.4</v>
      </c>
      <c r="W13" s="1">
        <v>26.2</v>
      </c>
    </row>
    <row r="14" spans="1:23" x14ac:dyDescent="0.25">
      <c r="A14" t="s">
        <v>17</v>
      </c>
      <c r="B14" s="2">
        <f>0.02229</f>
        <v>2.2290000000000001E-2</v>
      </c>
      <c r="C14" s="2">
        <v>4.64E-3</v>
      </c>
      <c r="D14" s="2">
        <f>0.02609</f>
        <v>2.6089999999999999E-2</v>
      </c>
      <c r="E14" s="2">
        <f>0.00594</f>
        <v>5.94E-3</v>
      </c>
      <c r="F14" s="1">
        <v>25.4</v>
      </c>
      <c r="G14" s="1">
        <v>26.2</v>
      </c>
      <c r="H14" s="1"/>
      <c r="I14" t="s">
        <v>33</v>
      </c>
      <c r="J14" s="2">
        <v>2.121E-2</v>
      </c>
      <c r="K14" s="2">
        <f>0.003839</f>
        <v>3.839E-3</v>
      </c>
      <c r="L14" s="2">
        <f>0.0379623</f>
        <v>3.7962299999999997E-2</v>
      </c>
      <c r="M14" s="2">
        <f>0.0065157</f>
        <v>6.5157000000000001E-3</v>
      </c>
      <c r="N14" s="1">
        <f>12.7*2</f>
        <v>25.4</v>
      </c>
      <c r="O14" s="1">
        <v>26.2</v>
      </c>
      <c r="Q14" t="s">
        <v>66</v>
      </c>
      <c r="R14" s="2">
        <f>0.059153</f>
        <v>5.9152999999999997E-2</v>
      </c>
      <c r="S14" s="2">
        <f>0.012029</f>
        <v>1.2029E-2</v>
      </c>
      <c r="T14" s="2">
        <v>0.1004142</v>
      </c>
      <c r="U14" s="2">
        <f>0.016653</f>
        <v>1.6653000000000001E-2</v>
      </c>
      <c r="V14" s="1">
        <f>12.7*2</f>
        <v>25.4</v>
      </c>
      <c r="W14" s="1">
        <v>26</v>
      </c>
    </row>
    <row r="15" spans="1:23" x14ac:dyDescent="0.25">
      <c r="A15" t="s">
        <v>18</v>
      </c>
      <c r="B15" s="2">
        <v>3.381E-2</v>
      </c>
      <c r="C15" s="2">
        <v>7.1199999999999996E-3</v>
      </c>
      <c r="D15" s="2">
        <f>0.05486</f>
        <v>5.4859999999999999E-2</v>
      </c>
      <c r="E15" s="2">
        <f>0.0123</f>
        <v>1.23E-2</v>
      </c>
      <c r="F15" s="1">
        <v>25.4</v>
      </c>
      <c r="G15" s="1">
        <v>26.2</v>
      </c>
      <c r="H15" s="1"/>
      <c r="I15" t="s">
        <v>34</v>
      </c>
      <c r="J15" s="2">
        <f>0.046534</f>
        <v>4.6533999999999999E-2</v>
      </c>
      <c r="K15" s="2">
        <f>0.007345</f>
        <v>7.345E-3</v>
      </c>
      <c r="L15" s="2">
        <f>0.065786</f>
        <v>6.5785999999999997E-2</v>
      </c>
      <c r="M15" s="2">
        <f>0.009048</f>
        <v>9.0480000000000005E-3</v>
      </c>
      <c r="N15" s="1">
        <v>25.2</v>
      </c>
      <c r="O15" s="1">
        <v>25.6</v>
      </c>
      <c r="Q15" t="s">
        <v>67</v>
      </c>
      <c r="R15" s="2">
        <f>0.263327</f>
        <v>0.26332699999999998</v>
      </c>
      <c r="S15" s="2">
        <f>0.044963</f>
        <v>4.4963000000000003E-2</v>
      </c>
      <c r="T15" s="2">
        <f>0.2633272</f>
        <v>0.26332719999999998</v>
      </c>
      <c r="U15" s="2">
        <f>0.0345826</f>
        <v>3.4582599999999998E-2</v>
      </c>
      <c r="V15" s="1">
        <f>10.5+15.3</f>
        <v>25.8</v>
      </c>
      <c r="W15" s="1">
        <f>14.5+14.4</f>
        <v>28.9</v>
      </c>
    </row>
    <row r="16" spans="1:23" x14ac:dyDescent="0.25">
      <c r="A16" t="s">
        <v>19</v>
      </c>
      <c r="B16" s="2">
        <f>0.11826</f>
        <v>0.11826</v>
      </c>
      <c r="C16" s="2">
        <v>1.8960000000000001E-2</v>
      </c>
      <c r="D16" s="2">
        <f>0.07384</f>
        <v>7.3840000000000003E-2</v>
      </c>
      <c r="E16" s="2">
        <f>0.01444</f>
        <v>1.444E-2</v>
      </c>
      <c r="F16" s="1">
        <f>14.3+12.7</f>
        <v>27</v>
      </c>
      <c r="G16" s="1">
        <v>26.3</v>
      </c>
      <c r="H16" s="1"/>
      <c r="I16" t="s">
        <v>35</v>
      </c>
      <c r="J16" s="2">
        <f>0.076035</f>
        <v>7.6035000000000005E-2</v>
      </c>
      <c r="K16" s="2">
        <f>0.012897</f>
        <v>1.2897E-2</v>
      </c>
      <c r="L16" s="2">
        <f>0.081667</f>
        <v>8.1667000000000003E-2</v>
      </c>
      <c r="M16" s="2">
        <f>0.016843</f>
        <v>1.6843E-2</v>
      </c>
      <c r="N16" s="1">
        <v>24.9</v>
      </c>
      <c r="O16" s="1">
        <v>25.3</v>
      </c>
      <c r="Q16" t="s">
        <v>68</v>
      </c>
      <c r="R16" s="2">
        <f>0.52774</f>
        <v>0.52773999999999999</v>
      </c>
      <c r="S16" s="2">
        <f>0.1097</f>
        <v>0.10970000000000001</v>
      </c>
      <c r="T16" s="2">
        <f>0.5277427</f>
        <v>0.52774270000000001</v>
      </c>
      <c r="U16" s="2">
        <f>0.080633</f>
        <v>8.0632999999999996E-2</v>
      </c>
      <c r="V16" s="1" t="s">
        <v>37</v>
      </c>
      <c r="W16" s="1" t="s">
        <v>37</v>
      </c>
    </row>
    <row r="17" spans="1:23" x14ac:dyDescent="0.25">
      <c r="B17" s="1"/>
      <c r="C17" s="1"/>
      <c r="D17" s="1"/>
      <c r="E17" s="1"/>
      <c r="F17" s="1"/>
      <c r="G17" s="1"/>
      <c r="H17" s="1"/>
      <c r="I17" t="s">
        <v>36</v>
      </c>
      <c r="J17" s="2">
        <f>0.56045</f>
        <v>0.56045</v>
      </c>
      <c r="K17" s="2">
        <f>0.0861572</f>
        <v>8.6157200000000003E-2</v>
      </c>
      <c r="L17" s="2">
        <f>0.39804</f>
        <v>0.39804</v>
      </c>
      <c r="M17" s="2">
        <f>0.064404</f>
        <v>6.4404000000000003E-2</v>
      </c>
      <c r="N17" s="1">
        <f>14.6+4.5</f>
        <v>19.100000000000001</v>
      </c>
      <c r="O17" s="1">
        <f>14.2+11</f>
        <v>25.2</v>
      </c>
    </row>
    <row r="18" spans="1:23" x14ac:dyDescent="0.25">
      <c r="A18" t="s">
        <v>20</v>
      </c>
      <c r="B18" s="2">
        <f>0.00305</f>
        <v>3.0500000000000002E-3</v>
      </c>
      <c r="C18" s="2">
        <f>0.000627</f>
        <v>6.2699999999999995E-4</v>
      </c>
      <c r="D18" s="2">
        <f>0.007715</f>
        <v>7.7149999999999996E-3</v>
      </c>
      <c r="E18" s="2">
        <f>0.001049</f>
        <v>1.049E-3</v>
      </c>
      <c r="F18" s="1">
        <v>25.4</v>
      </c>
      <c r="G18" s="1">
        <v>26.2</v>
      </c>
      <c r="H18" s="1"/>
      <c r="Q18" t="s">
        <v>69</v>
      </c>
    </row>
    <row r="19" spans="1:23" x14ac:dyDescent="0.25">
      <c r="A19" t="s">
        <v>21</v>
      </c>
      <c r="B19" s="2">
        <f>0.024924</f>
        <v>2.4924000000000002E-2</v>
      </c>
      <c r="C19" s="2">
        <f>0.002811</f>
        <v>2.8110000000000001E-3</v>
      </c>
      <c r="D19" s="2">
        <f>0.024949</f>
        <v>2.4948999999999999E-2</v>
      </c>
      <c r="E19" s="2">
        <f>0.0036596</f>
        <v>3.6595999999999998E-3</v>
      </c>
      <c r="F19" s="1">
        <v>25.4</v>
      </c>
      <c r="G19" s="1">
        <v>26.2</v>
      </c>
      <c r="H19" s="1"/>
      <c r="I19" t="s">
        <v>38</v>
      </c>
      <c r="J19" s="2">
        <f>0.00651</f>
        <v>6.5100000000000002E-3</v>
      </c>
      <c r="K19" s="2">
        <f>0.000864</f>
        <v>8.6399999999999997E-4</v>
      </c>
      <c r="L19" s="2">
        <f>0.004466</f>
        <v>4.4660000000000004E-3</v>
      </c>
      <c r="M19" s="2">
        <f>0.001149</f>
        <v>1.1490000000000001E-3</v>
      </c>
      <c r="N19" s="1">
        <f>12.7*2</f>
        <v>25.4</v>
      </c>
      <c r="O19" s="1">
        <v>26.2</v>
      </c>
      <c r="Q19" t="s">
        <v>70</v>
      </c>
      <c r="R19" s="2">
        <f>0.005534</f>
        <v>5.5339999999999999E-3</v>
      </c>
      <c r="S19" s="2">
        <f>0.000909</f>
        <v>9.0899999999999998E-4</v>
      </c>
      <c r="T19" s="2">
        <f>0.007151</f>
        <v>7.1510000000000002E-3</v>
      </c>
      <c r="U19" s="2">
        <f>0.0012305</f>
        <v>1.2305E-3</v>
      </c>
      <c r="V19" s="1">
        <v>25.4</v>
      </c>
      <c r="W19" s="1">
        <v>26.2</v>
      </c>
    </row>
    <row r="20" spans="1:23" x14ac:dyDescent="0.25">
      <c r="A20" t="s">
        <v>22</v>
      </c>
      <c r="B20" s="2">
        <f>0.071034</f>
        <v>7.1034E-2</v>
      </c>
      <c r="C20" s="2">
        <f>0.006516</f>
        <v>6.5160000000000001E-3</v>
      </c>
      <c r="D20" s="2">
        <f>0.0376532</f>
        <v>3.7653199999999998E-2</v>
      </c>
      <c r="E20" s="2">
        <f>0.009547</f>
        <v>9.5469999999999999E-3</v>
      </c>
      <c r="F20" s="1">
        <v>25.4</v>
      </c>
      <c r="G20" s="1">
        <v>26.2</v>
      </c>
      <c r="H20" s="1"/>
      <c r="I20" t="s">
        <v>39</v>
      </c>
      <c r="J20" s="2">
        <f>0.013993</f>
        <v>1.3993E-2</v>
      </c>
      <c r="K20" s="2">
        <f>0.0016418</f>
        <v>1.6417999999999999E-3</v>
      </c>
      <c r="L20" s="2">
        <f>0.0107028</f>
        <v>1.07028E-2</v>
      </c>
      <c r="M20" s="2">
        <f>0.0024888</f>
        <v>2.4888000000000002E-3</v>
      </c>
      <c r="N20" s="1">
        <f>12.7*2</f>
        <v>25.4</v>
      </c>
      <c r="O20" s="1">
        <v>26.2</v>
      </c>
      <c r="Q20" t="s">
        <v>72</v>
      </c>
      <c r="R20" s="2">
        <f>0.04463</f>
        <v>4.4630000000000003E-2</v>
      </c>
      <c r="S20" s="2">
        <f>0.0055476</f>
        <v>5.5475999999999998E-3</v>
      </c>
      <c r="T20" s="2">
        <f>0.0301012</f>
        <v>3.0101200000000002E-2</v>
      </c>
      <c r="U20" s="2">
        <f>0.0052424</f>
        <v>5.2424000000000004E-3</v>
      </c>
      <c r="V20" s="1">
        <v>25.4</v>
      </c>
      <c r="W20" s="1">
        <v>26.2</v>
      </c>
    </row>
    <row r="21" spans="1:23" x14ac:dyDescent="0.25">
      <c r="A21" t="s">
        <v>23</v>
      </c>
      <c r="B21" s="2">
        <f>0.00673</f>
        <v>6.7299999999999999E-3</v>
      </c>
      <c r="C21" s="2">
        <f>0.00111</f>
        <v>1.1100000000000001E-3</v>
      </c>
      <c r="D21" s="2">
        <f>0.00763138</f>
        <v>7.6313800000000001E-3</v>
      </c>
      <c r="E21" s="2">
        <f>0.0015833</f>
        <v>1.5832999999999999E-3</v>
      </c>
      <c r="F21" s="1">
        <v>25.4</v>
      </c>
      <c r="G21" s="1">
        <v>26.2</v>
      </c>
      <c r="H21" s="1"/>
      <c r="I21" t="s">
        <v>40</v>
      </c>
      <c r="J21" s="2">
        <f>0.032059</f>
        <v>3.2058999999999997E-2</v>
      </c>
      <c r="K21" s="2">
        <f>0.005435</f>
        <v>5.4349999999999997E-3</v>
      </c>
      <c r="L21" s="2">
        <f>0.02231</f>
        <v>2.231E-2</v>
      </c>
      <c r="M21" s="2">
        <f>0.00531</f>
        <v>5.3099999999999996E-3</v>
      </c>
      <c r="N21" s="1">
        <f>12.7*2</f>
        <v>25.4</v>
      </c>
      <c r="O21" s="1">
        <v>26.2</v>
      </c>
      <c r="Q21" t="s">
        <v>73</v>
      </c>
      <c r="R21" s="2">
        <f>0.060751</f>
        <v>6.0750999999999999E-2</v>
      </c>
      <c r="S21" s="2">
        <f>0.010373</f>
        <v>1.0373E-2</v>
      </c>
      <c r="T21" s="2">
        <f>0.0946116</f>
        <v>9.4611600000000004E-2</v>
      </c>
      <c r="U21" s="2">
        <f>0.012925</f>
        <v>1.2925000000000001E-2</v>
      </c>
      <c r="V21" s="1">
        <v>25.4</v>
      </c>
      <c r="W21" s="1">
        <v>26.2</v>
      </c>
    </row>
    <row r="22" spans="1:23" x14ac:dyDescent="0.25">
      <c r="A22" t="s">
        <v>24</v>
      </c>
      <c r="B22" s="2">
        <f>0.03478</f>
        <v>3.4779999999999998E-2</v>
      </c>
      <c r="C22" s="2">
        <f>0.004481</f>
        <v>4.4809999999999997E-3</v>
      </c>
      <c r="D22" s="2">
        <f>0.033453</f>
        <v>3.3452999999999997E-2</v>
      </c>
      <c r="E22" s="2">
        <f>0.005561</f>
        <v>5.561E-3</v>
      </c>
      <c r="F22" s="1">
        <v>25.4</v>
      </c>
      <c r="G22" s="1">
        <v>26.2</v>
      </c>
      <c r="H22" s="1"/>
      <c r="I22" t="s">
        <v>41</v>
      </c>
      <c r="J22" s="2">
        <f>0.066305</f>
        <v>6.6305000000000003E-2</v>
      </c>
      <c r="K22" s="2">
        <f>0.009645</f>
        <v>9.6450000000000008E-3</v>
      </c>
      <c r="L22" s="2">
        <f>0.088301</f>
        <v>8.8301000000000004E-2</v>
      </c>
      <c r="M22" s="2">
        <f>0.012379</f>
        <v>1.2378999999999999E-2</v>
      </c>
      <c r="N22" s="1">
        <f>27.4</f>
        <v>27.4</v>
      </c>
      <c r="O22" s="1">
        <f>12.5+12.5</f>
        <v>25</v>
      </c>
      <c r="Q22" t="s">
        <v>71</v>
      </c>
      <c r="R22" s="2">
        <f>0.005397</f>
        <v>5.3969999999999999E-3</v>
      </c>
      <c r="S22" s="2">
        <f>0.000989</f>
        <v>9.8900000000000008E-4</v>
      </c>
      <c r="T22" s="2">
        <f>0.007114</f>
        <v>7.1139999999999997E-3</v>
      </c>
      <c r="U22" s="2">
        <f>0.00117</f>
        <v>1.17E-3</v>
      </c>
      <c r="V22" s="1">
        <v>25.4</v>
      </c>
      <c r="W22" s="1">
        <v>26.2</v>
      </c>
    </row>
    <row r="23" spans="1:23" x14ac:dyDescent="0.25">
      <c r="A23" t="s">
        <v>25</v>
      </c>
      <c r="B23" s="2">
        <f>0.13286</f>
        <v>0.13286000000000001</v>
      </c>
      <c r="C23" s="2">
        <f>0.012893</f>
        <v>1.2893E-2</v>
      </c>
      <c r="D23" s="2">
        <f>0.077669</f>
        <v>7.7669000000000002E-2</v>
      </c>
      <c r="E23" s="2">
        <f>0.016683</f>
        <v>1.6683E-2</v>
      </c>
      <c r="F23" s="1">
        <v>25.7</v>
      </c>
      <c r="G23" s="1">
        <v>26.5</v>
      </c>
      <c r="H23" s="1"/>
      <c r="I23" t="s">
        <v>42</v>
      </c>
      <c r="J23" s="2">
        <f>0.073563</f>
        <v>7.3563000000000003E-2</v>
      </c>
      <c r="K23" s="2">
        <f>0.009537</f>
        <v>9.5370000000000003E-3</v>
      </c>
      <c r="L23" s="2">
        <f>0.061117</f>
        <v>6.1116999999999998E-2</v>
      </c>
      <c r="M23" s="2">
        <f>0.0135125</f>
        <v>1.35125E-2</v>
      </c>
      <c r="N23" s="1">
        <f>11.5+12.1</f>
        <v>23.6</v>
      </c>
      <c r="O23" s="1">
        <f>12.8+14</f>
        <v>26.8</v>
      </c>
      <c r="Q23" t="s">
        <v>77</v>
      </c>
      <c r="R23" s="2">
        <f>0.035609</f>
        <v>3.5609000000000002E-2</v>
      </c>
      <c r="S23" s="2">
        <f>0.004415</f>
        <v>4.4149999999999997E-3</v>
      </c>
      <c r="T23" s="2">
        <f>0.029818</f>
        <v>2.9818000000000001E-2</v>
      </c>
      <c r="U23" s="2">
        <f>0.0038745</f>
        <v>3.8744999999999999E-3</v>
      </c>
      <c r="V23" s="1">
        <v>25.4</v>
      </c>
      <c r="W23" s="1">
        <v>26.2</v>
      </c>
    </row>
    <row r="24" spans="1:23" x14ac:dyDescent="0.25">
      <c r="A24" t="s">
        <v>26</v>
      </c>
      <c r="B24" s="2">
        <f>0.005018</f>
        <v>5.0179999999999999E-3</v>
      </c>
      <c r="C24" s="2">
        <f>0.000702</f>
        <v>7.0200000000000004E-4</v>
      </c>
      <c r="D24" s="2">
        <f>0.009482</f>
        <v>9.4820000000000008E-3</v>
      </c>
      <c r="E24" s="2">
        <f>0.001187</f>
        <v>1.1869999999999999E-3</v>
      </c>
      <c r="F24" s="1">
        <v>25.4</v>
      </c>
      <c r="G24" s="1">
        <v>26.2</v>
      </c>
      <c r="H24" s="1"/>
      <c r="I24" t="s">
        <v>43</v>
      </c>
      <c r="J24" s="2">
        <f>0.271294</f>
        <v>0.27129399999999998</v>
      </c>
      <c r="K24" s="2">
        <f>0.0432595</f>
        <v>4.3259499999999999E-2</v>
      </c>
      <c r="L24" s="2">
        <f>0.271294</f>
        <v>0.27129399999999998</v>
      </c>
      <c r="M24" s="2">
        <f>0.041166</f>
        <v>4.1166000000000001E-2</v>
      </c>
      <c r="N24" s="1">
        <f>17+16.8</f>
        <v>33.799999999999997</v>
      </c>
      <c r="O24" s="1">
        <f>14.3+9.8</f>
        <v>24.1</v>
      </c>
      <c r="Q24" t="s">
        <v>74</v>
      </c>
      <c r="R24" s="2">
        <f>0.14368</f>
        <v>0.14368</v>
      </c>
      <c r="S24" s="2">
        <f>0.015083</f>
        <v>1.5082999999999999E-2</v>
      </c>
      <c r="T24" s="2">
        <f>0.106039</f>
        <v>0.10603899999999999</v>
      </c>
      <c r="U24" s="2">
        <f>0.018907</f>
        <v>1.8907E-2</v>
      </c>
      <c r="V24" s="1">
        <v>24.2</v>
      </c>
      <c r="W24" s="1">
        <v>25.1</v>
      </c>
    </row>
    <row r="25" spans="1:23" x14ac:dyDescent="0.25">
      <c r="A25" t="s">
        <v>27</v>
      </c>
      <c r="B25" s="2">
        <f>0.018304</f>
        <v>1.8304000000000001E-2</v>
      </c>
      <c r="C25" s="2">
        <f>0.002802</f>
        <v>2.8019999999999998E-3</v>
      </c>
      <c r="D25" s="2">
        <f>0.010406</f>
        <v>1.0406E-2</v>
      </c>
      <c r="E25" s="2">
        <f>0.003322</f>
        <v>3.3219999999999999E-3</v>
      </c>
      <c r="F25" s="1">
        <v>25.4</v>
      </c>
      <c r="G25" s="1">
        <v>26.2</v>
      </c>
      <c r="H25" s="1"/>
      <c r="I25" t="s">
        <v>44</v>
      </c>
      <c r="J25" s="2">
        <f>0.602496</f>
        <v>0.60249600000000003</v>
      </c>
      <c r="K25" s="2">
        <f>0.0764377</f>
        <v>7.6437699999999997E-2</v>
      </c>
      <c r="L25" s="2">
        <f>0.58338</f>
        <v>0.58338000000000001</v>
      </c>
      <c r="M25" s="2">
        <f>0.094978</f>
        <v>9.4978000000000007E-2</v>
      </c>
      <c r="N25" s="1">
        <f>14.8+4.6</f>
        <v>19.399999999999999</v>
      </c>
      <c r="O25" s="1">
        <f>3.5+14.6</f>
        <v>18.100000000000001</v>
      </c>
      <c r="Q25" t="s">
        <v>75</v>
      </c>
      <c r="R25" s="2">
        <f>0.005653</f>
        <v>5.653E-3</v>
      </c>
      <c r="S25" s="2">
        <f>0.000857</f>
        <v>8.5700000000000001E-4</v>
      </c>
      <c r="T25" s="2">
        <f>0.006266</f>
        <v>6.2659999999999999E-3</v>
      </c>
      <c r="U25" s="2">
        <f>0.001441</f>
        <v>1.441E-3</v>
      </c>
      <c r="V25" s="1">
        <v>25.4</v>
      </c>
      <c r="W25" s="1">
        <v>26.2</v>
      </c>
    </row>
    <row r="26" spans="1:23" x14ac:dyDescent="0.25">
      <c r="A26" t="s">
        <v>28</v>
      </c>
      <c r="B26" s="2">
        <f>0.088382</f>
        <v>8.8382000000000002E-2</v>
      </c>
      <c r="C26" s="2">
        <f>0.018703</f>
        <v>1.8703000000000001E-2</v>
      </c>
      <c r="D26" s="2">
        <f>0.132385</f>
        <v>0.132385</v>
      </c>
      <c r="E26" s="2">
        <f>0.024536</f>
        <v>2.4535999999999999E-2</v>
      </c>
      <c r="F26" s="1">
        <v>25.7</v>
      </c>
      <c r="G26" s="1">
        <v>25.5</v>
      </c>
      <c r="H26" s="1"/>
      <c r="Q26" t="s">
        <v>78</v>
      </c>
      <c r="R26" s="2">
        <f>0.030035</f>
        <v>3.0034999999999999E-2</v>
      </c>
      <c r="S26" s="2">
        <f>0.004859</f>
        <v>4.8589999999999996E-3</v>
      </c>
      <c r="T26" s="2">
        <f>0.01837</f>
        <v>1.8370000000000001E-2</v>
      </c>
      <c r="U26" s="2">
        <v>5.3670000000000002E-3</v>
      </c>
      <c r="V26" s="1">
        <v>25.4</v>
      </c>
      <c r="W26" s="1">
        <v>26.2</v>
      </c>
    </row>
    <row r="27" spans="1:23" x14ac:dyDescent="0.25">
      <c r="B27" s="1"/>
      <c r="C27" s="1"/>
      <c r="D27" s="1"/>
      <c r="E27" s="1"/>
      <c r="F27" s="1"/>
      <c r="G27" s="1"/>
      <c r="H27" s="1"/>
      <c r="I27" t="s">
        <v>29</v>
      </c>
      <c r="Q27" t="s">
        <v>76</v>
      </c>
      <c r="R27" s="2">
        <v>7.5178499999999995E-2</v>
      </c>
      <c r="S27" s="2">
        <f>0.01223449</f>
        <v>1.2234490000000001E-2</v>
      </c>
      <c r="T27" s="2">
        <f>0.100892</f>
        <v>0.100892</v>
      </c>
      <c r="U27" s="2">
        <f>0.0173189</f>
        <v>1.7318900000000002E-2</v>
      </c>
      <c r="V27" s="1">
        <v>24.5</v>
      </c>
      <c r="W27" s="1">
        <v>24.9</v>
      </c>
    </row>
    <row r="28" spans="1:23" x14ac:dyDescent="0.25">
      <c r="A28" t="s">
        <v>29</v>
      </c>
      <c r="H28" s="1"/>
      <c r="I28" t="s">
        <v>38</v>
      </c>
      <c r="J28" s="2">
        <f>0.013593</f>
        <v>1.3592999999999999E-2</v>
      </c>
      <c r="K28" s="2">
        <f>0.0018367</f>
        <v>1.8366999999999999E-3</v>
      </c>
      <c r="L28" s="2">
        <f>0.0060147</f>
        <v>6.0147000000000004E-3</v>
      </c>
      <c r="M28" s="2">
        <f>0.001708</f>
        <v>1.7080000000000001E-3</v>
      </c>
      <c r="N28" s="1">
        <f>12.7*2</f>
        <v>25.4</v>
      </c>
      <c r="O28" s="1">
        <v>26.2</v>
      </c>
    </row>
    <row r="29" spans="1:23" x14ac:dyDescent="0.25">
      <c r="A29" t="s">
        <v>0</v>
      </c>
      <c r="B29" s="2">
        <v>2.9999999999999997E-4</v>
      </c>
      <c r="C29" s="2">
        <f>5.1*10^-5</f>
        <v>5.1E-5</v>
      </c>
      <c r="D29" s="2">
        <v>4.2999999999999999E-4</v>
      </c>
      <c r="E29" s="2">
        <v>1.1E-4</v>
      </c>
      <c r="F29" s="1">
        <f>12.7*2</f>
        <v>25.4</v>
      </c>
      <c r="G29" s="1">
        <v>26.2</v>
      </c>
      <c r="H29" s="1"/>
      <c r="I29" t="s">
        <v>39</v>
      </c>
      <c r="J29" s="2">
        <f>0.017958</f>
        <v>1.7957999999999998E-2</v>
      </c>
      <c r="K29" s="2">
        <f>0.0021134</f>
        <v>2.1134000000000001E-3</v>
      </c>
      <c r="L29" s="2">
        <f>0.013785</f>
        <v>1.3785E-2</v>
      </c>
      <c r="M29" s="2">
        <f>0.00301785</f>
        <v>3.0178499999999999E-3</v>
      </c>
      <c r="N29" s="1">
        <f>12.7*2</f>
        <v>25.4</v>
      </c>
      <c r="O29" s="1">
        <v>26.2</v>
      </c>
    </row>
    <row r="30" spans="1:23" x14ac:dyDescent="0.25">
      <c r="A30" t="s">
        <v>7</v>
      </c>
      <c r="B30" s="2">
        <v>8.9999999999999998E-4</v>
      </c>
      <c r="C30" s="2">
        <v>1.3999999999999999E-4</v>
      </c>
      <c r="D30" s="2">
        <v>2.0600000000000002E-3</v>
      </c>
      <c r="E30" s="2">
        <v>4.0999999999999999E-4</v>
      </c>
      <c r="F30" s="1">
        <f>12.7*2</f>
        <v>25.4</v>
      </c>
      <c r="G30" s="1">
        <f>13.1*2</f>
        <v>26.2</v>
      </c>
      <c r="H30" s="1"/>
      <c r="I30" t="s">
        <v>40</v>
      </c>
      <c r="J30" s="2">
        <f>0.0154137</f>
        <v>1.5413700000000001E-2</v>
      </c>
      <c r="K30" s="2">
        <f>0.0034784</f>
        <v>3.4784E-3</v>
      </c>
      <c r="L30" s="2">
        <f>0.0372176</f>
        <v>3.7217600000000003E-2</v>
      </c>
      <c r="M30" s="2">
        <f>0.00491</f>
        <v>4.9100000000000003E-3</v>
      </c>
      <c r="N30" s="1">
        <f>12.7*2</f>
        <v>25.4</v>
      </c>
      <c r="O30" s="1">
        <v>26.2</v>
      </c>
    </row>
    <row r="31" spans="1:23" x14ac:dyDescent="0.25">
      <c r="A31" t="s">
        <v>8</v>
      </c>
      <c r="B31" s="2">
        <v>3.8800000000000002E-3</v>
      </c>
      <c r="C31" s="2">
        <v>5.1000000000000004E-4</v>
      </c>
      <c r="D31" s="2">
        <v>5.5399999999999998E-3</v>
      </c>
      <c r="E31" s="2">
        <v>6.9999999999999999E-4</v>
      </c>
      <c r="F31" s="1">
        <f>12.7*2</f>
        <v>25.4</v>
      </c>
      <c r="G31" s="1">
        <f>13.1*2</f>
        <v>26.2</v>
      </c>
      <c r="H31" s="1"/>
      <c r="I31" t="s">
        <v>41</v>
      </c>
      <c r="J31" s="2">
        <f>0.04019</f>
        <v>4.0189999999999997E-2</v>
      </c>
      <c r="K31" s="2">
        <f>0.00522</f>
        <v>5.2199999999999998E-3</v>
      </c>
      <c r="L31" s="2">
        <f>0.059302</f>
        <v>5.9302000000000001E-2</v>
      </c>
      <c r="M31" s="2">
        <f>0.0108137</f>
        <v>1.0813700000000001E-2</v>
      </c>
      <c r="N31" s="1">
        <v>25.2</v>
      </c>
      <c r="O31" s="1">
        <v>26.2</v>
      </c>
    </row>
    <row r="32" spans="1:23" x14ac:dyDescent="0.25">
      <c r="A32" t="s">
        <v>9</v>
      </c>
      <c r="B32" s="2">
        <v>4.8149999999999998E-3</v>
      </c>
      <c r="C32" s="2">
        <v>8.6680000000000004E-4</v>
      </c>
      <c r="D32" s="2">
        <v>4.7159999999999997E-3</v>
      </c>
      <c r="E32" s="2">
        <f>0.0012258</f>
        <v>1.2258E-3</v>
      </c>
      <c r="F32" s="1">
        <f>25.4</f>
        <v>25.4</v>
      </c>
      <c r="G32" s="1">
        <f>13.1*2</f>
        <v>26.2</v>
      </c>
      <c r="H32" s="1"/>
      <c r="I32" t="s">
        <v>42</v>
      </c>
      <c r="J32" s="2">
        <f>0.087456</f>
        <v>8.7456000000000006E-2</v>
      </c>
      <c r="K32" s="2">
        <f>0.016323</f>
        <v>1.6323000000000001E-2</v>
      </c>
      <c r="L32" s="2">
        <f>0.072754</f>
        <v>7.2753999999999999E-2</v>
      </c>
      <c r="M32" s="2">
        <f>0.0134904</f>
        <v>1.34904E-2</v>
      </c>
      <c r="N32" s="1">
        <v>23.5</v>
      </c>
      <c r="O32" s="1">
        <v>25.7</v>
      </c>
    </row>
    <row r="33" spans="1:15" x14ac:dyDescent="0.25">
      <c r="A33" t="s">
        <v>11</v>
      </c>
      <c r="B33" s="2">
        <v>1.4630000000000001E-2</v>
      </c>
      <c r="C33" s="2">
        <v>2.0600000000000002E-3</v>
      </c>
      <c r="D33" s="2">
        <v>1.2899000000000001E-2</v>
      </c>
      <c r="E33" s="2">
        <v>2.7299999999999998E-3</v>
      </c>
      <c r="F33" s="1">
        <f>25.4</f>
        <v>25.4</v>
      </c>
      <c r="G33" s="1">
        <f>13.1*2</f>
        <v>26.2</v>
      </c>
      <c r="H33" s="1"/>
      <c r="I33" t="s">
        <v>43</v>
      </c>
      <c r="J33" s="2">
        <f>0.149366</f>
        <v>0.149366</v>
      </c>
      <c r="K33" s="2">
        <f>0.026674</f>
        <v>2.6674E-2</v>
      </c>
      <c r="L33" s="2">
        <v>0.40493000000000001</v>
      </c>
      <c r="M33" s="2">
        <v>4.6166800000000001E-2</v>
      </c>
      <c r="N33" s="1">
        <f>15.2+12</f>
        <v>27.2</v>
      </c>
      <c r="O33" s="1">
        <f>8+8.4</f>
        <v>16.399999999999999</v>
      </c>
    </row>
    <row r="34" spans="1:15" x14ac:dyDescent="0.25">
      <c r="A34" t="s">
        <v>10</v>
      </c>
      <c r="B34" s="2">
        <v>2.7403E-2</v>
      </c>
      <c r="C34" s="2">
        <v>4.9373000000000004E-3</v>
      </c>
      <c r="D34" s="2">
        <f>0.025989886</f>
        <v>2.5989886E-2</v>
      </c>
      <c r="E34" s="2">
        <f>0.00525457</f>
        <v>5.2545700000000001E-3</v>
      </c>
      <c r="F34" s="1">
        <v>25.4</v>
      </c>
      <c r="G34" s="1">
        <f>13.1*2</f>
        <v>26.2</v>
      </c>
      <c r="H34" s="1"/>
      <c r="I34" t="s">
        <v>44</v>
      </c>
      <c r="J34" s="2">
        <v>0.46382499999999999</v>
      </c>
      <c r="K34" s="2">
        <f>0.102609</f>
        <v>0.10260900000000001</v>
      </c>
      <c r="L34" s="2">
        <f>0.542105</f>
        <v>0.54210499999999995</v>
      </c>
      <c r="M34" s="2">
        <f>0.100594</f>
        <v>0.100594</v>
      </c>
      <c r="N34" s="1" t="s">
        <v>37</v>
      </c>
      <c r="O34" s="1" t="s">
        <v>37</v>
      </c>
    </row>
    <row r="35" spans="1:15" x14ac:dyDescent="0.25">
      <c r="A35" t="s">
        <v>12</v>
      </c>
      <c r="B35" s="2">
        <v>6.9571999999999995E-2</v>
      </c>
      <c r="C35" s="2">
        <f>0.0102445</f>
        <v>1.02445E-2</v>
      </c>
      <c r="D35" s="2">
        <f>0.0628129</f>
        <v>6.2812900000000005E-2</v>
      </c>
      <c r="E35" s="2">
        <f>0.0101012</f>
        <v>1.0101199999999999E-2</v>
      </c>
      <c r="F35" s="1">
        <v>25.2</v>
      </c>
      <c r="G35" s="1">
        <v>26.1</v>
      </c>
      <c r="H35" s="1"/>
    </row>
    <row r="36" spans="1:15" x14ac:dyDescent="0.25">
      <c r="B36" s="1"/>
      <c r="C36" s="1"/>
      <c r="D36" s="1"/>
      <c r="E36" s="1"/>
      <c r="F36" s="1"/>
      <c r="G36" s="1"/>
      <c r="H36" s="1"/>
      <c r="I36" t="s">
        <v>45</v>
      </c>
      <c r="J36" s="2">
        <f>0.00327</f>
        <v>3.2699999999999999E-3</v>
      </c>
      <c r="K36" s="2">
        <f>0.000539</f>
        <v>5.3899999999999998E-4</v>
      </c>
      <c r="L36" s="2">
        <f>0.0031963</f>
        <v>3.1963E-3</v>
      </c>
      <c r="M36" s="2">
        <f>0.000553</f>
        <v>5.53E-4</v>
      </c>
      <c r="N36" s="1">
        <v>25.4</v>
      </c>
      <c r="O36" s="1">
        <v>26.2</v>
      </c>
    </row>
    <row r="37" spans="1:15" x14ac:dyDescent="0.25">
      <c r="A37" t="s">
        <v>29</v>
      </c>
      <c r="H37" s="1"/>
      <c r="I37" t="s">
        <v>46</v>
      </c>
      <c r="J37" s="2">
        <f>0.007907</f>
        <v>7.9070000000000008E-3</v>
      </c>
      <c r="K37" s="2">
        <f>0.001337</f>
        <v>1.3370000000000001E-3</v>
      </c>
      <c r="L37" s="2">
        <f>0.007417</f>
        <v>7.417E-3</v>
      </c>
      <c r="M37" s="2">
        <f>0.001621</f>
        <v>1.621E-3</v>
      </c>
      <c r="N37" s="1">
        <v>25.4</v>
      </c>
      <c r="O37" s="1">
        <v>26.2</v>
      </c>
    </row>
    <row r="38" spans="1:15" x14ac:dyDescent="0.25">
      <c r="A38" t="s">
        <v>13</v>
      </c>
      <c r="B38" s="2">
        <v>1.5579999999999999E-3</v>
      </c>
      <c r="C38" s="2">
        <f>0.0002269</f>
        <v>2.2690000000000001E-4</v>
      </c>
      <c r="D38" s="2">
        <f>0.0024112</f>
        <v>2.4112000000000001E-3</v>
      </c>
      <c r="E38" s="2">
        <f>0.0003</f>
        <v>2.9999999999999997E-4</v>
      </c>
      <c r="F38" s="1">
        <v>25.4</v>
      </c>
      <c r="G38" s="1">
        <v>26.2</v>
      </c>
      <c r="H38" s="1"/>
      <c r="I38" t="s">
        <v>47</v>
      </c>
      <c r="J38" s="2">
        <f>0.063427</f>
        <v>6.3426999999999997E-2</v>
      </c>
      <c r="K38" s="2">
        <f>0.00543455</f>
        <v>5.4345499999999998E-3</v>
      </c>
      <c r="L38" s="2">
        <f>0.036597</f>
        <v>3.6596999999999998E-2</v>
      </c>
      <c r="M38" s="2">
        <f>0.008388</f>
        <v>8.3879999999999996E-3</v>
      </c>
      <c r="N38" s="1">
        <v>25.6</v>
      </c>
      <c r="O38" s="1">
        <v>26.4</v>
      </c>
    </row>
    <row r="39" spans="1:15" x14ac:dyDescent="0.25">
      <c r="A39" t="s">
        <v>14</v>
      </c>
      <c r="B39" s="2">
        <f>0.002655</f>
        <v>2.6549999999999998E-3</v>
      </c>
      <c r="C39" s="2">
        <f>0.0003617</f>
        <v>3.6170000000000001E-4</v>
      </c>
      <c r="D39" s="2">
        <f>0.002556</f>
        <v>2.5560000000000001E-3</v>
      </c>
      <c r="E39" s="2">
        <f>0.0005638</f>
        <v>5.6380000000000004E-4</v>
      </c>
      <c r="F39" s="1">
        <v>25.4</v>
      </c>
      <c r="G39" s="1">
        <v>26.2</v>
      </c>
      <c r="I39" t="s">
        <v>48</v>
      </c>
      <c r="J39" s="2">
        <f>0.00827</f>
        <v>8.2699999999999996E-3</v>
      </c>
      <c r="K39" s="2">
        <f>0.000749</f>
        <v>7.4899999999999999E-4</v>
      </c>
      <c r="L39" s="2">
        <f>0.004933</f>
        <v>4.9329999999999999E-3</v>
      </c>
      <c r="M39" s="2">
        <f>0.001044</f>
        <v>1.044E-3</v>
      </c>
      <c r="N39" s="1">
        <v>25.4</v>
      </c>
      <c r="O39" s="1">
        <v>26.2</v>
      </c>
    </row>
    <row r="40" spans="1:15" x14ac:dyDescent="0.25">
      <c r="A40" t="s">
        <v>15</v>
      </c>
      <c r="B40" s="2">
        <f>0.00473</f>
        <v>4.7299999999999998E-3</v>
      </c>
      <c r="C40" s="2">
        <f>0.00077</f>
        <v>7.6999999999999996E-4</v>
      </c>
      <c r="D40" s="2">
        <f>0.005875</f>
        <v>5.875E-3</v>
      </c>
      <c r="E40" s="2">
        <f>0.001334</f>
        <v>1.3339999999999999E-3</v>
      </c>
      <c r="F40" s="1">
        <v>25.4</v>
      </c>
      <c r="G40" s="1">
        <v>26.2</v>
      </c>
      <c r="I40" t="s">
        <v>49</v>
      </c>
      <c r="J40" s="2">
        <f>0.016465</f>
        <v>1.6465E-2</v>
      </c>
      <c r="K40" s="2">
        <f>0.003159</f>
        <v>3.1589999999999999E-3</v>
      </c>
      <c r="L40" s="2">
        <f>0.010741</f>
        <v>1.0741000000000001E-2</v>
      </c>
      <c r="M40" s="2">
        <f>0.002714</f>
        <v>2.7139999999999998E-3</v>
      </c>
      <c r="N40" s="1">
        <v>25.4</v>
      </c>
      <c r="O40" s="1">
        <v>26.2</v>
      </c>
    </row>
    <row r="41" spans="1:15" x14ac:dyDescent="0.25">
      <c r="A41" t="s">
        <v>16</v>
      </c>
      <c r="B41" s="2">
        <f>0.020075</f>
        <v>2.0074999999999999E-2</v>
      </c>
      <c r="C41" s="2">
        <f>0.002023</f>
        <v>2.0230000000000001E-3</v>
      </c>
      <c r="D41" s="2">
        <f>0.0142807</f>
        <v>1.42807E-2</v>
      </c>
      <c r="E41" s="2">
        <f>0.0026882</f>
        <v>2.6882E-3</v>
      </c>
      <c r="F41" s="1">
        <v>25.4</v>
      </c>
      <c r="G41" s="1">
        <v>26.2</v>
      </c>
      <c r="I41" t="s">
        <v>50</v>
      </c>
      <c r="J41" s="2">
        <f>0.065579</f>
        <v>6.5578999999999998E-2</v>
      </c>
      <c r="K41" s="2">
        <f>0.009715</f>
        <v>9.7149999999999997E-3</v>
      </c>
      <c r="L41" s="2">
        <f>0.046326</f>
        <v>4.6325999999999999E-2</v>
      </c>
      <c r="M41" s="2">
        <f>0.00877</f>
        <v>8.77E-3</v>
      </c>
      <c r="N41" s="1">
        <v>25.8</v>
      </c>
      <c r="O41" s="1">
        <v>26.3</v>
      </c>
    </row>
    <row r="42" spans="1:15" x14ac:dyDescent="0.25">
      <c r="A42" t="s">
        <v>17</v>
      </c>
      <c r="B42" s="2">
        <f>0.024373</f>
        <v>2.4372999999999999E-2</v>
      </c>
      <c r="C42" s="2">
        <f>0.003785</f>
        <v>3.7850000000000002E-3</v>
      </c>
      <c r="D42" s="2">
        <f>0.01841</f>
        <v>1.8409999999999999E-2</v>
      </c>
      <c r="E42" s="2">
        <f>0.0033245</f>
        <v>3.3245000000000002E-3</v>
      </c>
      <c r="F42" s="1">
        <v>25.4</v>
      </c>
      <c r="G42" s="1">
        <v>26.2</v>
      </c>
      <c r="I42" t="s">
        <v>51</v>
      </c>
      <c r="J42" s="2">
        <f>0.00461</f>
        <v>4.6100000000000004E-3</v>
      </c>
      <c r="K42" s="2">
        <f>0.00069</f>
        <v>6.8999999999999997E-4</v>
      </c>
      <c r="L42" s="2">
        <f>0.00678</f>
        <v>6.7799999999999996E-3</v>
      </c>
      <c r="M42" s="2">
        <f>0.000778</f>
        <v>7.7800000000000005E-4</v>
      </c>
      <c r="N42" s="1">
        <v>25.4</v>
      </c>
      <c r="O42" s="1">
        <v>26.2</v>
      </c>
    </row>
    <row r="43" spans="1:15" x14ac:dyDescent="0.25">
      <c r="A43" t="s">
        <v>18</v>
      </c>
      <c r="B43" s="2">
        <f>0.06354</f>
        <v>6.3539999999999999E-2</v>
      </c>
      <c r="C43" s="2">
        <f>0.0106396</f>
        <v>1.0639600000000001E-2</v>
      </c>
      <c r="D43" s="2">
        <f>0.0886245</f>
        <v>8.8624499999999995E-2</v>
      </c>
      <c r="E43" s="2">
        <f>0.0107999</f>
        <v>1.0799899999999999E-2</v>
      </c>
      <c r="F43" s="1">
        <v>25.7</v>
      </c>
      <c r="G43" s="1">
        <v>26.2</v>
      </c>
      <c r="I43" t="s">
        <v>52</v>
      </c>
      <c r="J43" s="2">
        <f>0.0149</f>
        <v>1.49E-2</v>
      </c>
      <c r="K43" s="2">
        <f>0.00261</f>
        <v>2.6099999999999999E-3</v>
      </c>
      <c r="L43" s="2">
        <f>0.009918</f>
        <v>9.9179999999999997E-3</v>
      </c>
      <c r="M43" s="2">
        <f>0.001957</f>
        <v>1.957E-3</v>
      </c>
      <c r="N43" s="1">
        <v>25.4</v>
      </c>
      <c r="O43" s="1">
        <v>26.2</v>
      </c>
    </row>
    <row r="44" spans="1:15" x14ac:dyDescent="0.25">
      <c r="A44" t="s">
        <v>19</v>
      </c>
      <c r="B44" s="2">
        <f>0.05365</f>
        <v>5.3650000000000003E-2</v>
      </c>
      <c r="C44" s="2">
        <v>5.888E-3</v>
      </c>
      <c r="D44" s="2">
        <f>0.0460358</f>
        <v>4.6035800000000002E-2</v>
      </c>
      <c r="E44" s="2">
        <f>0.013751</f>
        <v>1.3750999999999999E-2</v>
      </c>
      <c r="F44" s="1">
        <v>25.4</v>
      </c>
      <c r="G44" s="1">
        <v>26</v>
      </c>
      <c r="I44" t="s">
        <v>53</v>
      </c>
      <c r="J44" s="2">
        <f>0.04841</f>
        <v>4.8410000000000002E-2</v>
      </c>
      <c r="K44" s="2">
        <f>0.008871</f>
        <v>8.8710000000000004E-3</v>
      </c>
      <c r="L44" s="2">
        <f>0.08604</f>
        <v>8.6040000000000005E-2</v>
      </c>
      <c r="M44" s="2">
        <f>0.0139237</f>
        <v>1.3923700000000001E-2</v>
      </c>
      <c r="N44" s="1">
        <v>25.9</v>
      </c>
      <c r="O44" s="1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4B8CB5B4B13194088C501F1A73AB836" ma:contentTypeVersion="5" ma:contentTypeDescription="Opret et nyt dokument." ma:contentTypeScope="" ma:versionID="6ab33585d7507d8f7d3bdeb41e8bede6">
  <xsd:schema xmlns:xsd="http://www.w3.org/2001/XMLSchema" xmlns:xs="http://www.w3.org/2001/XMLSchema" xmlns:p="http://schemas.microsoft.com/office/2006/metadata/properties" xmlns:ns3="c1ab8b88-ea59-48ac-8d7f-e26084dcc9aa" targetNamespace="http://schemas.microsoft.com/office/2006/metadata/properties" ma:root="true" ma:fieldsID="264d1835de1ad1b918f71464e80c9360" ns3:_="">
    <xsd:import namespace="c1ab8b88-ea59-48ac-8d7f-e26084dcc9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ab8b88-ea59-48ac-8d7f-e26084dcc9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C7046A-D9FD-4091-BEF8-46967EC5E8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D3E216-EEFC-4B0C-99CC-A4BBCCB53B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ab8b88-ea59-48ac-8d7f-e26084dcc9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555542-73CF-4BDB-AC57-32AF5F06904D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c1ab8b88-ea59-48ac-8d7f-e26084dcc9aa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Valdemar Lunddal Jensen</dc:creator>
  <cp:lastModifiedBy>Valdemar Lunddal Jensen</cp:lastModifiedBy>
  <dcterms:created xsi:type="dcterms:W3CDTF">2024-12-01T18:14:37Z</dcterms:created>
  <dcterms:modified xsi:type="dcterms:W3CDTF">2024-12-02T05:22:50Z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0x01010004B8CB5B4B13194088C501F1A73AB836</vt:lpwstr>
  </property>
</Properties>
</file>